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Auxerre\2023\Charlet R1\"/>
    </mc:Choice>
  </mc:AlternateContent>
  <xr:revisionPtr revIDLastSave="0" documentId="13_ncr:1_{C61FE809-CAE5-4FAE-86EE-F27CAE0C8FEA}" xr6:coauthVersionLast="47" xr6:coauthVersionMax="47" xr10:uidLastSave="{00000000-0000-0000-0000-000000000000}"/>
  <bookViews>
    <workbookView xWindow="-108" yWindow="-108" windowWidth="23256" windowHeight="12576" tabRatio="866" activeTab="6" xr2:uid="{00000000-000D-0000-FFFF-FFFF00000000}"/>
  </bookViews>
  <sheets>
    <sheet name="Accueil" sheetId="5" r:id="rId1"/>
    <sheet name="Scénario référence" sheetId="7" r:id="rId2"/>
    <sheet name="Calculateur" sheetId="2" state="hidden" r:id="rId3"/>
    <sheet name="Paramètres" sheetId="3" state="hidden" r:id="rId4"/>
    <sheet name="REE" sheetId="4" r:id="rId5"/>
    <sheet name="Données projet" sheetId="1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0" i="6" l="1"/>
  <c r="D224" i="1" l="1"/>
  <c r="D250" i="1"/>
  <c r="D172" i="1"/>
  <c r="B146" i="1"/>
  <c r="D146" i="1" s="1"/>
  <c r="D43" i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4" i="6" l="1"/>
  <c r="T11" i="6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FQ4" i="2" l="1"/>
  <c r="FR4" i="2"/>
  <c r="BR4" i="2"/>
  <c r="BQ4" i="2"/>
  <c r="EA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B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FS9" i="2" l="1"/>
  <c r="HG9" i="2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B10" i="2"/>
  <c r="HG10" i="2"/>
  <c r="EA10" i="2"/>
  <c r="HH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HG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EV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EX14" i="2"/>
  <c r="HG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EA16" i="2" l="1"/>
  <c r="HH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EV18" i="2"/>
  <c r="EW18" i="2"/>
  <c r="HG18" i="2"/>
  <c r="EA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FS20" i="2" l="1"/>
  <c r="EC20" i="2"/>
  <c r="EW20" i="2"/>
  <c r="EV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W21" i="2" l="1"/>
  <c r="EV21" i="2"/>
  <c r="EB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A22" i="2" l="1"/>
  <c r="EB22" i="2"/>
  <c r="EW22" i="2"/>
  <c r="HG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FR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HH26" i="2" s="1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EC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FS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FS28" i="2" l="1"/>
  <c r="EC28" i="2"/>
  <c r="EB28" i="2"/>
  <c r="HG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H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V33" i="2" l="1"/>
  <c r="EW33" i="2"/>
  <c r="EB33" i="2"/>
  <c r="HG33" i="2"/>
  <c r="HH33" i="2"/>
  <c r="EA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CM35" i="2" l="1"/>
  <c r="FQ35" i="2"/>
  <c r="HH35" i="2"/>
  <c r="EB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G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A38" i="2" l="1"/>
  <c r="HH38" i="2"/>
  <c r="EX38" i="2"/>
  <c r="HI38" i="2"/>
  <c r="EW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HH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HG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DG43" i="2" l="1"/>
  <c r="EA43" i="2"/>
  <c r="HI43" i="2"/>
  <c r="HG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EW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W46" i="2" l="1"/>
  <c r="HG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EV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EX54" i="2" l="1"/>
  <c r="HI54" i="2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I57" i="2" l="1"/>
  <c r="EB57" i="2"/>
  <c r="HG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EC59" i="2"/>
  <c r="EB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I60" i="2" l="1"/>
  <c r="HG60" i="2"/>
  <c r="EW60" i="2"/>
  <c r="EV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X61" i="2"/>
  <c r="EA61" i="2"/>
  <c r="EV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EB62" i="2"/>
  <c r="HH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C63" i="2" l="1"/>
  <c r="EB63" i="2"/>
  <c r="HG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EC64" i="2"/>
  <c r="EV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EC69" i="2" s="1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HI69" i="2" l="1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HG70" i="2"/>
  <c r="EB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H72" i="2" l="1"/>
  <c r="EB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FS75" i="2" l="1"/>
  <c r="HG75" i="2"/>
  <c r="EA75" i="2"/>
  <c r="EB75" i="2"/>
  <c r="HH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HI77" i="2" l="1"/>
  <c r="EB77" i="2"/>
  <c r="EA77" i="2"/>
  <c r="EW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C78" i="2" s="1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HH82" i="2" s="1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G82" i="2" l="1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W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EV85" i="2"/>
  <c r="EW85" i="2"/>
  <c r="HG85" i="2"/>
  <c r="HH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EA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HG95" i="2"/>
  <c r="EB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W100" i="2" l="1"/>
  <c r="EX100" i="2"/>
  <c r="EV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HI103" i="2" l="1"/>
  <c r="EA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EX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HH105" i="2"/>
  <c r="FS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X107" i="2" l="1"/>
  <c r="EA107" i="2"/>
  <c r="HG107" i="2"/>
  <c r="EC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H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X112" i="2" l="1"/>
  <c r="EB112" i="2"/>
  <c r="FQ112" i="2"/>
  <c r="EC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W113" i="2"/>
  <c r="EX113" i="2"/>
  <c r="FS113" i="2"/>
  <c r="HI113" i="2"/>
  <c r="EB113" i="2"/>
  <c r="HG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HG114" i="2"/>
  <c r="EV114" i="2"/>
  <c r="HH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A116" i="2" l="1"/>
  <c r="EC116" i="2"/>
  <c r="EV116" i="2"/>
  <c r="HG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HI117" i="2" s="1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EC118" i="2" l="1"/>
  <c r="HH118" i="2"/>
  <c r="EX118" i="2"/>
  <c r="FS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Q120" i="2"/>
  <c r="FR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A121" i="2" l="1"/>
  <c r="EB121" i="2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H122" i="2"/>
  <c r="FS122" i="2"/>
  <c r="HI122" i="2"/>
  <c r="EW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FS124" i="2" l="1"/>
  <c r="EW124" i="2"/>
  <c r="HH124" i="2"/>
  <c r="EX124" i="2"/>
  <c r="HG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HI125" i="2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EA126" i="2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I127" i="2" s="1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FS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FS128" i="2"/>
  <c r="EX128" i="2"/>
  <c r="EB128" i="2"/>
  <c r="EV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HI129" i="2" l="1"/>
  <c r="EV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EB130" i="2" l="1"/>
  <c r="EX130" i="2"/>
  <c r="EW130" i="2"/>
  <c r="HG130" i="2"/>
  <c r="FS130" i="2"/>
  <c r="HH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EC132" i="2" s="1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V133" i="2" l="1"/>
  <c r="EW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HI134" i="2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FS139" i="2" l="1"/>
  <c r="EW139" i="2"/>
  <c r="HH139" i="2"/>
  <c r="EA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HH140" i="2"/>
  <c r="EX140" i="2"/>
  <c r="EB140" i="2"/>
  <c r="FR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FS141" i="2" l="1"/>
  <c r="HH141" i="2"/>
  <c r="EA141" i="2"/>
  <c r="EB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A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A144" i="2" l="1"/>
  <c r="FR144" i="2"/>
  <c r="HG144" i="2"/>
  <c r="EX144" i="2"/>
  <c r="EB144" i="2"/>
  <c r="HH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G145" i="2"/>
  <c r="EA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HH146" i="2" s="1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FS146" i="2" l="1"/>
  <c r="EA146" i="2"/>
  <c r="HI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FS150" i="2"/>
  <c r="HI150" i="2"/>
  <c r="HG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V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X153" i="2" l="1"/>
  <c r="EA153" i="2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DI154" i="2" s="1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3" i="2"/>
  <c r="FT153" i="2"/>
  <c r="CN153" i="2"/>
  <c r="HJ153" i="2"/>
  <c r="GO153" i="2"/>
  <c r="EY153" i="2"/>
  <c r="ED153" i="2"/>
  <c r="AC153" i="2"/>
  <c r="AX151" i="2"/>
  <c r="AC154" i="2" l="1"/>
  <c r="EX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EX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HG157" i="2" s="1"/>
  <c r="GJ157" i="2"/>
  <c r="HE157" i="2"/>
  <c r="HH157" i="2" s="1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HG158" i="2" s="1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D158" i="2" l="1"/>
  <c r="EC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DG160" i="2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A161" i="2" l="1"/>
  <c r="AB161" i="2"/>
  <c r="EB161" i="2"/>
  <c r="EX161" i="2"/>
  <c r="FS161" i="2"/>
  <c r="AW161" i="2"/>
  <c r="EC161" i="2"/>
  <c r="EW161" i="2"/>
  <c r="HI161" i="2"/>
  <c r="GN161" i="2"/>
  <c r="DH161" i="2"/>
  <c r="DG161" i="2"/>
  <c r="DF161" i="2"/>
  <c r="FR161" i="2"/>
  <c r="FQ161" i="2"/>
  <c r="CN160" i="2"/>
  <c r="GL161" i="2"/>
  <c r="GM161" i="2"/>
  <c r="EV161" i="2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 l="1"/>
  <c r="DI161" i="2"/>
  <c r="EW162" i="2"/>
  <c r="EY161" i="2"/>
  <c r="EC162" i="2"/>
  <c r="EB162" i="2"/>
  <c r="HH162" i="2"/>
  <c r="HG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D163" i="2" s="1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Y163" i="2"/>
  <c r="DI163" i="2" l="1"/>
  <c r="EA164" i="2"/>
  <c r="EX164" i="2"/>
  <c r="EV164" i="2"/>
  <c r="FR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ED165" i="2" l="1"/>
  <c r="CN165" i="2"/>
  <c r="FS166" i="2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HI167" i="2" s="1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C167" i="2" l="1"/>
  <c r="FR167" i="2"/>
  <c r="EB167" i="2"/>
  <c r="HH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B168" i="2" l="1"/>
  <c r="EV168" i="2"/>
  <c r="HH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FS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V172" i="2" l="1"/>
  <c r="EW172" i="2"/>
  <c r="HG172" i="2"/>
  <c r="EC172" i="2"/>
  <c r="ED172" i="2" s="1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G174" i="2" l="1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W175" i="2"/>
  <c r="FS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C176" i="2"/>
  <c r="HH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DM177" i="2"/>
  <c r="FN177" i="2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Q177" i="2" l="1"/>
  <c r="FS177" i="2"/>
  <c r="EC177" i="2"/>
  <c r="EW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FQ178" i="2" s="1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A178" i="2" l="1"/>
  <c r="EB178" i="2"/>
  <c r="HH178" i="2"/>
  <c r="HG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I179" i="2"/>
  <c r="HH179" i="2"/>
  <c r="HG179" i="2"/>
  <c r="FS179" i="2"/>
  <c r="EX179" i="2"/>
  <c r="AW179" i="2"/>
  <c r="EC179" i="2"/>
  <c r="ED179" i="2" s="1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G180" i="2" s="1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HI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ED180" i="2" s="1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AX178" i="2"/>
  <c r="HG181" i="2" l="1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X182" i="2" l="1"/>
  <c r="DG182" i="2"/>
  <c r="EC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EY183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EW185" i="2" s="1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EA185" i="2"/>
  <c r="EV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S186" i="2" l="1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AX186" i="2"/>
  <c r="EB189" i="2" l="1"/>
  <c r="EY188" i="2"/>
  <c r="EC189" i="2"/>
  <c r="FS189" i="2"/>
  <c r="HI189" i="2"/>
  <c r="EX189" i="2"/>
  <c r="EA189" i="2"/>
  <c r="ED189" i="2" s="1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H191" i="2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HG192" i="2" s="1"/>
  <c r="GJ192" i="2"/>
  <c r="EH192" i="2"/>
  <c r="FM192" i="2"/>
  <c r="EG192" i="2"/>
  <c r="FN192" i="2"/>
  <c r="FX192" i="2"/>
  <c r="FO192" i="2"/>
  <c r="ET192" i="2"/>
  <c r="EW192" i="2" s="1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B192" i="2" s="1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A192" i="2"/>
  <c r="HH192" i="2"/>
  <c r="AW192" i="2"/>
  <c r="EX192" i="2"/>
  <c r="FS192" i="2"/>
  <c r="GO191" i="2"/>
  <c r="GN192" i="2"/>
  <c r="DG192" i="2"/>
  <c r="DI191" i="2"/>
  <c r="DH192" i="2"/>
  <c r="DF192" i="2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DI192" i="2"/>
  <c r="EB193" i="2"/>
  <c r="EA193" i="2"/>
  <c r="EX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EA194" i="2" l="1"/>
  <c r="CN193" i="2"/>
  <c r="HI194" i="2"/>
  <c r="AW194" i="2"/>
  <c r="DI193" i="2"/>
  <c r="FS194" i="2"/>
  <c r="DF194" i="2"/>
  <c r="EX194" i="2"/>
  <c r="EC194" i="2"/>
  <c r="ED194" i="2" s="1"/>
  <c r="GN194" i="2"/>
  <c r="HH194" i="2"/>
  <c r="DG194" i="2"/>
  <c r="DH194" i="2"/>
  <c r="FR194" i="2"/>
  <c r="GM194" i="2"/>
  <c r="GL194" i="2"/>
  <c r="EV194" i="2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EY194" i="2" l="1"/>
  <c r="EA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EA197" i="2" s="1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X197" i="2"/>
  <c r="EB197" i="2"/>
  <c r="ED197" i="2" s="1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AX195" i="2"/>
  <c r="HI198" i="2" l="1"/>
  <c r="EV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 l="1"/>
  <c r="EW199" i="2"/>
  <c r="HH199" i="2"/>
  <c r="HG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DI200" i="2"/>
  <c r="EA201" i="2" l="1"/>
  <c r="FS201" i="2"/>
  <c r="EB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FZ6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9" i="2" l="1" a="1"/>
  <c r="AH19" i="2" s="1"/>
  <c r="BP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FK3" i="2" s="1"/>
  <c r="D13" i="4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FE65" i="2" l="1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GE17" i="2" l="1"/>
  <c r="GE50" i="2"/>
  <c r="GE9" i="2"/>
  <c r="GE137" i="2"/>
  <c r="GE56" i="2"/>
  <c r="GE44" i="2"/>
  <c r="GE99" i="2"/>
  <c r="GE157" i="2"/>
  <c r="GE30" i="2"/>
  <c r="GE118" i="2"/>
  <c r="GE176" i="2"/>
  <c r="GE42" i="2"/>
  <c r="GE141" i="2"/>
  <c r="GE61" i="2"/>
  <c r="GE164" i="2"/>
  <c r="GE51" i="2"/>
  <c r="GE48" i="2"/>
  <c r="GE4" i="2"/>
  <c r="GE151" i="2"/>
  <c r="GE69" i="2"/>
  <c r="GE18" i="2"/>
  <c r="GE83" i="2"/>
  <c r="GE139" i="2"/>
  <c r="GE77" i="2"/>
  <c r="GE178" i="2"/>
  <c r="GE115" i="2"/>
  <c r="GE101" i="2"/>
  <c r="GE43" i="2"/>
  <c r="GE159" i="2"/>
  <c r="GE152" i="2"/>
  <c r="GE28" i="2"/>
  <c r="GE84" i="2"/>
  <c r="GE119" i="2"/>
  <c r="GE15" i="2"/>
  <c r="GE74" i="2"/>
  <c r="GE201" i="2"/>
  <c r="GE147" i="2"/>
  <c r="GE14" i="2"/>
  <c r="GE187" i="2"/>
  <c r="GE66" i="2"/>
  <c r="GE113" i="2"/>
  <c r="GE180" i="2"/>
  <c r="GE21" i="2"/>
  <c r="GE138" i="2"/>
  <c r="GE198" i="2"/>
  <c r="GE130" i="2"/>
  <c r="GE122" i="2"/>
  <c r="GE186" i="2"/>
  <c r="GE47" i="2"/>
  <c r="GE182" i="2"/>
  <c r="GE109" i="2"/>
  <c r="GE11" i="2"/>
  <c r="GE149" i="2"/>
  <c r="GE116" i="2"/>
  <c r="GE89" i="2"/>
  <c r="GE194" i="2"/>
  <c r="GE193" i="2"/>
  <c r="GE196" i="2"/>
  <c r="GE95" i="2"/>
  <c r="GE6" i="2"/>
  <c r="GE19" i="2"/>
  <c r="GE158" i="2"/>
  <c r="GE16" i="2"/>
  <c r="GE78" i="2"/>
  <c r="GE183" i="2"/>
  <c r="GE64" i="2"/>
  <c r="GE55" i="2"/>
  <c r="GE45" i="2"/>
  <c r="GE171" i="2"/>
  <c r="GE123" i="2"/>
  <c r="GE13" i="2"/>
  <c r="GE189" i="2"/>
  <c r="GE60" i="2"/>
  <c r="GE80" i="2"/>
  <c r="GE153" i="2"/>
  <c r="GE181" i="2"/>
  <c r="GE90" i="2"/>
  <c r="GE167" i="2"/>
  <c r="GE126" i="2"/>
  <c r="GE72" i="2"/>
  <c r="GE62" i="2"/>
  <c r="GE195" i="2"/>
  <c r="GE170" i="2"/>
  <c r="GE26" i="2"/>
  <c r="GE79" i="2"/>
  <c r="GE132" i="2"/>
  <c r="GE76" i="2"/>
  <c r="GE128" i="2"/>
  <c r="GE32" i="2"/>
  <c r="GE105" i="2"/>
  <c r="GE114" i="2"/>
  <c r="GE7" i="2"/>
  <c r="GE31" i="2"/>
  <c r="GE173" i="2"/>
  <c r="GE57" i="2"/>
  <c r="GE199" i="2"/>
  <c r="GE102" i="2"/>
  <c r="GE36" i="2"/>
  <c r="GE41" i="2"/>
  <c r="GE8" i="2"/>
  <c r="GE94" i="2"/>
  <c r="GE134" i="2"/>
  <c r="GE110" i="2"/>
  <c r="GE142" i="2"/>
  <c r="GE150" i="2"/>
  <c r="GE49" i="2"/>
  <c r="GE184" i="2"/>
  <c r="GE202" i="2"/>
  <c r="GE112" i="2"/>
  <c r="GE177" i="2"/>
  <c r="GE86" i="2"/>
  <c r="GE103" i="2"/>
  <c r="GE65" i="2"/>
  <c r="GE190" i="2"/>
  <c r="GE71" i="2"/>
  <c r="GE37" i="2"/>
  <c r="GE35" i="2"/>
  <c r="GE68" i="2"/>
  <c r="GE188" i="2"/>
  <c r="GE82" i="2"/>
  <c r="GE46" i="2"/>
  <c r="GE145" i="2"/>
  <c r="GE39" i="2"/>
  <c r="GE22" i="2"/>
  <c r="GE143" i="2"/>
  <c r="GE203" i="2"/>
  <c r="GE107" i="2"/>
  <c r="GE161" i="2"/>
  <c r="GE88" i="2"/>
  <c r="GE58" i="2"/>
  <c r="GE131" i="2"/>
  <c r="GE136" i="2"/>
  <c r="GE67" i="2"/>
  <c r="GE192" i="2"/>
  <c r="GE70" i="2"/>
  <c r="GE104" i="2"/>
  <c r="GE185" i="2"/>
  <c r="GE40" i="2"/>
  <c r="GE33" i="2"/>
  <c r="GE73" i="2"/>
  <c r="GE96" i="2"/>
  <c r="GE20" i="2"/>
  <c r="GE121" i="2"/>
  <c r="GE75" i="2"/>
  <c r="GE133" i="2"/>
  <c r="GE10" i="2"/>
  <c r="GE166" i="2"/>
  <c r="GE117" i="2"/>
  <c r="GE25" i="2"/>
  <c r="GE54" i="2"/>
  <c r="GE3" i="2"/>
  <c r="C14" i="4" s="1"/>
  <c r="E14" i="4" s="1"/>
  <c r="F14" i="4" s="1"/>
  <c r="G14" i="4" s="1"/>
  <c r="L14" i="4" s="1"/>
  <c r="GE127" i="2"/>
  <c r="GE91" i="2"/>
  <c r="GE163" i="2"/>
  <c r="GE169" i="2"/>
  <c r="GE140" i="2"/>
  <c r="GE179" i="2"/>
  <c r="GE162" i="2"/>
  <c r="GE24" i="2"/>
  <c r="GE87" i="2"/>
  <c r="GE165" i="2"/>
  <c r="GE154" i="2"/>
  <c r="GE92" i="2"/>
  <c r="GE111" i="2"/>
  <c r="GE160" i="2"/>
  <c r="GE93" i="2"/>
  <c r="GE124" i="2"/>
  <c r="GE52" i="2"/>
  <c r="GE100" i="2"/>
  <c r="GE106" i="2"/>
  <c r="GE23" i="2"/>
  <c r="GE129" i="2"/>
  <c r="GE53" i="2"/>
  <c r="GE172" i="2"/>
  <c r="GE120" i="2"/>
  <c r="GE97" i="2"/>
  <c r="GE34" i="2"/>
  <c r="GE155" i="2"/>
  <c r="GE146" i="2"/>
  <c r="GE81" i="2"/>
  <c r="GE108" i="2"/>
  <c r="GE168" i="2"/>
  <c r="GE27" i="2"/>
  <c r="GE5" i="2"/>
  <c r="GE156" i="2"/>
  <c r="GE174" i="2"/>
  <c r="GE38" i="2"/>
  <c r="GE200" i="2"/>
  <c r="GE12" i="2"/>
  <c r="GE85" i="2"/>
  <c r="GE144" i="2"/>
  <c r="GE125" i="2"/>
  <c r="GE29" i="2"/>
  <c r="GE98" i="2"/>
  <c r="GE191" i="2"/>
  <c r="GE63" i="2"/>
  <c r="GE197" i="2"/>
  <c r="GE148" i="2"/>
  <c r="GE175" i="2"/>
  <c r="GE135" i="2"/>
  <c r="GE59" i="2"/>
  <c r="FE85" i="2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FE95" i="2" l="1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CD60" i="2" l="1"/>
  <c r="CD167" i="2"/>
  <c r="CD67" i="2"/>
  <c r="CD12" i="2"/>
  <c r="CD179" i="2"/>
  <c r="CD98" i="2"/>
  <c r="CD25" i="2"/>
  <c r="CD96" i="2"/>
  <c r="CD119" i="2"/>
  <c r="CD70" i="2"/>
  <c r="CD105" i="2"/>
  <c r="CD176" i="2"/>
  <c r="CD54" i="2"/>
  <c r="CD153" i="2"/>
  <c r="CD73" i="2"/>
  <c r="CD113" i="2"/>
  <c r="CD137" i="2"/>
  <c r="CD108" i="2"/>
  <c r="CD120" i="2"/>
  <c r="CD50" i="2"/>
  <c r="CD46" i="2"/>
  <c r="CD22" i="2"/>
  <c r="CD85" i="2"/>
  <c r="CD123" i="2"/>
  <c r="CD157" i="2"/>
  <c r="CD41" i="2"/>
  <c r="CD132" i="2"/>
  <c r="CD40" i="2"/>
  <c r="CD202" i="2"/>
  <c r="CD27" i="2"/>
  <c r="CD66" i="2"/>
  <c r="CD193" i="2"/>
  <c r="CD203" i="2"/>
  <c r="CD111" i="2"/>
  <c r="CD144" i="2"/>
  <c r="CD49" i="2"/>
  <c r="CD97" i="2"/>
  <c r="CD154" i="2"/>
  <c r="CD164" i="2"/>
  <c r="CD169" i="2"/>
  <c r="CD135" i="2"/>
  <c r="CD16" i="2"/>
  <c r="CD195" i="2"/>
  <c r="CD102" i="2"/>
  <c r="CD161" i="2"/>
  <c r="CD39" i="2"/>
  <c r="CD125" i="2"/>
  <c r="CD59" i="2"/>
  <c r="CD47" i="2"/>
  <c r="CD48" i="2"/>
  <c r="CD78" i="2"/>
  <c r="CD166" i="2"/>
  <c r="CD177" i="2"/>
  <c r="CD15" i="2"/>
  <c r="CD110" i="2"/>
  <c r="CD43" i="2"/>
  <c r="CD107" i="2"/>
  <c r="CD18" i="2"/>
  <c r="CD197" i="2"/>
  <c r="CD133" i="2"/>
  <c r="CD11" i="2"/>
  <c r="CD91" i="2"/>
  <c r="CD90" i="2"/>
  <c r="CD115" i="2"/>
  <c r="CD159" i="2"/>
  <c r="CD200" i="2"/>
  <c r="CD114" i="2"/>
  <c r="CD92" i="2"/>
  <c r="CD82" i="2"/>
  <c r="CD127" i="2"/>
  <c r="CD149" i="2"/>
  <c r="CD128" i="2"/>
  <c r="CD32" i="2"/>
  <c r="CD116" i="2"/>
  <c r="CD140" i="2"/>
  <c r="CD84" i="2"/>
  <c r="CD3" i="2"/>
  <c r="C9" i="4" s="1"/>
  <c r="E9" i="4" s="1"/>
  <c r="F9" i="4" s="1"/>
  <c r="G9" i="4" s="1"/>
  <c r="L9" i="4" s="1"/>
  <c r="CD87" i="2"/>
  <c r="CD80" i="2"/>
  <c r="CD88" i="2"/>
  <c r="CD188" i="2"/>
  <c r="CD6" i="2"/>
  <c r="CD38" i="2"/>
  <c r="CD190" i="2"/>
  <c r="CD191" i="2"/>
  <c r="CD155" i="2"/>
  <c r="CD9" i="2"/>
  <c r="CD171" i="2"/>
  <c r="CD172" i="2"/>
  <c r="CD24" i="2"/>
  <c r="CD53" i="2"/>
  <c r="CD8" i="2"/>
  <c r="CD64" i="2"/>
  <c r="CD100" i="2"/>
  <c r="CD182" i="2"/>
  <c r="CD143" i="2"/>
  <c r="CD28" i="2"/>
  <c r="CD19" i="2"/>
  <c r="CD65" i="2"/>
  <c r="CD192" i="2"/>
  <c r="CD55" i="2"/>
  <c r="CD89" i="2"/>
  <c r="CD10" i="2"/>
  <c r="CD4" i="2"/>
  <c r="CD145" i="2"/>
  <c r="CD150" i="2"/>
  <c r="CD106" i="2"/>
  <c r="CD139" i="2"/>
  <c r="CD196" i="2"/>
  <c r="CD131" i="2"/>
  <c r="CD5" i="2"/>
  <c r="CD75" i="2"/>
  <c r="CD174" i="2"/>
  <c r="CD130" i="2"/>
  <c r="CD81" i="2"/>
  <c r="CD17" i="2"/>
  <c r="CD181" i="2"/>
  <c r="CD7" i="2"/>
  <c r="CD20" i="2"/>
  <c r="CD94" i="2"/>
  <c r="CD76" i="2"/>
  <c r="CD52" i="2"/>
  <c r="CD170" i="2"/>
  <c r="CD184" i="2"/>
  <c r="CD99" i="2"/>
  <c r="CD45" i="2"/>
  <c r="CD103" i="2"/>
  <c r="CD160" i="2"/>
  <c r="CD124" i="2"/>
  <c r="CD57" i="2"/>
  <c r="CD51" i="2"/>
  <c r="CD74" i="2"/>
  <c r="CD93" i="2"/>
  <c r="CD83" i="2"/>
  <c r="CD134" i="2"/>
  <c r="CD141" i="2"/>
  <c r="CD62" i="2"/>
  <c r="CD26" i="2"/>
  <c r="CD175" i="2"/>
  <c r="CD148" i="2"/>
  <c r="CD138" i="2"/>
  <c r="CD194" i="2"/>
  <c r="CD136" i="2"/>
  <c r="CD14" i="2"/>
  <c r="CD199" i="2"/>
  <c r="CD147" i="2"/>
  <c r="CD168" i="2"/>
  <c r="CD142" i="2"/>
  <c r="CD178" i="2"/>
  <c r="CD101" i="2"/>
  <c r="CD146" i="2"/>
  <c r="CD79" i="2"/>
  <c r="CD129" i="2"/>
  <c r="CD56" i="2"/>
  <c r="CD95" i="2"/>
  <c r="CD158" i="2"/>
  <c r="CD44" i="2"/>
  <c r="CD185" i="2"/>
  <c r="CD29" i="2"/>
  <c r="CD162" i="2"/>
  <c r="CD173" i="2"/>
  <c r="CD58" i="2"/>
  <c r="CD33" i="2"/>
  <c r="CD198" i="2"/>
  <c r="CD36" i="2"/>
  <c r="CD61" i="2"/>
  <c r="CD37" i="2"/>
  <c r="CD72" i="2"/>
  <c r="CD165" i="2"/>
  <c r="CD68" i="2"/>
  <c r="CD23" i="2"/>
  <c r="CD109" i="2"/>
  <c r="CD189" i="2"/>
  <c r="CD151" i="2"/>
  <c r="CD118" i="2"/>
  <c r="CD42" i="2"/>
  <c r="CD126" i="2"/>
  <c r="CD30" i="2"/>
  <c r="CD183" i="2"/>
  <c r="CD180" i="2"/>
  <c r="CD186" i="2"/>
  <c r="CD77" i="2"/>
  <c r="CD187" i="2"/>
  <c r="CD122" i="2"/>
  <c r="CD69" i="2"/>
  <c r="CD63" i="2"/>
  <c r="CD21" i="2"/>
  <c r="CD86" i="2"/>
  <c r="CD31" i="2"/>
  <c r="CD104" i="2"/>
  <c r="CD163" i="2"/>
  <c r="CD71" i="2"/>
  <c r="CD121" i="2"/>
  <c r="CD117" i="2"/>
  <c r="CD152" i="2"/>
  <c r="CD156" i="2"/>
  <c r="CD13" i="2"/>
  <c r="CD201" i="2"/>
  <c r="CD112" i="2"/>
  <c r="CD35" i="2"/>
  <c r="CD34" i="2"/>
  <c r="FE125" i="2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47" i="2" l="1"/>
  <c r="BI105" i="2"/>
  <c r="BI61" i="2"/>
  <c r="BI109" i="2"/>
  <c r="BI182" i="2"/>
  <c r="BI168" i="2"/>
  <c r="BI26" i="2"/>
  <c r="BI70" i="2"/>
  <c r="BI86" i="2"/>
  <c r="BI53" i="2"/>
  <c r="BI14" i="2"/>
  <c r="BI80" i="2"/>
  <c r="BI150" i="2"/>
  <c r="BI30" i="2"/>
  <c r="BI96" i="2"/>
  <c r="BI161" i="2"/>
  <c r="BI19" i="2"/>
  <c r="BI152" i="2"/>
  <c r="BI112" i="2"/>
  <c r="BI10" i="2"/>
  <c r="BI160" i="2"/>
  <c r="BI176" i="2"/>
  <c r="BI85" i="2"/>
  <c r="BI56" i="2"/>
  <c r="BI197" i="2"/>
  <c r="BI123" i="2"/>
  <c r="BI192" i="2"/>
  <c r="BI99" i="2"/>
  <c r="BI198" i="2"/>
  <c r="BI141" i="2"/>
  <c r="BI169" i="2"/>
  <c r="BI170" i="2"/>
  <c r="BI142" i="2"/>
  <c r="BI115" i="2"/>
  <c r="BI66" i="2"/>
  <c r="BI38" i="2"/>
  <c r="BI89" i="2"/>
  <c r="BI3" i="2"/>
  <c r="C8" i="4" s="1"/>
  <c r="E8" i="4" s="1"/>
  <c r="F8" i="4" s="1"/>
  <c r="G8" i="4" s="1"/>
  <c r="L8" i="4" s="1"/>
  <c r="BI128" i="2"/>
  <c r="BI97" i="2"/>
  <c r="BI11" i="2"/>
  <c r="BI202" i="2"/>
  <c r="BI162" i="2"/>
  <c r="BI159" i="2"/>
  <c r="BI104" i="2"/>
  <c r="BI187" i="2"/>
  <c r="BI184" i="2"/>
  <c r="BI166" i="2"/>
  <c r="BI171" i="2"/>
  <c r="BI4" i="2"/>
  <c r="BI120" i="2"/>
  <c r="BI57" i="2"/>
  <c r="BI193" i="2"/>
  <c r="BI148" i="2"/>
  <c r="BI55" i="2"/>
  <c r="BI139" i="2"/>
  <c r="BI116" i="2"/>
  <c r="BI201" i="2"/>
  <c r="BI165" i="2"/>
  <c r="BI173" i="2"/>
  <c r="BI196" i="2"/>
  <c r="BI147" i="2"/>
  <c r="BI140" i="2"/>
  <c r="BI62" i="2"/>
  <c r="BI76" i="2"/>
  <c r="BI119" i="2"/>
  <c r="BI118" i="2"/>
  <c r="BI27" i="2"/>
  <c r="BI41" i="2"/>
  <c r="BI50" i="2"/>
  <c r="BI95" i="2"/>
  <c r="BI69" i="2"/>
  <c r="BI190" i="2"/>
  <c r="BI114" i="2"/>
  <c r="BI194" i="2"/>
  <c r="BI127" i="2"/>
  <c r="BI8" i="2"/>
  <c r="BI5" i="2"/>
  <c r="BI131" i="2"/>
  <c r="BI74" i="2"/>
  <c r="BI167" i="2"/>
  <c r="BI88" i="2"/>
  <c r="BI52" i="2"/>
  <c r="BI186" i="2"/>
  <c r="BI156" i="2"/>
  <c r="BI143" i="2"/>
  <c r="BI42" i="2"/>
  <c r="BI133" i="2"/>
  <c r="BI13" i="2"/>
  <c r="BI29" i="2"/>
  <c r="BI121" i="2"/>
  <c r="BI72" i="2"/>
  <c r="BI39" i="2"/>
  <c r="BI78" i="2"/>
  <c r="BI111" i="2"/>
  <c r="BI130" i="2"/>
  <c r="BI63" i="2"/>
  <c r="BI21" i="2"/>
  <c r="BI81" i="2"/>
  <c r="BI73" i="2"/>
  <c r="BI144" i="2"/>
  <c r="BI34" i="2"/>
  <c r="BI67" i="2"/>
  <c r="BI100" i="2"/>
  <c r="BI101" i="2"/>
  <c r="BI51" i="2"/>
  <c r="BI200" i="2"/>
  <c r="BI203" i="2"/>
  <c r="BI17" i="2"/>
  <c r="BI60" i="2"/>
  <c r="BI180" i="2"/>
  <c r="BI153" i="2"/>
  <c r="BI77" i="2"/>
  <c r="BI36" i="2"/>
  <c r="BI106" i="2"/>
  <c r="BI103" i="2"/>
  <c r="BI44" i="2"/>
  <c r="BI102" i="2"/>
  <c r="BI174" i="2"/>
  <c r="BI31" i="2"/>
  <c r="BI75" i="2"/>
  <c r="BI9" i="2"/>
  <c r="BI124" i="2"/>
  <c r="BI25" i="2"/>
  <c r="BI189" i="2"/>
  <c r="BI7" i="2"/>
  <c r="BI22" i="2"/>
  <c r="BI188" i="2"/>
  <c r="BI110" i="2"/>
  <c r="BI16" i="2"/>
  <c r="BI40" i="2"/>
  <c r="BI177" i="2"/>
  <c r="BI90" i="2"/>
  <c r="BI178" i="2"/>
  <c r="BI37" i="2"/>
  <c r="BI125" i="2"/>
  <c r="BI149" i="2"/>
  <c r="BI136" i="2"/>
  <c r="BI68" i="2"/>
  <c r="BI91" i="2"/>
  <c r="BI138" i="2"/>
  <c r="BI122" i="2"/>
  <c r="BI181" i="2"/>
  <c r="BI146" i="2"/>
  <c r="BI126" i="2"/>
  <c r="BI172" i="2"/>
  <c r="BI132" i="2"/>
  <c r="BI92" i="2"/>
  <c r="BI155" i="2"/>
  <c r="BI179" i="2"/>
  <c r="BI12" i="2"/>
  <c r="BI129" i="2"/>
  <c r="BI195" i="2"/>
  <c r="BI82" i="2"/>
  <c r="BI23" i="2"/>
  <c r="BI108" i="2"/>
  <c r="BI134" i="2"/>
  <c r="BI107" i="2"/>
  <c r="BI94" i="2"/>
  <c r="BI20" i="2"/>
  <c r="BI163" i="2"/>
  <c r="BI199" i="2"/>
  <c r="BI191" i="2"/>
  <c r="BI175" i="2"/>
  <c r="BI43" i="2"/>
  <c r="BI46" i="2"/>
  <c r="BI65" i="2"/>
  <c r="BI54" i="2"/>
  <c r="BI59" i="2"/>
  <c r="BI151" i="2"/>
  <c r="BI28" i="2"/>
  <c r="BI15" i="2"/>
  <c r="BI79" i="2"/>
  <c r="BI157" i="2"/>
  <c r="BI6" i="2"/>
  <c r="BI64" i="2"/>
  <c r="BI145" i="2"/>
  <c r="BI49" i="2"/>
  <c r="BI32" i="2"/>
  <c r="BI135" i="2"/>
  <c r="BI45" i="2"/>
  <c r="BI164" i="2"/>
  <c r="BI137" i="2"/>
  <c r="BI35" i="2"/>
  <c r="BI33" i="2"/>
  <c r="BI48" i="2"/>
  <c r="BI83" i="2"/>
  <c r="BI18" i="2"/>
  <c r="BI71" i="2"/>
  <c r="BI154" i="2"/>
  <c r="BI58" i="2"/>
  <c r="BI24" i="2"/>
  <c r="BI93" i="2"/>
  <c r="BI87" i="2"/>
  <c r="BI113" i="2"/>
  <c r="BI117" i="2"/>
  <c r="BI183" i="2"/>
  <c r="BI185" i="2"/>
  <c r="BI98" i="2"/>
  <c r="BI158" i="2"/>
  <c r="BI84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<sst xmlns="http://schemas.openxmlformats.org/spreadsheetml/2006/main" count="1178" uniqueCount="324">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</sst>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9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applyFont="1" applyFill="1" applyBorder="1" applyAlignment="1" applyProtection="1">
      <alignment horizontal="center" vertical="center"/>
      <protection locked="0"/>
    </xf>
    <xf numFmtId="9" fontId="9" fillId="14" borderId="1" xfId="1" applyFont="1" applyFill="1" applyBorder="1" applyAlignment="1" applyProtection="1">
      <alignment horizontal="center" vertical="center"/>
      <protection locked="0"/>
    </xf>
    <xf numFmtId="0" fontId="9" fillId="14" borderId="54" xfId="0" applyFont="1" applyFill="1" applyBorder="1" applyAlignment="1" applyProtection="1">
      <alignment horizontal="center"/>
      <protection locked="0"/>
    </xf>
    <xf numFmtId="9" fontId="9" fillId="14" borderId="54" xfId="1" applyFont="1" applyFill="1" applyBorder="1" applyAlignment="1" applyProtection="1">
      <alignment horizontal="center"/>
      <protection locked="0" hidden="1"/>
    </xf>
    <xf numFmtId="168" fontId="0" fillId="14" borderId="54" xfId="0" applyNumberForma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1.8154835401121989</c:v>
                </c:pt>
                <c:pt idx="2">
                  <c:v>2.2676794886566864</c:v>
                </c:pt>
                <c:pt idx="3">
                  <c:v>2.8329519370540375</c:v>
                </c:pt>
                <c:pt idx="4">
                  <c:v>3.5396819946201337</c:v>
                </c:pt>
                <c:pt idx="5">
                  <c:v>4.423398898575468</c:v>
                </c:pt>
                <c:pt idx="6">
                  <c:v>5.5285861606171816</c:v>
                </c:pt>
                <c:pt idx="7">
                  <c:v>6.9109454363870801</c:v>
                </c:pt>
                <c:pt idx="8">
                  <c:v>8.640234432352095</c:v>
                </c:pt>
                <c:pt idx="9">
                  <c:v>10.803824795358084</c:v>
                </c:pt>
                <c:pt idx="10">
                  <c:v>13.511163126205266</c:v>
                </c:pt>
                <c:pt idx="11">
                  <c:v>16.899364955542922</c:v>
                </c:pt>
                <c:pt idx="12">
                  <c:v>21.140230149801212</c:v>
                </c:pt>
                <c:pt idx="13">
                  <c:v>26.449041831828016</c:v>
                </c:pt>
                <c:pt idx="14">
                  <c:v>33.09560334399378</c:v>
                </c:pt>
                <c:pt idx="15">
                  <c:v>41.418083874217693</c:v>
                </c:pt>
                <c:pt idx="16">
                  <c:v>57.184217043772861</c:v>
                </c:pt>
                <c:pt idx="17">
                  <c:v>72.835541640396144</c:v>
                </c:pt>
                <c:pt idx="18">
                  <c:v>88.400460965136418</c:v>
                </c:pt>
                <c:pt idx="19">
                  <c:v>103.89641721710223</c:v>
                </c:pt>
                <c:pt idx="20">
                  <c:v>119.33517902711669</c:v>
                </c:pt>
                <c:pt idx="21">
                  <c:v>115.05183808512884</c:v>
                </c:pt>
                <c:pt idx="22">
                  <c:v>135.21305233822034</c:v>
                </c:pt>
                <c:pt idx="23">
                  <c:v>155.30175558978996</c:v>
                </c:pt>
                <c:pt idx="24">
                  <c:v>175.32866141582917</c:v>
                </c:pt>
                <c:pt idx="25">
                  <c:v>195.30182759174372</c:v>
                </c:pt>
                <c:pt idx="26">
                  <c:v>215.22752536323196</c:v>
                </c:pt>
                <c:pt idx="27">
                  <c:v>235.11076813955651</c:v>
                </c:pt>
                <c:pt idx="28">
                  <c:v>254.95565122562834</c:v>
                </c:pt>
                <c:pt idx="29">
                  <c:v>274.76557990694795</c:v>
                </c:pt>
                <c:pt idx="30">
                  <c:v>294.54342815595749</c:v>
                </c:pt>
                <c:pt idx="31">
                  <c:v>214.38308691352654</c:v>
                </c:pt>
                <c:pt idx="32">
                  <c:v>235.23115194598691</c:v>
                </c:pt>
                <c:pt idx="33">
                  <c:v>256.03706594115931</c:v>
                </c:pt>
                <c:pt idx="34">
                  <c:v>276.8047351898287</c:v>
                </c:pt>
                <c:pt idx="35">
                  <c:v>297.53743172399726</c:v>
                </c:pt>
                <c:pt idx="36">
                  <c:v>318.2379342675012</c:v>
                </c:pt>
                <c:pt idx="37">
                  <c:v>338.90863053944435</c:v>
                </c:pt>
                <c:pt idx="38">
                  <c:v>359.55159326635481</c:v>
                </c:pt>
                <c:pt idx="39">
                  <c:v>380.16863781191483</c:v>
                </c:pt>
                <c:pt idx="40">
                  <c:v>400.76136664564439</c:v>
                </c:pt>
                <c:pt idx="41">
                  <c:v>319.07488453338192</c:v>
                </c:pt>
                <c:pt idx="42">
                  <c:v>337.59515490696054</c:v>
                </c:pt>
                <c:pt idx="43">
                  <c:v>356.09306684900554</c:v>
                </c:pt>
                <c:pt idx="44">
                  <c:v>374.56994479574246</c:v>
                </c:pt>
                <c:pt idx="45">
                  <c:v>393.02697189108068</c:v>
                </c:pt>
                <c:pt idx="46">
                  <c:v>411.46521112446504</c:v>
                </c:pt>
                <c:pt idx="47">
                  <c:v>429.88562248171951</c:v>
                </c:pt>
                <c:pt idx="48">
                  <c:v>448.28907700291933</c:v>
                </c:pt>
                <c:pt idx="49">
                  <c:v>466.67636841166092</c:v>
                </c:pt>
                <c:pt idx="50">
                  <c:v>485.04822281633716</c:v>
                </c:pt>
                <c:pt idx="51">
                  <c:v>400.99929643662978</c:v>
                </c:pt>
                <c:pt idx="52">
                  <c:v>416.6960037793271</c:v>
                </c:pt>
                <c:pt idx="53">
                  <c:v>432.37996845331372</c:v>
                </c:pt>
                <c:pt idx="54">
                  <c:v>448.05171763684865</c:v>
                </c:pt>
                <c:pt idx="55">
                  <c:v>463.71173863172265</c:v>
                </c:pt>
                <c:pt idx="56">
                  <c:v>479.36048315231164</c:v>
                </c:pt>
                <c:pt idx="57">
                  <c:v>494.99837102550174</c:v>
                </c:pt>
                <c:pt idx="58">
                  <c:v>510.62579339883246</c:v>
                </c:pt>
                <c:pt idx="59">
                  <c:v>526.24311553557425</c:v>
                </c:pt>
                <c:pt idx="60">
                  <c:v>541.85067926084878</c:v>
                </c:pt>
                <c:pt idx="61">
                  <c:v>472.72297142073893</c:v>
                </c:pt>
                <c:pt idx="62">
                  <c:v>485.28518110618751</c:v>
                </c:pt>
                <c:pt idx="63">
                  <c:v>497.84048794120577</c:v>
                </c:pt>
                <c:pt idx="64">
                  <c:v>510.38909052121204</c:v>
                </c:pt>
                <c:pt idx="65">
                  <c:v>522.93117688121526</c:v>
                </c:pt>
                <c:pt idx="66">
                  <c:v>535.46692530251255</c:v>
                </c:pt>
                <c:pt idx="67">
                  <c:v>547.99650503993382</c:v>
                </c:pt>
                <c:pt idx="68">
                  <c:v>560.52007697912893</c:v>
                </c:pt>
                <c:pt idx="69">
                  <c:v>573.03779423207209</c:v>
                </c:pt>
                <c:pt idx="70">
                  <c:v>585.54980267784322</c:v>
                </c:pt>
                <c:pt idx="71">
                  <c:v>531.56495568602577</c:v>
                </c:pt>
                <c:pt idx="72">
                  <c:v>541.37786301655706</c:v>
                </c:pt>
                <c:pt idx="73">
                  <c:v>551.18703551764054</c:v>
                </c:pt>
                <c:pt idx="74">
                  <c:v>560.99254902736823</c:v>
                </c:pt>
                <c:pt idx="75">
                  <c:v>570.79447651651674</c:v>
                </c:pt>
                <c:pt idx="76">
                  <c:v>580.59288824538407</c:v>
                </c:pt>
                <c:pt idx="77">
                  <c:v>590.38785190949113</c:v>
                </c:pt>
                <c:pt idx="78">
                  <c:v>600.17943277511279</c:v>
                </c:pt>
                <c:pt idx="79">
                  <c:v>609.96769380550427</c:v>
                </c:pt>
                <c:pt idx="80">
                  <c:v>619.75269577860956</c:v>
                </c:pt>
                <c:pt idx="81">
                  <c:v>4.959485612423072E-12</c:v>
                </c:pt>
                <c:pt idx="82">
                  <c:v>4.959485612423072E-12</c:v>
                </c:pt>
                <c:pt idx="83">
                  <c:v>4.959485612423072E-12</c:v>
                </c:pt>
                <c:pt idx="84">
                  <c:v>4.959485612423072E-12</c:v>
                </c:pt>
                <c:pt idx="85">
                  <c:v>4.959485612423072E-12</c:v>
                </c:pt>
                <c:pt idx="86">
                  <c:v>4.959485612423072E-12</c:v>
                </c:pt>
                <c:pt idx="87">
                  <c:v>4.959485612423072E-12</c:v>
                </c:pt>
                <c:pt idx="88">
                  <c:v>4.959485612423072E-12</c:v>
                </c:pt>
                <c:pt idx="89">
                  <c:v>4.959485612423072E-12</c:v>
                </c:pt>
                <c:pt idx="90">
                  <c:v>4.959485612423072E-12</c:v>
                </c:pt>
                <c:pt idx="91">
                  <c:v>4.959485612423072E-12</c:v>
                </c:pt>
                <c:pt idx="92">
                  <c:v>4.959485612423072E-12</c:v>
                </c:pt>
                <c:pt idx="93">
                  <c:v>4.959485612423072E-12</c:v>
                </c:pt>
                <c:pt idx="94">
                  <c:v>4.959485612423072E-12</c:v>
                </c:pt>
                <c:pt idx="95">
                  <c:v>4.959485612423072E-12</c:v>
                </c:pt>
                <c:pt idx="96">
                  <c:v>4.959485612423072E-12</c:v>
                </c:pt>
                <c:pt idx="97">
                  <c:v>4.959485612423072E-12</c:v>
                </c:pt>
                <c:pt idx="98">
                  <c:v>4.959485612423072E-12</c:v>
                </c:pt>
                <c:pt idx="99">
                  <c:v>4.959485612423072E-12</c:v>
                </c:pt>
                <c:pt idx="100">
                  <c:v>4.959485612423072E-12</c:v>
                </c:pt>
                <c:pt idx="101">
                  <c:v>4.959485612423072E-12</c:v>
                </c:pt>
                <c:pt idx="102">
                  <c:v>4.959485612423072E-12</c:v>
                </c:pt>
                <c:pt idx="103">
                  <c:v>4.959485612423072E-12</c:v>
                </c:pt>
                <c:pt idx="104">
                  <c:v>4.959485612423072E-12</c:v>
                </c:pt>
                <c:pt idx="105">
                  <c:v>4.959485612423072E-12</c:v>
                </c:pt>
                <c:pt idx="106">
                  <c:v>4.959485612423072E-12</c:v>
                </c:pt>
                <c:pt idx="107">
                  <c:v>4.959485612423072E-12</c:v>
                </c:pt>
                <c:pt idx="108">
                  <c:v>4.959485612423072E-12</c:v>
                </c:pt>
                <c:pt idx="109">
                  <c:v>4.959485612423072E-12</c:v>
                </c:pt>
                <c:pt idx="110">
                  <c:v>4.959485612423072E-12</c:v>
                </c:pt>
                <c:pt idx="111">
                  <c:v>4.959485612423072E-12</c:v>
                </c:pt>
                <c:pt idx="112">
                  <c:v>4.959485612423072E-12</c:v>
                </c:pt>
                <c:pt idx="113">
                  <c:v>4.959485612423072E-12</c:v>
                </c:pt>
                <c:pt idx="114">
                  <c:v>4.959485612423072E-12</c:v>
                </c:pt>
                <c:pt idx="115">
                  <c:v>4.959485612423072E-12</c:v>
                </c:pt>
                <c:pt idx="116">
                  <c:v>4.959485612423072E-12</c:v>
                </c:pt>
                <c:pt idx="117">
                  <c:v>4.959485612423072E-12</c:v>
                </c:pt>
                <c:pt idx="118">
                  <c:v>4.959485612423072E-12</c:v>
                </c:pt>
                <c:pt idx="119">
                  <c:v>4.959485612423072E-12</c:v>
                </c:pt>
                <c:pt idx="120">
                  <c:v>4.959485612423072E-12</c:v>
                </c:pt>
                <c:pt idx="121">
                  <c:v>4.959485612423072E-12</c:v>
                </c:pt>
                <c:pt idx="122">
                  <c:v>4.959485612423072E-12</c:v>
                </c:pt>
                <c:pt idx="123">
                  <c:v>4.959485612423072E-12</c:v>
                </c:pt>
                <c:pt idx="124">
                  <c:v>4.959485612423072E-12</c:v>
                </c:pt>
                <c:pt idx="125">
                  <c:v>4.959485612423072E-12</c:v>
                </c:pt>
                <c:pt idx="126">
                  <c:v>4.959485612423072E-12</c:v>
                </c:pt>
                <c:pt idx="127">
                  <c:v>4.959485612423072E-12</c:v>
                </c:pt>
                <c:pt idx="128">
                  <c:v>4.959485612423072E-12</c:v>
                </c:pt>
                <c:pt idx="129">
                  <c:v>4.959485612423072E-12</c:v>
                </c:pt>
                <c:pt idx="130">
                  <c:v>4.959485612423072E-12</c:v>
                </c:pt>
                <c:pt idx="131">
                  <c:v>4.959485612423072E-12</c:v>
                </c:pt>
                <c:pt idx="132">
                  <c:v>4.959485612423072E-12</c:v>
                </c:pt>
                <c:pt idx="133">
                  <c:v>4.959485612423072E-12</c:v>
                </c:pt>
                <c:pt idx="134">
                  <c:v>4.959485612423072E-12</c:v>
                </c:pt>
                <c:pt idx="135">
                  <c:v>4.959485612423072E-12</c:v>
                </c:pt>
                <c:pt idx="136">
                  <c:v>4.959485612423072E-12</c:v>
                </c:pt>
                <c:pt idx="137">
                  <c:v>4.959485612423072E-12</c:v>
                </c:pt>
                <c:pt idx="138">
                  <c:v>4.959485612423072E-12</c:v>
                </c:pt>
                <c:pt idx="139">
                  <c:v>4.959485612423072E-12</c:v>
                </c:pt>
                <c:pt idx="140">
                  <c:v>4.959485612423072E-12</c:v>
                </c:pt>
                <c:pt idx="141">
                  <c:v>4.959485612423072E-12</c:v>
                </c:pt>
                <c:pt idx="142">
                  <c:v>4.959485612423072E-12</c:v>
                </c:pt>
                <c:pt idx="143">
                  <c:v>4.959485612423072E-12</c:v>
                </c:pt>
                <c:pt idx="144">
                  <c:v>4.959485612423072E-12</c:v>
                </c:pt>
                <c:pt idx="145">
                  <c:v>4.959485612423072E-12</c:v>
                </c:pt>
                <c:pt idx="146">
                  <c:v>4.959485612423072E-12</c:v>
                </c:pt>
                <c:pt idx="147">
                  <c:v>4.959485612423072E-12</c:v>
                </c:pt>
                <c:pt idx="148">
                  <c:v>4.959485612423072E-12</c:v>
                </c:pt>
                <c:pt idx="149">
                  <c:v>4.959485612423072E-12</c:v>
                </c:pt>
                <c:pt idx="150">
                  <c:v>4.959485612423072E-12</c:v>
                </c:pt>
                <c:pt idx="151">
                  <c:v>4.959485612423072E-12</c:v>
                </c:pt>
                <c:pt idx="152">
                  <c:v>4.959485612423072E-12</c:v>
                </c:pt>
                <c:pt idx="153">
                  <c:v>4.959485612423072E-12</c:v>
                </c:pt>
                <c:pt idx="154">
                  <c:v>4.959485612423072E-12</c:v>
                </c:pt>
                <c:pt idx="155">
                  <c:v>4.959485612423072E-12</c:v>
                </c:pt>
                <c:pt idx="156">
                  <c:v>4.959485612423072E-12</c:v>
                </c:pt>
                <c:pt idx="157">
                  <c:v>4.959485612423072E-12</c:v>
                </c:pt>
                <c:pt idx="158">
                  <c:v>4.959485612423072E-12</c:v>
                </c:pt>
                <c:pt idx="159">
                  <c:v>4.959485612423072E-12</c:v>
                </c:pt>
                <c:pt idx="160">
                  <c:v>4.959485612423072E-12</c:v>
                </c:pt>
                <c:pt idx="161">
                  <c:v>4.959485612423072E-12</c:v>
                </c:pt>
                <c:pt idx="162">
                  <c:v>4.959485612423072E-12</c:v>
                </c:pt>
                <c:pt idx="163">
                  <c:v>4.959485612423072E-12</c:v>
                </c:pt>
                <c:pt idx="164">
                  <c:v>4.959485612423072E-12</c:v>
                </c:pt>
                <c:pt idx="165">
                  <c:v>4.959485612423072E-12</c:v>
                </c:pt>
                <c:pt idx="166">
                  <c:v>4.959485612423072E-12</c:v>
                </c:pt>
                <c:pt idx="167">
                  <c:v>4.959485612423072E-12</c:v>
                </c:pt>
                <c:pt idx="168">
                  <c:v>4.959485612423072E-12</c:v>
                </c:pt>
                <c:pt idx="169">
                  <c:v>4.959485612423072E-12</c:v>
                </c:pt>
                <c:pt idx="170">
                  <c:v>4.959485612423072E-12</c:v>
                </c:pt>
                <c:pt idx="171">
                  <c:v>4.959485612423072E-12</c:v>
                </c:pt>
                <c:pt idx="172">
                  <c:v>4.959485612423072E-12</c:v>
                </c:pt>
                <c:pt idx="173">
                  <c:v>4.959485612423072E-12</c:v>
                </c:pt>
                <c:pt idx="174">
                  <c:v>4.959485612423072E-12</c:v>
                </c:pt>
                <c:pt idx="175">
                  <c:v>4.959485612423072E-12</c:v>
                </c:pt>
                <c:pt idx="176">
                  <c:v>4.959485612423072E-12</c:v>
                </c:pt>
                <c:pt idx="177">
                  <c:v>4.959485612423072E-12</c:v>
                </c:pt>
                <c:pt idx="178">
                  <c:v>4.959485612423072E-12</c:v>
                </c:pt>
                <c:pt idx="179">
                  <c:v>4.959485612423072E-12</c:v>
                </c:pt>
                <c:pt idx="180">
                  <c:v>4.959485612423072E-12</c:v>
                </c:pt>
                <c:pt idx="181">
                  <c:v>4.959485612423072E-12</c:v>
                </c:pt>
                <c:pt idx="182">
                  <c:v>4.959485612423072E-12</c:v>
                </c:pt>
                <c:pt idx="183">
                  <c:v>4.959485612423072E-12</c:v>
                </c:pt>
                <c:pt idx="184">
                  <c:v>4.959485612423072E-12</c:v>
                </c:pt>
                <c:pt idx="185">
                  <c:v>4.959485612423072E-12</c:v>
                </c:pt>
                <c:pt idx="186">
                  <c:v>4.959485612423072E-12</c:v>
                </c:pt>
                <c:pt idx="187">
                  <c:v>4.959485612423072E-12</c:v>
                </c:pt>
                <c:pt idx="188">
                  <c:v>4.959485612423072E-12</c:v>
                </c:pt>
                <c:pt idx="189">
                  <c:v>4.959485612423072E-12</c:v>
                </c:pt>
                <c:pt idx="190">
                  <c:v>4.959485612423072E-12</c:v>
                </c:pt>
                <c:pt idx="191">
                  <c:v>4.959485612423072E-12</c:v>
                </c:pt>
                <c:pt idx="192">
                  <c:v>4.959485612423072E-12</c:v>
                </c:pt>
                <c:pt idx="193">
                  <c:v>4.959485612423072E-12</c:v>
                </c:pt>
                <c:pt idx="194">
                  <c:v>4.959485612423072E-12</c:v>
                </c:pt>
                <c:pt idx="195">
                  <c:v>4.959485612423072E-12</c:v>
                </c:pt>
                <c:pt idx="196">
                  <c:v>4.959485612423072E-12</c:v>
                </c:pt>
                <c:pt idx="197">
                  <c:v>4.959485612423072E-12</c:v>
                </c:pt>
                <c:pt idx="198">
                  <c:v>4.959485612423072E-12</c:v>
                </c:pt>
                <c:pt idx="199">
                  <c:v>4.959485612423072E-12</c:v>
                </c:pt>
                <c:pt idx="200">
                  <c:v>4.959485612423072E-12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2.7950560419935062</c:v>
                </c:pt>
                <c:pt idx="2">
                  <c:v>3.4978567405008154</c:v>
                </c:pt>
                <c:pt idx="3">
                  <c:v>4.378056176370535</c:v>
                </c:pt>
                <c:pt idx="4">
                  <c:v>5.4805953715609093</c:v>
                </c:pt>
                <c:pt idx="5">
                  <c:v>6.8618389341299704</c:v>
                </c:pt>
                <c:pt idx="6">
                  <c:v>8.5924879218678232</c:v>
                </c:pt>
                <c:pt idx="7">
                  <c:v>10.761237587714888</c:v>
                </c:pt>
                <c:pt idx="8">
                  <c:v>13.479370991188105</c:v>
                </c:pt>
                <c:pt idx="9">
                  <c:v>16.886528544899786</c:v>
                </c:pt>
                <c:pt idx="10">
                  <c:v>21.157955292804118</c:v>
                </c:pt>
                <c:pt idx="11">
                  <c:v>26.513605349767932</c:v>
                </c:pt>
                <c:pt idx="12">
                  <c:v>33.229580576656623</c:v>
                </c:pt>
                <c:pt idx="13">
                  <c:v>41.65250338948028</c:v>
                </c:pt>
                <c:pt idx="14">
                  <c:v>52.217578110334223</c:v>
                </c:pt>
                <c:pt idx="15">
                  <c:v>65.471289650288256</c:v>
                </c:pt>
                <c:pt idx="16">
                  <c:v>82.099932877988508</c:v>
                </c:pt>
                <c:pt idx="17">
                  <c:v>102.96547374948041</c:v>
                </c:pt>
                <c:pt idx="18">
                  <c:v>129.1506304926302</c:v>
                </c:pt>
                <c:pt idx="19">
                  <c:v>162.01555042423362</c:v>
                </c:pt>
                <c:pt idx="20">
                  <c:v>203.26907123098991</c:v>
                </c:pt>
                <c:pt idx="21">
                  <c:v>162.01318445359652</c:v>
                </c:pt>
                <c:pt idx="22">
                  <c:v>181.34368368345909</c:v>
                </c:pt>
                <c:pt idx="23">
                  <c:v>200.62594388226071</c:v>
                </c:pt>
                <c:pt idx="24">
                  <c:v>219.86525499788613</c:v>
                </c:pt>
                <c:pt idx="25">
                  <c:v>239.06590436046736</c:v>
                </c:pt>
                <c:pt idx="26">
                  <c:v>258.2314337725993</c:v>
                </c:pt>
                <c:pt idx="27">
                  <c:v>277.36481607055674</c:v>
                </c:pt>
                <c:pt idx="28">
                  <c:v>296.46858031425882</c:v>
                </c:pt>
                <c:pt idx="29">
                  <c:v>315.54490296905198</c:v>
                </c:pt>
                <c:pt idx="30">
                  <c:v>334.59567585759874</c:v>
                </c:pt>
                <c:pt idx="31">
                  <c:v>234.7395292137937</c:v>
                </c:pt>
                <c:pt idx="32">
                  <c:v>251.0952400785371</c:v>
                </c:pt>
                <c:pt idx="33">
                  <c:v>267.42680782176666</c:v>
                </c:pt>
                <c:pt idx="34">
                  <c:v>283.73591438004945</c:v>
                </c:pt>
                <c:pt idx="35">
                  <c:v>300.02403249547734</c:v>
                </c:pt>
                <c:pt idx="36">
                  <c:v>316.29246191955457</c:v>
                </c:pt>
                <c:pt idx="37">
                  <c:v>332.54235777302125</c:v>
                </c:pt>
                <c:pt idx="38">
                  <c:v>348.77475306916608</c:v>
                </c:pt>
                <c:pt idx="39">
                  <c:v>364.99057682300844</c:v>
                </c:pt>
                <c:pt idx="40">
                  <c:v>381.19066877305664</c:v>
                </c:pt>
                <c:pt idx="41">
                  <c:v>286.35837196420709</c:v>
                </c:pt>
                <c:pt idx="42">
                  <c:v>299.8369269420906</c:v>
                </c:pt>
                <c:pt idx="43">
                  <c:v>313.30199011471763</c:v>
                </c:pt>
                <c:pt idx="44">
                  <c:v>326.754223109576</c:v>
                </c:pt>
                <c:pt idx="45">
                  <c:v>340.19422861744857</c:v>
                </c:pt>
                <c:pt idx="46">
                  <c:v>353.62255781268237</c:v>
                </c:pt>
                <c:pt idx="47">
                  <c:v>367.03971658708946</c:v>
                </c:pt>
                <c:pt idx="48">
                  <c:v>380.44617082446945</c:v>
                </c:pt>
                <c:pt idx="49">
                  <c:v>393.8423508926914</c:v>
                </c:pt>
                <c:pt idx="50">
                  <c:v>407.2286554926086</c:v>
                </c:pt>
                <c:pt idx="51">
                  <c:v>324.51304901034973</c:v>
                </c:pt>
                <c:pt idx="52">
                  <c:v>334.96897652893705</c:v>
                </c:pt>
                <c:pt idx="53">
                  <c:v>345.41771532693969</c:v>
                </c:pt>
                <c:pt idx="54">
                  <c:v>355.85951361436645</c:v>
                </c:pt>
                <c:pt idx="55">
                  <c:v>366.29460383970803</c:v>
                </c:pt>
                <c:pt idx="56">
                  <c:v>376.72320412097525</c:v>
                </c:pt>
                <c:pt idx="57">
                  <c:v>387.14551950995337</c:v>
                </c:pt>
                <c:pt idx="58">
                  <c:v>397.56174311317267</c:v>
                </c:pt>
                <c:pt idx="59">
                  <c:v>407.97205708923843</c:v>
                </c:pt>
                <c:pt idx="60">
                  <c:v>418.37663353903184</c:v>
                </c:pt>
                <c:pt idx="61">
                  <c:v>351.9446375159219</c:v>
                </c:pt>
                <c:pt idx="62">
                  <c:v>359.95980096859495</c:v>
                </c:pt>
                <c:pt idx="63">
                  <c:v>367.97106108239876</c:v>
                </c:pt>
                <c:pt idx="64">
                  <c:v>375.97851488635962</c:v>
                </c:pt>
                <c:pt idx="65">
                  <c:v>383.98225493635528</c:v>
                </c:pt>
                <c:pt idx="66">
                  <c:v>391.98236961231675</c:v>
                </c:pt>
                <c:pt idx="67">
                  <c:v>399.97894338989158</c:v>
                </c:pt>
                <c:pt idx="68">
                  <c:v>407.97205708923872</c:v>
                </c:pt>
                <c:pt idx="69">
                  <c:v>415.96178810329894</c:v>
                </c:pt>
                <c:pt idx="70">
                  <c:v>423.94821060760842</c:v>
                </c:pt>
                <c:pt idx="71">
                  <c:v>370.57855237838561</c:v>
                </c:pt>
                <c:pt idx="72">
                  <c:v>376.72320412097542</c:v>
                </c:pt>
                <c:pt idx="73">
                  <c:v>382.86567361197154</c:v>
                </c:pt>
                <c:pt idx="74">
                  <c:v>389.00600083506538</c:v>
                </c:pt>
                <c:pt idx="75">
                  <c:v>395.14422440751946</c:v>
                </c:pt>
                <c:pt idx="76">
                  <c:v>401.28038164783965</c:v>
                </c:pt>
                <c:pt idx="77">
                  <c:v>407.41450863908841</c:v>
                </c:pt>
                <c:pt idx="78">
                  <c:v>413.54664028818576</c:v>
                </c:pt>
                <c:pt idx="79">
                  <c:v>419.67681038150459</c:v>
                </c:pt>
                <c:pt idx="80">
                  <c:v>425.80505163704908</c:v>
                </c:pt>
                <c:pt idx="81">
                  <c:v>385.84306708196317</c:v>
                </c:pt>
                <c:pt idx="82">
                  <c:v>390.49424676672476</c:v>
                </c:pt>
                <c:pt idx="83">
                  <c:v>395.14422440751952</c:v>
                </c:pt>
                <c:pt idx="84">
                  <c:v>399.79301616201752</c:v>
                </c:pt>
                <c:pt idx="85">
                  <c:v>404.44063778104493</c:v>
                </c:pt>
                <c:pt idx="86">
                  <c:v>409.08710462349313</c:v>
                </c:pt>
                <c:pt idx="87">
                  <c:v>413.73243167051163</c:v>
                </c:pt>
                <c:pt idx="88">
                  <c:v>418.37663353903218</c:v>
                </c:pt>
                <c:pt idx="89">
                  <c:v>423.01972449465916</c:v>
                </c:pt>
                <c:pt idx="90">
                  <c:v>427.66171846396463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120.3398635014748</c:v>
                </c:pt>
                <c:pt idx="32">
                  <c:v>130.62330272297186</c:v>
                </c:pt>
                <c:pt idx="33">
                  <c:v>140.88717779906787</c:v>
                </c:pt>
                <c:pt idx="34">
                  <c:v>151.13311662743948</c:v>
                </c:pt>
                <c:pt idx="35">
                  <c:v>161.362507950626</c:v>
                </c:pt>
                <c:pt idx="36">
                  <c:v>171.57654976527132</c:v>
                </c:pt>
                <c:pt idx="37">
                  <c:v>181.77628557051801</c:v>
                </c:pt>
                <c:pt idx="38">
                  <c:v>191.96263203606017</c:v>
                </c:pt>
                <c:pt idx="39">
                  <c:v>202.13640047813922</c:v>
                </c:pt>
                <c:pt idx="40">
                  <c:v>212.29831377776441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225.18006429243292</c:v>
                </c:pt>
                <c:pt idx="47">
                  <c:v>236.09675414607656</c:v>
                </c:pt>
                <c:pt idx="48">
                  <c:v>247.00193510423426</c:v>
                </c:pt>
                <c:pt idx="49">
                  <c:v>257.89618723734606</c:v>
                </c:pt>
                <c:pt idx="50">
                  <c:v>268.78003756948306</c:v>
                </c:pt>
                <c:pt idx="51">
                  <c:v>224.98501498915437</c:v>
                </c:pt>
                <c:pt idx="52">
                  <c:v>235.707074164814</c:v>
                </c:pt>
                <c:pt idx="53">
                  <c:v>246.4180109567441</c:v>
                </c:pt>
                <c:pt idx="54">
                  <c:v>257.11837729187414</c:v>
                </c:pt>
                <c:pt idx="55">
                  <c:v>267.8086753716081</c:v>
                </c:pt>
                <c:pt idx="56">
                  <c:v>278.48936400091259</c:v>
                </c:pt>
                <c:pt idx="57">
                  <c:v>289.16086389484894</c:v>
                </c:pt>
                <c:pt idx="58">
                  <c:v>299.82356216018104</c:v>
                </c:pt>
                <c:pt idx="59">
                  <c:v>310.47781610568063</c:v>
                </c:pt>
                <c:pt idx="60">
                  <c:v>321.12395650175063</c:v>
                </c:pt>
                <c:pt idx="61">
                  <c:v>276.93638995381065</c:v>
                </c:pt>
                <c:pt idx="62">
                  <c:v>287.02727998230642</c:v>
                </c:pt>
                <c:pt idx="63">
                  <c:v>297.11023564036304</c:v>
                </c:pt>
                <c:pt idx="64">
                  <c:v>307.18556432776842</c:v>
                </c:pt>
                <c:pt idx="65">
                  <c:v>317.2535516203576</c:v>
                </c:pt>
                <c:pt idx="66">
                  <c:v>327.31446347781883</c:v>
                </c:pt>
                <c:pt idx="67">
                  <c:v>337.36854816571076</c:v>
                </c:pt>
                <c:pt idx="68">
                  <c:v>347.41603793627502</c:v>
                </c:pt>
                <c:pt idx="69">
                  <c:v>357.45715050456153</c:v>
                </c:pt>
                <c:pt idx="70">
                  <c:v>367.49209034995994</c:v>
                </c:pt>
                <c:pt idx="71">
                  <c:v>322.6718286822026</c:v>
                </c:pt>
                <c:pt idx="72">
                  <c:v>331.95564418847277</c:v>
                </c:pt>
                <c:pt idx="73">
                  <c:v>341.23373557401305</c:v>
                </c:pt>
                <c:pt idx="74">
                  <c:v>350.50628052053179</c:v>
                </c:pt>
                <c:pt idx="75">
                  <c:v>359.77344653568457</c:v>
                </c:pt>
                <c:pt idx="76">
                  <c:v>369.03539178839679</c:v>
                </c:pt>
                <c:pt idx="77">
                  <c:v>378.29226585591238</c:v>
                </c:pt>
                <c:pt idx="78">
                  <c:v>387.54421039387483</c:v>
                </c:pt>
                <c:pt idx="79">
                  <c:v>396.79135973905687</c:v>
                </c:pt>
                <c:pt idx="80">
                  <c:v>406.0338414529536</c:v>
                </c:pt>
                <c:pt idx="81">
                  <c:v>360.35246947227597</c:v>
                </c:pt>
                <c:pt idx="82">
                  <c:v>368.6495796596501</c:v>
                </c:pt>
                <c:pt idx="83">
                  <c:v>376.94261536659877</c:v>
                </c:pt>
                <c:pt idx="84">
                  <c:v>385.23167893646314</c:v>
                </c:pt>
                <c:pt idx="85">
                  <c:v>393.51686794613602</c:v>
                </c:pt>
                <c:pt idx="86">
                  <c:v>401.79827552592502</c:v>
                </c:pt>
                <c:pt idx="87">
                  <c:v>410.07599065165772</c:v>
                </c:pt>
                <c:pt idx="88">
                  <c:v>418.35009841196302</c:v>
                </c:pt>
                <c:pt idx="89">
                  <c:v>426.62068025329609</c:v>
                </c:pt>
                <c:pt idx="90">
                  <c:v>434.88781420496662</c:v>
                </c:pt>
                <c:pt idx="91">
                  <c:v>388.12229635555462</c:v>
                </c:pt>
                <c:pt idx="92">
                  <c:v>395.25049568724336</c:v>
                </c:pt>
                <c:pt idx="93">
                  <c:v>402.37590934902954</c:v>
                </c:pt>
                <c:pt idx="94">
                  <c:v>409.49859366550299</c:v>
                </c:pt>
                <c:pt idx="95">
                  <c:v>416.61860284059543</c:v>
                </c:pt>
                <c:pt idx="96">
                  <c:v>423.73598907310139</c:v>
                </c:pt>
                <c:pt idx="97">
                  <c:v>430.85080266402957</c:v>
                </c:pt>
                <c:pt idx="98">
                  <c:v>437.96309211649077</c:v>
                </c:pt>
                <c:pt idx="99">
                  <c:v>445.07290422875553</c:v>
                </c:pt>
                <c:pt idx="100">
                  <c:v>452.18028418105382</c:v>
                </c:pt>
                <c:pt idx="101">
                  <c:v>404.30122601025568</c:v>
                </c:pt>
                <c:pt idx="102">
                  <c:v>410.26845241067684</c:v>
                </c:pt>
                <c:pt idx="103">
                  <c:v>416.23380499861554</c:v>
                </c:pt>
                <c:pt idx="104">
                  <c:v>422.19731444089211</c:v>
                </c:pt>
                <c:pt idx="105">
                  <c:v>428.15901046658496</c:v>
                </c:pt>
                <c:pt idx="106">
                  <c:v>434.1189219086545</c:v>
                </c:pt>
                <c:pt idx="107">
                  <c:v>440.0770767431606</c:v>
                </c:pt>
                <c:pt idx="108">
                  <c:v>446.03350212624281</c:v>
                </c:pt>
                <c:pt idx="109">
                  <c:v>451.98822442902389</c:v>
                </c:pt>
                <c:pt idx="110">
                  <c:v>457.94126927057465</c:v>
                </c:pt>
                <c:pt idx="111">
                  <c:v>411.42318205611986</c:v>
                </c:pt>
                <c:pt idx="112">
                  <c:v>416.81099888731961</c:v>
                </c:pt>
                <c:pt idx="113">
                  <c:v>422.19731444089211</c:v>
                </c:pt>
                <c:pt idx="114">
                  <c:v>427.58215058986383</c:v>
                </c:pt>
                <c:pt idx="115">
                  <c:v>432.96552861089225</c:v>
                </c:pt>
                <c:pt idx="116">
                  <c:v>438.34746920790485</c:v>
                </c:pt>
                <c:pt idx="117">
                  <c:v>443.72799253451632</c:v>
                </c:pt>
                <c:pt idx="118">
                  <c:v>449.10711821530072</c:v>
                </c:pt>
                <c:pt idx="119">
                  <c:v>454.4848653659904</c:v>
                </c:pt>
                <c:pt idx="120">
                  <c:v>459.86125261266926</c:v>
                </c:pt>
                <c:pt idx="121">
                  <c:v>8.3287223069965432E-13</c:v>
                </c:pt>
                <c:pt idx="122">
                  <c:v>8.3287223069965432E-13</c:v>
                </c:pt>
                <c:pt idx="123">
                  <c:v>8.3287223069965432E-13</c:v>
                </c:pt>
                <c:pt idx="124">
                  <c:v>8.3287223069965432E-13</c:v>
                </c:pt>
                <c:pt idx="125">
                  <c:v>8.3287223069965432E-13</c:v>
                </c:pt>
                <c:pt idx="126">
                  <c:v>8.3287223069965432E-13</c:v>
                </c:pt>
                <c:pt idx="127">
                  <c:v>8.3287223069965432E-13</c:v>
                </c:pt>
                <c:pt idx="128">
                  <c:v>8.3287223069965432E-13</c:v>
                </c:pt>
                <c:pt idx="129">
                  <c:v>8.3287223069965432E-13</c:v>
                </c:pt>
                <c:pt idx="130">
                  <c:v>8.3287223069965432E-13</c:v>
                </c:pt>
                <c:pt idx="131">
                  <c:v>8.3287223069965432E-13</c:v>
                </c:pt>
                <c:pt idx="132">
                  <c:v>8.3287223069965432E-13</c:v>
                </c:pt>
                <c:pt idx="133">
                  <c:v>8.3287223069965432E-13</c:v>
                </c:pt>
                <c:pt idx="134">
                  <c:v>8.3287223069965432E-13</c:v>
                </c:pt>
                <c:pt idx="135">
                  <c:v>8.3287223069965432E-13</c:v>
                </c:pt>
                <c:pt idx="136">
                  <c:v>8.3287223069965432E-13</c:v>
                </c:pt>
                <c:pt idx="137">
                  <c:v>8.3287223069965432E-13</c:v>
                </c:pt>
                <c:pt idx="138">
                  <c:v>8.3287223069965432E-13</c:v>
                </c:pt>
                <c:pt idx="139">
                  <c:v>8.3287223069965432E-13</c:v>
                </c:pt>
                <c:pt idx="140">
                  <c:v>8.3287223069965432E-13</c:v>
                </c:pt>
                <c:pt idx="141">
                  <c:v>8.3287223069965432E-13</c:v>
                </c:pt>
                <c:pt idx="142">
                  <c:v>8.3287223069965432E-13</c:v>
                </c:pt>
                <c:pt idx="143">
                  <c:v>8.3287223069965432E-13</c:v>
                </c:pt>
                <c:pt idx="144">
                  <c:v>8.3287223069965432E-13</c:v>
                </c:pt>
                <c:pt idx="145">
                  <c:v>8.3287223069965432E-13</c:v>
                </c:pt>
                <c:pt idx="146">
                  <c:v>8.3287223069965432E-13</c:v>
                </c:pt>
                <c:pt idx="147">
                  <c:v>8.3287223069965432E-13</c:v>
                </c:pt>
                <c:pt idx="148">
                  <c:v>8.3287223069965432E-13</c:v>
                </c:pt>
                <c:pt idx="149">
                  <c:v>8.3287223069965432E-13</c:v>
                </c:pt>
                <c:pt idx="150">
                  <c:v>8.3287223069965432E-13</c:v>
                </c:pt>
                <c:pt idx="151">
                  <c:v>8.3287223069965432E-13</c:v>
                </c:pt>
                <c:pt idx="152">
                  <c:v>8.3287223069965432E-13</c:v>
                </c:pt>
                <c:pt idx="153">
                  <c:v>8.3287223069965432E-13</c:v>
                </c:pt>
                <c:pt idx="154">
                  <c:v>8.3287223069965432E-13</c:v>
                </c:pt>
                <c:pt idx="155">
                  <c:v>8.3287223069965432E-13</c:v>
                </c:pt>
                <c:pt idx="156">
                  <c:v>8.3287223069965432E-13</c:v>
                </c:pt>
                <c:pt idx="157">
                  <c:v>8.3287223069965432E-13</c:v>
                </c:pt>
                <c:pt idx="158">
                  <c:v>8.3287223069965432E-13</c:v>
                </c:pt>
                <c:pt idx="159">
                  <c:v>8.3287223069965432E-13</c:v>
                </c:pt>
                <c:pt idx="160">
                  <c:v>8.3287223069965432E-13</c:v>
                </c:pt>
                <c:pt idx="161">
                  <c:v>8.3287223069965432E-13</c:v>
                </c:pt>
                <c:pt idx="162">
                  <c:v>8.3287223069965432E-13</c:v>
                </c:pt>
                <c:pt idx="163">
                  <c:v>8.3287223069965432E-13</c:v>
                </c:pt>
                <c:pt idx="164">
                  <c:v>8.3287223069965432E-13</c:v>
                </c:pt>
                <c:pt idx="165">
                  <c:v>8.3287223069965432E-13</c:v>
                </c:pt>
                <c:pt idx="166">
                  <c:v>8.3287223069965432E-13</c:v>
                </c:pt>
                <c:pt idx="167">
                  <c:v>8.3287223069965432E-13</c:v>
                </c:pt>
                <c:pt idx="168">
                  <c:v>8.3287223069965432E-13</c:v>
                </c:pt>
                <c:pt idx="169">
                  <c:v>8.3287223069965432E-13</c:v>
                </c:pt>
                <c:pt idx="170">
                  <c:v>8.3287223069965432E-13</c:v>
                </c:pt>
                <c:pt idx="171">
                  <c:v>8.3287223069965432E-13</c:v>
                </c:pt>
                <c:pt idx="172">
                  <c:v>8.3287223069965432E-13</c:v>
                </c:pt>
                <c:pt idx="173">
                  <c:v>8.3287223069965432E-13</c:v>
                </c:pt>
                <c:pt idx="174">
                  <c:v>8.3287223069965432E-13</c:v>
                </c:pt>
                <c:pt idx="175">
                  <c:v>8.3287223069965432E-13</c:v>
                </c:pt>
                <c:pt idx="176">
                  <c:v>8.3287223069965432E-13</c:v>
                </c:pt>
                <c:pt idx="177">
                  <c:v>8.3287223069965432E-13</c:v>
                </c:pt>
                <c:pt idx="178">
                  <c:v>8.3287223069965432E-13</c:v>
                </c:pt>
                <c:pt idx="179">
                  <c:v>8.3287223069965432E-13</c:v>
                </c:pt>
                <c:pt idx="180">
                  <c:v>8.3287223069965432E-13</c:v>
                </c:pt>
                <c:pt idx="181">
                  <c:v>8.3287223069965432E-13</c:v>
                </c:pt>
                <c:pt idx="182">
                  <c:v>8.3287223069965432E-13</c:v>
                </c:pt>
                <c:pt idx="183">
                  <c:v>8.3287223069965432E-13</c:v>
                </c:pt>
                <c:pt idx="184">
                  <c:v>8.3287223069965432E-13</c:v>
                </c:pt>
                <c:pt idx="185">
                  <c:v>8.3287223069965432E-13</c:v>
                </c:pt>
                <c:pt idx="186">
                  <c:v>8.3287223069965432E-13</c:v>
                </c:pt>
                <c:pt idx="187">
                  <c:v>8.3287223069965432E-13</c:v>
                </c:pt>
                <c:pt idx="188">
                  <c:v>8.3287223069965432E-13</c:v>
                </c:pt>
                <c:pt idx="189">
                  <c:v>8.3287223069965432E-13</c:v>
                </c:pt>
                <c:pt idx="190">
                  <c:v>8.3287223069965432E-13</c:v>
                </c:pt>
                <c:pt idx="191">
                  <c:v>8.3287223069965432E-13</c:v>
                </c:pt>
                <c:pt idx="192">
                  <c:v>8.3287223069965432E-13</c:v>
                </c:pt>
                <c:pt idx="193">
                  <c:v>8.3287223069965432E-13</c:v>
                </c:pt>
                <c:pt idx="194">
                  <c:v>8.3287223069965432E-13</c:v>
                </c:pt>
                <c:pt idx="195">
                  <c:v>8.3287223069965432E-13</c:v>
                </c:pt>
                <c:pt idx="196">
                  <c:v>8.3287223069965432E-13</c:v>
                </c:pt>
                <c:pt idx="197">
                  <c:v>8.3287223069965432E-13</c:v>
                </c:pt>
                <c:pt idx="198">
                  <c:v>8.3287223069965432E-13</c:v>
                </c:pt>
                <c:pt idx="199">
                  <c:v>8.3287223069965432E-13</c:v>
                </c:pt>
                <c:pt idx="200">
                  <c:v>8.3287223069965432E-13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2.9397746868298928</c:v>
                </c:pt>
                <c:pt idx="2">
                  <c:v>3.3517128427294267</c:v>
                </c:pt>
                <c:pt idx="3">
                  <c:v>3.8215785182927724</c:v>
                </c:pt>
                <c:pt idx="4">
                  <c:v>4.3575447416298188</c:v>
                </c:pt>
                <c:pt idx="5">
                  <c:v>4.9689412725572728</c:v>
                </c:pt>
                <c:pt idx="6">
                  <c:v>5.6664187895100824</c:v>
                </c:pt>
                <c:pt idx="7">
                  <c:v>6.4621364435798609</c:v>
                </c:pt>
                <c:pt idx="8">
                  <c:v>7.3699761134774882</c:v>
                </c:pt>
                <c:pt idx="9">
                  <c:v>8.4057871719211263</c:v>
                </c:pt>
                <c:pt idx="10">
                  <c:v>9.5876661189594543</c:v>
                </c:pt>
                <c:pt idx="11">
                  <c:v>10.936276060857622</c:v>
                </c:pt>
                <c:pt idx="12">
                  <c:v>12.4752117256155</c:v>
                </c:pt>
                <c:pt idx="13">
                  <c:v>14.231416520782107</c:v>
                </c:pt>
                <c:pt idx="14">
                  <c:v>16.235659070649749</c:v>
                </c:pt>
                <c:pt idx="15">
                  <c:v>18.523077734940472</c:v>
                </c:pt>
                <c:pt idx="16">
                  <c:v>21.133802828935874</c:v>
                </c:pt>
                <c:pt idx="17">
                  <c:v>24.113667657611057</c:v>
                </c:pt>
                <c:pt idx="18">
                  <c:v>27.515021068839172</c:v>
                </c:pt>
                <c:pt idx="19">
                  <c:v>31.397656051876599</c:v>
                </c:pt>
                <c:pt idx="20">
                  <c:v>35.829870989999293</c:v>
                </c:pt>
                <c:pt idx="21">
                  <c:v>40.889682557955688</c:v>
                </c:pt>
                <c:pt idx="22">
                  <c:v>46.666211978863579</c:v>
                </c:pt>
                <c:pt idx="23">
                  <c:v>53.261269470543994</c:v>
                </c:pt>
                <c:pt idx="24">
                  <c:v>60.7911652743812</c:v>
                </c:pt>
                <c:pt idx="25">
                  <c:v>69.388779735073783</c:v>
                </c:pt>
                <c:pt idx="26">
                  <c:v>80.165002252238452</c:v>
                </c:pt>
                <c:pt idx="27">
                  <c:v>90.90448288189036</c:v>
                </c:pt>
                <c:pt idx="28">
                  <c:v>101.6121846030364</c:v>
                </c:pt>
                <c:pt idx="29">
                  <c:v>112.29193461821403</c:v>
                </c:pt>
                <c:pt idx="30">
                  <c:v>122.94677025652987</c:v>
                </c:pt>
                <c:pt idx="31">
                  <c:v>134.46424353098067</c:v>
                </c:pt>
                <c:pt idx="32">
                  <c:v>145.95794243077449</c:v>
                </c:pt>
                <c:pt idx="33">
                  <c:v>157.43000487343213</c:v>
                </c:pt>
                <c:pt idx="34">
                  <c:v>168.8822311899971</c:v>
                </c:pt>
                <c:pt idx="35">
                  <c:v>180.31615722411632</c:v>
                </c:pt>
                <c:pt idx="36">
                  <c:v>191.73310786898116</c:v>
                </c:pt>
                <c:pt idx="37">
                  <c:v>203.13423715529464</c:v>
                </c:pt>
                <c:pt idx="38">
                  <c:v>214.52055885003372</c:v>
                </c:pt>
                <c:pt idx="39">
                  <c:v>225.89297020726829</c:v>
                </c:pt>
                <c:pt idx="40">
                  <c:v>237.25227067842596</c:v>
                </c:pt>
                <c:pt idx="41">
                  <c:v>190.41659540288185</c:v>
                </c:pt>
                <c:pt idx="42">
                  <c:v>202.69601208813609</c:v>
                </c:pt>
                <c:pt idx="43">
                  <c:v>214.95821110174333</c:v>
                </c:pt>
                <c:pt idx="44">
                  <c:v>227.20431355624603</c:v>
                </c:pt>
                <c:pt idx="45">
                  <c:v>239.43530973942802</c:v>
                </c:pt>
                <c:pt idx="46">
                  <c:v>251.65208042823193</c:v>
                </c:pt>
                <c:pt idx="47">
                  <c:v>263.85541384215662</c:v>
                </c:pt>
                <c:pt idx="48">
                  <c:v>276.046019292822</c:v>
                </c:pt>
                <c:pt idx="49">
                  <c:v>288.22453829402542</c:v>
                </c:pt>
                <c:pt idx="50">
                  <c:v>300.39155369431415</c:v>
                </c:pt>
                <c:pt idx="51">
                  <c:v>251.43404386355337</c:v>
                </c:pt>
                <c:pt idx="52">
                  <c:v>263.4198036805426</c:v>
                </c:pt>
                <c:pt idx="53">
                  <c:v>275.39326298688428</c:v>
                </c:pt>
                <c:pt idx="54">
                  <c:v>287.35503217179325</c:v>
                </c:pt>
                <c:pt idx="55">
                  <c:v>299.30566663183453</c:v>
                </c:pt>
                <c:pt idx="56">
                  <c:v>311.24567377041313</c:v>
                </c:pt>
                <c:pt idx="57">
                  <c:v>323.17551886639535</c:v>
                </c:pt>
                <c:pt idx="58">
                  <c:v>335.09563003042587</c:v>
                </c:pt>
                <c:pt idx="59">
                  <c:v>347.00640241883656</c:v>
                </c:pt>
                <c:pt idx="60">
                  <c:v>358.90820183854038</c:v>
                </c:pt>
                <c:pt idx="61">
                  <c:v>309.50958762804527</c:v>
                </c:pt>
                <c:pt idx="62">
                  <c:v>320.7903417620152</c:v>
                </c:pt>
                <c:pt idx="63">
                  <c:v>332.06232108561704</c:v>
                </c:pt>
                <c:pt idx="64">
                  <c:v>343.32586555964104</c:v>
                </c:pt>
                <c:pt idx="65">
                  <c:v>354.58129100924549</c:v>
                </c:pt>
                <c:pt idx="66">
                  <c:v>365.82889156562169</c:v>
                </c:pt>
                <c:pt idx="67">
                  <c:v>377.068941791599</c:v>
                </c:pt>
                <c:pt idx="68">
                  <c:v>388.30169854049632</c:v>
                </c:pt>
                <c:pt idx="69">
                  <c:v>399.52740258860325</c:v>
                </c:pt>
                <c:pt idx="70">
                  <c:v>410.74628007457613</c:v>
                </c:pt>
                <c:pt idx="71">
                  <c:v>360.63864570434453</c:v>
                </c:pt>
                <c:pt idx="72">
                  <c:v>371.01752931950068</c:v>
                </c:pt>
                <c:pt idx="73">
                  <c:v>381.3900824923976</c:v>
                </c:pt>
                <c:pt idx="74">
                  <c:v>391.75650172549337</c:v>
                </c:pt>
                <c:pt idx="75">
                  <c:v>402.11697226951804</c:v>
                </c:pt>
                <c:pt idx="76">
                  <c:v>412.47166904727538</c:v>
                </c:pt>
                <c:pt idx="77">
                  <c:v>422.82075747982321</c:v>
                </c:pt>
                <c:pt idx="78">
                  <c:v>433.16439422753177</c:v>
                </c:pt>
                <c:pt idx="79">
                  <c:v>443.50272785665669</c:v>
                </c:pt>
                <c:pt idx="80">
                  <c:v>453.83589944051101</c:v>
                </c:pt>
                <c:pt idx="81">
                  <c:v>402.76430820889465</c:v>
                </c:pt>
                <c:pt idx="82">
                  <c:v>412.04033643642839</c:v>
                </c:pt>
                <c:pt idx="83">
                  <c:v>421.31185859843907</c:v>
                </c:pt>
                <c:pt idx="84">
                  <c:v>430.57898787887979</c:v>
                </c:pt>
                <c:pt idx="85">
                  <c:v>439.8418321903743</c:v>
                </c:pt>
                <c:pt idx="86">
                  <c:v>449.10049452796096</c:v>
                </c:pt>
                <c:pt idx="87">
                  <c:v>458.35507329213937</c:v>
                </c:pt>
                <c:pt idx="88">
                  <c:v>467.60566258446261</c:v>
                </c:pt>
                <c:pt idx="89">
                  <c:v>476.85235247851705</c:v>
                </c:pt>
                <c:pt idx="90">
                  <c:v>486.09522926878589</c:v>
                </c:pt>
                <c:pt idx="91">
                  <c:v>433.81069394390488</c:v>
                </c:pt>
                <c:pt idx="92">
                  <c:v>441.78003444822139</c:v>
                </c:pt>
                <c:pt idx="93">
                  <c:v>449.74629421345077</c:v>
                </c:pt>
                <c:pt idx="94">
                  <c:v>457.70953553030648</c:v>
                </c:pt>
                <c:pt idx="95">
                  <c:v>465.66981834421534</c:v>
                </c:pt>
                <c:pt idx="96">
                  <c:v>473.62720038307492</c:v>
                </c:pt>
                <c:pt idx="97">
                  <c:v>481.58173727597551</c:v>
                </c:pt>
                <c:pt idx="98">
                  <c:v>489.53348266366964</c:v>
                </c:pt>
                <c:pt idx="99">
                  <c:v>497.482488301486</c:v>
                </c:pt>
                <c:pt idx="100">
                  <c:v>505.42880415532341</c:v>
                </c:pt>
                <c:pt idx="101">
                  <c:v>451.89881670772849</c:v>
                </c:pt>
                <c:pt idx="102">
                  <c:v>458.57024822962643</c:v>
                </c:pt>
                <c:pt idx="103">
                  <c:v>465.23960745740527</c:v>
                </c:pt>
                <c:pt idx="104">
                  <c:v>471.90692830623624</c:v>
                </c:pt>
                <c:pt idx="105">
                  <c:v>478.57224365421962</c:v>
                </c:pt>
                <c:pt idx="106">
                  <c:v>485.23558538841735</c:v>
                </c:pt>
                <c:pt idx="107">
                  <c:v>491.89698444822398</c:v>
                </c:pt>
                <c:pt idx="108">
                  <c:v>498.55647086626522</c:v>
                </c:pt>
                <c:pt idx="109">
                  <c:v>505.21407380699725</c:v>
                </c:pt>
                <c:pt idx="110">
                  <c:v>511.86982160316455</c:v>
                </c:pt>
                <c:pt idx="111">
                  <c:v>459.86125261266926</c:v>
                </c:pt>
                <c:pt idx="112">
                  <c:v>465.88492060890104</c:v>
                </c:pt>
                <c:pt idx="113">
                  <c:v>471.90692830623624</c:v>
                </c:pt>
                <c:pt idx="114">
                  <c:v>477.92729989457825</c:v>
                </c:pt>
                <c:pt idx="115">
                  <c:v>483.94605890429244</c:v>
                </c:pt>
                <c:pt idx="116">
                  <c:v>489.96322823234829</c:v>
                </c:pt>
                <c:pt idx="117">
                  <c:v>495.97883016711148</c:v>
                </c:pt>
                <c:pt idx="118">
                  <c:v>501.99288641186803</c:v>
                </c:pt>
                <c:pt idx="119">
                  <c:v>508.00541810716476</c:v>
                </c:pt>
                <c:pt idx="120">
                  <c:v>514.01644585203383</c:v>
                </c:pt>
                <c:pt idx="121">
                  <c:v>9.2175469008365428E-13</c:v>
                </c:pt>
                <c:pt idx="122">
                  <c:v>9.2175469008365428E-13</c:v>
                </c:pt>
                <c:pt idx="123">
                  <c:v>9.2175469008365428E-13</c:v>
                </c:pt>
                <c:pt idx="124">
                  <c:v>9.2175469008365428E-13</c:v>
                </c:pt>
                <c:pt idx="125">
                  <c:v>9.2175469008365428E-13</c:v>
                </c:pt>
                <c:pt idx="126">
                  <c:v>9.2175469008365428E-13</c:v>
                </c:pt>
                <c:pt idx="127">
                  <c:v>9.2175469008365428E-13</c:v>
                </c:pt>
                <c:pt idx="128">
                  <c:v>9.2175469008365428E-13</c:v>
                </c:pt>
                <c:pt idx="129">
                  <c:v>9.2175469008365428E-13</c:v>
                </c:pt>
                <c:pt idx="130">
                  <c:v>9.2175469008365428E-13</c:v>
                </c:pt>
                <c:pt idx="131">
                  <c:v>9.2175469008365428E-13</c:v>
                </c:pt>
                <c:pt idx="132">
                  <c:v>9.2175469008365428E-13</c:v>
                </c:pt>
                <c:pt idx="133">
                  <c:v>9.2175469008365428E-13</c:v>
                </c:pt>
                <c:pt idx="134">
                  <c:v>9.2175469008365428E-13</c:v>
                </c:pt>
                <c:pt idx="135">
                  <c:v>9.2175469008365428E-13</c:v>
                </c:pt>
                <c:pt idx="136">
                  <c:v>9.2175469008365428E-13</c:v>
                </c:pt>
                <c:pt idx="137">
                  <c:v>9.2175469008365428E-13</c:v>
                </c:pt>
                <c:pt idx="138">
                  <c:v>9.2175469008365428E-13</c:v>
                </c:pt>
                <c:pt idx="139">
                  <c:v>9.2175469008365428E-13</c:v>
                </c:pt>
                <c:pt idx="140">
                  <c:v>9.2175469008365428E-13</c:v>
                </c:pt>
                <c:pt idx="141">
                  <c:v>9.2175469008365428E-13</c:v>
                </c:pt>
                <c:pt idx="142">
                  <c:v>9.2175469008365428E-13</c:v>
                </c:pt>
                <c:pt idx="143">
                  <c:v>9.2175469008365428E-13</c:v>
                </c:pt>
                <c:pt idx="144">
                  <c:v>9.2175469008365428E-13</c:v>
                </c:pt>
                <c:pt idx="145">
                  <c:v>9.2175469008365428E-13</c:v>
                </c:pt>
                <c:pt idx="146">
                  <c:v>9.2175469008365428E-13</c:v>
                </c:pt>
                <c:pt idx="147">
                  <c:v>9.2175469008365428E-13</c:v>
                </c:pt>
                <c:pt idx="148">
                  <c:v>9.2175469008365428E-13</c:v>
                </c:pt>
                <c:pt idx="149">
                  <c:v>9.2175469008365428E-13</c:v>
                </c:pt>
                <c:pt idx="150">
                  <c:v>9.2175469008365428E-13</c:v>
                </c:pt>
                <c:pt idx="151">
                  <c:v>9.2175469008365428E-13</c:v>
                </c:pt>
                <c:pt idx="152">
                  <c:v>9.2175469008365428E-13</c:v>
                </c:pt>
                <c:pt idx="153">
                  <c:v>9.2175469008365428E-13</c:v>
                </c:pt>
                <c:pt idx="154">
                  <c:v>9.2175469008365428E-13</c:v>
                </c:pt>
                <c:pt idx="155">
                  <c:v>9.2175469008365428E-13</c:v>
                </c:pt>
                <c:pt idx="156">
                  <c:v>9.2175469008365428E-13</c:v>
                </c:pt>
                <c:pt idx="157">
                  <c:v>9.2175469008365428E-13</c:v>
                </c:pt>
                <c:pt idx="158">
                  <c:v>9.2175469008365428E-13</c:v>
                </c:pt>
                <c:pt idx="159">
                  <c:v>9.2175469008365428E-13</c:v>
                </c:pt>
                <c:pt idx="160">
                  <c:v>9.2175469008365428E-13</c:v>
                </c:pt>
                <c:pt idx="161">
                  <c:v>9.2175469008365428E-13</c:v>
                </c:pt>
                <c:pt idx="162">
                  <c:v>9.2175469008365428E-13</c:v>
                </c:pt>
                <c:pt idx="163">
                  <c:v>9.2175469008365428E-13</c:v>
                </c:pt>
                <c:pt idx="164">
                  <c:v>9.2175469008365428E-13</c:v>
                </c:pt>
                <c:pt idx="165">
                  <c:v>9.2175469008365428E-13</c:v>
                </c:pt>
                <c:pt idx="166">
                  <c:v>9.2175469008365428E-13</c:v>
                </c:pt>
                <c:pt idx="167">
                  <c:v>9.2175469008365428E-13</c:v>
                </c:pt>
                <c:pt idx="168">
                  <c:v>9.2175469008365428E-13</c:v>
                </c:pt>
                <c:pt idx="169">
                  <c:v>9.2175469008365428E-13</c:v>
                </c:pt>
                <c:pt idx="170">
                  <c:v>9.2175469008365428E-13</c:v>
                </c:pt>
                <c:pt idx="171">
                  <c:v>9.2175469008365428E-13</c:v>
                </c:pt>
                <c:pt idx="172">
                  <c:v>9.2175469008365428E-13</c:v>
                </c:pt>
                <c:pt idx="173">
                  <c:v>9.2175469008365428E-13</c:v>
                </c:pt>
                <c:pt idx="174">
                  <c:v>9.2175469008365428E-13</c:v>
                </c:pt>
                <c:pt idx="175">
                  <c:v>9.2175469008365428E-13</c:v>
                </c:pt>
                <c:pt idx="176">
                  <c:v>9.2175469008365428E-13</c:v>
                </c:pt>
                <c:pt idx="177">
                  <c:v>9.2175469008365428E-13</c:v>
                </c:pt>
                <c:pt idx="178">
                  <c:v>9.2175469008365428E-13</c:v>
                </c:pt>
                <c:pt idx="179">
                  <c:v>9.2175469008365428E-13</c:v>
                </c:pt>
                <c:pt idx="180">
                  <c:v>9.2175469008365428E-13</c:v>
                </c:pt>
                <c:pt idx="181">
                  <c:v>9.2175469008365428E-13</c:v>
                </c:pt>
                <c:pt idx="182">
                  <c:v>9.2175469008365428E-13</c:v>
                </c:pt>
                <c:pt idx="183">
                  <c:v>9.2175469008365428E-13</c:v>
                </c:pt>
                <c:pt idx="184">
                  <c:v>9.2175469008365428E-13</c:v>
                </c:pt>
                <c:pt idx="185">
                  <c:v>9.2175469008365428E-13</c:v>
                </c:pt>
                <c:pt idx="186">
                  <c:v>9.2175469008365428E-13</c:v>
                </c:pt>
                <c:pt idx="187">
                  <c:v>9.2175469008365428E-13</c:v>
                </c:pt>
                <c:pt idx="188">
                  <c:v>9.2175469008365428E-13</c:v>
                </c:pt>
                <c:pt idx="189">
                  <c:v>9.2175469008365428E-13</c:v>
                </c:pt>
                <c:pt idx="190">
                  <c:v>9.2175469008365428E-13</c:v>
                </c:pt>
                <c:pt idx="191">
                  <c:v>9.2175469008365428E-13</c:v>
                </c:pt>
                <c:pt idx="192">
                  <c:v>9.2175469008365428E-13</c:v>
                </c:pt>
                <c:pt idx="193">
                  <c:v>9.2175469008365428E-13</c:v>
                </c:pt>
                <c:pt idx="194">
                  <c:v>9.2175469008365428E-13</c:v>
                </c:pt>
                <c:pt idx="195">
                  <c:v>9.2175469008365428E-13</c:v>
                </c:pt>
                <c:pt idx="196">
                  <c:v>9.2175469008365428E-13</c:v>
                </c:pt>
                <c:pt idx="197">
                  <c:v>9.2175469008365428E-13</c:v>
                </c:pt>
                <c:pt idx="198">
                  <c:v>9.2175469008365428E-13</c:v>
                </c:pt>
                <c:pt idx="199">
                  <c:v>9.2175469008365428E-13</c:v>
                </c:pt>
                <c:pt idx="200">
                  <c:v>9.2175469008365428E-13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2.4801614626002233</c:v>
                </c:pt>
                <c:pt idx="2">
                  <c:v>3.0134849255576186</c:v>
                </c:pt>
                <c:pt idx="3">
                  <c:v>3.6619264993244798</c:v>
                </c:pt>
                <c:pt idx="4">
                  <c:v>4.450423007266413</c:v>
                </c:pt>
                <c:pt idx="5">
                  <c:v>5.4093310436170006</c:v>
                </c:pt>
                <c:pt idx="6">
                  <c:v>6.5756085414308059</c:v>
                </c:pt>
                <c:pt idx="7">
                  <c:v>7.9942546676805222</c:v>
                </c:pt>
                <c:pt idx="8">
                  <c:v>9.7200646710218894</c:v>
                </c:pt>
                <c:pt idx="9">
                  <c:v>11.819768749621701</c:v>
                </c:pt>
                <c:pt idx="10">
                  <c:v>14.374639187967096</c:v>
                </c:pt>
                <c:pt idx="11">
                  <c:v>17.483668537184752</c:v>
                </c:pt>
                <c:pt idx="12">
                  <c:v>21.267444221121554</c:v>
                </c:pt>
                <c:pt idx="13">
                  <c:v>25.872872541457451</c:v>
                </c:pt>
                <c:pt idx="14">
                  <c:v>31.478938729905888</c:v>
                </c:pt>
                <c:pt idx="15">
                  <c:v>38.303730797998846</c:v>
                </c:pt>
                <c:pt idx="16">
                  <c:v>46.613005106288462</c:v>
                </c:pt>
                <c:pt idx="17">
                  <c:v>56.730632819495213</c:v>
                </c:pt>
                <c:pt idx="18">
                  <c:v>69.051341180398879</c:v>
                </c:pt>
                <c:pt idx="19">
                  <c:v>84.056254813412025</c:v>
                </c:pt>
                <c:pt idx="20">
                  <c:v>102.33185371141569</c:v>
                </c:pt>
                <c:pt idx="21">
                  <c:v>82.884102847471965</c:v>
                </c:pt>
                <c:pt idx="22">
                  <c:v>100.2341790211712</c:v>
                </c:pt>
                <c:pt idx="23">
                  <c:v>117.50960556047725</c:v>
                </c:pt>
                <c:pt idx="24">
                  <c:v>134.72293427467449</c:v>
                </c:pt>
                <c:pt idx="25">
                  <c:v>151.88323036863554</c:v>
                </c:pt>
                <c:pt idx="26">
                  <c:v>168.99733574939575</c:v>
                </c:pt>
                <c:pt idx="27">
                  <c:v>186.07058977926849</c:v>
                </c:pt>
                <c:pt idx="28">
                  <c:v>203.10727009150989</c:v>
                </c:pt>
                <c:pt idx="29">
                  <c:v>220.11087709873127</c:v>
                </c:pt>
                <c:pt idx="30">
                  <c:v>237.08432568129535</c:v>
                </c:pt>
                <c:pt idx="31">
                  <c:v>178.83208553010311</c:v>
                </c:pt>
                <c:pt idx="32">
                  <c:v>192.78616621215315</c:v>
                </c:pt>
                <c:pt idx="33">
                  <c:v>206.71675330781969</c:v>
                </c:pt>
                <c:pt idx="34">
                  <c:v>220.62565368587715</c:v>
                </c:pt>
                <c:pt idx="35">
                  <c:v>234.51442759301162</c:v>
                </c:pt>
                <c:pt idx="36">
                  <c:v>248.38443524462858</c:v>
                </c:pt>
                <c:pt idx="37">
                  <c:v>262.23687244847355</c:v>
                </c:pt>
                <c:pt idx="38">
                  <c:v>276.07279829764769</c:v>
                </c:pt>
                <c:pt idx="39">
                  <c:v>289.89315701571468</c:v>
                </c:pt>
                <c:pt idx="40">
                  <c:v>303.69879541443913</c:v>
                </c:pt>
                <c:pt idx="41">
                  <c:v>242.22222423091577</c:v>
                </c:pt>
                <c:pt idx="42">
                  <c:v>252.49064272427088</c:v>
                </c:pt>
                <c:pt idx="43">
                  <c:v>262.74960244358516</c:v>
                </c:pt>
                <c:pt idx="44">
                  <c:v>272.99952502719992</c:v>
                </c:pt>
                <c:pt idx="45">
                  <c:v>283.24079784297476</c:v>
                </c:pt>
                <c:pt idx="46">
                  <c:v>293.47377793906497</c:v>
                </c:pt>
                <c:pt idx="47">
                  <c:v>303.69879541443913</c:v>
                </c:pt>
                <c:pt idx="48">
                  <c:v>313.91615631143895</c:v>
                </c:pt>
                <c:pt idx="49">
                  <c:v>324.12614511182915</c:v>
                </c:pt>
                <c:pt idx="50">
                  <c:v>334.32902690172892</c:v>
                </c:pt>
                <c:pt idx="51">
                  <c:v>289.04048297775421</c:v>
                </c:pt>
                <c:pt idx="52">
                  <c:v>296.54210489038525</c:v>
                </c:pt>
                <c:pt idx="53">
                  <c:v>304.03949583203564</c:v>
                </c:pt>
                <c:pt idx="54">
                  <c:v>311.53277495970804</c:v>
                </c:pt>
                <c:pt idx="55">
                  <c:v>319.02205522459639</c:v>
                </c:pt>
                <c:pt idx="56">
                  <c:v>326.50744383661578</c:v>
                </c:pt>
                <c:pt idx="57">
                  <c:v>333.98904268407705</c:v>
                </c:pt>
                <c:pt idx="58">
                  <c:v>341.46694871376485</c:v>
                </c:pt>
                <c:pt idx="59">
                  <c:v>348.94125427596026</c:v>
                </c:pt>
                <c:pt idx="60">
                  <c:v>356.41204743833867</c:v>
                </c:pt>
                <c:pt idx="61">
                  <c:v>327.86801351508456</c:v>
                </c:pt>
                <c:pt idx="62">
                  <c:v>333.30905135288316</c:v>
                </c:pt>
                <c:pt idx="63">
                  <c:v>338.74813150221786</c:v>
                </c:pt>
                <c:pt idx="64">
                  <c:v>344.18528987135369</c:v>
                </c:pt>
                <c:pt idx="65">
                  <c:v>349.620561140088</c:v>
                </c:pt>
                <c:pt idx="66">
                  <c:v>355.05397882065421</c:v>
                </c:pt>
                <c:pt idx="67">
                  <c:v>360.48557531469925</c:v>
                </c:pt>
                <c:pt idx="68">
                  <c:v>365.91538196664465</c:v>
                </c:pt>
                <c:pt idx="69">
                  <c:v>371.34342911371255</c:v>
                </c:pt>
                <c:pt idx="70">
                  <c:v>376.76974613287081</c:v>
                </c:pt>
                <c:pt idx="71">
                  <c:v>353.86557543008007</c:v>
                </c:pt>
                <c:pt idx="72">
                  <c:v>358.10947390735402</c:v>
                </c:pt>
                <c:pt idx="73">
                  <c:v>362.35227167962029</c:v>
                </c:pt>
                <c:pt idx="74">
                  <c:v>366.59398347144838</c:v>
                </c:pt>
                <c:pt idx="75">
                  <c:v>370.83462363840607</c:v>
                </c:pt>
                <c:pt idx="76">
                  <c:v>375.07420618051651</c:v>
                </c:pt>
                <c:pt idx="77">
                  <c:v>379.3127447550757</c:v>
                </c:pt>
                <c:pt idx="78">
                  <c:v>383.5502526888647</c:v>
                </c:pt>
                <c:pt idx="79">
                  <c:v>387.78674298979627</c:v>
                </c:pt>
                <c:pt idx="80">
                  <c:v>392.02222835802291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1.8917258979789879</c:v>
                </c:pt>
                <c:pt idx="2">
                  <c:v>2.3074540372543173</c:v>
                </c:pt>
                <c:pt idx="3">
                  <c:v>2.8148953385457798</c:v>
                </c:pt>
                <c:pt idx="4">
                  <c:v>3.4343559758792388</c:v>
                </c:pt>
                <c:pt idx="5">
                  <c:v>4.1906533722832648</c:v>
                </c:pt>
                <c:pt idx="6">
                  <c:v>5.1141215864537903</c:v>
                </c:pt>
                <c:pt idx="7">
                  <c:v>6.2418414143326073</c:v>
                </c:pt>
                <c:pt idx="8">
                  <c:v>7.6191455660130769</c:v>
                </c:pt>
                <c:pt idx="9">
                  <c:v>9.3014605920777775</c:v>
                </c:pt>
                <c:pt idx="10">
                  <c:v>11.356561094464588</c:v>
                </c:pt>
                <c:pt idx="11">
                  <c:v>13.86732873992832</c:v>
                </c:pt>
                <c:pt idx="12">
                  <c:v>16.935129403676104</c:v>
                </c:pt>
                <c:pt idx="13">
                  <c:v>20.68394727065299</c:v>
                </c:pt>
                <c:pt idx="14">
                  <c:v>25.26544597144051</c:v>
                </c:pt>
                <c:pt idx="15">
                  <c:v>30.865165127605138</c:v>
                </c:pt>
                <c:pt idx="16">
                  <c:v>37.71010762027948</c:v>
                </c:pt>
                <c:pt idx="17">
                  <c:v>46.078030428938128</c:v>
                </c:pt>
                <c:pt idx="18">
                  <c:v>56.30882241009423</c:v>
                </c:pt>
                <c:pt idx="19">
                  <c:v>68.818438835784079</c:v>
                </c:pt>
                <c:pt idx="20">
                  <c:v>84.115968492471652</c:v>
                </c:pt>
                <c:pt idx="21">
                  <c:v>97.554514250101889</c:v>
                </c:pt>
                <c:pt idx="22">
                  <c:v>110.94698489986827</c:v>
                </c:pt>
                <c:pt idx="23">
                  <c:v>124.29973684178829</c:v>
                </c:pt>
                <c:pt idx="24">
                  <c:v>137.61764410276893</c:v>
                </c:pt>
                <c:pt idx="25">
                  <c:v>150.90455756698671</c:v>
                </c:pt>
                <c:pt idx="26">
                  <c:v>164.16359306202688</c:v>
                </c:pt>
                <c:pt idx="27">
                  <c:v>177.39732107296882</c:v>
                </c:pt>
                <c:pt idx="28">
                  <c:v>190.60789667260721</c:v>
                </c:pt>
                <c:pt idx="29">
                  <c:v>203.79715143595331</c:v>
                </c:pt>
                <c:pt idx="30">
                  <c:v>216.96666025537795</c:v>
                </c:pt>
                <c:pt idx="31">
                  <c:v>178.17503537456423</c:v>
                </c:pt>
                <c:pt idx="32">
                  <c:v>192.4194111275834</c:v>
                </c:pt>
                <c:pt idx="33">
                  <c:v>206.63925413557968</c:v>
                </c:pt>
                <c:pt idx="34">
                  <c:v>220.83649103083067</c:v>
                </c:pt>
                <c:pt idx="35">
                  <c:v>235.01278028177913</c:v>
                </c:pt>
                <c:pt idx="36">
                  <c:v>249.16956379358496</c:v>
                </c:pt>
                <c:pt idx="37">
                  <c:v>263.3081061496967</c:v>
                </c:pt>
                <c:pt idx="38">
                  <c:v>277.42952497301968</c:v>
                </c:pt>
                <c:pt idx="39">
                  <c:v>291.53481477536712</c:v>
                </c:pt>
                <c:pt idx="40">
                  <c:v>305.62486594574432</c:v>
                </c:pt>
                <c:pt idx="41">
                  <c:v>247.49746299241795</c:v>
                </c:pt>
                <c:pt idx="42">
                  <c:v>261.25268017016526</c:v>
                </c:pt>
                <c:pt idx="43">
                  <c:v>274.99154952399925</c:v>
                </c:pt>
                <c:pt idx="44">
                  <c:v>288.71500303129199</c:v>
                </c:pt>
                <c:pt idx="45">
                  <c:v>302.42387680444131</c:v>
                </c:pt>
                <c:pt idx="46">
                  <c:v>316.11892494264958</c:v>
                </c:pt>
                <c:pt idx="47">
                  <c:v>329.80083085635027</c:v>
                </c:pt>
                <c:pt idx="48">
                  <c:v>343.47021661326585</c:v>
                </c:pt>
                <c:pt idx="49">
                  <c:v>357.12765071829648</c:v>
                </c:pt>
                <c:pt idx="50">
                  <c:v>370.7736546407628</c:v>
                </c:pt>
                <c:pt idx="51">
                  <c:v>311.51274483481546</c:v>
                </c:pt>
                <c:pt idx="52">
                  <c:v>323.79259907322466</c:v>
                </c:pt>
                <c:pt idx="53">
                  <c:v>336.06216151622726</c:v>
                </c:pt>
                <c:pt idx="54">
                  <c:v>348.32186095767742</c:v>
                </c:pt>
                <c:pt idx="55">
                  <c:v>360.57209353569027</c:v>
                </c:pt>
                <c:pt idx="56">
                  <c:v>372.81322626817473</c:v>
                </c:pt>
                <c:pt idx="57">
                  <c:v>385.04560009964825</c:v>
                </c:pt>
                <c:pt idx="58">
                  <c:v>397.26953254058282</c:v>
                </c:pt>
                <c:pt idx="59">
                  <c:v>409.48531996489601</c:v>
                </c:pt>
                <c:pt idx="60">
                  <c:v>421.69323961894679</c:v>
                </c:pt>
                <c:pt idx="61">
                  <c:v>369.49879816887756</c:v>
                </c:pt>
                <c:pt idx="62">
                  <c:v>379.69499344441147</c:v>
                </c:pt>
                <c:pt idx="63">
                  <c:v>389.88523246274644</c:v>
                </c:pt>
                <c:pt idx="64">
                  <c:v>400.0696929048429</c:v>
                </c:pt>
                <c:pt idx="65">
                  <c:v>410.2485426639725</c:v>
                </c:pt>
                <c:pt idx="66">
                  <c:v>420.42194061957366</c:v>
                </c:pt>
                <c:pt idx="67">
                  <c:v>430.5900373322807</c:v>
                </c:pt>
                <c:pt idx="68">
                  <c:v>440.75297566986904</c:v>
                </c:pt>
                <c:pt idx="69">
                  <c:v>450.91089137244717</c:v>
                </c:pt>
                <c:pt idx="70">
                  <c:v>461.06391356406112</c:v>
                </c:pt>
                <c:pt idx="71">
                  <c:v>420.42194061957366</c:v>
                </c:pt>
                <c:pt idx="72">
                  <c:v>428.04850220658636</c:v>
                </c:pt>
                <c:pt idx="73">
                  <c:v>435.67214265339436</c:v>
                </c:pt>
                <c:pt idx="74">
                  <c:v>443.29292031429787</c:v>
                </c:pt>
                <c:pt idx="75">
                  <c:v>450.91089137244717</c:v>
                </c:pt>
                <c:pt idx="76">
                  <c:v>458.52610995674212</c:v>
                </c:pt>
                <c:pt idx="77">
                  <c:v>466.13862825055884</c:v>
                </c:pt>
                <c:pt idx="78">
                  <c:v>473.74849659300213</c:v>
                </c:pt>
                <c:pt idx="79">
                  <c:v>481.35576357331178</c:v>
                </c:pt>
                <c:pt idx="80">
                  <c:v>488.96047611898717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2.2832237417933063</c:v>
                </c:pt>
                <c:pt idx="2">
                  <c:v>2.6028913722005647</c:v>
                </c:pt>
                <c:pt idx="3">
                  <c:v>2.967475287595617</c:v>
                </c:pt>
                <c:pt idx="4">
                  <c:v>3.3833079902291661</c:v>
                </c:pt>
                <c:pt idx="5">
                  <c:v>3.8576175953034837</c:v>
                </c:pt>
                <c:pt idx="6">
                  <c:v>4.3986548719335623</c:v>
                </c:pt>
                <c:pt idx="7">
                  <c:v>5.0158383537721276</c:v>
                </c:pt>
                <c:pt idx="8">
                  <c:v>5.719920095886426</c:v>
                </c:pt>
                <c:pt idx="9">
                  <c:v>6.5231750227195286</c:v>
                </c:pt>
                <c:pt idx="10">
                  <c:v>7.4396172329532817</c:v>
                </c:pt>
                <c:pt idx="11">
                  <c:v>8.4852471083817296</c:v>
                </c:pt>
                <c:pt idx="12">
                  <c:v>9.6783336241582294</c:v>
                </c:pt>
                <c:pt idx="13">
                  <c:v>11.03973688689625</c:v>
                </c:pt>
                <c:pt idx="14">
                  <c:v>12.593276646406482</c:v>
                </c:pt>
                <c:pt idx="15">
                  <c:v>14.366153349292938</c:v>
                </c:pt>
                <c:pt idx="16">
                  <c:v>16.389429243023422</c:v>
                </c:pt>
                <c:pt idx="17">
                  <c:v>18.698578114381068</c:v>
                </c:pt>
                <c:pt idx="18">
                  <c:v>21.334113475779002</c:v>
                </c:pt>
                <c:pt idx="19">
                  <c:v>24.342306418954028</c:v>
                </c:pt>
                <c:pt idx="20">
                  <c:v>27.776005963415486</c:v>
                </c:pt>
                <c:pt idx="21">
                  <c:v>31.69557656573016</c:v>
                </c:pt>
                <c:pt idx="22">
                  <c:v>36.169969558473291</c:v>
                </c:pt>
                <c:pt idx="23">
                  <c:v>41.277947692447448</c:v>
                </c:pt>
                <c:pt idx="24">
                  <c:v>47.109484706017014</c:v>
                </c:pt>
                <c:pt idx="25">
                  <c:v>53.767364990836569</c:v>
                </c:pt>
                <c:pt idx="26">
                  <c:v>62.111611813038422</c:v>
                </c:pt>
                <c:pt idx="27">
                  <c:v>70.426719200886225</c:v>
                </c:pt>
                <c:pt idx="28">
                  <c:v>78.716623217842255</c:v>
                </c:pt>
                <c:pt idx="29">
                  <c:v>86.98435916025754</c:v>
                </c:pt>
                <c:pt idx="30">
                  <c:v>95.232335887831638</c:v>
                </c:pt>
                <c:pt idx="31">
                  <c:v>104.14760645595801</c:v>
                </c:pt>
                <c:pt idx="32">
                  <c:v>113.04402192772102</c:v>
                </c:pt>
                <c:pt idx="33">
                  <c:v>121.9232778531174</c:v>
                </c:pt>
                <c:pt idx="34">
                  <c:v>130.78680204742304</c:v>
                </c:pt>
                <c:pt idx="35">
                  <c:v>139.63581256496664</c:v>
                </c:pt>
                <c:pt idx="36">
                  <c:v>148.47136015846644</c:v>
                </c:pt>
                <c:pt idx="37">
                  <c:v>157.29436007218951</c:v>
                </c:pt>
                <c:pt idx="38">
                  <c:v>166.10561630936715</c:v>
                </c:pt>
                <c:pt idx="39">
                  <c:v>174.90584046860877</c:v>
                </c:pt>
                <c:pt idx="40">
                  <c:v>183.69566658273004</c:v>
                </c:pt>
                <c:pt idx="41">
                  <c:v>147.45253056632171</c:v>
                </c:pt>
                <c:pt idx="42">
                  <c:v>156.95523591038764</c:v>
                </c:pt>
                <c:pt idx="43">
                  <c:v>166.44428617991454</c:v>
                </c:pt>
                <c:pt idx="44">
                  <c:v>175.92057051227539</c:v>
                </c:pt>
                <c:pt idx="45">
                  <c:v>185.38487428970882</c:v>
                </c:pt>
                <c:pt idx="46">
                  <c:v>194.83789604306443</c:v>
                </c:pt>
                <c:pt idx="47">
                  <c:v>204.28026089728539</c:v>
                </c:pt>
                <c:pt idx="48">
                  <c:v>213.71253139667147</c:v>
                </c:pt>
                <c:pt idx="49">
                  <c:v>223.13521631609669</c:v>
                </c:pt>
                <c:pt idx="50">
                  <c:v>232.54877790391365</c:v>
                </c:pt>
                <c:pt idx="51">
                  <c:v>194.66918729679787</c:v>
                </c:pt>
                <c:pt idx="52">
                  <c:v>203.94321057745546</c:v>
                </c:pt>
                <c:pt idx="53">
                  <c:v>213.20747850946876</c:v>
                </c:pt>
                <c:pt idx="54">
                  <c:v>222.46247518327689</c:v>
                </c:pt>
                <c:pt idx="55">
                  <c:v>231.70864107548121</c:v>
                </c:pt>
                <c:pt idx="56">
                  <c:v>240.94637860003544</c:v>
                </c:pt>
                <c:pt idx="57">
                  <c:v>250.1760567625594</c:v>
                </c:pt>
                <c:pt idx="58">
                  <c:v>259.39801509111953</c:v>
                </c:pt>
                <c:pt idx="59">
                  <c:v>268.61256697821619</c:v>
                </c:pt>
                <c:pt idx="60">
                  <c:v>277.82000253977026</c:v>
                </c:pt>
                <c:pt idx="61">
                  <c:v>239.60321698163872</c:v>
                </c:pt>
                <c:pt idx="62">
                  <c:v>248.3307491856981</c:v>
                </c:pt>
                <c:pt idx="63">
                  <c:v>257.05132222059098</c:v>
                </c:pt>
                <c:pt idx="64">
                  <c:v>265.76520570407013</c:v>
                </c:pt>
                <c:pt idx="65">
                  <c:v>274.4726501122837</c:v>
                </c:pt>
                <c:pt idx="66">
                  <c:v>283.17388871622359</c:v>
                </c:pt>
                <c:pt idx="67">
                  <c:v>291.86913926751009</c:v>
                </c:pt>
                <c:pt idx="68">
                  <c:v>300.55860547261915</c:v>
                </c:pt>
                <c:pt idx="69">
                  <c:v>309.24247828757836</c:v>
                </c:pt>
                <c:pt idx="70">
                  <c:v>317.92093705953022</c:v>
                </c:pt>
                <c:pt idx="71">
                  <c:v>279.15868935410361</c:v>
                </c:pt>
                <c:pt idx="72">
                  <c:v>287.18781271272849</c:v>
                </c:pt>
                <c:pt idx="73">
                  <c:v>295.21191549350249</c:v>
                </c:pt>
                <c:pt idx="74">
                  <c:v>303.23115353954819</c:v>
                </c:pt>
                <c:pt idx="75">
                  <c:v>311.24567377041308</c:v>
                </c:pt>
                <c:pt idx="76">
                  <c:v>319.25561491472274</c:v>
                </c:pt>
                <c:pt idx="77">
                  <c:v>327.26110816541205</c:v>
                </c:pt>
                <c:pt idx="78">
                  <c:v>335.2622777674473</c:v>
                </c:pt>
                <c:pt idx="79">
                  <c:v>343.25924154647493</c:v>
                </c:pt>
                <c:pt idx="80">
                  <c:v>351.25211138560275</c:v>
                </c:pt>
                <c:pt idx="81">
                  <c:v>311.74642784701365</c:v>
                </c:pt>
                <c:pt idx="82">
                  <c:v>318.92195705560215</c:v>
                </c:pt>
                <c:pt idx="83">
                  <c:v>326.09391257189031</c:v>
                </c:pt>
                <c:pt idx="84">
                  <c:v>333.26238416035659</c:v>
                </c:pt>
                <c:pt idx="85">
                  <c:v>340.42745740486811</c:v>
                </c:pt>
                <c:pt idx="86">
                  <c:v>347.58921398922945</c:v>
                </c:pt>
                <c:pt idx="87">
                  <c:v>354.74773195338594</c:v>
                </c:pt>
                <c:pt idx="88">
                  <c:v>361.90308592785385</c:v>
                </c:pt>
                <c:pt idx="89">
                  <c:v>369.05534734862994</c:v>
                </c:pt>
                <c:pt idx="90">
                  <c:v>376.2045846545613</c:v>
                </c:pt>
                <c:pt idx="91">
                  <c:v>335.76221003128239</c:v>
                </c:pt>
                <c:pt idx="92">
                  <c:v>341.92670150246295</c:v>
                </c:pt>
                <c:pt idx="93">
                  <c:v>348.08874968614629</c:v>
                </c:pt>
                <c:pt idx="94">
                  <c:v>354.2484039841533</c:v>
                </c:pt>
                <c:pt idx="95">
                  <c:v>360.40571193829396</c:v>
                </c:pt>
                <c:pt idx="96">
                  <c:v>366.56071933168909</c:v>
                </c:pt>
                <c:pt idx="97">
                  <c:v>372.71347028292757</c:v>
                </c:pt>
                <c:pt idx="98">
                  <c:v>378.86400733367765</c:v>
                </c:pt>
                <c:pt idx="99">
                  <c:v>385.01237153030615</c:v>
                </c:pt>
                <c:pt idx="100">
                  <c:v>391.15860250001077</c:v>
                </c:pt>
                <c:pt idx="101">
                  <c:v>349.75375516637604</c:v>
                </c:pt>
                <c:pt idx="102">
                  <c:v>354.91417118648002</c:v>
                </c:pt>
                <c:pt idx="103">
                  <c:v>360.07294370151311</c:v>
                </c:pt>
                <c:pt idx="104">
                  <c:v>365.23009960908354</c:v>
                </c:pt>
                <c:pt idx="105">
                  <c:v>370.38566498431487</c:v>
                </c:pt>
                <c:pt idx="106">
                  <c:v>375.53966511635275</c:v>
                </c:pt>
                <c:pt idx="107">
                  <c:v>380.69212454276203</c:v>
                </c:pt>
                <c:pt idx="108">
                  <c:v>385.84306708196317</c:v>
                </c:pt>
                <c:pt idx="109">
                  <c:v>390.99251586384486</c:v>
                </c:pt>
                <c:pt idx="110">
                  <c:v>396.14049335867747</c:v>
                </c:pt>
                <c:pt idx="111">
                  <c:v>355.91277070439497</c:v>
                </c:pt>
                <c:pt idx="112">
                  <c:v>360.57209353569016</c:v>
                </c:pt>
                <c:pt idx="113">
                  <c:v>365.23009960908354</c:v>
                </c:pt>
                <c:pt idx="114">
                  <c:v>369.88680810922125</c:v>
                </c:pt>
                <c:pt idx="115">
                  <c:v>374.54223769767958</c:v>
                </c:pt>
                <c:pt idx="116">
                  <c:v>379.19640653369788</c:v>
                </c:pt>
                <c:pt idx="117">
                  <c:v>383.84933229384137</c:v>
                </c:pt>
                <c:pt idx="118">
                  <c:v>388.50103219065778</c:v>
                </c:pt>
                <c:pt idx="119">
                  <c:v>393.15152299039397</c:v>
                </c:pt>
                <c:pt idx="120">
                  <c:v>397.80082102983084</c:v>
                </c:pt>
                <c:pt idx="121">
                  <c:v>7.2983234474842979E-13</c:v>
                </c:pt>
                <c:pt idx="122">
                  <c:v>7.2983234474842979E-13</c:v>
                </c:pt>
                <c:pt idx="123">
                  <c:v>7.2983234474842979E-13</c:v>
                </c:pt>
                <c:pt idx="124">
                  <c:v>7.2983234474842979E-13</c:v>
                </c:pt>
                <c:pt idx="125">
                  <c:v>7.2983234474842979E-13</c:v>
                </c:pt>
                <c:pt idx="126">
                  <c:v>7.2983234474842979E-13</c:v>
                </c:pt>
                <c:pt idx="127">
                  <c:v>7.2983234474842979E-13</c:v>
                </c:pt>
                <c:pt idx="128">
                  <c:v>7.2983234474842979E-13</c:v>
                </c:pt>
                <c:pt idx="129">
                  <c:v>7.2983234474842979E-13</c:v>
                </c:pt>
                <c:pt idx="130">
                  <c:v>7.2983234474842979E-13</c:v>
                </c:pt>
                <c:pt idx="131">
                  <c:v>7.2983234474842979E-13</c:v>
                </c:pt>
                <c:pt idx="132">
                  <c:v>7.2983234474842979E-13</c:v>
                </c:pt>
                <c:pt idx="133">
                  <c:v>7.2983234474842979E-13</c:v>
                </c:pt>
                <c:pt idx="134">
                  <c:v>7.2983234474842979E-13</c:v>
                </c:pt>
                <c:pt idx="135">
                  <c:v>7.2983234474842979E-13</c:v>
                </c:pt>
                <c:pt idx="136">
                  <c:v>7.2983234474842979E-13</c:v>
                </c:pt>
                <c:pt idx="137">
                  <c:v>7.2983234474842979E-13</c:v>
                </c:pt>
                <c:pt idx="138">
                  <c:v>7.2983234474842979E-13</c:v>
                </c:pt>
                <c:pt idx="139">
                  <c:v>7.2983234474842979E-13</c:v>
                </c:pt>
                <c:pt idx="140">
                  <c:v>7.2983234474842979E-13</c:v>
                </c:pt>
                <c:pt idx="141">
                  <c:v>7.2983234474842979E-13</c:v>
                </c:pt>
                <c:pt idx="142">
                  <c:v>7.2983234474842979E-13</c:v>
                </c:pt>
                <c:pt idx="143">
                  <c:v>7.2983234474842979E-13</c:v>
                </c:pt>
                <c:pt idx="144">
                  <c:v>7.2983234474842979E-13</c:v>
                </c:pt>
                <c:pt idx="145">
                  <c:v>7.2983234474842979E-13</c:v>
                </c:pt>
                <c:pt idx="146">
                  <c:v>7.2983234474842979E-13</c:v>
                </c:pt>
                <c:pt idx="147">
                  <c:v>7.2983234474842979E-13</c:v>
                </c:pt>
                <c:pt idx="148">
                  <c:v>7.2983234474842979E-13</c:v>
                </c:pt>
                <c:pt idx="149">
                  <c:v>7.2983234474842979E-13</c:v>
                </c:pt>
                <c:pt idx="150">
                  <c:v>7.2983234474842979E-13</c:v>
                </c:pt>
                <c:pt idx="151">
                  <c:v>7.2983234474842979E-13</c:v>
                </c:pt>
                <c:pt idx="152">
                  <c:v>7.2983234474842979E-13</c:v>
                </c:pt>
                <c:pt idx="153">
                  <c:v>7.2983234474842979E-13</c:v>
                </c:pt>
                <c:pt idx="154">
                  <c:v>7.2983234474842979E-13</c:v>
                </c:pt>
                <c:pt idx="155">
                  <c:v>7.2983234474842979E-13</c:v>
                </c:pt>
                <c:pt idx="156">
                  <c:v>7.2983234474842979E-13</c:v>
                </c:pt>
                <c:pt idx="157">
                  <c:v>7.2983234474842979E-13</c:v>
                </c:pt>
                <c:pt idx="158">
                  <c:v>7.2983234474842979E-13</c:v>
                </c:pt>
                <c:pt idx="159">
                  <c:v>7.2983234474842979E-13</c:v>
                </c:pt>
                <c:pt idx="160">
                  <c:v>7.2983234474842979E-13</c:v>
                </c:pt>
                <c:pt idx="161">
                  <c:v>7.2983234474842979E-13</c:v>
                </c:pt>
                <c:pt idx="162">
                  <c:v>7.2983234474842979E-13</c:v>
                </c:pt>
                <c:pt idx="163">
                  <c:v>7.2983234474842979E-13</c:v>
                </c:pt>
                <c:pt idx="164">
                  <c:v>7.2983234474842979E-13</c:v>
                </c:pt>
                <c:pt idx="165">
                  <c:v>7.2983234474842979E-13</c:v>
                </c:pt>
                <c:pt idx="166">
                  <c:v>7.2983234474842979E-13</c:v>
                </c:pt>
                <c:pt idx="167">
                  <c:v>7.2983234474842979E-13</c:v>
                </c:pt>
                <c:pt idx="168">
                  <c:v>7.2983234474842979E-13</c:v>
                </c:pt>
                <c:pt idx="169">
                  <c:v>7.2983234474842979E-13</c:v>
                </c:pt>
                <c:pt idx="170">
                  <c:v>7.2983234474842979E-13</c:v>
                </c:pt>
                <c:pt idx="171">
                  <c:v>7.2983234474842979E-13</c:v>
                </c:pt>
                <c:pt idx="172">
                  <c:v>7.2983234474842979E-13</c:v>
                </c:pt>
                <c:pt idx="173">
                  <c:v>7.2983234474842979E-13</c:v>
                </c:pt>
                <c:pt idx="174">
                  <c:v>7.2983234474842979E-13</c:v>
                </c:pt>
                <c:pt idx="175">
                  <c:v>7.2983234474842979E-13</c:v>
                </c:pt>
                <c:pt idx="176">
                  <c:v>7.2983234474842979E-13</c:v>
                </c:pt>
                <c:pt idx="177">
                  <c:v>7.2983234474842979E-13</c:v>
                </c:pt>
                <c:pt idx="178">
                  <c:v>7.2983234474842979E-13</c:v>
                </c:pt>
                <c:pt idx="179">
                  <c:v>7.2983234474842979E-13</c:v>
                </c:pt>
                <c:pt idx="180">
                  <c:v>7.2983234474842979E-13</c:v>
                </c:pt>
                <c:pt idx="181">
                  <c:v>7.2983234474842979E-13</c:v>
                </c:pt>
                <c:pt idx="182">
                  <c:v>7.2983234474842979E-13</c:v>
                </c:pt>
                <c:pt idx="183">
                  <c:v>7.2983234474842979E-13</c:v>
                </c:pt>
                <c:pt idx="184">
                  <c:v>7.2983234474842979E-13</c:v>
                </c:pt>
                <c:pt idx="185">
                  <c:v>7.2983234474842979E-13</c:v>
                </c:pt>
                <c:pt idx="186">
                  <c:v>7.2983234474842979E-13</c:v>
                </c:pt>
                <c:pt idx="187">
                  <c:v>7.2983234474842979E-13</c:v>
                </c:pt>
                <c:pt idx="188">
                  <c:v>7.2983234474842979E-13</c:v>
                </c:pt>
                <c:pt idx="189">
                  <c:v>7.2983234474842979E-13</c:v>
                </c:pt>
                <c:pt idx="190">
                  <c:v>7.2983234474842979E-13</c:v>
                </c:pt>
                <c:pt idx="191">
                  <c:v>7.2983234474842979E-13</c:v>
                </c:pt>
                <c:pt idx="192">
                  <c:v>7.2983234474842979E-13</c:v>
                </c:pt>
                <c:pt idx="193">
                  <c:v>7.2983234474842979E-13</c:v>
                </c:pt>
                <c:pt idx="194">
                  <c:v>7.2983234474842979E-13</c:v>
                </c:pt>
                <c:pt idx="195">
                  <c:v>7.2983234474842979E-13</c:v>
                </c:pt>
                <c:pt idx="196">
                  <c:v>7.2983234474842979E-13</c:v>
                </c:pt>
                <c:pt idx="197">
                  <c:v>7.2983234474842979E-13</c:v>
                </c:pt>
                <c:pt idx="198">
                  <c:v>7.2983234474842979E-13</c:v>
                </c:pt>
                <c:pt idx="199">
                  <c:v>7.2983234474842979E-13</c:v>
                </c:pt>
                <c:pt idx="200">
                  <c:v>7.2983234474842979E-13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4.47974138175283</c:v>
                </c:pt>
                <c:pt idx="2">
                  <c:v>8.696951187831063</c:v>
                </c:pt>
                <c:pt idx="3">
                  <c:v>16.906195064002038</c:v>
                </c:pt>
                <c:pt idx="4">
                  <c:v>32.905587062622978</c:v>
                </c:pt>
                <c:pt idx="5">
                  <c:v>64.123598546950959</c:v>
                </c:pt>
                <c:pt idx="6">
                  <c:v>76.563490652949341</c:v>
                </c:pt>
                <c:pt idx="7">
                  <c:v>102.88694134367069</c:v>
                </c:pt>
                <c:pt idx="8">
                  <c:v>129.04255303760434</c:v>
                </c:pt>
                <c:pt idx="9">
                  <c:v>155.06938697591292</c:v>
                </c:pt>
                <c:pt idx="10">
                  <c:v>180.99217685858619</c:v>
                </c:pt>
                <c:pt idx="11">
                  <c:v>155.85635385993879</c:v>
                </c:pt>
                <c:pt idx="12">
                  <c:v>173.9315694655061</c:v>
                </c:pt>
                <c:pt idx="13">
                  <c:v>191.9626320360602</c:v>
                </c:pt>
                <c:pt idx="14">
                  <c:v>209.95427407556733</c:v>
                </c:pt>
                <c:pt idx="15">
                  <c:v>227.91034965501254</c:v>
                </c:pt>
                <c:pt idx="16">
                  <c:v>203.3095210498027</c:v>
                </c:pt>
                <c:pt idx="17">
                  <c:v>221.66858057927746</c:v>
                </c:pt>
                <c:pt idx="18">
                  <c:v>239.99275146392401</c:v>
                </c:pt>
                <c:pt idx="19">
                  <c:v>258.28507230454869</c:v>
                </c:pt>
                <c:pt idx="20">
                  <c:v>276.54811592924437</c:v>
                </c:pt>
                <c:pt idx="21">
                  <c:v>258.28507230454869</c:v>
                </c:pt>
                <c:pt idx="22">
                  <c:v>273.05309633794894</c:v>
                </c:pt>
                <c:pt idx="23">
                  <c:v>287.80316958954154</c:v>
                </c:pt>
                <c:pt idx="24">
                  <c:v>302.53634167761265</c:v>
                </c:pt>
                <c:pt idx="25">
                  <c:v>317.25355162035777</c:v>
                </c:pt>
                <c:pt idx="26">
                  <c:v>303.31132185729052</c:v>
                </c:pt>
                <c:pt idx="27">
                  <c:v>314.54364642285992</c:v>
                </c:pt>
                <c:pt idx="28">
                  <c:v>325.76708127859291</c:v>
                </c:pt>
                <c:pt idx="29">
                  <c:v>336.98197598742081</c:v>
                </c:pt>
                <c:pt idx="30">
                  <c:v>348.18865493629573</c:v>
                </c:pt>
                <c:pt idx="31">
                  <c:v>337.75511058999297</c:v>
                </c:pt>
                <c:pt idx="32">
                  <c:v>344.71158069237617</c:v>
                </c:pt>
                <c:pt idx="33">
                  <c:v>351.66496710247731</c:v>
                </c:pt>
                <c:pt idx="34">
                  <c:v>358.615339452451</c:v>
                </c:pt>
                <c:pt idx="35">
                  <c:v>365.5627644526092</c:v>
                </c:pt>
                <c:pt idx="36">
                  <c:v>1.5435705246133045E-12</c:v>
                </c:pt>
                <c:pt idx="37">
                  <c:v>1.5435705246133045E-12</c:v>
                </c:pt>
                <c:pt idx="38">
                  <c:v>1.5435705246133045E-12</c:v>
                </c:pt>
                <c:pt idx="39">
                  <c:v>1.5435705246133045E-12</c:v>
                </c:pt>
                <c:pt idx="40">
                  <c:v>1.5435705246133045E-12</c:v>
                </c:pt>
                <c:pt idx="41">
                  <c:v>1.5435705246133045E-12</c:v>
                </c:pt>
                <c:pt idx="42">
                  <c:v>1.5435705246133045E-12</c:v>
                </c:pt>
                <c:pt idx="43">
                  <c:v>1.5435705246133045E-12</c:v>
                </c:pt>
                <c:pt idx="44">
                  <c:v>1.5435705246133045E-12</c:v>
                </c:pt>
                <c:pt idx="45">
                  <c:v>1.5435705246133045E-12</c:v>
                </c:pt>
                <c:pt idx="46">
                  <c:v>1.5435705246133045E-12</c:v>
                </c:pt>
                <c:pt idx="47">
                  <c:v>1.5435705246133045E-12</c:v>
                </c:pt>
                <c:pt idx="48">
                  <c:v>1.5435705246133045E-12</c:v>
                </c:pt>
                <c:pt idx="49">
                  <c:v>1.5435705246133045E-12</c:v>
                </c:pt>
                <c:pt idx="50">
                  <c:v>1.5435705246133045E-12</c:v>
                </c:pt>
                <c:pt idx="51">
                  <c:v>1.5435705246133045E-12</c:v>
                </c:pt>
                <c:pt idx="52">
                  <c:v>1.5435705246133045E-12</c:v>
                </c:pt>
                <c:pt idx="53">
                  <c:v>1.5435705246133045E-12</c:v>
                </c:pt>
                <c:pt idx="54">
                  <c:v>1.5435705246133045E-12</c:v>
                </c:pt>
                <c:pt idx="55">
                  <c:v>1.5435705246133045E-12</c:v>
                </c:pt>
                <c:pt idx="56">
                  <c:v>1.5435705246133045E-12</c:v>
                </c:pt>
                <c:pt idx="57">
                  <c:v>1.5435705246133045E-12</c:v>
                </c:pt>
                <c:pt idx="58">
                  <c:v>1.5435705246133045E-12</c:v>
                </c:pt>
                <c:pt idx="59">
                  <c:v>1.5435705246133045E-12</c:v>
                </c:pt>
                <c:pt idx="60">
                  <c:v>1.5435705246133045E-12</c:v>
                </c:pt>
                <c:pt idx="61">
                  <c:v>1.5435705246133045E-12</c:v>
                </c:pt>
                <c:pt idx="62">
                  <c:v>1.5435705246133045E-12</c:v>
                </c:pt>
                <c:pt idx="63">
                  <c:v>1.5435705246133045E-12</c:v>
                </c:pt>
                <c:pt idx="64">
                  <c:v>1.5435705246133045E-12</c:v>
                </c:pt>
                <c:pt idx="65">
                  <c:v>1.5435705246133045E-12</c:v>
                </c:pt>
                <c:pt idx="66">
                  <c:v>1.5435705246133045E-12</c:v>
                </c:pt>
                <c:pt idx="67">
                  <c:v>1.5435705246133045E-12</c:v>
                </c:pt>
                <c:pt idx="68">
                  <c:v>1.5435705246133045E-12</c:v>
                </c:pt>
                <c:pt idx="69">
                  <c:v>1.5435705246133045E-12</c:v>
                </c:pt>
                <c:pt idx="70">
                  <c:v>1.5435705246133045E-12</c:v>
                </c:pt>
                <c:pt idx="71">
                  <c:v>1.5435705246133045E-12</c:v>
                </c:pt>
                <c:pt idx="72">
                  <c:v>1.5435705246133045E-12</c:v>
                </c:pt>
                <c:pt idx="73">
                  <c:v>1.5435705246133045E-12</c:v>
                </c:pt>
                <c:pt idx="74">
                  <c:v>1.5435705246133045E-12</c:v>
                </c:pt>
                <c:pt idx="75">
                  <c:v>1.5435705246133045E-12</c:v>
                </c:pt>
                <c:pt idx="76">
                  <c:v>1.5435705246133045E-12</c:v>
                </c:pt>
                <c:pt idx="77">
                  <c:v>1.5435705246133045E-12</c:v>
                </c:pt>
                <c:pt idx="78">
                  <c:v>1.5435705246133045E-12</c:v>
                </c:pt>
                <c:pt idx="79">
                  <c:v>1.5435705246133045E-12</c:v>
                </c:pt>
                <c:pt idx="80">
                  <c:v>1.5435705246133045E-12</c:v>
                </c:pt>
                <c:pt idx="81">
                  <c:v>1.5435705246133045E-12</c:v>
                </c:pt>
                <c:pt idx="82">
                  <c:v>1.5435705246133045E-12</c:v>
                </c:pt>
                <c:pt idx="83">
                  <c:v>1.5435705246133045E-12</c:v>
                </c:pt>
                <c:pt idx="84">
                  <c:v>1.5435705246133045E-12</c:v>
                </c:pt>
                <c:pt idx="85">
                  <c:v>1.5435705246133045E-12</c:v>
                </c:pt>
                <c:pt idx="86">
                  <c:v>1.5435705246133045E-12</c:v>
                </c:pt>
                <c:pt idx="87">
                  <c:v>1.5435705246133045E-12</c:v>
                </c:pt>
                <c:pt idx="88">
                  <c:v>1.5435705246133045E-12</c:v>
                </c:pt>
                <c:pt idx="89">
                  <c:v>1.5435705246133045E-12</c:v>
                </c:pt>
                <c:pt idx="90">
                  <c:v>1.5435705246133045E-12</c:v>
                </c:pt>
                <c:pt idx="91">
                  <c:v>1.5435705246133045E-12</c:v>
                </c:pt>
                <c:pt idx="92">
                  <c:v>1.5435705246133045E-12</c:v>
                </c:pt>
                <c:pt idx="93">
                  <c:v>1.5435705246133045E-12</c:v>
                </c:pt>
                <c:pt idx="94">
                  <c:v>1.5435705246133045E-12</c:v>
                </c:pt>
                <c:pt idx="95">
                  <c:v>1.5435705246133045E-12</c:v>
                </c:pt>
                <c:pt idx="96">
                  <c:v>1.5435705246133045E-12</c:v>
                </c:pt>
                <c:pt idx="97">
                  <c:v>1.5435705246133045E-12</c:v>
                </c:pt>
                <c:pt idx="98">
                  <c:v>1.5435705246133045E-12</c:v>
                </c:pt>
                <c:pt idx="99">
                  <c:v>1.5435705246133045E-12</c:v>
                </c:pt>
                <c:pt idx="100">
                  <c:v>1.5435705246133045E-12</c:v>
                </c:pt>
                <c:pt idx="101">
                  <c:v>1.5435705246133045E-12</c:v>
                </c:pt>
                <c:pt idx="102">
                  <c:v>1.5435705246133045E-12</c:v>
                </c:pt>
                <c:pt idx="103">
                  <c:v>1.5435705246133045E-12</c:v>
                </c:pt>
                <c:pt idx="104">
                  <c:v>1.5435705246133045E-12</c:v>
                </c:pt>
                <c:pt idx="105">
                  <c:v>1.5435705246133045E-12</c:v>
                </c:pt>
                <c:pt idx="106">
                  <c:v>1.5435705246133045E-12</c:v>
                </c:pt>
                <c:pt idx="107">
                  <c:v>1.5435705246133045E-12</c:v>
                </c:pt>
                <c:pt idx="108">
                  <c:v>1.5435705246133045E-12</c:v>
                </c:pt>
                <c:pt idx="109">
                  <c:v>1.5435705246133045E-12</c:v>
                </c:pt>
                <c:pt idx="110">
                  <c:v>1.5435705246133045E-12</c:v>
                </c:pt>
                <c:pt idx="111">
                  <c:v>1.5435705246133045E-12</c:v>
                </c:pt>
                <c:pt idx="112">
                  <c:v>1.5435705246133045E-12</c:v>
                </c:pt>
                <c:pt idx="113">
                  <c:v>1.5435705246133045E-12</c:v>
                </c:pt>
                <c:pt idx="114">
                  <c:v>1.5435705246133045E-12</c:v>
                </c:pt>
                <c:pt idx="115">
                  <c:v>1.5435705246133045E-12</c:v>
                </c:pt>
                <c:pt idx="116">
                  <c:v>1.5435705246133045E-12</c:v>
                </c:pt>
                <c:pt idx="117">
                  <c:v>1.5435705246133045E-12</c:v>
                </c:pt>
                <c:pt idx="118">
                  <c:v>1.5435705246133045E-12</c:v>
                </c:pt>
                <c:pt idx="119">
                  <c:v>1.5435705246133045E-12</c:v>
                </c:pt>
                <c:pt idx="120">
                  <c:v>1.5435705246133045E-12</c:v>
                </c:pt>
                <c:pt idx="121">
                  <c:v>1.5435705246133045E-12</c:v>
                </c:pt>
                <c:pt idx="122">
                  <c:v>1.5435705246133045E-12</c:v>
                </c:pt>
                <c:pt idx="123">
                  <c:v>1.5435705246133045E-12</c:v>
                </c:pt>
                <c:pt idx="124">
                  <c:v>1.5435705246133045E-12</c:v>
                </c:pt>
                <c:pt idx="125">
                  <c:v>1.5435705246133045E-12</c:v>
                </c:pt>
                <c:pt idx="126">
                  <c:v>1.5435705246133045E-12</c:v>
                </c:pt>
                <c:pt idx="127">
                  <c:v>1.5435705246133045E-12</c:v>
                </c:pt>
                <c:pt idx="128">
                  <c:v>1.5435705246133045E-12</c:v>
                </c:pt>
                <c:pt idx="129">
                  <c:v>1.5435705246133045E-12</c:v>
                </c:pt>
                <c:pt idx="130">
                  <c:v>1.5435705246133045E-12</c:v>
                </c:pt>
                <c:pt idx="131">
                  <c:v>1.5435705246133045E-12</c:v>
                </c:pt>
                <c:pt idx="132">
                  <c:v>1.5435705246133045E-12</c:v>
                </c:pt>
                <c:pt idx="133">
                  <c:v>1.5435705246133045E-12</c:v>
                </c:pt>
                <c:pt idx="134">
                  <c:v>1.5435705246133045E-12</c:v>
                </c:pt>
                <c:pt idx="135">
                  <c:v>1.5435705246133045E-12</c:v>
                </c:pt>
                <c:pt idx="136">
                  <c:v>1.5435705246133045E-12</c:v>
                </c:pt>
                <c:pt idx="137">
                  <c:v>1.5435705246133045E-12</c:v>
                </c:pt>
                <c:pt idx="138">
                  <c:v>1.5435705246133045E-12</c:v>
                </c:pt>
                <c:pt idx="139">
                  <c:v>1.5435705246133045E-12</c:v>
                </c:pt>
                <c:pt idx="140">
                  <c:v>1.5435705246133045E-12</c:v>
                </c:pt>
                <c:pt idx="141">
                  <c:v>1.5435705246133045E-12</c:v>
                </c:pt>
                <c:pt idx="142">
                  <c:v>1.5435705246133045E-12</c:v>
                </c:pt>
                <c:pt idx="143">
                  <c:v>1.5435705246133045E-12</c:v>
                </c:pt>
                <c:pt idx="144">
                  <c:v>1.5435705246133045E-12</c:v>
                </c:pt>
                <c:pt idx="145">
                  <c:v>1.5435705246133045E-12</c:v>
                </c:pt>
                <c:pt idx="146">
                  <c:v>1.5435705246133045E-12</c:v>
                </c:pt>
                <c:pt idx="147">
                  <c:v>1.5435705246133045E-12</c:v>
                </c:pt>
                <c:pt idx="148">
                  <c:v>1.5435705246133045E-12</c:v>
                </c:pt>
                <c:pt idx="149">
                  <c:v>1.5435705246133045E-12</c:v>
                </c:pt>
                <c:pt idx="150">
                  <c:v>1.5435705246133045E-12</c:v>
                </c:pt>
                <c:pt idx="151">
                  <c:v>1.5435705246133045E-12</c:v>
                </c:pt>
                <c:pt idx="152">
                  <c:v>1.5435705246133045E-12</c:v>
                </c:pt>
                <c:pt idx="153">
                  <c:v>1.5435705246133045E-12</c:v>
                </c:pt>
                <c:pt idx="154">
                  <c:v>1.5435705246133045E-12</c:v>
                </c:pt>
                <c:pt idx="155">
                  <c:v>1.5435705246133045E-12</c:v>
                </c:pt>
                <c:pt idx="156">
                  <c:v>1.5435705246133045E-12</c:v>
                </c:pt>
                <c:pt idx="157">
                  <c:v>1.5435705246133045E-12</c:v>
                </c:pt>
                <c:pt idx="158">
                  <c:v>1.5435705246133045E-12</c:v>
                </c:pt>
                <c:pt idx="159">
                  <c:v>1.5435705246133045E-12</c:v>
                </c:pt>
                <c:pt idx="160">
                  <c:v>1.5435705246133045E-12</c:v>
                </c:pt>
                <c:pt idx="161">
                  <c:v>1.5435705246133045E-12</c:v>
                </c:pt>
                <c:pt idx="162">
                  <c:v>1.5435705246133045E-12</c:v>
                </c:pt>
                <c:pt idx="163">
                  <c:v>1.5435705246133045E-12</c:v>
                </c:pt>
                <c:pt idx="164">
                  <c:v>1.5435705246133045E-12</c:v>
                </c:pt>
                <c:pt idx="165">
                  <c:v>1.5435705246133045E-12</c:v>
                </c:pt>
                <c:pt idx="166">
                  <c:v>1.5435705246133045E-12</c:v>
                </c:pt>
                <c:pt idx="167">
                  <c:v>1.5435705246133045E-12</c:v>
                </c:pt>
                <c:pt idx="168">
                  <c:v>1.5435705246133045E-12</c:v>
                </c:pt>
                <c:pt idx="169">
                  <c:v>1.5435705246133045E-12</c:v>
                </c:pt>
                <c:pt idx="170">
                  <c:v>1.5435705246133045E-12</c:v>
                </c:pt>
                <c:pt idx="171">
                  <c:v>1.5435705246133045E-12</c:v>
                </c:pt>
                <c:pt idx="172">
                  <c:v>1.5435705246133045E-12</c:v>
                </c:pt>
                <c:pt idx="173">
                  <c:v>1.5435705246133045E-12</c:v>
                </c:pt>
                <c:pt idx="174">
                  <c:v>1.5435705246133045E-12</c:v>
                </c:pt>
                <c:pt idx="175">
                  <c:v>1.5435705246133045E-12</c:v>
                </c:pt>
                <c:pt idx="176">
                  <c:v>1.5435705246133045E-12</c:v>
                </c:pt>
                <c:pt idx="177">
                  <c:v>1.5435705246133045E-12</c:v>
                </c:pt>
                <c:pt idx="178">
                  <c:v>1.5435705246133045E-12</c:v>
                </c:pt>
                <c:pt idx="179">
                  <c:v>1.5435705246133045E-12</c:v>
                </c:pt>
                <c:pt idx="180">
                  <c:v>1.5435705246133045E-12</c:v>
                </c:pt>
                <c:pt idx="181">
                  <c:v>1.5435705246133045E-12</c:v>
                </c:pt>
                <c:pt idx="182">
                  <c:v>1.5435705246133045E-12</c:v>
                </c:pt>
                <c:pt idx="183">
                  <c:v>1.5435705246133045E-12</c:v>
                </c:pt>
                <c:pt idx="184">
                  <c:v>1.5435705246133045E-12</c:v>
                </c:pt>
                <c:pt idx="185">
                  <c:v>1.5435705246133045E-12</c:v>
                </c:pt>
                <c:pt idx="186">
                  <c:v>1.5435705246133045E-12</c:v>
                </c:pt>
                <c:pt idx="187">
                  <c:v>1.5435705246133045E-12</c:v>
                </c:pt>
                <c:pt idx="188">
                  <c:v>1.5435705246133045E-12</c:v>
                </c:pt>
                <c:pt idx="189">
                  <c:v>1.5435705246133045E-12</c:v>
                </c:pt>
                <c:pt idx="190">
                  <c:v>1.5435705246133045E-12</c:v>
                </c:pt>
                <c:pt idx="191">
                  <c:v>1.5435705246133045E-12</c:v>
                </c:pt>
                <c:pt idx="192">
                  <c:v>1.5435705246133045E-12</c:v>
                </c:pt>
                <c:pt idx="193">
                  <c:v>1.5435705246133045E-12</c:v>
                </c:pt>
                <c:pt idx="194">
                  <c:v>1.5435705246133045E-12</c:v>
                </c:pt>
                <c:pt idx="195">
                  <c:v>1.5435705246133045E-12</c:v>
                </c:pt>
                <c:pt idx="196">
                  <c:v>1.5435705246133045E-12</c:v>
                </c:pt>
                <c:pt idx="197">
                  <c:v>1.5435705246133045E-12</c:v>
                </c:pt>
                <c:pt idx="198">
                  <c:v>1.5435705246133045E-12</c:v>
                </c:pt>
                <c:pt idx="199">
                  <c:v>1.5435705246133045E-12</c:v>
                </c:pt>
                <c:pt idx="200">
                  <c:v>1.5435705246133045E-12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1.8917258979789879</c:v>
                </c:pt>
                <c:pt idx="2">
                  <c:v>2.3074540372543173</c:v>
                </c:pt>
                <c:pt idx="3">
                  <c:v>2.8148953385457798</c:v>
                </c:pt>
                <c:pt idx="4">
                  <c:v>3.4343559758792388</c:v>
                </c:pt>
                <c:pt idx="5">
                  <c:v>4.1906533722832648</c:v>
                </c:pt>
                <c:pt idx="6">
                  <c:v>5.1141215864537903</c:v>
                </c:pt>
                <c:pt idx="7">
                  <c:v>6.2418414143326073</c:v>
                </c:pt>
                <c:pt idx="8">
                  <c:v>7.6191455660130769</c:v>
                </c:pt>
                <c:pt idx="9">
                  <c:v>9.3014605920777775</c:v>
                </c:pt>
                <c:pt idx="10">
                  <c:v>11.356561094464588</c:v>
                </c:pt>
                <c:pt idx="11">
                  <c:v>13.86732873992832</c:v>
                </c:pt>
                <c:pt idx="12">
                  <c:v>16.935129403676104</c:v>
                </c:pt>
                <c:pt idx="13">
                  <c:v>20.68394727065299</c:v>
                </c:pt>
                <c:pt idx="14">
                  <c:v>25.26544597144051</c:v>
                </c:pt>
                <c:pt idx="15">
                  <c:v>30.865165127605138</c:v>
                </c:pt>
                <c:pt idx="16">
                  <c:v>37.71010762027948</c:v>
                </c:pt>
                <c:pt idx="17">
                  <c:v>46.078030428938128</c:v>
                </c:pt>
                <c:pt idx="18">
                  <c:v>56.30882241009423</c:v>
                </c:pt>
                <c:pt idx="19">
                  <c:v>68.818438835784079</c:v>
                </c:pt>
                <c:pt idx="20">
                  <c:v>84.115968492471652</c:v>
                </c:pt>
                <c:pt idx="21">
                  <c:v>97.554514250101889</c:v>
                </c:pt>
                <c:pt idx="22">
                  <c:v>110.94698489986827</c:v>
                </c:pt>
                <c:pt idx="23">
                  <c:v>124.29973684178829</c:v>
                </c:pt>
                <c:pt idx="24">
                  <c:v>137.61764410276893</c:v>
                </c:pt>
                <c:pt idx="25">
                  <c:v>150.90455756698671</c:v>
                </c:pt>
                <c:pt idx="26">
                  <c:v>164.16359306202688</c:v>
                </c:pt>
                <c:pt idx="27">
                  <c:v>177.39732107296882</c:v>
                </c:pt>
                <c:pt idx="28">
                  <c:v>190.60789667260721</c:v>
                </c:pt>
                <c:pt idx="29">
                  <c:v>203.79715143595331</c:v>
                </c:pt>
                <c:pt idx="30">
                  <c:v>216.96666025537795</c:v>
                </c:pt>
                <c:pt idx="31">
                  <c:v>178.17503537456423</c:v>
                </c:pt>
                <c:pt idx="32">
                  <c:v>192.4194111275834</c:v>
                </c:pt>
                <c:pt idx="33">
                  <c:v>206.63925413557968</c:v>
                </c:pt>
                <c:pt idx="34">
                  <c:v>220.83649103083067</c:v>
                </c:pt>
                <c:pt idx="35">
                  <c:v>235.01278028177913</c:v>
                </c:pt>
                <c:pt idx="36">
                  <c:v>249.16956379358496</c:v>
                </c:pt>
                <c:pt idx="37">
                  <c:v>263.3081061496967</c:v>
                </c:pt>
                <c:pt idx="38">
                  <c:v>277.42952497301968</c:v>
                </c:pt>
                <c:pt idx="39">
                  <c:v>291.53481477536712</c:v>
                </c:pt>
                <c:pt idx="40">
                  <c:v>305.62486594574432</c:v>
                </c:pt>
                <c:pt idx="41">
                  <c:v>247.49746299241795</c:v>
                </c:pt>
                <c:pt idx="42">
                  <c:v>261.25268017016526</c:v>
                </c:pt>
                <c:pt idx="43">
                  <c:v>274.99154952399925</c:v>
                </c:pt>
                <c:pt idx="44">
                  <c:v>288.71500303129199</c:v>
                </c:pt>
                <c:pt idx="45">
                  <c:v>302.42387680444131</c:v>
                </c:pt>
                <c:pt idx="46">
                  <c:v>316.11892494264958</c:v>
                </c:pt>
                <c:pt idx="47">
                  <c:v>329.80083085635027</c:v>
                </c:pt>
                <c:pt idx="48">
                  <c:v>343.47021661326585</c:v>
                </c:pt>
                <c:pt idx="49">
                  <c:v>357.12765071829648</c:v>
                </c:pt>
                <c:pt idx="50">
                  <c:v>370.7736546407628</c:v>
                </c:pt>
                <c:pt idx="51">
                  <c:v>311.51274483481546</c:v>
                </c:pt>
                <c:pt idx="52">
                  <c:v>323.79259907322466</c:v>
                </c:pt>
                <c:pt idx="53">
                  <c:v>336.06216151622726</c:v>
                </c:pt>
                <c:pt idx="54">
                  <c:v>348.32186095767742</c:v>
                </c:pt>
                <c:pt idx="55">
                  <c:v>360.57209353569027</c:v>
                </c:pt>
                <c:pt idx="56">
                  <c:v>372.81322626817473</c:v>
                </c:pt>
                <c:pt idx="57">
                  <c:v>385.04560009964825</c:v>
                </c:pt>
                <c:pt idx="58">
                  <c:v>397.26953254058282</c:v>
                </c:pt>
                <c:pt idx="59">
                  <c:v>409.48531996489601</c:v>
                </c:pt>
                <c:pt idx="60">
                  <c:v>421.69323961894679</c:v>
                </c:pt>
                <c:pt idx="61">
                  <c:v>369.49879816887756</c:v>
                </c:pt>
                <c:pt idx="62">
                  <c:v>379.69499344441147</c:v>
                </c:pt>
                <c:pt idx="63">
                  <c:v>389.88523246274644</c:v>
                </c:pt>
                <c:pt idx="64">
                  <c:v>400.0696929048429</c:v>
                </c:pt>
                <c:pt idx="65">
                  <c:v>410.2485426639725</c:v>
                </c:pt>
                <c:pt idx="66">
                  <c:v>420.42194061957366</c:v>
                </c:pt>
                <c:pt idx="67">
                  <c:v>430.5900373322807</c:v>
                </c:pt>
                <c:pt idx="68">
                  <c:v>440.75297566986904</c:v>
                </c:pt>
                <c:pt idx="69">
                  <c:v>450.91089137244717</c:v>
                </c:pt>
                <c:pt idx="70">
                  <c:v>461.06391356406112</c:v>
                </c:pt>
                <c:pt idx="71">
                  <c:v>420.42194061957366</c:v>
                </c:pt>
                <c:pt idx="72">
                  <c:v>428.04850220658636</c:v>
                </c:pt>
                <c:pt idx="73">
                  <c:v>435.67214265339436</c:v>
                </c:pt>
                <c:pt idx="74">
                  <c:v>443.29292031429787</c:v>
                </c:pt>
                <c:pt idx="75">
                  <c:v>450.91089137244717</c:v>
                </c:pt>
                <c:pt idx="76">
                  <c:v>458.52610995674212</c:v>
                </c:pt>
                <c:pt idx="77">
                  <c:v>466.13862825055884</c:v>
                </c:pt>
                <c:pt idx="78">
                  <c:v>473.74849659300213</c:v>
                </c:pt>
                <c:pt idx="79">
                  <c:v>481.35576357331178</c:v>
                </c:pt>
                <c:pt idx="80">
                  <c:v>488.96047611898717</c:v>
                </c:pt>
                <c:pt idx="81">
                  <c:v>1.0676332069095257E-12</c:v>
                </c:pt>
                <c:pt idx="82">
                  <c:v>1.0676332069095257E-12</c:v>
                </c:pt>
                <c:pt idx="83">
                  <c:v>1.0676332069095257E-12</c:v>
                </c:pt>
                <c:pt idx="84">
                  <c:v>1.0676332069095257E-12</c:v>
                </c:pt>
                <c:pt idx="85">
                  <c:v>1.0676332069095257E-12</c:v>
                </c:pt>
                <c:pt idx="86">
                  <c:v>1.0676332069095257E-12</c:v>
                </c:pt>
                <c:pt idx="87">
                  <c:v>1.0676332069095257E-12</c:v>
                </c:pt>
                <c:pt idx="88">
                  <c:v>1.0676332069095257E-12</c:v>
                </c:pt>
                <c:pt idx="89">
                  <c:v>1.0676332069095257E-12</c:v>
                </c:pt>
                <c:pt idx="90">
                  <c:v>1.0676332069095257E-12</c:v>
                </c:pt>
                <c:pt idx="91">
                  <c:v>1.0676332069095257E-12</c:v>
                </c:pt>
                <c:pt idx="92">
                  <c:v>1.0676332069095257E-12</c:v>
                </c:pt>
                <c:pt idx="93">
                  <c:v>1.0676332069095257E-12</c:v>
                </c:pt>
                <c:pt idx="94">
                  <c:v>1.0676332069095257E-12</c:v>
                </c:pt>
                <c:pt idx="95">
                  <c:v>1.0676332069095257E-12</c:v>
                </c:pt>
                <c:pt idx="96">
                  <c:v>1.0676332069095257E-12</c:v>
                </c:pt>
                <c:pt idx="97">
                  <c:v>1.0676332069095257E-12</c:v>
                </c:pt>
                <c:pt idx="98">
                  <c:v>1.0676332069095257E-12</c:v>
                </c:pt>
                <c:pt idx="99">
                  <c:v>1.0676332069095257E-12</c:v>
                </c:pt>
                <c:pt idx="100">
                  <c:v>1.0676332069095257E-12</c:v>
                </c:pt>
                <c:pt idx="101">
                  <c:v>1.0676332069095257E-12</c:v>
                </c:pt>
                <c:pt idx="102">
                  <c:v>1.0676332069095257E-12</c:v>
                </c:pt>
                <c:pt idx="103">
                  <c:v>1.0676332069095257E-12</c:v>
                </c:pt>
                <c:pt idx="104">
                  <c:v>1.0676332069095257E-12</c:v>
                </c:pt>
                <c:pt idx="105">
                  <c:v>1.0676332069095257E-12</c:v>
                </c:pt>
                <c:pt idx="106">
                  <c:v>1.0676332069095257E-12</c:v>
                </c:pt>
                <c:pt idx="107">
                  <c:v>1.0676332069095257E-12</c:v>
                </c:pt>
                <c:pt idx="108">
                  <c:v>1.0676332069095257E-12</c:v>
                </c:pt>
                <c:pt idx="109">
                  <c:v>1.0676332069095257E-12</c:v>
                </c:pt>
                <c:pt idx="110">
                  <c:v>1.0676332069095257E-12</c:v>
                </c:pt>
                <c:pt idx="111">
                  <c:v>1.0676332069095257E-12</c:v>
                </c:pt>
                <c:pt idx="112">
                  <c:v>1.0676332069095257E-12</c:v>
                </c:pt>
                <c:pt idx="113">
                  <c:v>1.0676332069095257E-12</c:v>
                </c:pt>
                <c:pt idx="114">
                  <c:v>1.0676332069095257E-12</c:v>
                </c:pt>
                <c:pt idx="115">
                  <c:v>1.0676332069095257E-12</c:v>
                </c:pt>
                <c:pt idx="116">
                  <c:v>1.0676332069095257E-12</c:v>
                </c:pt>
                <c:pt idx="117">
                  <c:v>1.0676332069095257E-12</c:v>
                </c:pt>
                <c:pt idx="118">
                  <c:v>1.0676332069095257E-12</c:v>
                </c:pt>
                <c:pt idx="119">
                  <c:v>1.0676332069095257E-12</c:v>
                </c:pt>
                <c:pt idx="120">
                  <c:v>1.0676332069095257E-12</c:v>
                </c:pt>
                <c:pt idx="121">
                  <c:v>1.0676332069095257E-12</c:v>
                </c:pt>
                <c:pt idx="122">
                  <c:v>1.0676332069095257E-12</c:v>
                </c:pt>
                <c:pt idx="123">
                  <c:v>1.0676332069095257E-12</c:v>
                </c:pt>
                <c:pt idx="124">
                  <c:v>1.0676332069095257E-12</c:v>
                </c:pt>
                <c:pt idx="125">
                  <c:v>1.0676332069095257E-12</c:v>
                </c:pt>
                <c:pt idx="126">
                  <c:v>1.0676332069095257E-12</c:v>
                </c:pt>
                <c:pt idx="127">
                  <c:v>1.0676332069095257E-12</c:v>
                </c:pt>
                <c:pt idx="128">
                  <c:v>1.0676332069095257E-12</c:v>
                </c:pt>
                <c:pt idx="129">
                  <c:v>1.0676332069095257E-12</c:v>
                </c:pt>
                <c:pt idx="130">
                  <c:v>1.0676332069095257E-12</c:v>
                </c:pt>
                <c:pt idx="131">
                  <c:v>1.0676332069095257E-12</c:v>
                </c:pt>
                <c:pt idx="132">
                  <c:v>1.0676332069095257E-12</c:v>
                </c:pt>
                <c:pt idx="133">
                  <c:v>1.0676332069095257E-12</c:v>
                </c:pt>
                <c:pt idx="134">
                  <c:v>1.0676332069095257E-12</c:v>
                </c:pt>
                <c:pt idx="135">
                  <c:v>1.0676332069095257E-12</c:v>
                </c:pt>
                <c:pt idx="136">
                  <c:v>1.0676332069095257E-12</c:v>
                </c:pt>
                <c:pt idx="137">
                  <c:v>1.0676332069095257E-12</c:v>
                </c:pt>
                <c:pt idx="138">
                  <c:v>1.0676332069095257E-12</c:v>
                </c:pt>
                <c:pt idx="139">
                  <c:v>1.0676332069095257E-12</c:v>
                </c:pt>
                <c:pt idx="140">
                  <c:v>1.0676332069095257E-12</c:v>
                </c:pt>
                <c:pt idx="141">
                  <c:v>1.0676332069095257E-12</c:v>
                </c:pt>
                <c:pt idx="142">
                  <c:v>1.0676332069095257E-12</c:v>
                </c:pt>
                <c:pt idx="143">
                  <c:v>1.0676332069095257E-12</c:v>
                </c:pt>
                <c:pt idx="144">
                  <c:v>1.0676332069095257E-12</c:v>
                </c:pt>
                <c:pt idx="145">
                  <c:v>1.0676332069095257E-12</c:v>
                </c:pt>
                <c:pt idx="146">
                  <c:v>1.0676332069095257E-12</c:v>
                </c:pt>
                <c:pt idx="147">
                  <c:v>1.0676332069095257E-12</c:v>
                </c:pt>
                <c:pt idx="148">
                  <c:v>1.0676332069095257E-12</c:v>
                </c:pt>
                <c:pt idx="149">
                  <c:v>1.0676332069095257E-12</c:v>
                </c:pt>
                <c:pt idx="150">
                  <c:v>1.0676332069095257E-12</c:v>
                </c:pt>
                <c:pt idx="151">
                  <c:v>1.0676332069095257E-12</c:v>
                </c:pt>
                <c:pt idx="152">
                  <c:v>1.0676332069095257E-12</c:v>
                </c:pt>
                <c:pt idx="153">
                  <c:v>1.0676332069095257E-12</c:v>
                </c:pt>
                <c:pt idx="154">
                  <c:v>1.0676332069095257E-12</c:v>
                </c:pt>
                <c:pt idx="155">
                  <c:v>1.0676332069095257E-12</c:v>
                </c:pt>
                <c:pt idx="156">
                  <c:v>1.0676332069095257E-12</c:v>
                </c:pt>
                <c:pt idx="157">
                  <c:v>1.0676332069095257E-12</c:v>
                </c:pt>
                <c:pt idx="158">
                  <c:v>1.0676332069095257E-12</c:v>
                </c:pt>
                <c:pt idx="159">
                  <c:v>1.0676332069095257E-12</c:v>
                </c:pt>
                <c:pt idx="160">
                  <c:v>1.0676332069095257E-12</c:v>
                </c:pt>
                <c:pt idx="161">
                  <c:v>1.0676332069095257E-12</c:v>
                </c:pt>
                <c:pt idx="162">
                  <c:v>1.0676332069095257E-12</c:v>
                </c:pt>
                <c:pt idx="163">
                  <c:v>1.0676332069095257E-12</c:v>
                </c:pt>
                <c:pt idx="164">
                  <c:v>1.0676332069095257E-12</c:v>
                </c:pt>
                <c:pt idx="165">
                  <c:v>1.0676332069095257E-12</c:v>
                </c:pt>
                <c:pt idx="166">
                  <c:v>1.0676332069095257E-12</c:v>
                </c:pt>
                <c:pt idx="167">
                  <c:v>1.0676332069095257E-12</c:v>
                </c:pt>
                <c:pt idx="168">
                  <c:v>1.0676332069095257E-12</c:v>
                </c:pt>
                <c:pt idx="169">
                  <c:v>1.0676332069095257E-12</c:v>
                </c:pt>
                <c:pt idx="170">
                  <c:v>1.0676332069095257E-12</c:v>
                </c:pt>
                <c:pt idx="171">
                  <c:v>1.0676332069095257E-12</c:v>
                </c:pt>
                <c:pt idx="172">
                  <c:v>1.0676332069095257E-12</c:v>
                </c:pt>
                <c:pt idx="173">
                  <c:v>1.0676332069095257E-12</c:v>
                </c:pt>
                <c:pt idx="174">
                  <c:v>1.0676332069095257E-12</c:v>
                </c:pt>
                <c:pt idx="175">
                  <c:v>1.0676332069095257E-12</c:v>
                </c:pt>
                <c:pt idx="176">
                  <c:v>1.0676332069095257E-12</c:v>
                </c:pt>
                <c:pt idx="177">
                  <c:v>1.0676332069095257E-12</c:v>
                </c:pt>
                <c:pt idx="178">
                  <c:v>1.0676332069095257E-12</c:v>
                </c:pt>
                <c:pt idx="179">
                  <c:v>1.0676332069095257E-12</c:v>
                </c:pt>
                <c:pt idx="180">
                  <c:v>1.0676332069095257E-12</c:v>
                </c:pt>
                <c:pt idx="181">
                  <c:v>1.0676332069095257E-12</c:v>
                </c:pt>
                <c:pt idx="182">
                  <c:v>1.0676332069095257E-12</c:v>
                </c:pt>
                <c:pt idx="183">
                  <c:v>1.0676332069095257E-12</c:v>
                </c:pt>
                <c:pt idx="184">
                  <c:v>1.0676332069095257E-12</c:v>
                </c:pt>
                <c:pt idx="185">
                  <c:v>1.0676332069095257E-12</c:v>
                </c:pt>
                <c:pt idx="186">
                  <c:v>1.0676332069095257E-12</c:v>
                </c:pt>
                <c:pt idx="187">
                  <c:v>1.0676332069095257E-12</c:v>
                </c:pt>
                <c:pt idx="188">
                  <c:v>1.0676332069095257E-12</c:v>
                </c:pt>
                <c:pt idx="189">
                  <c:v>1.0676332069095257E-12</c:v>
                </c:pt>
                <c:pt idx="190">
                  <c:v>1.0676332069095257E-12</c:v>
                </c:pt>
                <c:pt idx="191">
                  <c:v>1.0676332069095257E-12</c:v>
                </c:pt>
                <c:pt idx="192">
                  <c:v>1.0676332069095257E-12</c:v>
                </c:pt>
                <c:pt idx="193">
                  <c:v>1.0676332069095257E-12</c:v>
                </c:pt>
                <c:pt idx="194">
                  <c:v>1.0676332069095257E-12</c:v>
                </c:pt>
                <c:pt idx="195">
                  <c:v>1.0676332069095257E-12</c:v>
                </c:pt>
                <c:pt idx="196">
                  <c:v>1.0676332069095257E-12</c:v>
                </c:pt>
                <c:pt idx="197">
                  <c:v>1.0676332069095257E-12</c:v>
                </c:pt>
                <c:pt idx="198">
                  <c:v>1.0676332069095257E-12</c:v>
                </c:pt>
                <c:pt idx="199">
                  <c:v>1.0676332069095257E-12</c:v>
                </c:pt>
                <c:pt idx="200">
                  <c:v>1.0676332069095257E-12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62" t="s">
        <v>291</v>
      </c>
      <c r="C12" s="262"/>
      <c r="D12" s="262"/>
      <c r="E12" s="262"/>
      <c r="F12" s="262"/>
      <c r="G12" s="262"/>
      <c r="H12" s="262"/>
      <c r="I12" s="262"/>
      <c r="J12" s="262"/>
      <c r="K12" s="262"/>
      <c r="L12" s="262"/>
      <c r="M12" s="262"/>
    </row>
    <row r="13" spans="2:13" ht="15" customHeight="1" x14ac:dyDescent="0.3">
      <c r="B13" s="262"/>
      <c r="C13" s="262"/>
      <c r="D13" s="262"/>
      <c r="E13" s="262"/>
      <c r="F13" s="262"/>
      <c r="G13" s="262"/>
      <c r="H13" s="262"/>
      <c r="I13" s="262"/>
      <c r="J13" s="262"/>
      <c r="K13" s="262"/>
      <c r="L13" s="262"/>
      <c r="M13" s="262"/>
    </row>
    <row r="14" spans="2:13" ht="15" customHeight="1" x14ac:dyDescent="0.3">
      <c r="B14" s="262"/>
      <c r="C14" s="262"/>
      <c r="D14" s="262"/>
      <c r="E14" s="262"/>
      <c r="F14" s="262"/>
      <c r="G14" s="262"/>
      <c r="H14" s="262"/>
      <c r="I14" s="262"/>
      <c r="J14" s="262"/>
      <c r="K14" s="262"/>
      <c r="L14" s="262"/>
      <c r="M14" s="262"/>
    </row>
    <row r="15" spans="2:13" ht="18.75" customHeight="1" x14ac:dyDescent="0.3">
      <c r="B15" s="262"/>
      <c r="C15" s="262"/>
      <c r="D15" s="262"/>
      <c r="E15" s="262"/>
      <c r="F15" s="262"/>
      <c r="G15" s="262"/>
      <c r="H15" s="262"/>
      <c r="I15" s="262"/>
      <c r="J15" s="262"/>
      <c r="K15" s="262"/>
      <c r="L15" s="262"/>
      <c r="M15" s="262"/>
    </row>
    <row r="16" spans="2:13" ht="18.75" customHeight="1" x14ac:dyDescent="0.3">
      <c r="B16" s="262"/>
      <c r="C16" s="262"/>
      <c r="D16" s="262"/>
      <c r="E16" s="262"/>
      <c r="F16" s="262"/>
      <c r="G16" s="262"/>
      <c r="H16" s="262"/>
      <c r="I16" s="262"/>
      <c r="J16" s="262"/>
      <c r="K16" s="262"/>
      <c r="L16" s="262"/>
      <c r="M16" s="262"/>
    </row>
    <row r="18" spans="2:13" ht="12" customHeight="1" x14ac:dyDescent="0.3">
      <c r="B18" s="262" t="s">
        <v>292</v>
      </c>
      <c r="C18" s="262"/>
      <c r="D18" s="262"/>
      <c r="E18" s="262"/>
      <c r="F18" s="262"/>
      <c r="G18" s="262"/>
      <c r="H18" s="262"/>
      <c r="I18" s="262"/>
      <c r="J18" s="262"/>
      <c r="K18" s="262"/>
      <c r="L18" s="262"/>
      <c r="M18" s="262"/>
    </row>
    <row r="19" spans="2:13" ht="12" customHeight="1" x14ac:dyDescent="0.3">
      <c r="B19" s="262"/>
      <c r="C19" s="262"/>
      <c r="D19" s="262"/>
      <c r="E19" s="262"/>
      <c r="F19" s="262"/>
      <c r="G19" s="262"/>
      <c r="H19" s="262"/>
      <c r="I19" s="262"/>
      <c r="J19" s="262"/>
      <c r="K19" s="262"/>
      <c r="L19" s="262"/>
      <c r="M19" s="262"/>
    </row>
    <row r="20" spans="2:13" ht="12" customHeight="1" x14ac:dyDescent="0.3">
      <c r="B20" s="262"/>
      <c r="C20" s="262"/>
      <c r="D20" s="262"/>
      <c r="E20" s="262"/>
      <c r="F20" s="262"/>
      <c r="G20" s="262"/>
      <c r="H20" s="262"/>
      <c r="I20" s="262"/>
      <c r="J20" s="262"/>
      <c r="K20" s="262"/>
      <c r="L20" s="262"/>
      <c r="M20" s="262"/>
    </row>
    <row r="21" spans="2:13" ht="12" customHeight="1" x14ac:dyDescent="0.3">
      <c r="B21" s="262"/>
      <c r="C21" s="262"/>
      <c r="D21" s="262"/>
      <c r="E21" s="262"/>
      <c r="F21" s="262"/>
      <c r="G21" s="262"/>
      <c r="H21" s="262"/>
      <c r="I21" s="262"/>
      <c r="J21" s="262"/>
      <c r="K21" s="262"/>
      <c r="L21" s="262"/>
      <c r="M21" s="262"/>
    </row>
    <row r="22" spans="2:13" ht="12" customHeight="1" x14ac:dyDescent="0.3">
      <c r="B22" s="262"/>
      <c r="C22" s="262"/>
      <c r="D22" s="262"/>
      <c r="E22" s="262"/>
      <c r="F22" s="262"/>
      <c r="G22" s="262"/>
      <c r="H22" s="262"/>
      <c r="I22" s="262"/>
      <c r="J22" s="262"/>
      <c r="K22" s="262"/>
      <c r="L22" s="262"/>
      <c r="M22" s="262"/>
    </row>
    <row r="23" spans="2:13" ht="12" customHeight="1" x14ac:dyDescent="0.3">
      <c r="B23" s="262"/>
      <c r="C23" s="262"/>
      <c r="D23" s="262"/>
      <c r="E23" s="262"/>
      <c r="F23" s="262"/>
      <c r="G23" s="262"/>
      <c r="H23" s="262"/>
      <c r="I23" s="262"/>
      <c r="J23" s="262"/>
      <c r="K23" s="262"/>
      <c r="L23" s="262"/>
      <c r="M23" s="262"/>
    </row>
    <row r="24" spans="2:13" ht="12" customHeight="1" x14ac:dyDescent="0.3">
      <c r="B24" s="262"/>
      <c r="C24" s="262"/>
      <c r="D24" s="262"/>
      <c r="E24" s="262"/>
      <c r="F24" s="262"/>
      <c r="G24" s="262"/>
      <c r="H24" s="262"/>
      <c r="I24" s="262"/>
      <c r="J24" s="262"/>
      <c r="K24" s="262"/>
      <c r="L24" s="262"/>
      <c r="M24" s="262"/>
    </row>
    <row r="25" spans="2:13" ht="12" customHeight="1" x14ac:dyDescent="0.3">
      <c r="B25" s="262"/>
      <c r="C25" s="262"/>
      <c r="D25" s="262"/>
      <c r="E25" s="262"/>
      <c r="F25" s="262"/>
      <c r="G25" s="262"/>
      <c r="H25" s="262"/>
      <c r="I25" s="262"/>
      <c r="J25" s="262"/>
      <c r="K25" s="262"/>
      <c r="L25" s="262"/>
      <c r="M25" s="262"/>
    </row>
    <row r="26" spans="2:13" ht="12" customHeight="1" x14ac:dyDescent="0.3">
      <c r="B26" s="262"/>
      <c r="C26" s="262"/>
      <c r="D26" s="262"/>
      <c r="E26" s="262"/>
      <c r="F26" s="262"/>
      <c r="G26" s="262"/>
      <c r="H26" s="262"/>
      <c r="I26" s="262"/>
      <c r="J26" s="262"/>
      <c r="K26" s="262"/>
      <c r="L26" s="262"/>
      <c r="M26" s="262"/>
    </row>
    <row r="27" spans="2:13" ht="12" customHeight="1" x14ac:dyDescent="0.3">
      <c r="B27" s="262"/>
      <c r="C27" s="262"/>
      <c r="D27" s="262"/>
      <c r="E27" s="262"/>
      <c r="F27" s="262"/>
      <c r="G27" s="262"/>
      <c r="H27" s="262"/>
      <c r="I27" s="262"/>
      <c r="J27" s="262"/>
      <c r="K27" s="262"/>
      <c r="L27" s="262"/>
      <c r="M27" s="262"/>
    </row>
    <row r="28" spans="2:13" ht="12" customHeight="1" x14ac:dyDescent="0.3">
      <c r="B28" s="262"/>
      <c r="C28" s="262"/>
      <c r="D28" s="262"/>
      <c r="E28" s="262"/>
      <c r="F28" s="262"/>
      <c r="G28" s="262"/>
      <c r="H28" s="262"/>
      <c r="I28" s="262"/>
      <c r="J28" s="262"/>
      <c r="K28" s="262"/>
      <c r="L28" s="262"/>
      <c r="M28" s="262"/>
    </row>
    <row r="29" spans="2:13" ht="12" customHeight="1" x14ac:dyDescent="0.3">
      <c r="B29" s="262"/>
      <c r="C29" s="262"/>
      <c r="D29" s="262"/>
      <c r="E29" s="262"/>
      <c r="F29" s="262"/>
      <c r="G29" s="262"/>
      <c r="H29" s="262"/>
      <c r="I29" s="262"/>
      <c r="J29" s="262"/>
      <c r="K29" s="262"/>
      <c r="L29" s="262"/>
      <c r="M29" s="262"/>
    </row>
    <row r="30" spans="2:13" ht="12" customHeight="1" x14ac:dyDescent="0.3">
      <c r="B30" s="262"/>
      <c r="C30" s="262"/>
      <c r="D30" s="262"/>
      <c r="E30" s="262"/>
      <c r="F30" s="262"/>
      <c r="G30" s="262"/>
      <c r="H30" s="262"/>
      <c r="I30" s="262"/>
      <c r="J30" s="262"/>
      <c r="K30" s="262"/>
      <c r="L30" s="262"/>
      <c r="M30" s="262"/>
    </row>
    <row r="31" spans="2:13" ht="12" customHeight="1" x14ac:dyDescent="0.3">
      <c r="B31" s="262"/>
      <c r="C31" s="262"/>
      <c r="D31" s="262"/>
      <c r="E31" s="262"/>
      <c r="F31" s="262"/>
      <c r="G31" s="262"/>
      <c r="H31" s="262"/>
      <c r="I31" s="262"/>
      <c r="J31" s="262"/>
      <c r="K31" s="262"/>
      <c r="L31" s="262"/>
      <c r="M31" s="26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64" t="s">
        <v>191</v>
      </c>
      <c r="C2" s="265"/>
      <c r="D2" s="265"/>
      <c r="E2" s="265"/>
      <c r="F2" s="265"/>
      <c r="G2" s="266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63"/>
      <c r="C4" s="263"/>
      <c r="D4" s="263"/>
      <c r="E4" s="263"/>
      <c r="F4" s="263"/>
      <c r="G4" s="263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0" t="s">
        <v>176</v>
      </c>
      <c r="C1" s="271"/>
      <c r="D1" s="271"/>
      <c r="E1" s="271"/>
      <c r="F1" s="271"/>
      <c r="G1" s="271"/>
      <c r="H1" s="272"/>
      <c r="I1" s="267" t="str">
        <f>IF('Données projet'!$B$9="","",'Données projet'!$B$9)</f>
        <v>Douglas</v>
      </c>
      <c r="J1" s="268"/>
      <c r="K1" s="268"/>
      <c r="L1" s="268"/>
      <c r="M1" s="268"/>
      <c r="N1" s="268"/>
      <c r="O1" s="268"/>
      <c r="P1" s="268"/>
      <c r="Q1" s="268"/>
      <c r="R1" s="268"/>
      <c r="S1" s="268"/>
      <c r="T1" s="268"/>
      <c r="U1" s="268"/>
      <c r="V1" s="268"/>
      <c r="W1" s="268"/>
      <c r="X1" s="268"/>
      <c r="Y1" s="268"/>
      <c r="Z1" s="268"/>
      <c r="AA1" s="268"/>
      <c r="AB1" s="268"/>
      <c r="AC1" s="269"/>
      <c r="AD1" s="268" t="str">
        <f>IF('Données projet'!$B$10="","",'Données projet'!$B$10)</f>
        <v>Chêne rouge d'Amérique</v>
      </c>
      <c r="AE1" s="268"/>
      <c r="AF1" s="268"/>
      <c r="AG1" s="268"/>
      <c r="AH1" s="268"/>
      <c r="AI1" s="268"/>
      <c r="AJ1" s="268"/>
      <c r="AK1" s="268"/>
      <c r="AL1" s="268"/>
      <c r="AM1" s="268"/>
      <c r="AN1" s="268"/>
      <c r="AO1" s="268"/>
      <c r="AP1" s="268"/>
      <c r="AQ1" s="268"/>
      <c r="AR1" s="268"/>
      <c r="AS1" s="268"/>
      <c r="AT1" s="268"/>
      <c r="AU1" s="268"/>
      <c r="AV1" s="268"/>
      <c r="AW1" s="268"/>
      <c r="AX1" s="269"/>
      <c r="AY1" s="267" t="str">
        <f>IF('Données projet'!$B$11="","",'Données projet'!$B$11)</f>
        <v>Chêne sessile</v>
      </c>
      <c r="AZ1" s="268"/>
      <c r="BA1" s="268"/>
      <c r="BB1" s="268"/>
      <c r="BC1" s="268"/>
      <c r="BD1" s="268"/>
      <c r="BE1" s="268"/>
      <c r="BF1" s="268"/>
      <c r="BG1" s="268"/>
      <c r="BH1" s="268"/>
      <c r="BI1" s="268"/>
      <c r="BJ1" s="268"/>
      <c r="BK1" s="268"/>
      <c r="BL1" s="268"/>
      <c r="BM1" s="268"/>
      <c r="BN1" s="268"/>
      <c r="BO1" s="268"/>
      <c r="BP1" s="268"/>
      <c r="BQ1" s="268"/>
      <c r="BR1" s="268"/>
      <c r="BS1" s="269"/>
      <c r="BT1" s="267" t="str">
        <f>IF('Données projet'!$B$12="","",'Données projet'!$B$12)</f>
        <v>Chêne pubescent</v>
      </c>
      <c r="BU1" s="268"/>
      <c r="BV1" s="268"/>
      <c r="BW1" s="268"/>
      <c r="BX1" s="268"/>
      <c r="BY1" s="268"/>
      <c r="BZ1" s="268"/>
      <c r="CA1" s="268"/>
      <c r="CB1" s="268"/>
      <c r="CC1" s="268"/>
      <c r="CD1" s="268"/>
      <c r="CE1" s="268"/>
      <c r="CF1" s="268"/>
      <c r="CG1" s="268"/>
      <c r="CH1" s="268"/>
      <c r="CI1" s="268"/>
      <c r="CJ1" s="268"/>
      <c r="CK1" s="268"/>
      <c r="CL1" s="268"/>
      <c r="CM1" s="268"/>
      <c r="CN1" s="269"/>
      <c r="CO1" s="267" t="str">
        <f>IF('Données projet'!$B$13="","",'Données projet'!$B$13)</f>
        <v>Erable sycomore</v>
      </c>
      <c r="CP1" s="268"/>
      <c r="CQ1" s="268"/>
      <c r="CR1" s="268"/>
      <c r="CS1" s="268"/>
      <c r="CT1" s="268"/>
      <c r="CU1" s="268"/>
      <c r="CV1" s="268"/>
      <c r="CW1" s="268"/>
      <c r="CX1" s="268"/>
      <c r="CY1" s="268"/>
      <c r="CZ1" s="268"/>
      <c r="DA1" s="268"/>
      <c r="DB1" s="268"/>
      <c r="DC1" s="268"/>
      <c r="DD1" s="268"/>
      <c r="DE1" s="268"/>
      <c r="DF1" s="268"/>
      <c r="DG1" s="268"/>
      <c r="DH1" s="268"/>
      <c r="DI1" s="269"/>
      <c r="DJ1" s="267" t="str">
        <f>IF('Données projet'!$B$14="","",'Données projet'!$B$14)</f>
        <v>Pin laricio</v>
      </c>
      <c r="DK1" s="268"/>
      <c r="DL1" s="268"/>
      <c r="DM1" s="268"/>
      <c r="DN1" s="268"/>
      <c r="DO1" s="268"/>
      <c r="DP1" s="268"/>
      <c r="DQ1" s="268"/>
      <c r="DR1" s="268"/>
      <c r="DS1" s="268"/>
      <c r="DT1" s="268"/>
      <c r="DU1" s="268"/>
      <c r="DV1" s="268"/>
      <c r="DW1" s="268"/>
      <c r="DX1" s="268"/>
      <c r="DY1" s="268"/>
      <c r="DZ1" s="268"/>
      <c r="EA1" s="268"/>
      <c r="EB1" s="268"/>
      <c r="EC1" s="268"/>
      <c r="ED1" s="269"/>
      <c r="EE1" s="267" t="str">
        <f>IF('Données projet'!$B$15="","",'Données projet'!$B$15)</f>
        <v>Merisier</v>
      </c>
      <c r="EF1" s="268"/>
      <c r="EG1" s="268"/>
      <c r="EH1" s="268"/>
      <c r="EI1" s="268"/>
      <c r="EJ1" s="268"/>
      <c r="EK1" s="268"/>
      <c r="EL1" s="268"/>
      <c r="EM1" s="268"/>
      <c r="EN1" s="268"/>
      <c r="EO1" s="268"/>
      <c r="EP1" s="268"/>
      <c r="EQ1" s="268"/>
      <c r="ER1" s="268"/>
      <c r="ES1" s="268"/>
      <c r="ET1" s="268"/>
      <c r="EU1" s="268"/>
      <c r="EV1" s="268"/>
      <c r="EW1" s="268"/>
      <c r="EX1" s="268"/>
      <c r="EY1" s="269"/>
      <c r="EZ1" s="267" t="str">
        <f>IF('Données projet'!$B$16="","",'Données projet'!$B$16)</f>
        <v>Robinier faux-acacia</v>
      </c>
      <c r="FA1" s="268"/>
      <c r="FB1" s="268"/>
      <c r="FC1" s="268"/>
      <c r="FD1" s="268"/>
      <c r="FE1" s="268"/>
      <c r="FF1" s="268"/>
      <c r="FG1" s="268"/>
      <c r="FH1" s="268"/>
      <c r="FI1" s="268"/>
      <c r="FJ1" s="268"/>
      <c r="FK1" s="268"/>
      <c r="FL1" s="268"/>
      <c r="FM1" s="268"/>
      <c r="FN1" s="268"/>
      <c r="FO1" s="268"/>
      <c r="FP1" s="268"/>
      <c r="FQ1" s="268"/>
      <c r="FR1" s="268"/>
      <c r="FS1" s="268"/>
      <c r="FT1" s="269"/>
      <c r="FU1" s="267" t="str">
        <f>IF('Données projet'!$B$17="","",'Données projet'!$B$17)</f>
        <v>Pin laricio</v>
      </c>
      <c r="FV1" s="268"/>
      <c r="FW1" s="268"/>
      <c r="FX1" s="268"/>
      <c r="FY1" s="268"/>
      <c r="FZ1" s="268"/>
      <c r="GA1" s="268"/>
      <c r="GB1" s="268"/>
      <c r="GC1" s="268"/>
      <c r="GD1" s="268"/>
      <c r="GE1" s="268"/>
      <c r="GF1" s="268"/>
      <c r="GG1" s="268"/>
      <c r="GH1" s="268"/>
      <c r="GI1" s="268"/>
      <c r="GJ1" s="268"/>
      <c r="GK1" s="268"/>
      <c r="GL1" s="268"/>
      <c r="GM1" s="268"/>
      <c r="GN1" s="268"/>
      <c r="GO1" s="269"/>
      <c r="GP1" s="267" t="str">
        <f>IF('Données projet'!$B$18="","",'Données projet'!$B$18)</f>
        <v/>
      </c>
      <c r="GQ1" s="268"/>
      <c r="GR1" s="268"/>
      <c r="GS1" s="268"/>
      <c r="GT1" s="268"/>
      <c r="GU1" s="268"/>
      <c r="GV1" s="268"/>
      <c r="GW1" s="268"/>
      <c r="GX1" s="268"/>
      <c r="GY1" s="268"/>
      <c r="GZ1" s="268"/>
      <c r="HA1" s="268"/>
      <c r="HB1" s="268"/>
      <c r="HC1" s="268"/>
      <c r="HD1" s="268"/>
      <c r="HE1" s="268"/>
      <c r="HF1" s="268"/>
      <c r="HG1" s="268"/>
      <c r="HH1" s="268"/>
      <c r="HI1" s="268"/>
      <c r="HJ1" s="269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235.10258076192054</v>
      </c>
      <c r="T3" s="59">
        <f>IF('Données projet'!E9&gt;30,$R$33-$H$33,LOOKUP('Données projet'!$E$9,$A$3:$A$203,R3:R203)-LOOKUP('Données projet'!$E$9,$A$3:$A$203,$H$3:$H$203))</f>
        <v>233.47316052603765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191.94797389630673</v>
      </c>
      <c r="AO3" s="59">
        <f>IF('Données projet'!E10&gt;30,$AM$33-$H$33,LOOKUP('Données projet'!$E$10,$A$3:$A$203,AM3:AM203)-LOOKUP('Données projet'!$E$10,$A$3:$A$203,$H$3:$H$203))</f>
        <v>273.52540822767878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138.8931001150624</v>
      </c>
      <c r="BJ3" s="59">
        <f>IF('Données projet'!E11&gt;30,$BH$33-$H$33,LOOKUP('Données projet'!$E$11,$A$3:$A$203,BH3:BH203)-LOOKUP('Données projet'!$E$11,$A$3:$A$203,$H$3:$H$203))</f>
        <v>48.964659354096625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169.2757878405003</v>
      </c>
      <c r="CE3" s="59">
        <f>IF('Données projet'!E12&gt;30,$CC$33-$H$33,LOOKUP('Données projet'!$E$12,$A$3:$A$203,CC3:CC203)-LOOKUP('Données projet'!$E$12,$A$3:$A$203,$H$3:$H$203))</f>
        <v>61.876502626609977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>
        <f>CT3*VLOOKUP('Données projet'!$B$13,Paramètres!$A$1:$I$89,3,0)*VLOOKUP('Données projet'!$B$13,Paramètres!$A$1:$I$89,5,0)</f>
        <v>0</v>
      </c>
      <c r="CV3" s="12">
        <v>0</v>
      </c>
      <c r="CW3" s="14">
        <f>(CU3+CV3)*0.475*44/12</f>
        <v>0</v>
      </c>
      <c r="CX3" s="59">
        <f>CW3+(CO3+CP3)*44/12</f>
        <v>293.33333333333331</v>
      </c>
      <c r="CY3" s="59">
        <f ca="1">AVERAGE(OFFSET($CX$3,0,0,'Données projet'!$E$13+1,1))-AVERAGE(OFFSET($H$3,0,0,'Données projet'!$E$13+1,1))</f>
        <v>141.12810728817544</v>
      </c>
      <c r="CZ3" s="59">
        <f>IF('Données projet'!E13&gt;30,$CX$33-$H$33,LOOKUP('Données projet'!$E$13,$A$3:$A$203,CX3:CX203)-LOOKUP('Données projet'!$E$13,$A$3:$A$203,$H$3:$H$203))</f>
        <v>176.01405805137551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>
        <f>DO3*VLOOKUP('Données projet'!$B$14,Paramètres!$A$1:$I$89,3,0)*VLOOKUP('Données projet'!$B$14,Paramètres!$A$1:$I$89,5,0)</f>
        <v>0</v>
      </c>
      <c r="DQ3" s="12">
        <v>0</v>
      </c>
      <c r="DR3" s="14">
        <f>(DP3+DQ3)*0.475*44/12</f>
        <v>0</v>
      </c>
      <c r="DS3" s="59">
        <f>DR3+(DJ3+DK3)*44/12</f>
        <v>293.33333333333331</v>
      </c>
      <c r="DT3" s="59">
        <f ca="1">AVERAGE(OFFSET($DS$3,0,0,'Données projet'!$E$14+1,1))-AVERAGE(OFFSET($H$3,0,0,'Données projet'!$E$14+1,1))</f>
        <v>165.39579887388538</v>
      </c>
      <c r="DU3" s="59">
        <f>IF('Données projet'!E14&gt;30,$DS$33-$H$33,LOOKUP('Données projet'!$E$14,$A$3:$A$203,DS3:DS203)-LOOKUP('Données projet'!$E$14,$A$3:$A$203,$H$3:$H$203))</f>
        <v>155.89639262545802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>
        <f>EJ3*VLOOKUP('Données projet'!$B$15,Paramètres!$A$1:$I$89,3,0)*VLOOKUP('Données projet'!$B$15,Paramètres!$A$1:$I$89,5,0)</f>
        <v>0</v>
      </c>
      <c r="EL3" s="12">
        <v>0</v>
      </c>
      <c r="EM3" s="14">
        <f>(EK3+EL3)*0.475*44/12</f>
        <v>0</v>
      </c>
      <c r="EN3" s="59">
        <f>EM3+(EE3+EF3)*44/12</f>
        <v>293.33333333333331</v>
      </c>
      <c r="EO3" s="59">
        <f ca="1">AVERAGE(OFFSET($EN$3,0,0,'Données projet'!$E$15+1,1))-AVERAGE(OFFSET($H$3,0,0,'Données projet'!$E$15+1,1))</f>
        <v>104.07220236158577</v>
      </c>
      <c r="EP3" s="59">
        <f>IF('Données projet'!E15&gt;30,$EN$33-$H$33,LOOKUP('Données projet'!$E$15,$A$3:$A$203,EN3:EN203)-LOOKUP('Données projet'!$E$15,$A$3:$A$203,$H$3:$H$203))</f>
        <v>34.162068257911756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>
        <f>FE3*VLOOKUP('Données projet'!$B$16,Paramètres!$A$1:$I$89,3,0)*VLOOKUP('Données projet'!$B$16,Paramètres!$A$1:$I$89,5,0)</f>
        <v>0</v>
      </c>
      <c r="FG3" s="12">
        <v>0</v>
      </c>
      <c r="FH3" s="14">
        <f>(FF3+FG3)*0.475*44/12</f>
        <v>0</v>
      </c>
      <c r="FI3" s="59">
        <f>FH3+(EZ3+FA3)*44/12</f>
        <v>293.33333333333331</v>
      </c>
      <c r="FJ3" s="59">
        <f ca="1">AVERAGE(OFFSET($FI$3,0,0,'Données projet'!$E$16+1,1))-AVERAGE(OFFSET($H$3,0,0,'Données projet'!$E$16+1,1))</f>
        <v>179.50097986986123</v>
      </c>
      <c r="FK3" s="59">
        <f>IF('Données projet'!E16&gt;30,$FI$33-$H$33,LOOKUP('Données projet'!$E$16,$A$3:$A$203,FI3:FI203)-LOOKUP('Données projet'!$E$16,$A$3:$A$203,$H$3:$H$203))</f>
        <v>287.11838730637578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>
        <f>FZ3*VLOOKUP('Données projet'!$B$17,Paramètres!$A$1:$I$89,3,0)*VLOOKUP('Données projet'!$B$17,Paramètres!$A$1:$I$89,5,0)</f>
        <v>0</v>
      </c>
      <c r="GB3" s="12">
        <v>0</v>
      </c>
      <c r="GC3" s="14">
        <f>(GA3+GB3)*0.475*44/12</f>
        <v>0</v>
      </c>
      <c r="GD3" s="59">
        <f>GC3+(FU3+FV3)*44/12</f>
        <v>293.33333333333331</v>
      </c>
      <c r="GE3" s="59">
        <f ca="1">AVERAGE(OFFSET($GD$3,0,0,'Données projet'!$E$17+1,1))-AVERAGE(OFFSET($H$3,0,0,'Données projet'!$E$17+1,1))</f>
        <v>165.39579887388538</v>
      </c>
      <c r="GF3" s="59">
        <f>IF('Données projet'!E17&gt;30,$GD$33-$H$33,LOOKUP('Données projet'!$E$17,$A$3:$A$203,GD3:GD203)-LOOKUP('Données projet'!$E$17,$A$3:$A$203,$H$3:$H$203))</f>
        <v>155.89639262545802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2.1333333333333333</v>
      </c>
      <c r="N4" s="13">
        <f>IF('Données projet'!$A$36&gt;35,N3+M4-V3,IF(A4&lt;'Données projet'!$A$36,$K$205^A4,IF(A4='Données projet'!$A$36,'Données projet'!$B$36,N3+M4-V3)))</f>
        <v>1.2599210498948732</v>
      </c>
      <c r="O4" s="13">
        <f>N4*VLOOKUP('Données projet'!$B$9,Paramètres!$A$1:$I$89,3,0)*VLOOKUP('Données projet'!$B$9,Paramètres!$A$1:$I$89,5,0)</f>
        <v>0.70429586689123413</v>
      </c>
      <c r="P4" s="13">
        <f>EXP(-1.0587+0.8836*LN(O4)+0.284)</f>
        <v>0.33808702695309084</v>
      </c>
      <c r="Q4" s="20">
        <f t="shared" ref="Q4:Q34" si="2">(O4+P4)*0.475*44/12</f>
        <v>1.8154835401121989</v>
      </c>
      <c r="R4" s="59">
        <f t="shared" si="0"/>
        <v>295.14881687344553</v>
      </c>
      <c r="S4" s="59">
        <f ca="1">AVERAGE(OFFSET($R$3,0,0,'Données projet'!$E$9+1,1))-AVERAGE(OFFSET($H$3,0,0,'Données projet'!$E$9+1,1))</f>
        <v>235.10258076192054</v>
      </c>
      <c r="T4" s="59">
        <f>$T$3</f>
        <v>233.47316052603765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5.25</v>
      </c>
      <c r="AI4" s="13">
        <f>IF('Données projet'!$A$62&gt;35,AI3+AH4-AQ3,IF(A4&lt;'Données projet'!$A$62,$AF$205^A4,IF(A4='Données projet'!$A$62,'Données projet'!$B$62,AI3+AH4-AQ3)))</f>
        <v>1.2620003197767753</v>
      </c>
      <c r="AJ4" s="13">
        <f>AI4*VLOOKUP('Données projet'!$B$10,Paramètres!$A$1:$I$89,3,0)*VLOOKUP('Données projet'!$B$10,Paramètres!$A$1:$I$89,5,0)</f>
        <v>1.1024834793569909</v>
      </c>
      <c r="AK4" s="13">
        <f>EXP(-1.0587+0.8836*LN(AJ4)+0.284)</f>
        <v>0.50233338685937634</v>
      </c>
      <c r="AL4" s="20">
        <f t="shared" ref="AL4:AL67" si="4">(AJ4+AK4)*0.475*44/12</f>
        <v>2.7950560419935062</v>
      </c>
      <c r="AM4" s="59">
        <f t="shared" ref="AM4:AM67" si="5">AL4+(AD4+AE4)*44/12</f>
        <v>296.12838937532683</v>
      </c>
      <c r="AN4" s="59">
        <f ca="1">AVERAGE(OFFSET($AM$3,0,0,'Données projet'!$E$10+1,1))-AVERAGE(OFFSET($H$3,0,0,'Données projet'!$E$10+1,1))</f>
        <v>191.94797389630673</v>
      </c>
      <c r="AO4" s="59">
        <f>$AO$3</f>
        <v>273.52540822767878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1.2</v>
      </c>
      <c r="BD4" s="12">
        <f>IF('Données projet'!$A$88&gt;35,BD3+BC4-BL3,IF(A4&lt;'Données projet'!$A$88,$BA$205^A4,IF(A4='Données projet'!$A$88,'Données projet'!$B$88,BD3+BC4-BL3)))</f>
        <v>1.1457367676485573</v>
      </c>
      <c r="BE4" s="13">
        <f>BD4*VLOOKUP('Données projet'!$B$11,Paramètres!$A$1:$I$89,3,0)*VLOOKUP('Données projet'!$B$11,Paramètres!$A$1:$I$89,5,0)</f>
        <v>1.0366626273684145</v>
      </c>
      <c r="BF4" s="13">
        <f>EXP(-1.0587+0.8836*LN(BE4)+0.284)</f>
        <v>0.47573960617002853</v>
      </c>
      <c r="BG4" s="20">
        <f t="shared" ref="BG4:BG67" si="7">(BE4+BF4)*0.475*44/12</f>
        <v>2.6341005567461218</v>
      </c>
      <c r="BH4" s="59">
        <f t="shared" ref="BH4:BH67" si="8">BG4+(AY4+AZ4)*44/12</f>
        <v>295.96743389007946</v>
      </c>
      <c r="BI4" s="59">
        <f ca="1">AVERAGE(OFFSET($BH$3,0,0,'Données projet'!$E$11+1,1))-AVERAGE(OFFSET($H$3,0,0,'Données projet'!$E$11+1,1))</f>
        <v>138.8931001150624</v>
      </c>
      <c r="BJ4" s="59">
        <f>$BJ$3</f>
        <v>48.964659354096625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1.1457367676485573</v>
      </c>
      <c r="BZ4" s="13">
        <f>BY4*VLOOKUP('Données projet'!$B$12,Paramètres!$A$1:$I$89,3,0)*VLOOKUP('Données projet'!$B$12,Paramètres!$A$1:$I$89,5,0)</f>
        <v>1.161777082395637</v>
      </c>
      <c r="CA4" s="13">
        <f>EXP(-1.0587+0.8836*LN(BZ4)+0.284)</f>
        <v>0.52613182870286601</v>
      </c>
      <c r="CB4" s="20">
        <f t="shared" ref="CB4:CB67" si="10">(BZ4+CA4)*0.475*44/12</f>
        <v>2.9397746868298928</v>
      </c>
      <c r="CC4" s="59">
        <f t="shared" ref="CC4:CC67" si="11">CB4+(BT4+BU4)*44/12</f>
        <v>296.27310802016319</v>
      </c>
      <c r="CD4" s="59">
        <f ca="1">AVERAGE(OFFSET($CC$3,0,0,'Données projet'!$E$12+1,1))-AVERAGE(OFFSET($H$3,0,0,'Données projet'!$E$12+1,1))</f>
        <v>169.2757878405003</v>
      </c>
      <c r="CE4" s="59">
        <f>$CE$3</f>
        <v>61.876502626609977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2.85</v>
      </c>
      <c r="CT4" s="12">
        <f>IF('Données projet'!$A$140&gt;35,CT3+CS4-DB3,IF(A4&lt;'Données projet'!$A$140,$CQ$205^A4,IF(A4='Données projet'!$A$140,'Données projet'!$B$140,CT3+CS4-DB3)))</f>
        <v>1.2240347367580502</v>
      </c>
      <c r="CU4" s="17">
        <f>CT4*VLOOKUP('Données projet'!$B$13,Paramètres!$A$1:$I$89,3,0)*VLOOKUP('Données projet'!$B$13,Paramètres!$A$1:$I$89,5,0)</f>
        <v>0.9738420365647048</v>
      </c>
      <c r="CV4" s="13">
        <f>EXP(-1.0587+0.8836*LN(CU4)+0.284)</f>
        <v>0.45017411421054321</v>
      </c>
      <c r="CW4" s="20">
        <f t="shared" ref="CW4:CW67" si="13">(CU4+CV4)*0.475*44/12</f>
        <v>2.4801614626002233</v>
      </c>
      <c r="CX4" s="59">
        <f t="shared" ref="CX4:CX67" si="14">CW4+(CO4+CP4)*44/12</f>
        <v>295.81349479593354</v>
      </c>
      <c r="CY4" s="59">
        <f ca="1">AVERAGE(OFFSET($CX$3,0,0,'Données projet'!$E$13+1,1))-AVERAGE(OFFSET($H$3,0,0,'Données projet'!$E$13+1,1))</f>
        <v>141.12810728817544</v>
      </c>
      <c r="CZ4" s="59">
        <f>$CZ$3</f>
        <v>176.01405805137551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>
        <f>EXP(-LN(2)/35)*DF3+(1-EXP(-LN(2)/35))/(LN(2)/35)*DB4*DC4*VLOOKUP('Données projet'!$B$13,Paramètres!$A$1:$I$89,3,0)*0.475*44/12</f>
        <v>0</v>
      </c>
      <c r="DG4" s="21">
        <f>EXP(-LN(2)/25)*DG3+(1-EXP(-LN(2)/25))/(LN(2)/25)*Calculateur!DB4*Calculateur!DD4*VLOOKUP('Données projet'!$B$13,Paramètres!$A$1:$I$89,3,0)*0.475*44/12</f>
        <v>0</v>
      </c>
      <c r="DH4" s="21">
        <f>EXP(-LN(2)/2)*DH3+(1-EXP(-LN(2)/2))/(LN(2)/2)*DB4*DE4*VLOOKUP('Données projet'!$B$13,Paramètres!$A$1:$I$89,3,0)*0.475*44/12</f>
        <v>0</v>
      </c>
      <c r="DI4" s="22">
        <f t="shared" ref="DI4:DI67" si="15">SUM(DF4:DH4)</f>
        <v>0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3.1</v>
      </c>
      <c r="DO4" s="12">
        <f>IF('Données projet'!$A$166&gt;35,DO3+DN4-DW3,IF(A4&lt;'Données projet'!$A$166,$DL$205^A4,IF(A4='Données projet'!$A$166,'Données projet'!$B$166,DO3+DN4-DW3)))</f>
        <v>1.2291916021073213</v>
      </c>
      <c r="DP4" s="17">
        <f>DO4*VLOOKUP('Données projet'!$B$14,Paramètres!$A$1:$I$89,3,0)*VLOOKUP('Données projet'!$B$14,Paramètres!$A$1:$I$89,5,0)</f>
        <v>0.7350565780601781</v>
      </c>
      <c r="DQ4" s="13">
        <f>EXP(-1.0587+0.8836*LN(DP4)+0.284)</f>
        <v>0.35110183226268588</v>
      </c>
      <c r="DR4" s="20">
        <f t="shared" ref="DR4:DR67" si="16">(DP4+DQ4)*0.475*44/12</f>
        <v>1.8917258979789879</v>
      </c>
      <c r="DS4" s="59">
        <f t="shared" ref="DS4:DS67" si="17">DR4+(DJ4+DK4)*44/12</f>
        <v>295.22505923131229</v>
      </c>
      <c r="DT4" s="59">
        <f ca="1">AVERAGE(OFFSET($DS$3,0,0,'Données projet'!$E$14+1,1))-AVERAGE(OFFSET($H$3,0,0,'Données projet'!$E$14+1,1))</f>
        <v>165.39579887388538</v>
      </c>
      <c r="DU4" s="59">
        <f>$DU$3</f>
        <v>155.89639262545802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>
        <f>EXP(-LN(2)/35)*EA3+(1-EXP(-LN(2)/35))/(LN(2)/35)*DW4*DX4*VLOOKUP('Données projet'!$B$14,Paramètres!$A$1:$I$89,3,0)*0.475*44/12</f>
        <v>0</v>
      </c>
      <c r="EB4" s="21">
        <f>EXP(-LN(2)/25)*EB3+(1-EXP(-LN(2)/25))/(LN(2)/25)*Calculateur!DW4*Calculateur!DY4*VLOOKUP('Données projet'!$B$14,Paramètres!$A$1:$I$89,3,0)*0.475*44/12</f>
        <v>0</v>
      </c>
      <c r="EC4" s="21">
        <f>EXP(-LN(2)/2)*EC3+(1-EXP(-LN(2)/2))/(LN(2)/2)*DW4*DZ4*VLOOKUP('Données projet'!$B$14,Paramètres!$A$1:$I$89,3,0)*0.475*44/12</f>
        <v>0</v>
      </c>
      <c r="ED4" s="22">
        <f t="shared" ref="ED4:ED67" si="18">SUM(EA4:EC4)</f>
        <v>0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1.2</v>
      </c>
      <c r="EJ4" s="12">
        <f>IF('Données projet'!$A$192&gt;35,EJ3+EI4-ER3,IF(A4&lt;'Données projet'!$A$192,$EG$205^A4,IF(A4='Données projet'!$A$192,'Données projet'!$B$192,EJ3+EI4-ER3)))</f>
        <v>1.1457367676485573</v>
      </c>
      <c r="EK4" s="17">
        <f>EJ4*VLOOKUP('Données projet'!$B$15,Paramètres!$A$1:$I$89,3,0)*VLOOKUP('Données projet'!$B$15,Paramètres!$A$1:$I$89,5,0)</f>
        <v>0.8936746787658747</v>
      </c>
      <c r="EL4" s="13">
        <f>EXP(-1.0587+0.8836*LN(EK4)+0.284)</f>
        <v>0.41726718255085632</v>
      </c>
      <c r="EM4" s="20">
        <f t="shared" ref="EM4:EM67" si="19">(EK4+EL4)*0.475*44/12</f>
        <v>2.2832237417933063</v>
      </c>
      <c r="EN4" s="59">
        <f t="shared" ref="EN4:EN67" si="20">EM4+(EE4+EF4)*44/12</f>
        <v>295.61655707512659</v>
      </c>
      <c r="EO4" s="59">
        <f ca="1">AVERAGE(OFFSET($EN$3,0,0,'Données projet'!$E$15+1,1))-AVERAGE(OFFSET($H$3,0,0,'Données projet'!$E$15+1,1))</f>
        <v>104.07220236158577</v>
      </c>
      <c r="EP4" s="59">
        <f>$EP$3</f>
        <v>34.162068257911756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>
        <f>EXP(-LN(2)/35)*EV3+(1-EXP(-LN(2)/35))/(LN(2)/35)*ER4*ES4*VLOOKUP('Données projet'!$B$15,Paramètres!$A$1:$I$89,3,0)*0.475*44/12</f>
        <v>0</v>
      </c>
      <c r="EW4" s="21">
        <f>EXP(-LN(2)/25)*EW3+(1-EXP(-LN(2)/25))/(LN(2)/25)*Calculateur!ER4*Calculateur!ET4*VLOOKUP('Données projet'!$B$15,Paramètres!$A$1:$I$89,3,0)*0.475*44/12</f>
        <v>0</v>
      </c>
      <c r="EX4" s="21">
        <f>EXP(-LN(2)/2)*EX3+(1-EXP(-LN(2)/2))/(LN(2)/2)*ER4*EU4*VLOOKUP('Données projet'!$B$15,Paramètres!$A$1:$I$89,3,0)*0.475*44/12</f>
        <v>0</v>
      </c>
      <c r="EY4" s="22">
        <f t="shared" ref="EY4:EY67" si="21">SUM(EV4:EX4)</f>
        <v>0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6.2</v>
      </c>
      <c r="FE4" s="12">
        <f>IF('Données projet'!$A$218&gt;35,FE3+FD4-FM3,IF(A4&lt;'Données projet'!$A$218,$FB$205^A4,IF(A4='Données projet'!$A$218,'Données projet'!$B$218,FE3+FD4-FM3)))</f>
        <v>1.9873407546644579</v>
      </c>
      <c r="FF4" s="17">
        <f>FE4*VLOOKUP('Données projet'!$B$16,Paramètres!$A$1:$I$89,3,0)*VLOOKUP('Données projet'!$B$16,Paramètres!$A$1:$I$89,5,0)</f>
        <v>1.7981459148204013</v>
      </c>
      <c r="FG4" s="13">
        <f>EXP(-1.0587+0.8836*LN(FF4)+0.284)</f>
        <v>0.77395440006160665</v>
      </c>
      <c r="FH4" s="20">
        <f t="shared" ref="FH4:FH67" si="22">(FF4+FG4)*0.475*44/12</f>
        <v>4.47974138175283</v>
      </c>
      <c r="FI4" s="59">
        <f t="shared" ref="FI4:FI67" si="23">FH4+(EZ4+FA4)*44/12</f>
        <v>297.81307471508615</v>
      </c>
      <c r="FJ4" s="59">
        <f ca="1">AVERAGE(OFFSET($FI$3,0,0,'Données projet'!$E$16+1,1))-AVERAGE(OFFSET($H$3,0,0,'Données projet'!$E$16+1,1))</f>
        <v>179.50097986986123</v>
      </c>
      <c r="FK4" s="59">
        <f>$FK$3</f>
        <v>287.11838730637578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>
        <f>EXP(-LN(2)/35)*FQ3+(1-EXP(-LN(2)/35))/(LN(2)/35)*FM4*FN4*VLOOKUP('Données projet'!$B$16,Paramètres!$A$1:$I$89,3,0)*0.475*44/12</f>
        <v>0</v>
      </c>
      <c r="FR4" s="21">
        <f>EXP(-LN(2)/25)*FR3+(1-EXP(-LN(2)/25))/(LN(2)/25)*Calculateur!FM4*Calculateur!FO4*VLOOKUP('Données projet'!$B$16,Paramètres!$A$1:$I$89,3,0)*0.475*44/12</f>
        <v>0</v>
      </c>
      <c r="FS4" s="21">
        <f>EXP(-LN(2)/2)*FS3+(1-EXP(-LN(2)/2))/(LN(2)/2)*FM4*FP4*VLOOKUP('Données projet'!$B$16,Paramètres!$A$1:$I$89,3,0)*0.475*44/12</f>
        <v>0</v>
      </c>
      <c r="FT4" s="22">
        <f t="shared" ref="FT4:FT67" si="24">SUM(FQ4:FS4)</f>
        <v>0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3.1</v>
      </c>
      <c r="FZ4" s="12">
        <f>IF('Données projet'!$A$244&gt;35,FZ3+FY4-GH3,IF(A4&lt;'Données projet'!$A$244,$FW$205^A4,IF(A4='Données projet'!$A$244,'Données projet'!$B$244,FZ3+FY4-GH3)))</f>
        <v>1.2291916021073213</v>
      </c>
      <c r="GA4" s="17">
        <f>FZ4*VLOOKUP('Données projet'!$B$17,Paramètres!$A$1:$I$89,3,0)*VLOOKUP('Données projet'!$B$17,Paramètres!$A$1:$I$89,5,0)</f>
        <v>0.7350565780601781</v>
      </c>
      <c r="GB4" s="13">
        <f>EXP(-1.0587+0.8836*LN(GA4)+0.284)</f>
        <v>0.35110183226268588</v>
      </c>
      <c r="GC4" s="20">
        <f t="shared" ref="GC4:GC67" si="25">(GA4+GB4)*0.475*44/12</f>
        <v>1.8917258979789879</v>
      </c>
      <c r="GD4" s="59">
        <f t="shared" ref="GD4:GD67" si="26">GC4+(FU4+FV4)*44/12</f>
        <v>295.22505923131229</v>
      </c>
      <c r="GE4" s="59">
        <f ca="1">AVERAGE(OFFSET($GD$3,0,0,'Données projet'!$E$17+1,1))-AVERAGE(OFFSET($H$3,0,0,'Données projet'!$E$17+1,1))</f>
        <v>165.39579887388538</v>
      </c>
      <c r="GF4" s="59">
        <f>$GF$3</f>
        <v>155.89639262545802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>
        <f>EXP(-LN(2)/35)*GL3+(1-EXP(-LN(2)/35))/(LN(2)/35)*GH4*GI4*VLOOKUP('Données projet'!$B$17,Paramètres!$A$1:$I$89,3,0)*0.475*44/12</f>
        <v>0</v>
      </c>
      <c r="GM4" s="21">
        <f>EXP(-LN(2)/25)*GM3+(1-EXP(-LN(2)/25))/(LN(2)/25)*Calculateur!GH4*Calculateur!GJ4*VLOOKUP('Données projet'!$B$17,Paramètres!$A$1:$I$89,3,0)*0.475*44/12</f>
        <v>0</v>
      </c>
      <c r="GN4" s="21">
        <f>EXP(-LN(2)/2)*GN3+(1-EXP(-LN(2)/2))/(LN(2)/2)*GH4*GK4*VLOOKUP('Données projet'!$B$17,Paramètres!$A$1:$I$89,3,0)*0.475*44/12</f>
        <v>0</v>
      </c>
      <c r="GO4" s="21">
        <f t="shared" ref="GO4:GO67" si="27">SUM(GL4:GN4)</f>
        <v>0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2.1333333333333333</v>
      </c>
      <c r="N5" s="13">
        <f>IF('Données projet'!$A$36&gt;35,N4+M5-V4,IF(A5&lt;'Données projet'!$A$36,$K$205^A5,IF(A5='Données projet'!$A$36,'Données projet'!$B$36,N4+M5-V4)))</f>
        <v>1.5874010519681996</v>
      </c>
      <c r="O5" s="13">
        <f>N5*VLOOKUP('Données projet'!$B$9,Paramètres!$A$1:$I$89,3,0)*VLOOKUP('Données projet'!$B$9,Paramètres!$A$1:$I$89,5,0)</f>
        <v>0.88735718805022368</v>
      </c>
      <c r="P5" s="13">
        <f t="shared" ref="P5:P68" si="33">EXP(-1.0587+0.8836*LN(O5)+0.284)</f>
        <v>0.41465974323591226</v>
      </c>
      <c r="Q5" s="20">
        <f t="shared" si="2"/>
        <v>2.2676794886566864</v>
      </c>
      <c r="R5" s="59">
        <f t="shared" si="0"/>
        <v>295.60101282199003</v>
      </c>
      <c r="S5" s="59">
        <f ca="1">AVERAGE(OFFSET($R$3,0,0,'Données projet'!$E$9+1,1))-AVERAGE(OFFSET($H$3,0,0,'Données projet'!$E$9+1,1))</f>
        <v>235.10258076192054</v>
      </c>
      <c r="T5" s="59">
        <f t="shared" ref="T5:T68" si="34">$T$3</f>
        <v>233.47316052603765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5.25</v>
      </c>
      <c r="AI5" s="13">
        <f>IF('Données projet'!$A$62&gt;35,AI4+AH5-AQ4,IF(A5&lt;'Données projet'!$A$62,$AF$205^A5,IF(A5='Données projet'!$A$62,'Données projet'!$B$62,AI4+AH5-AQ4)))</f>
        <v>1.592644807116683</v>
      </c>
      <c r="AJ5" s="13">
        <f>AI5*VLOOKUP('Données projet'!$B$10,Paramètres!$A$1:$I$89,3,0)*VLOOKUP('Données projet'!$B$10,Paramètres!$A$1:$I$89,5,0)</f>
        <v>1.3913345034971345</v>
      </c>
      <c r="AK5" s="13">
        <f t="shared" ref="AK5:AK68" si="35">EXP(-1.0587+0.8836*LN(AJ5)+0.284)</f>
        <v>0.61700429487653952</v>
      </c>
      <c r="AL5" s="20">
        <f t="shared" si="4"/>
        <v>3.4978567405008154</v>
      </c>
      <c r="AM5" s="59">
        <f t="shared" si="5"/>
        <v>296.83119007383414</v>
      </c>
      <c r="AN5" s="59">
        <f ca="1">AVERAGE(OFFSET($AM$3,0,0,'Données projet'!$E$10+1,1))-AVERAGE(OFFSET($H$3,0,0,'Données projet'!$E$10+1,1))</f>
        <v>191.94797389630673</v>
      </c>
      <c r="AO5" s="59">
        <f t="shared" ref="AO5:AO68" si="36">$AO$3</f>
        <v>273.52540822767878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1.2</v>
      </c>
      <c r="BD5" s="12">
        <f>IF('Données projet'!$A$88&gt;35,BD4+BC5-BL4,IF(A5&lt;'Données projet'!$A$88,$BA$205^A5,IF(A5='Données projet'!$A$88,'Données projet'!$B$88,BD4+BC5-BL4)))</f>
        <v>1.312712740741764</v>
      </c>
      <c r="BE5" s="13">
        <f>BD5*VLOOKUP('Données projet'!$B$11,Paramètres!$A$1:$I$89,3,0)*VLOOKUP('Données projet'!$B$11,Paramètres!$A$1:$I$89,5,0)</f>
        <v>1.187742487823148</v>
      </c>
      <c r="BF5" s="13">
        <f t="shared" ref="BF5:BF68" si="37">EXP(-1.0587+0.8836*LN(BE5)+0.284)</f>
        <v>0.53650859312100496</v>
      </c>
      <c r="BG5" s="20">
        <f t="shared" si="7"/>
        <v>3.0030706326443997</v>
      </c>
      <c r="BH5" s="59">
        <f t="shared" si="8"/>
        <v>296.33640396597769</v>
      </c>
      <c r="BI5" s="59">
        <f ca="1">AVERAGE(OFFSET($BH$3,0,0,'Données projet'!$E$11+1,1))-AVERAGE(OFFSET($H$3,0,0,'Données projet'!$E$11+1,1))</f>
        <v>138.8931001150624</v>
      </c>
      <c r="BJ5" s="59">
        <f t="shared" ref="BJ5:BJ68" si="38">$BJ$3</f>
        <v>48.964659354096625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1.312712740741764</v>
      </c>
      <c r="BZ5" s="13">
        <f>BY5*VLOOKUP('Données projet'!$B$12,Paramètres!$A$1:$I$89,3,0)*VLOOKUP('Données projet'!$B$12,Paramètres!$A$1:$I$89,5,0)</f>
        <v>1.3310907191121488</v>
      </c>
      <c r="CA5" s="13">
        <f t="shared" ref="CA5:CA68" si="39">EXP(-1.0587+0.8836*LN(BZ5)+0.284)</f>
        <v>0.59333770733536928</v>
      </c>
      <c r="CB5" s="20">
        <f t="shared" si="10"/>
        <v>3.3517128427294267</v>
      </c>
      <c r="CC5" s="59">
        <f t="shared" si="11"/>
        <v>296.68504617606277</v>
      </c>
      <c r="CD5" s="59">
        <f ca="1">AVERAGE(OFFSET($CC$3,0,0,'Données projet'!$E$12+1,1))-AVERAGE(OFFSET($H$3,0,0,'Données projet'!$E$12+1,1))</f>
        <v>169.2757878405003</v>
      </c>
      <c r="CE5" s="59">
        <f t="shared" ref="CE5:CE68" si="40">$CE$3</f>
        <v>61.876502626609977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2.85</v>
      </c>
      <c r="CT5" s="12">
        <f>IF('Données projet'!$A$140&gt;35,CT4+CS5-DB4,IF(A5&lt;'Données projet'!$A$140,$CQ$205^A5,IF(A5='Données projet'!$A$140,'Données projet'!$B$140,CT4+CS5-DB4)))</f>
        <v>1.4982610367903493</v>
      </c>
      <c r="CU5" s="17">
        <f>CT5*VLOOKUP('Données projet'!$B$13,Paramètres!$A$1:$I$89,3,0)*VLOOKUP('Données projet'!$B$13,Paramètres!$A$1:$I$89,5,0)</f>
        <v>1.1920164808704019</v>
      </c>
      <c r="CV5" s="13">
        <f t="shared" ref="CV5:CV68" si="41">EXP(-1.0587+0.8836*LN(CU5)+0.284)</f>
        <v>0.53821409839713052</v>
      </c>
      <c r="CW5" s="20">
        <f t="shared" si="13"/>
        <v>3.0134849255576186</v>
      </c>
      <c r="CX5" s="59">
        <f t="shared" si="14"/>
        <v>296.34681825889095</v>
      </c>
      <c r="CY5" s="59">
        <f ca="1">AVERAGE(OFFSET($CX$3,0,0,'Données projet'!$E$13+1,1))-AVERAGE(OFFSET($H$3,0,0,'Données projet'!$E$13+1,1))</f>
        <v>141.12810728817544</v>
      </c>
      <c r="CZ5" s="59">
        <f t="shared" ref="CZ5:CZ68" si="42">$CZ$3</f>
        <v>176.01405805137551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>
        <f>EXP(-LN(2)/35)*DF4+(1-EXP(-LN(2)/35))/(LN(2)/35)*DB5*DC5*VLOOKUP('Données projet'!$B$13,Paramètres!$A$1:$I$89,3,0)*0.475*44/12</f>
        <v>0</v>
      </c>
      <c r="DG5" s="21">
        <f>EXP(-LN(2)/25)*DG4+(1-EXP(-LN(2)/25))/(LN(2)/25)*Calculateur!DB5*Calculateur!DD5*VLOOKUP('Données projet'!$B$13,Paramètres!$A$1:$I$89,3,0)*0.475*44/12</f>
        <v>0</v>
      </c>
      <c r="DH5" s="21">
        <f>EXP(-LN(2)/2)*DH4+(1-EXP(-LN(2)/2))/(LN(2)/2)*DB5*DE5*VLOOKUP('Données projet'!$B$13,Paramètres!$A$1:$I$89,3,0)*0.475*44/12</f>
        <v>0</v>
      </c>
      <c r="DI5" s="22">
        <f t="shared" si="15"/>
        <v>0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3.1</v>
      </c>
      <c r="DO5" s="12">
        <f>IF('Données projet'!$A$166&gt;35,DO4+DN5-DW4,IF(A5&lt;'Données projet'!$A$166,$DL$205^A5,IF(A5='Données projet'!$A$166,'Données projet'!$B$166,DO4+DN5-DW4)))</f>
        <v>1.5109119946911631</v>
      </c>
      <c r="DP5" s="17">
        <f>DO5*VLOOKUP('Données projet'!$B$14,Paramètres!$A$1:$I$89,3,0)*VLOOKUP('Données projet'!$B$14,Paramètres!$A$1:$I$89,5,0)</f>
        <v>0.90352537282531553</v>
      </c>
      <c r="DQ5" s="13">
        <f t="shared" ref="DQ5:DQ68" si="43">EXP(-1.0587+0.8836*LN(DP5)+0.284)</f>
        <v>0.42132861985658931</v>
      </c>
      <c r="DR5" s="20">
        <f t="shared" si="16"/>
        <v>2.3074540372543173</v>
      </c>
      <c r="DS5" s="59">
        <f t="shared" si="17"/>
        <v>295.64078737058765</v>
      </c>
      <c r="DT5" s="59">
        <f ca="1">AVERAGE(OFFSET($DS$3,0,0,'Données projet'!$E$14+1,1))-AVERAGE(OFFSET($H$3,0,0,'Données projet'!$E$14+1,1))</f>
        <v>165.39579887388538</v>
      </c>
      <c r="DU5" s="59">
        <f t="shared" ref="DU5:DU68" si="44">$DU$3</f>
        <v>155.89639262545802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>
        <f>EXP(-LN(2)/35)*EA4+(1-EXP(-LN(2)/35))/(LN(2)/35)*DW5*DX5*VLOOKUP('Données projet'!$B$14,Paramètres!$A$1:$I$89,3,0)*0.475*44/12</f>
        <v>0</v>
      </c>
      <c r="EB5" s="21">
        <f>EXP(-LN(2)/25)*EB4+(1-EXP(-LN(2)/25))/(LN(2)/25)*Calculateur!DW5*Calculateur!DY5*VLOOKUP('Données projet'!$B$14,Paramètres!$A$1:$I$89,3,0)*0.475*44/12</f>
        <v>0</v>
      </c>
      <c r="EC5" s="21">
        <f>EXP(-LN(2)/2)*EC4+(1-EXP(-LN(2)/2))/(LN(2)/2)*DW5*DZ5*VLOOKUP('Données projet'!$B$14,Paramètres!$A$1:$I$89,3,0)*0.475*44/12</f>
        <v>0</v>
      </c>
      <c r="ED5" s="22">
        <f t="shared" si="18"/>
        <v>0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1.2</v>
      </c>
      <c r="EJ5" s="12">
        <f>IF('Données projet'!$A$192&gt;35,EJ4+EI5-ER4,IF(A5&lt;'Données projet'!$A$192,$EG$205^A5,IF(A5='Données projet'!$A$192,'Données projet'!$B$192,EJ4+EI5-ER4)))</f>
        <v>1.312712740741764</v>
      </c>
      <c r="EK5" s="17">
        <f>EJ5*VLOOKUP('Données projet'!$B$15,Paramètres!$A$1:$I$89,3,0)*VLOOKUP('Données projet'!$B$15,Paramètres!$A$1:$I$89,5,0)</f>
        <v>1.023915937778576</v>
      </c>
      <c r="EL5" s="13">
        <f t="shared" ref="EL5:EL68" si="45">EXP(-1.0587+0.8836*LN(EK5)+0.284)</f>
        <v>0.47056714673849459</v>
      </c>
      <c r="EM5" s="20">
        <f t="shared" si="19"/>
        <v>2.6028913722005647</v>
      </c>
      <c r="EN5" s="59">
        <f t="shared" si="20"/>
        <v>295.9362247055339</v>
      </c>
      <c r="EO5" s="59">
        <f ca="1">AVERAGE(OFFSET($EN$3,0,0,'Données projet'!$E$15+1,1))-AVERAGE(OFFSET($H$3,0,0,'Données projet'!$E$15+1,1))</f>
        <v>104.07220236158577</v>
      </c>
      <c r="EP5" s="59">
        <f t="shared" ref="EP5:EP68" si="46">$EP$3</f>
        <v>34.162068257911756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>
        <f>EXP(-LN(2)/35)*EV4+(1-EXP(-LN(2)/35))/(LN(2)/35)*ER5*ES5*VLOOKUP('Données projet'!$B$15,Paramètres!$A$1:$I$89,3,0)*0.475*44/12</f>
        <v>0</v>
      </c>
      <c r="EW5" s="21">
        <f>EXP(-LN(2)/25)*EW4+(1-EXP(-LN(2)/25))/(LN(2)/25)*Calculateur!ER5*Calculateur!ET5*VLOOKUP('Données projet'!$B$15,Paramètres!$A$1:$I$89,3,0)*0.475*44/12</f>
        <v>0</v>
      </c>
      <c r="EX5" s="21">
        <f>EXP(-LN(2)/2)*EX4+(1-EXP(-LN(2)/2))/(LN(2)/2)*ER5*EU5*VLOOKUP('Données projet'!$B$15,Paramètres!$A$1:$I$89,3,0)*0.475*44/12</f>
        <v>0</v>
      </c>
      <c r="EY5" s="22">
        <f t="shared" si="21"/>
        <v>0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6.2</v>
      </c>
      <c r="FE5" s="12">
        <f>IF('Données projet'!$A$218&gt;35,FE4+FD5-FM4,IF(A5&lt;'Données projet'!$A$218,$FB$205^A5,IF(A5='Données projet'!$A$218,'Données projet'!$B$218,FE4+FD5-FM4)))</f>
        <v>3.9495232751502973</v>
      </c>
      <c r="FF5" s="17">
        <f>FE5*VLOOKUP('Données projet'!$B$16,Paramètres!$A$1:$I$89,3,0)*VLOOKUP('Données projet'!$B$16,Paramètres!$A$1:$I$89,5,0)</f>
        <v>3.573528659355989</v>
      </c>
      <c r="FG5" s="13">
        <f t="shared" ref="FG5:FG68" si="47">EXP(-1.0587+0.8836*LN(FF5)+0.284)</f>
        <v>1.419936137484813</v>
      </c>
      <c r="FH5" s="20">
        <f t="shared" si="22"/>
        <v>8.696951187831063</v>
      </c>
      <c r="FI5" s="59">
        <f t="shared" si="23"/>
        <v>302.03028452116439</v>
      </c>
      <c r="FJ5" s="59">
        <f ca="1">AVERAGE(OFFSET($FI$3,0,0,'Données projet'!$E$16+1,1))-AVERAGE(OFFSET($H$3,0,0,'Données projet'!$E$16+1,1))</f>
        <v>179.50097986986123</v>
      </c>
      <c r="FK5" s="59">
        <f t="shared" ref="FK5:FK68" si="48">$FK$3</f>
        <v>287.11838730637578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>
        <f>EXP(-LN(2)/35)*FQ4+(1-EXP(-LN(2)/35))/(LN(2)/35)*FM5*FN5*VLOOKUP('Données projet'!$B$16,Paramètres!$A$1:$I$89,3,0)*0.475*44/12</f>
        <v>0</v>
      </c>
      <c r="FR5" s="21">
        <f>EXP(-LN(2)/25)*FR4+(1-EXP(-LN(2)/25))/(LN(2)/25)*Calculateur!FM5*Calculateur!FO5*VLOOKUP('Données projet'!$B$16,Paramètres!$A$1:$I$89,3,0)*0.475*44/12</f>
        <v>0</v>
      </c>
      <c r="FS5" s="21">
        <f>EXP(-LN(2)/2)*FS4+(1-EXP(-LN(2)/2))/(LN(2)/2)*FM5*FP5*VLOOKUP('Données projet'!$B$16,Paramètres!$A$1:$I$89,3,0)*0.475*44/12</f>
        <v>0</v>
      </c>
      <c r="FT5" s="22">
        <f t="shared" si="24"/>
        <v>0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3.1</v>
      </c>
      <c r="FZ5" s="12">
        <f>IF('Données projet'!$A$244&gt;35,FZ4+FY5-GH4,IF(A5&lt;'Données projet'!$A$244,$FW$205^A5,IF(A5='Données projet'!$A$244,'Données projet'!$B$244,FZ4+FY5-GH4)))</f>
        <v>1.5109119946911631</v>
      </c>
      <c r="GA5" s="17">
        <f>FZ5*VLOOKUP('Données projet'!$B$17,Paramètres!$A$1:$I$89,3,0)*VLOOKUP('Données projet'!$B$17,Paramètres!$A$1:$I$89,5,0)</f>
        <v>0.90352537282531553</v>
      </c>
      <c r="GB5" s="13">
        <f t="shared" ref="GB5:GB68" si="49">EXP(-1.0587+0.8836*LN(GA5)+0.284)</f>
        <v>0.42132861985658931</v>
      </c>
      <c r="GC5" s="20">
        <f t="shared" si="25"/>
        <v>2.3074540372543173</v>
      </c>
      <c r="GD5" s="59">
        <f t="shared" si="26"/>
        <v>295.64078737058765</v>
      </c>
      <c r="GE5" s="59">
        <f ca="1">AVERAGE(OFFSET($GD$3,0,0,'Données projet'!$E$17+1,1))-AVERAGE(OFFSET($H$3,0,0,'Données projet'!$E$17+1,1))</f>
        <v>165.39579887388538</v>
      </c>
      <c r="GF5" s="59">
        <f t="shared" ref="GF5:GF68" si="50">$GF$3</f>
        <v>155.89639262545802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>
        <f>EXP(-LN(2)/35)*GL4+(1-EXP(-LN(2)/35))/(LN(2)/35)*GH5*GI5*VLOOKUP('Données projet'!$B$17,Paramètres!$A$1:$I$89,3,0)*0.475*44/12</f>
        <v>0</v>
      </c>
      <c r="GM5" s="21">
        <f>EXP(-LN(2)/25)*GM4+(1-EXP(-LN(2)/25))/(LN(2)/25)*Calculateur!GH5*Calculateur!GJ5*VLOOKUP('Données projet'!$B$17,Paramètres!$A$1:$I$89,3,0)*0.475*44/12</f>
        <v>0</v>
      </c>
      <c r="GN5" s="21">
        <f>EXP(-LN(2)/2)*GN4+(1-EXP(-LN(2)/2))/(LN(2)/2)*GH5*GK5*VLOOKUP('Données projet'!$B$17,Paramètres!$A$1:$I$89,3,0)*0.475*44/12</f>
        <v>0</v>
      </c>
      <c r="GO5" s="21">
        <f t="shared" si="27"/>
        <v>0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2.1333333333333333</v>
      </c>
      <c r="N6" s="13">
        <f>IF('Données projet'!$A$36&gt;35,N5+M6-V5,IF(A6&lt;'Données projet'!$A$36,$K$205^A6,IF(A6='Données projet'!$A$36,'Données projet'!$B$36,N5+M6-V5)))</f>
        <v>2</v>
      </c>
      <c r="O6" s="13">
        <f>N6*VLOOKUP('Données projet'!$B$9,Paramètres!$A$1:$I$89,3,0)*VLOOKUP('Données projet'!$B$9,Paramètres!$A$1:$I$89,5,0)</f>
        <v>1.1180000000000001</v>
      </c>
      <c r="P6" s="13">
        <f t="shared" si="33"/>
        <v>0.50857527486356202</v>
      </c>
      <c r="Q6" s="20">
        <f t="shared" si="2"/>
        <v>2.8329519370540375</v>
      </c>
      <c r="R6" s="59">
        <f t="shared" si="0"/>
        <v>296.16628527038733</v>
      </c>
      <c r="S6" s="59">
        <f ca="1">AVERAGE(OFFSET($R$3,0,0,'Données projet'!$E$9+1,1))-AVERAGE(OFFSET($H$3,0,0,'Données projet'!$E$9+1,1))</f>
        <v>235.10258076192054</v>
      </c>
      <c r="T6" s="59">
        <f t="shared" si="34"/>
        <v>233.47316052603765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5.25</v>
      </c>
      <c r="AI6" s="13">
        <f>IF('Données projet'!$A$62&gt;35,AI5+AH6-AQ5,IF(A6&lt;'Données projet'!$A$62,$AF$205^A6,IF(A6='Données projet'!$A$62,'Données projet'!$B$62,AI5+AH6-AQ5)))</f>
        <v>2.0099182558720745</v>
      </c>
      <c r="AJ6" s="13">
        <f>AI6*VLOOKUP('Données projet'!$B$10,Paramètres!$A$1:$I$89,3,0)*VLOOKUP('Données projet'!$B$10,Paramètres!$A$1:$I$89,5,0)</f>
        <v>1.7558645883298445</v>
      </c>
      <c r="AK6" s="13">
        <f t="shared" si="35"/>
        <v>0.75785187657189812</v>
      </c>
      <c r="AL6" s="20">
        <f t="shared" si="4"/>
        <v>4.378056176370535</v>
      </c>
      <c r="AM6" s="59">
        <f t="shared" si="5"/>
        <v>297.71138950970385</v>
      </c>
      <c r="AN6" s="59">
        <f ca="1">AVERAGE(OFFSET($AM$3,0,0,'Données projet'!$E$10+1,1))-AVERAGE(OFFSET($H$3,0,0,'Données projet'!$E$10+1,1))</f>
        <v>191.94797389630673</v>
      </c>
      <c r="AO6" s="59">
        <f t="shared" si="36"/>
        <v>273.52540822767878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1.2</v>
      </c>
      <c r="BD6" s="12">
        <f>IF('Données projet'!$A$88&gt;35,BD5+BC6-BL5,IF(A6&lt;'Données projet'!$A$88,$BA$205^A6,IF(A6='Données projet'!$A$88,'Données projet'!$B$88,BD5+BC6-BL5)))</f>
        <v>1.5040232524285473</v>
      </c>
      <c r="BE6" s="13">
        <f>BD6*VLOOKUP('Données projet'!$B$11,Paramètres!$A$1:$I$89,3,0)*VLOOKUP('Données projet'!$B$11,Paramètres!$A$1:$I$89,5,0)</f>
        <v>1.3608402387973495</v>
      </c>
      <c r="BF6" s="13">
        <f t="shared" si="37"/>
        <v>0.60503995622724338</v>
      </c>
      <c r="BG6" s="20">
        <f t="shared" si="7"/>
        <v>3.4239080063344987</v>
      </c>
      <c r="BH6" s="59">
        <f t="shared" si="8"/>
        <v>296.75724133966781</v>
      </c>
      <c r="BI6" s="59">
        <f ca="1">AVERAGE(OFFSET($BH$3,0,0,'Données projet'!$E$11+1,1))-AVERAGE(OFFSET($H$3,0,0,'Données projet'!$E$11+1,1))</f>
        <v>138.8931001150624</v>
      </c>
      <c r="BJ6" s="59">
        <f t="shared" si="38"/>
        <v>48.964659354096625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1.5040232524285473</v>
      </c>
      <c r="BZ6" s="13">
        <f>BY6*VLOOKUP('Données projet'!$B$12,Paramètres!$A$1:$I$89,3,0)*VLOOKUP('Données projet'!$B$12,Paramètres!$A$1:$I$89,5,0)</f>
        <v>1.525079577962547</v>
      </c>
      <c r="CA6" s="13">
        <f t="shared" si="39"/>
        <v>0.6691281837366525</v>
      </c>
      <c r="CB6" s="20">
        <f t="shared" si="10"/>
        <v>3.8215785182927724</v>
      </c>
      <c r="CC6" s="59">
        <f t="shared" si="11"/>
        <v>297.15491185162608</v>
      </c>
      <c r="CD6" s="59">
        <f ca="1">AVERAGE(OFFSET($CC$3,0,0,'Données projet'!$E$12+1,1))-AVERAGE(OFFSET($H$3,0,0,'Données projet'!$E$12+1,1))</f>
        <v>169.2757878405003</v>
      </c>
      <c r="CE6" s="59">
        <f t="shared" si="40"/>
        <v>61.876502626609977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2.85</v>
      </c>
      <c r="CT6" s="12">
        <f>IF('Données projet'!$A$140&gt;35,CT5+CS6-DB5,IF(A6&lt;'Données projet'!$A$140,$CQ$205^A6,IF(A6='Données projet'!$A$140,'Données projet'!$B$140,CT5+CS6-DB5)))</f>
        <v>1.8339235537625185</v>
      </c>
      <c r="CU6" s="17">
        <f>CT6*VLOOKUP('Données projet'!$B$13,Paramètres!$A$1:$I$89,3,0)*VLOOKUP('Données projet'!$B$13,Paramètres!$A$1:$I$89,5,0)</f>
        <v>1.4590695793734598</v>
      </c>
      <c r="CV6" s="13">
        <f t="shared" si="41"/>
        <v>0.64347195133916002</v>
      </c>
      <c r="CW6" s="20">
        <f t="shared" si="13"/>
        <v>3.6619264993244798</v>
      </c>
      <c r="CX6" s="59">
        <f t="shared" si="14"/>
        <v>296.99525983265778</v>
      </c>
      <c r="CY6" s="59">
        <f ca="1">AVERAGE(OFFSET($CX$3,0,0,'Données projet'!$E$13+1,1))-AVERAGE(OFFSET($H$3,0,0,'Données projet'!$E$13+1,1))</f>
        <v>141.12810728817544</v>
      </c>
      <c r="CZ6" s="59">
        <f t="shared" si="42"/>
        <v>176.01405805137551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>
        <f>EXP(-LN(2)/35)*DF5+(1-EXP(-LN(2)/35))/(LN(2)/35)*DB6*DC6*VLOOKUP('Données projet'!$B$13,Paramètres!$A$1:$I$89,3,0)*0.475*44/12</f>
        <v>0</v>
      </c>
      <c r="DG6" s="21">
        <f>EXP(-LN(2)/25)*DG5+(1-EXP(-LN(2)/25))/(LN(2)/25)*Calculateur!DB6*Calculateur!DD6*VLOOKUP('Données projet'!$B$13,Paramètres!$A$1:$I$89,3,0)*0.475*44/12</f>
        <v>0</v>
      </c>
      <c r="DH6" s="21">
        <f>EXP(-LN(2)/2)*DH5+(1-EXP(-LN(2)/2))/(LN(2)/2)*DB6*DE6*VLOOKUP('Données projet'!$B$13,Paramètres!$A$1:$I$89,3,0)*0.475*44/12</f>
        <v>0</v>
      </c>
      <c r="DI6" s="22">
        <f t="shared" si="15"/>
        <v>0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3.1</v>
      </c>
      <c r="DO6" s="12">
        <f>IF('Données projet'!$A$166&gt;35,DO5+DN6-DW5,IF(A6&lt;'Données projet'!$A$166,$DL$205^A6,IF(A6='Données projet'!$A$166,'Données projet'!$B$166,DO5+DN6-DW5)))</f>
        <v>1.8572003353975992</v>
      </c>
      <c r="DP6" s="17">
        <f>DO6*VLOOKUP('Données projet'!$B$14,Paramètres!$A$1:$I$89,3,0)*VLOOKUP('Données projet'!$B$14,Paramètres!$A$1:$I$89,5,0)</f>
        <v>1.1106058005677644</v>
      </c>
      <c r="DQ6" s="13">
        <f t="shared" si="43"/>
        <v>0.50560204931497998</v>
      </c>
      <c r="DR6" s="20">
        <f t="shared" si="16"/>
        <v>2.8148953385457798</v>
      </c>
      <c r="DS6" s="59">
        <f t="shared" si="17"/>
        <v>296.14822867187911</v>
      </c>
      <c r="DT6" s="59">
        <f ca="1">AVERAGE(OFFSET($DS$3,0,0,'Données projet'!$E$14+1,1))-AVERAGE(OFFSET($H$3,0,0,'Données projet'!$E$14+1,1))</f>
        <v>165.39579887388538</v>
      </c>
      <c r="DU6" s="59">
        <f t="shared" si="44"/>
        <v>155.89639262545802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>
        <f>EXP(-LN(2)/35)*EA5+(1-EXP(-LN(2)/35))/(LN(2)/35)*DW6*DX6*VLOOKUP('Données projet'!$B$14,Paramètres!$A$1:$I$89,3,0)*0.475*44/12</f>
        <v>0</v>
      </c>
      <c r="EB6" s="21">
        <f>EXP(-LN(2)/25)*EB5+(1-EXP(-LN(2)/25))/(LN(2)/25)*Calculateur!DW6*Calculateur!DY6*VLOOKUP('Données projet'!$B$14,Paramètres!$A$1:$I$89,3,0)*0.475*44/12</f>
        <v>0</v>
      </c>
      <c r="EC6" s="21">
        <f>EXP(-LN(2)/2)*EC5+(1-EXP(-LN(2)/2))/(LN(2)/2)*DW6*DZ6*VLOOKUP('Données projet'!$B$14,Paramètres!$A$1:$I$89,3,0)*0.475*44/12</f>
        <v>0</v>
      </c>
      <c r="ED6" s="22">
        <f t="shared" si="18"/>
        <v>0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1.2</v>
      </c>
      <c r="EJ6" s="12">
        <f>IF('Données projet'!$A$192&gt;35,EJ5+EI6-ER5,IF(A6&lt;'Données projet'!$A$192,$EG$205^A6,IF(A6='Données projet'!$A$192,'Données projet'!$B$192,EJ5+EI6-ER5)))</f>
        <v>1.5040232524285473</v>
      </c>
      <c r="EK6" s="17">
        <f>EJ6*VLOOKUP('Données projet'!$B$15,Paramètres!$A$1:$I$89,3,0)*VLOOKUP('Données projet'!$B$15,Paramètres!$A$1:$I$89,5,0)</f>
        <v>1.1731381368942668</v>
      </c>
      <c r="EL6" s="13">
        <f t="shared" si="45"/>
        <v>0.53067542536159007</v>
      </c>
      <c r="EM6" s="20">
        <f t="shared" si="19"/>
        <v>2.967475287595617</v>
      </c>
      <c r="EN6" s="59">
        <f t="shared" si="20"/>
        <v>296.30080862092893</v>
      </c>
      <c r="EO6" s="59">
        <f ca="1">AVERAGE(OFFSET($EN$3,0,0,'Données projet'!$E$15+1,1))-AVERAGE(OFFSET($H$3,0,0,'Données projet'!$E$15+1,1))</f>
        <v>104.07220236158577</v>
      </c>
      <c r="EP6" s="59">
        <f t="shared" si="46"/>
        <v>34.162068257911756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>
        <f>EXP(-LN(2)/35)*EV5+(1-EXP(-LN(2)/35))/(LN(2)/35)*ER6*ES6*VLOOKUP('Données projet'!$B$15,Paramètres!$A$1:$I$89,3,0)*0.475*44/12</f>
        <v>0</v>
      </c>
      <c r="EW6" s="21">
        <f>EXP(-LN(2)/25)*EW5+(1-EXP(-LN(2)/25))/(LN(2)/25)*Calculateur!ER6*Calculateur!ET6*VLOOKUP('Données projet'!$B$15,Paramètres!$A$1:$I$89,3,0)*0.475*44/12</f>
        <v>0</v>
      </c>
      <c r="EX6" s="21">
        <f>EXP(-LN(2)/2)*EX5+(1-EXP(-LN(2)/2))/(LN(2)/2)*ER6*EU6*VLOOKUP('Données projet'!$B$15,Paramètres!$A$1:$I$89,3,0)*0.475*44/12</f>
        <v>0</v>
      </c>
      <c r="EY6" s="22">
        <f t="shared" si="21"/>
        <v>0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6.2</v>
      </c>
      <c r="FE6" s="12">
        <f>IF('Données projet'!$A$218&gt;35,FE5+FD6-FM5,IF(A6&lt;'Données projet'!$A$218,$FB$205^A6,IF(A6='Données projet'!$A$218,'Données projet'!$B$218,FE5+FD6-FM5)))</f>
        <v>7.8490485662020335</v>
      </c>
      <c r="FF6" s="17">
        <f>FE6*VLOOKUP('Données projet'!$B$16,Paramètres!$A$1:$I$89,3,0)*VLOOKUP('Données projet'!$B$16,Paramètres!$A$1:$I$89,5,0)</f>
        <v>7.1018191426995996</v>
      </c>
      <c r="FG6" s="13">
        <f t="shared" si="47"/>
        <v>2.6050871141436738</v>
      </c>
      <c r="FH6" s="20">
        <f t="shared" si="22"/>
        <v>16.906195064002038</v>
      </c>
      <c r="FI6" s="59">
        <f t="shared" si="23"/>
        <v>310.23952839733533</v>
      </c>
      <c r="FJ6" s="59">
        <f ca="1">AVERAGE(OFFSET($FI$3,0,0,'Données projet'!$E$16+1,1))-AVERAGE(OFFSET($H$3,0,0,'Données projet'!$E$16+1,1))</f>
        <v>179.50097986986123</v>
      </c>
      <c r="FK6" s="59">
        <f t="shared" si="48"/>
        <v>287.11838730637578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>
        <f>EXP(-LN(2)/35)*FQ5+(1-EXP(-LN(2)/35))/(LN(2)/35)*FM6*FN6*VLOOKUP('Données projet'!$B$16,Paramètres!$A$1:$I$89,3,0)*0.475*44/12</f>
        <v>0</v>
      </c>
      <c r="FR6" s="21">
        <f>EXP(-LN(2)/25)*FR5+(1-EXP(-LN(2)/25))/(LN(2)/25)*Calculateur!FM6*Calculateur!FO6*VLOOKUP('Données projet'!$B$16,Paramètres!$A$1:$I$89,3,0)*0.475*44/12</f>
        <v>0</v>
      </c>
      <c r="FS6" s="21">
        <f>EXP(-LN(2)/2)*FS5+(1-EXP(-LN(2)/2))/(LN(2)/2)*FM6*FP6*VLOOKUP('Données projet'!$B$16,Paramètres!$A$1:$I$89,3,0)*0.475*44/12</f>
        <v>0</v>
      </c>
      <c r="FT6" s="22">
        <f t="shared" si="24"/>
        <v>0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3.1</v>
      </c>
      <c r="FZ6" s="12">
        <f>IF('Données projet'!$A$244&gt;35,FZ5+FY6-GH5,IF(A6&lt;'Données projet'!$A$244,$FW$205^A6,IF(A6='Données projet'!$A$244,'Données projet'!$B$244,FZ5+FY6-GH5)))</f>
        <v>1.8572003353975992</v>
      </c>
      <c r="GA6" s="17">
        <f>FZ6*VLOOKUP('Données projet'!$B$17,Paramètres!$A$1:$I$89,3,0)*VLOOKUP('Données projet'!$B$17,Paramètres!$A$1:$I$89,5,0)</f>
        <v>1.1106058005677644</v>
      </c>
      <c r="GB6" s="13">
        <f t="shared" si="49"/>
        <v>0.50560204931497998</v>
      </c>
      <c r="GC6" s="20">
        <f t="shared" si="25"/>
        <v>2.8148953385457798</v>
      </c>
      <c r="GD6" s="59">
        <f t="shared" si="26"/>
        <v>296.14822867187911</v>
      </c>
      <c r="GE6" s="59">
        <f ca="1">AVERAGE(OFFSET($GD$3,0,0,'Données projet'!$E$17+1,1))-AVERAGE(OFFSET($H$3,0,0,'Données projet'!$E$17+1,1))</f>
        <v>165.39579887388538</v>
      </c>
      <c r="GF6" s="59">
        <f t="shared" si="50"/>
        <v>155.89639262545802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>
        <f>EXP(-LN(2)/35)*GL5+(1-EXP(-LN(2)/35))/(LN(2)/35)*GH6*GI6*VLOOKUP('Données projet'!$B$17,Paramètres!$A$1:$I$89,3,0)*0.475*44/12</f>
        <v>0</v>
      </c>
      <c r="GM6" s="21">
        <f>EXP(-LN(2)/25)*GM5+(1-EXP(-LN(2)/25))/(LN(2)/25)*Calculateur!GH6*Calculateur!GJ6*VLOOKUP('Données projet'!$B$17,Paramètres!$A$1:$I$89,3,0)*0.475*44/12</f>
        <v>0</v>
      </c>
      <c r="GN6" s="21">
        <f>EXP(-LN(2)/2)*GN5+(1-EXP(-LN(2)/2))/(LN(2)/2)*GH6*GK6*VLOOKUP('Données projet'!$B$17,Paramètres!$A$1:$I$89,3,0)*0.475*44/12</f>
        <v>0</v>
      </c>
      <c r="GO6" s="21">
        <f t="shared" si="27"/>
        <v>0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2.1333333333333333</v>
      </c>
      <c r="N7" s="13">
        <f>IF('Données projet'!$A$36&gt;35,N6+M7-V6,IF(A7&lt;'Données projet'!$A$36,$K$205^A7,IF(A7='Données projet'!$A$36,'Données projet'!$B$36,N6+M7-V6)))</f>
        <v>2.5198420997897468</v>
      </c>
      <c r="O7" s="13">
        <f>N7*VLOOKUP('Données projet'!$B$9,Paramètres!$A$1:$I$89,3,0)*VLOOKUP('Données projet'!$B$9,Paramètres!$A$1:$I$89,5,0)</f>
        <v>1.4085917337824683</v>
      </c>
      <c r="P7" s="13">
        <f t="shared" si="33"/>
        <v>0.62376156456402043</v>
      </c>
      <c r="Q7" s="20">
        <f t="shared" si="2"/>
        <v>3.5396819946201337</v>
      </c>
      <c r="R7" s="59">
        <f t="shared" si="0"/>
        <v>296.87301532795345</v>
      </c>
      <c r="S7" s="59">
        <f ca="1">AVERAGE(OFFSET($R$3,0,0,'Données projet'!$E$9+1,1))-AVERAGE(OFFSET($H$3,0,0,'Données projet'!$E$9+1,1))</f>
        <v>235.10258076192054</v>
      </c>
      <c r="T7" s="59">
        <f t="shared" si="34"/>
        <v>233.47316052603765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5.25</v>
      </c>
      <c r="AI7" s="13">
        <f>IF('Données projet'!$A$62&gt;35,AI6+AH7-AQ6,IF(A7&lt;'Données projet'!$A$62,$AF$205^A7,IF(A7='Données projet'!$A$62,'Données projet'!$B$62,AI6+AH7-AQ6)))</f>
        <v>2.5365174816357365</v>
      </c>
      <c r="AJ7" s="13">
        <f>AI7*VLOOKUP('Données projet'!$B$10,Paramètres!$A$1:$I$89,3,0)*VLOOKUP('Données projet'!$B$10,Paramètres!$A$1:$I$89,5,0)</f>
        <v>2.21590167195698</v>
      </c>
      <c r="AK7" s="13">
        <f t="shared" si="35"/>
        <v>0.93085165142727433</v>
      </c>
      <c r="AL7" s="20">
        <f t="shared" si="4"/>
        <v>5.4805953715609093</v>
      </c>
      <c r="AM7" s="59">
        <f t="shared" si="5"/>
        <v>298.81392870489424</v>
      </c>
      <c r="AN7" s="59">
        <f ca="1">AVERAGE(OFFSET($AM$3,0,0,'Données projet'!$E$10+1,1))-AVERAGE(OFFSET($H$3,0,0,'Données projet'!$E$10+1,1))</f>
        <v>191.94797389630673</v>
      </c>
      <c r="AO7" s="59">
        <f t="shared" si="36"/>
        <v>273.52540822767878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1.2</v>
      </c>
      <c r="BD7" s="12">
        <f>IF('Données projet'!$A$88&gt;35,BD6+BC7-BL6,IF(A7&lt;'Données projet'!$A$88,$BA$205^A7,IF(A7='Données projet'!$A$88,'Données projet'!$B$88,BD6+BC7-BL6)))</f>
        <v>1.7232147397057538</v>
      </c>
      <c r="BE7" s="13">
        <f>BD7*VLOOKUP('Données projet'!$B$11,Paramètres!$A$1:$I$89,3,0)*VLOOKUP('Données projet'!$B$11,Paramètres!$A$1:$I$89,5,0)</f>
        <v>1.5591646964857659</v>
      </c>
      <c r="BF7" s="13">
        <f t="shared" si="37"/>
        <v>0.68232522894353675</v>
      </c>
      <c r="BG7" s="20">
        <f t="shared" si="7"/>
        <v>3.9039282867893692</v>
      </c>
      <c r="BH7" s="59">
        <f t="shared" si="8"/>
        <v>297.23726162012269</v>
      </c>
      <c r="BI7" s="59">
        <f ca="1">AVERAGE(OFFSET($BH$3,0,0,'Données projet'!$E$11+1,1))-AVERAGE(OFFSET($H$3,0,0,'Données projet'!$E$11+1,1))</f>
        <v>138.8931001150624</v>
      </c>
      <c r="BJ7" s="59">
        <f t="shared" si="38"/>
        <v>48.964659354096625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1.7232147397057538</v>
      </c>
      <c r="BZ7" s="13">
        <f>BY7*VLOOKUP('Données projet'!$B$12,Paramètres!$A$1:$I$89,3,0)*VLOOKUP('Données projet'!$B$12,Paramètres!$A$1:$I$89,5,0)</f>
        <v>1.7473397460616347</v>
      </c>
      <c r="CA7" s="13">
        <f t="shared" si="39"/>
        <v>0.7545998185105095</v>
      </c>
      <c r="CB7" s="20">
        <f t="shared" si="10"/>
        <v>4.3575447416298188</v>
      </c>
      <c r="CC7" s="59">
        <f t="shared" si="11"/>
        <v>297.69087807496311</v>
      </c>
      <c r="CD7" s="59">
        <f ca="1">AVERAGE(OFFSET($CC$3,0,0,'Données projet'!$E$12+1,1))-AVERAGE(OFFSET($H$3,0,0,'Données projet'!$E$12+1,1))</f>
        <v>169.2757878405003</v>
      </c>
      <c r="CE7" s="59">
        <f t="shared" si="40"/>
        <v>61.876502626609977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2.85</v>
      </c>
      <c r="CT7" s="12">
        <f>IF('Données projet'!$A$140&gt;35,CT6+CS7-DB6,IF(A7&lt;'Données projet'!$A$140,$CQ$205^A7,IF(A7='Données projet'!$A$140,'Données projet'!$B$140,CT6+CS7-DB6)))</f>
        <v>2.2447861343640922</v>
      </c>
      <c r="CU7" s="17">
        <f>CT7*VLOOKUP('Données projet'!$B$13,Paramètres!$A$1:$I$89,3,0)*VLOOKUP('Données projet'!$B$13,Paramètres!$A$1:$I$89,5,0)</f>
        <v>1.7859518485000718</v>
      </c>
      <c r="CV7" s="13">
        <f t="shared" si="41"/>
        <v>0.7693149499304045</v>
      </c>
      <c r="CW7" s="20">
        <f t="shared" si="13"/>
        <v>4.450423007266413</v>
      </c>
      <c r="CX7" s="59">
        <f t="shared" si="14"/>
        <v>297.78375634059972</v>
      </c>
      <c r="CY7" s="59">
        <f ca="1">AVERAGE(OFFSET($CX$3,0,0,'Données projet'!$E$13+1,1))-AVERAGE(OFFSET($H$3,0,0,'Données projet'!$E$13+1,1))</f>
        <v>141.12810728817544</v>
      </c>
      <c r="CZ7" s="59">
        <f t="shared" si="42"/>
        <v>176.01405805137551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>
        <f>EXP(-LN(2)/35)*DF6+(1-EXP(-LN(2)/35))/(LN(2)/35)*DB7*DC7*VLOOKUP('Données projet'!$B$13,Paramètres!$A$1:$I$89,3,0)*0.475*44/12</f>
        <v>0</v>
      </c>
      <c r="DG7" s="21">
        <f>EXP(-LN(2)/25)*DG6+(1-EXP(-LN(2)/25))/(LN(2)/25)*Calculateur!DB7*Calculateur!DD7*VLOOKUP('Données projet'!$B$13,Paramètres!$A$1:$I$89,3,0)*0.475*44/12</f>
        <v>0</v>
      </c>
      <c r="DH7" s="21">
        <f>EXP(-LN(2)/2)*DH6+(1-EXP(-LN(2)/2))/(LN(2)/2)*DB7*DE7*VLOOKUP('Données projet'!$B$13,Paramètres!$A$1:$I$89,3,0)*0.475*44/12</f>
        <v>0</v>
      </c>
      <c r="DI7" s="22">
        <f t="shared" si="15"/>
        <v>0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3.1</v>
      </c>
      <c r="DO7" s="12">
        <f>IF('Données projet'!$A$166&gt;35,DO6+DN7-DW6,IF(A7&lt;'Données projet'!$A$166,$DL$205^A7,IF(A7='Données projet'!$A$166,'Données projet'!$B$166,DO6+DN7-DW6)))</f>
        <v>2.2828550557016292</v>
      </c>
      <c r="DP7" s="17">
        <f>DO7*VLOOKUP('Données projet'!$B$14,Paramètres!$A$1:$I$89,3,0)*VLOOKUP('Données projet'!$B$14,Paramètres!$A$1:$I$89,5,0)</f>
        <v>1.3651473233095743</v>
      </c>
      <c r="DQ7" s="13">
        <f t="shared" si="43"/>
        <v>0.60673170590338565</v>
      </c>
      <c r="DR7" s="20">
        <f t="shared" si="16"/>
        <v>3.4343559758792388</v>
      </c>
      <c r="DS7" s="59">
        <f t="shared" si="17"/>
        <v>296.76768930921253</v>
      </c>
      <c r="DT7" s="59">
        <f ca="1">AVERAGE(OFFSET($DS$3,0,0,'Données projet'!$E$14+1,1))-AVERAGE(OFFSET($H$3,0,0,'Données projet'!$E$14+1,1))</f>
        <v>165.39579887388538</v>
      </c>
      <c r="DU7" s="59">
        <f t="shared" si="44"/>
        <v>155.89639262545802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>
        <f>EXP(-LN(2)/35)*EA6+(1-EXP(-LN(2)/35))/(LN(2)/35)*DW7*DX7*VLOOKUP('Données projet'!$B$14,Paramètres!$A$1:$I$89,3,0)*0.475*44/12</f>
        <v>0</v>
      </c>
      <c r="EB7" s="21">
        <f>EXP(-LN(2)/25)*EB6+(1-EXP(-LN(2)/25))/(LN(2)/25)*Calculateur!DW7*Calculateur!DY7*VLOOKUP('Données projet'!$B$14,Paramètres!$A$1:$I$89,3,0)*0.475*44/12</f>
        <v>0</v>
      </c>
      <c r="EC7" s="21">
        <f>EXP(-LN(2)/2)*EC6+(1-EXP(-LN(2)/2))/(LN(2)/2)*DW7*DZ7*VLOOKUP('Données projet'!$B$14,Paramètres!$A$1:$I$89,3,0)*0.475*44/12</f>
        <v>0</v>
      </c>
      <c r="ED7" s="22">
        <f t="shared" si="18"/>
        <v>0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1.2</v>
      </c>
      <c r="EJ7" s="12">
        <f>IF('Données projet'!$A$192&gt;35,EJ6+EI7-ER6,IF(A7&lt;'Données projet'!$A$192,$EG$205^A7,IF(A7='Données projet'!$A$192,'Données projet'!$B$192,EJ6+EI7-ER6)))</f>
        <v>1.7232147397057538</v>
      </c>
      <c r="EK7" s="17">
        <f>EJ7*VLOOKUP('Données projet'!$B$15,Paramètres!$A$1:$I$89,3,0)*VLOOKUP('Données projet'!$B$15,Paramètres!$A$1:$I$89,5,0)</f>
        <v>1.344107496970488</v>
      </c>
      <c r="EL7" s="13">
        <f t="shared" si="45"/>
        <v>0.59846168402233479</v>
      </c>
      <c r="EM7" s="20">
        <f t="shared" si="19"/>
        <v>3.3833079902291661</v>
      </c>
      <c r="EN7" s="59">
        <f t="shared" si="20"/>
        <v>296.7166413235625</v>
      </c>
      <c r="EO7" s="59">
        <f ca="1">AVERAGE(OFFSET($EN$3,0,0,'Données projet'!$E$15+1,1))-AVERAGE(OFFSET($H$3,0,0,'Données projet'!$E$15+1,1))</f>
        <v>104.07220236158577</v>
      </c>
      <c r="EP7" s="59">
        <f t="shared" si="46"/>
        <v>34.162068257911756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>
        <f>EXP(-LN(2)/35)*EV6+(1-EXP(-LN(2)/35))/(LN(2)/35)*ER7*ES7*VLOOKUP('Données projet'!$B$15,Paramètres!$A$1:$I$89,3,0)*0.475*44/12</f>
        <v>0</v>
      </c>
      <c r="EW7" s="21">
        <f>EXP(-LN(2)/25)*EW6+(1-EXP(-LN(2)/25))/(LN(2)/25)*Calculateur!ER7*Calculateur!ET7*VLOOKUP('Données projet'!$B$15,Paramètres!$A$1:$I$89,3,0)*0.475*44/12</f>
        <v>0</v>
      </c>
      <c r="EX7" s="21">
        <f>EXP(-LN(2)/2)*EX6+(1-EXP(-LN(2)/2))/(LN(2)/2)*ER7*EU7*VLOOKUP('Données projet'!$B$15,Paramètres!$A$1:$I$89,3,0)*0.475*44/12</f>
        <v>0</v>
      </c>
      <c r="EY7" s="22">
        <f t="shared" si="21"/>
        <v>0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6.2</v>
      </c>
      <c r="FE7" s="12">
        <f>IF('Données projet'!$A$218&gt;35,FE6+FD7-FM6,IF(A7&lt;'Données projet'!$A$218,$FB$205^A7,IF(A7='Données projet'!$A$218,'Données projet'!$B$218,FE6+FD7-FM6)))</f>
        <v>15.598734100953932</v>
      </c>
      <c r="FF7" s="17">
        <f>FE7*VLOOKUP('Données projet'!$B$16,Paramètres!$A$1:$I$89,3,0)*VLOOKUP('Données projet'!$B$16,Paramètres!$A$1:$I$89,5,0)</f>
        <v>14.113734614543118</v>
      </c>
      <c r="FG7" s="13">
        <f t="shared" si="47"/>
        <v>4.7794254214126584</v>
      </c>
      <c r="FH7" s="20">
        <f t="shared" si="22"/>
        <v>32.905587062622978</v>
      </c>
      <c r="FI7" s="59">
        <f t="shared" si="23"/>
        <v>326.23892039595631</v>
      </c>
      <c r="FJ7" s="59">
        <f ca="1">AVERAGE(OFFSET($FI$3,0,0,'Données projet'!$E$16+1,1))-AVERAGE(OFFSET($H$3,0,0,'Données projet'!$E$16+1,1))</f>
        <v>179.50097986986123</v>
      </c>
      <c r="FK7" s="59">
        <f t="shared" si="48"/>
        <v>287.11838730637578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>
        <f>EXP(-LN(2)/35)*FQ6+(1-EXP(-LN(2)/35))/(LN(2)/35)*FM7*FN7*VLOOKUP('Données projet'!$B$16,Paramètres!$A$1:$I$89,3,0)*0.475*44/12</f>
        <v>0</v>
      </c>
      <c r="FR7" s="21">
        <f>EXP(-LN(2)/25)*FR6+(1-EXP(-LN(2)/25))/(LN(2)/25)*Calculateur!FM7*Calculateur!FO7*VLOOKUP('Données projet'!$B$16,Paramètres!$A$1:$I$89,3,0)*0.475*44/12</f>
        <v>0</v>
      </c>
      <c r="FS7" s="21">
        <f>EXP(-LN(2)/2)*FS6+(1-EXP(-LN(2)/2))/(LN(2)/2)*FM7*FP7*VLOOKUP('Données projet'!$B$16,Paramètres!$A$1:$I$89,3,0)*0.475*44/12</f>
        <v>0</v>
      </c>
      <c r="FT7" s="22">
        <f t="shared" si="24"/>
        <v>0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3.1</v>
      </c>
      <c r="FZ7" s="12">
        <f>IF('Données projet'!$A$244&gt;35,FZ6+FY7-GH6,IF(A7&lt;'Données projet'!$A$244,$FW$205^A7,IF(A7='Données projet'!$A$244,'Données projet'!$B$244,FZ6+FY7-GH6)))</f>
        <v>2.2828550557016292</v>
      </c>
      <c r="GA7" s="17">
        <f>FZ7*VLOOKUP('Données projet'!$B$17,Paramètres!$A$1:$I$89,3,0)*VLOOKUP('Données projet'!$B$17,Paramètres!$A$1:$I$89,5,0)</f>
        <v>1.3651473233095743</v>
      </c>
      <c r="GB7" s="13">
        <f t="shared" si="49"/>
        <v>0.60673170590338565</v>
      </c>
      <c r="GC7" s="20">
        <f t="shared" si="25"/>
        <v>3.4343559758792388</v>
      </c>
      <c r="GD7" s="59">
        <f t="shared" si="26"/>
        <v>296.76768930921253</v>
      </c>
      <c r="GE7" s="59">
        <f ca="1">AVERAGE(OFFSET($GD$3,0,0,'Données projet'!$E$17+1,1))-AVERAGE(OFFSET($H$3,0,0,'Données projet'!$E$17+1,1))</f>
        <v>165.39579887388538</v>
      </c>
      <c r="GF7" s="59">
        <f t="shared" si="50"/>
        <v>155.89639262545802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>
        <f>EXP(-LN(2)/35)*GL6+(1-EXP(-LN(2)/35))/(LN(2)/35)*GH7*GI7*VLOOKUP('Données projet'!$B$17,Paramètres!$A$1:$I$89,3,0)*0.475*44/12</f>
        <v>0</v>
      </c>
      <c r="GM7" s="21">
        <f>EXP(-LN(2)/25)*GM6+(1-EXP(-LN(2)/25))/(LN(2)/25)*Calculateur!GH7*Calculateur!GJ7*VLOOKUP('Données projet'!$B$17,Paramètres!$A$1:$I$89,3,0)*0.475*44/12</f>
        <v>0</v>
      </c>
      <c r="GN7" s="21">
        <f>EXP(-LN(2)/2)*GN6+(1-EXP(-LN(2)/2))/(LN(2)/2)*GH7*GK7*VLOOKUP('Données projet'!$B$17,Paramètres!$A$1:$I$89,3,0)*0.475*44/12</f>
        <v>0</v>
      </c>
      <c r="GO7" s="21">
        <f t="shared" si="27"/>
        <v>0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2.1333333333333333</v>
      </c>
      <c r="N8" s="13">
        <f>IF('Données projet'!$A$36&gt;35,N7+M8-V7,IF(A8&lt;'Données projet'!$A$36,$K$205^A8,IF(A8='Données projet'!$A$36,'Données projet'!$B$36,N7+M8-V7)))</f>
        <v>3.1748021039363996</v>
      </c>
      <c r="O8" s="13">
        <f>N8*VLOOKUP('Données projet'!$B$9,Paramètres!$A$1:$I$89,3,0)*VLOOKUP('Données projet'!$B$9,Paramètres!$A$1:$I$89,5,0)</f>
        <v>1.7747143761004474</v>
      </c>
      <c r="P8" s="13">
        <f t="shared" si="33"/>
        <v>0.76503618767494097</v>
      </c>
      <c r="Q8" s="20">
        <f t="shared" si="2"/>
        <v>4.423398898575468</v>
      </c>
      <c r="R8" s="59">
        <f t="shared" si="0"/>
        <v>297.75673223190876</v>
      </c>
      <c r="S8" s="59">
        <f ca="1">AVERAGE(OFFSET($R$3,0,0,'Données projet'!$E$9+1,1))-AVERAGE(OFFSET($H$3,0,0,'Données projet'!$E$9+1,1))</f>
        <v>235.10258076192054</v>
      </c>
      <c r="T8" s="59">
        <f t="shared" si="34"/>
        <v>233.47316052603765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5.25</v>
      </c>
      <c r="AI8" s="13">
        <f>IF('Données projet'!$A$62&gt;35,AI7+AH8-AQ7,IF(A8&lt;'Données projet'!$A$62,$AF$205^A8,IF(A8='Données projet'!$A$62,'Données projet'!$B$62,AI7+AH8-AQ7)))</f>
        <v>3.2010858729436804</v>
      </c>
      <c r="AJ8" s="13">
        <f>AI8*VLOOKUP('Données projet'!$B$10,Paramètres!$A$1:$I$89,3,0)*VLOOKUP('Données projet'!$B$10,Paramètres!$A$1:$I$89,5,0)</f>
        <v>2.7964686186035994</v>
      </c>
      <c r="AK8" s="13">
        <f t="shared" si="35"/>
        <v>1.1433432096049962</v>
      </c>
      <c r="AL8" s="20">
        <f t="shared" si="4"/>
        <v>6.8618389341299704</v>
      </c>
      <c r="AM8" s="59">
        <f t="shared" si="5"/>
        <v>300.19517226746331</v>
      </c>
      <c r="AN8" s="59">
        <f ca="1">AVERAGE(OFFSET($AM$3,0,0,'Données projet'!$E$10+1,1))-AVERAGE(OFFSET($H$3,0,0,'Données projet'!$E$10+1,1))</f>
        <v>191.94797389630673</v>
      </c>
      <c r="AO8" s="59">
        <f t="shared" si="36"/>
        <v>273.52540822767878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1.2</v>
      </c>
      <c r="BD8" s="12">
        <f>IF('Données projet'!$A$88&gt;35,BD7+BC8-BL7,IF(A8&lt;'Données projet'!$A$88,$BA$205^A8,IF(A8='Données projet'!$A$88,'Données projet'!$B$88,BD7+BC8-BL7)))</f>
        <v>1.9743504858348202</v>
      </c>
      <c r="BE8" s="13">
        <f>BD8*VLOOKUP('Données projet'!$B$11,Paramètres!$A$1:$I$89,3,0)*VLOOKUP('Données projet'!$B$11,Paramètres!$A$1:$I$89,5,0)</f>
        <v>1.7863923195833453</v>
      </c>
      <c r="BF8" s="13">
        <f t="shared" si="37"/>
        <v>0.76948259905993732</v>
      </c>
      <c r="BG8" s="20">
        <f t="shared" si="7"/>
        <v>4.4514821499703841</v>
      </c>
      <c r="BH8" s="59">
        <f t="shared" si="8"/>
        <v>297.7848154833037</v>
      </c>
      <c r="BI8" s="59">
        <f ca="1">AVERAGE(OFFSET($BH$3,0,0,'Données projet'!$E$11+1,1))-AVERAGE(OFFSET($H$3,0,0,'Données projet'!$E$11+1,1))</f>
        <v>138.8931001150624</v>
      </c>
      <c r="BJ8" s="59">
        <f t="shared" si="38"/>
        <v>48.964659354096625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1.9743504858348202</v>
      </c>
      <c r="BZ8" s="13">
        <f>BY8*VLOOKUP('Données projet'!$B$12,Paramètres!$A$1:$I$89,3,0)*VLOOKUP('Données projet'!$B$12,Paramètres!$A$1:$I$89,5,0)</f>
        <v>2.0019913926365076</v>
      </c>
      <c r="CA8" s="13">
        <f t="shared" si="39"/>
        <v>0.85098924232460604</v>
      </c>
      <c r="CB8" s="20">
        <f t="shared" si="10"/>
        <v>4.9689412725572728</v>
      </c>
      <c r="CC8" s="59">
        <f t="shared" si="11"/>
        <v>298.3022746058906</v>
      </c>
      <c r="CD8" s="59">
        <f ca="1">AVERAGE(OFFSET($CC$3,0,0,'Données projet'!$E$12+1,1))-AVERAGE(OFFSET($H$3,0,0,'Données projet'!$E$12+1,1))</f>
        <v>169.2757878405003</v>
      </c>
      <c r="CE8" s="59">
        <f t="shared" si="40"/>
        <v>61.876502626609977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2.85</v>
      </c>
      <c r="CT8" s="12">
        <f>IF('Données projet'!$A$140&gt;35,CT7+CS8-DB7,IF(A8&lt;'Données projet'!$A$140,$CQ$205^A8,IF(A8='Données projet'!$A$140,'Données projet'!$B$140,CT7+CS8-DB7)))</f>
        <v>2.7476962050544729</v>
      </c>
      <c r="CU8" s="17">
        <f>CT8*VLOOKUP('Données projet'!$B$13,Paramètres!$A$1:$I$89,3,0)*VLOOKUP('Données projet'!$B$13,Paramètres!$A$1:$I$89,5,0)</f>
        <v>2.1860671007413388</v>
      </c>
      <c r="CV8" s="13">
        <f t="shared" si="41"/>
        <v>0.91976890516315934</v>
      </c>
      <c r="CW8" s="20">
        <f t="shared" si="13"/>
        <v>5.4093310436170006</v>
      </c>
      <c r="CX8" s="59">
        <f t="shared" si="14"/>
        <v>298.7426643769503</v>
      </c>
      <c r="CY8" s="59">
        <f ca="1">AVERAGE(OFFSET($CX$3,0,0,'Données projet'!$E$13+1,1))-AVERAGE(OFFSET($H$3,0,0,'Données projet'!$E$13+1,1))</f>
        <v>141.12810728817544</v>
      </c>
      <c r="CZ8" s="59">
        <f t="shared" si="42"/>
        <v>176.01405805137551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>
        <f>EXP(-LN(2)/35)*DF7+(1-EXP(-LN(2)/35))/(LN(2)/35)*DB8*DC8*VLOOKUP('Données projet'!$B$13,Paramètres!$A$1:$I$89,3,0)*0.475*44/12</f>
        <v>0</v>
      </c>
      <c r="DG8" s="21">
        <f>EXP(-LN(2)/25)*DG7+(1-EXP(-LN(2)/25))/(LN(2)/25)*Calculateur!DB8*Calculateur!DD8*VLOOKUP('Données projet'!$B$13,Paramètres!$A$1:$I$89,3,0)*0.475*44/12</f>
        <v>0</v>
      </c>
      <c r="DH8" s="21">
        <f>EXP(-LN(2)/2)*DH7+(1-EXP(-LN(2)/2))/(LN(2)/2)*DB8*DE8*VLOOKUP('Données projet'!$B$13,Paramètres!$A$1:$I$89,3,0)*0.475*44/12</f>
        <v>0</v>
      </c>
      <c r="DI8" s="22">
        <f t="shared" si="15"/>
        <v>0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3.1</v>
      </c>
      <c r="DO8" s="12">
        <f>IF('Données projet'!$A$166&gt;35,DO7+DN8-DW7,IF(A8&lt;'Données projet'!$A$166,$DL$205^A8,IF(A8='Données projet'!$A$166,'Données projet'!$B$166,DO7+DN8-DW7)))</f>
        <v>2.8060662632966835</v>
      </c>
      <c r="DP8" s="17">
        <f>DO8*VLOOKUP('Données projet'!$B$14,Paramètres!$A$1:$I$89,3,0)*VLOOKUP('Données projet'!$B$14,Paramètres!$A$1:$I$89,5,0)</f>
        <v>1.678027625451417</v>
      </c>
      <c r="DQ8" s="13">
        <f t="shared" si="43"/>
        <v>0.72808914332366337</v>
      </c>
      <c r="DR8" s="20">
        <f t="shared" si="16"/>
        <v>4.1906533722832648</v>
      </c>
      <c r="DS8" s="59">
        <f t="shared" si="17"/>
        <v>297.52398670561661</v>
      </c>
      <c r="DT8" s="59">
        <f ca="1">AVERAGE(OFFSET($DS$3,0,0,'Données projet'!$E$14+1,1))-AVERAGE(OFFSET($H$3,0,0,'Données projet'!$E$14+1,1))</f>
        <v>165.39579887388538</v>
      </c>
      <c r="DU8" s="59">
        <f t="shared" si="44"/>
        <v>155.89639262545802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>
        <f>EXP(-LN(2)/35)*EA7+(1-EXP(-LN(2)/35))/(LN(2)/35)*DW8*DX8*VLOOKUP('Données projet'!$B$14,Paramètres!$A$1:$I$89,3,0)*0.475*44/12</f>
        <v>0</v>
      </c>
      <c r="EB8" s="21">
        <f>EXP(-LN(2)/25)*EB7+(1-EXP(-LN(2)/25))/(LN(2)/25)*Calculateur!DW8*Calculateur!DY8*VLOOKUP('Données projet'!$B$14,Paramètres!$A$1:$I$89,3,0)*0.475*44/12</f>
        <v>0</v>
      </c>
      <c r="EC8" s="21">
        <f>EXP(-LN(2)/2)*EC7+(1-EXP(-LN(2)/2))/(LN(2)/2)*DW8*DZ8*VLOOKUP('Données projet'!$B$14,Paramètres!$A$1:$I$89,3,0)*0.475*44/12</f>
        <v>0</v>
      </c>
      <c r="ED8" s="22">
        <f t="shared" si="18"/>
        <v>0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1.2</v>
      </c>
      <c r="EJ8" s="12">
        <f>IF('Données projet'!$A$192&gt;35,EJ7+EI8-ER7,IF(A8&lt;'Données projet'!$A$192,$EG$205^A8,IF(A8='Données projet'!$A$192,'Données projet'!$B$192,EJ7+EI8-ER7)))</f>
        <v>1.9743504858348202</v>
      </c>
      <c r="EK8" s="17">
        <f>EJ8*VLOOKUP('Données projet'!$B$15,Paramètres!$A$1:$I$89,3,0)*VLOOKUP('Données projet'!$B$15,Paramètres!$A$1:$I$89,5,0)</f>
        <v>1.5399933789511597</v>
      </c>
      <c r="EL8" s="13">
        <f t="shared" si="45"/>
        <v>0.67490667576854391</v>
      </c>
      <c r="EM8" s="20">
        <f t="shared" si="19"/>
        <v>3.8576175953034837</v>
      </c>
      <c r="EN8" s="59">
        <f t="shared" si="20"/>
        <v>297.19095092863682</v>
      </c>
      <c r="EO8" s="59">
        <f ca="1">AVERAGE(OFFSET($EN$3,0,0,'Données projet'!$E$15+1,1))-AVERAGE(OFFSET($H$3,0,0,'Données projet'!$E$15+1,1))</f>
        <v>104.07220236158577</v>
      </c>
      <c r="EP8" s="59">
        <f t="shared" si="46"/>
        <v>34.162068257911756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>
        <f>EXP(-LN(2)/35)*EV7+(1-EXP(-LN(2)/35))/(LN(2)/35)*ER8*ES8*VLOOKUP('Données projet'!$B$15,Paramètres!$A$1:$I$89,3,0)*0.475*44/12</f>
        <v>0</v>
      </c>
      <c r="EW8" s="21">
        <f>EXP(-LN(2)/25)*EW7+(1-EXP(-LN(2)/25))/(LN(2)/25)*Calculateur!ER8*Calculateur!ET8*VLOOKUP('Données projet'!$B$15,Paramètres!$A$1:$I$89,3,0)*0.475*44/12</f>
        <v>0</v>
      </c>
      <c r="EX8" s="21">
        <f>EXP(-LN(2)/2)*EX7+(1-EXP(-LN(2)/2))/(LN(2)/2)*ER8*EU8*VLOOKUP('Données projet'!$B$15,Paramètres!$A$1:$I$89,3,0)*0.475*44/12</f>
        <v>0</v>
      </c>
      <c r="EY8" s="22">
        <f t="shared" si="21"/>
        <v>0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>
        <f>VLOOKUP(A8,'Données projet'!$A$217:$I$237,2,0)</f>
        <v>31</v>
      </c>
      <c r="FC8" s="12">
        <f>VLOOKUP(A8,'Données projet'!$A$217:$I$237,9,0)</f>
        <v>6.2</v>
      </c>
      <c r="FD8" s="12">
        <f t="array" ref="FD8">INDEX(FC:FC,MIN(IF(ISNUMBER(FC8:FC204),ROW(FC8:FC204),"")))</f>
        <v>6.2</v>
      </c>
      <c r="FE8" s="12">
        <f>IF('Données projet'!$A$218&gt;35,FE7+FD8-FM7,IF(A8&lt;'Données projet'!$A$218,$FB$205^A8,IF(A8='Données projet'!$A$218,'Données projet'!$B$218,FE7+FD8-FM7)))</f>
        <v>31</v>
      </c>
      <c r="FF8" s="17">
        <f>FE8*VLOOKUP('Données projet'!$B$16,Paramètres!$A$1:$I$89,3,0)*VLOOKUP('Données projet'!$B$16,Paramètres!$A$1:$I$89,5,0)</f>
        <v>28.0488</v>
      </c>
      <c r="FG8" s="13">
        <f t="shared" si="47"/>
        <v>8.7685771561440919</v>
      </c>
      <c r="FH8" s="20">
        <f t="shared" si="22"/>
        <v>64.123598546950959</v>
      </c>
      <c r="FI8" s="59">
        <f t="shared" si="23"/>
        <v>357.45693188028429</v>
      </c>
      <c r="FJ8" s="59">
        <f ca="1">AVERAGE(OFFSET($FI$3,0,0,'Données projet'!$E$16+1,1))-AVERAGE(OFFSET($H$3,0,0,'Données projet'!$E$16+1,1))</f>
        <v>179.50097986986123</v>
      </c>
      <c r="FK8" s="59">
        <f t="shared" si="48"/>
        <v>287.11838730637578</v>
      </c>
      <c r="FL8" s="15">
        <f>IF(ISNA(VLOOKUP(A8,'Données projet'!$A$217:$I$237,3,0)),0,VLOOKUP(A8,'Données projet'!$A$217:$I$237,3,0))</f>
        <v>1</v>
      </c>
      <c r="FM8" s="15">
        <f>IF(ISNA(VLOOKUP(A8,'Données projet'!$A$217:$I$237,4,0)),0,VLOOKUP(A8,'Données projet'!$A$217:$I$237,4,0))</f>
        <v>7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7.4999999999999997E-2</v>
      </c>
      <c r="FP8" s="16">
        <f>IF(ISNA(VLOOKUP(A8,'Données projet'!$A$217:$I$237,7,0)),0%,VLOOKUP(A8,'Données projet'!$A$217:$I$237,7,0))</f>
        <v>0.25</v>
      </c>
      <c r="FQ8" s="21">
        <f>EXP(-LN(2)/35)*FQ7+(1-EXP(-LN(2)/35))/(LN(2)/35)*FM8*FN8*VLOOKUP('Données projet'!$B$16,Paramètres!$A$1:$I$89,3,0)*0.475*44/12</f>
        <v>0</v>
      </c>
      <c r="FR8" s="21">
        <f>EXP(-LN(2)/25)*FR7+(1-EXP(-LN(2)/25))/(LN(2)/25)*Calculateur!FM8*Calculateur!FO8*VLOOKUP('Données projet'!$B$16,Paramètres!$A$1:$I$89,3,0)*0.475*44/12</f>
        <v>0.52305294003438696</v>
      </c>
      <c r="FS8" s="21">
        <f>EXP(-LN(2)/2)*FS7+(1-EXP(-LN(2)/2))/(LN(2)/2)*FM8*FP8*VLOOKUP('Données projet'!$B$16,Paramètres!$A$1:$I$89,3,0)*0.475*44/12</f>
        <v>1.4939805165861717</v>
      </c>
      <c r="FT8" s="22">
        <f t="shared" si="24"/>
        <v>2.0170334566205588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3.1</v>
      </c>
      <c r="FZ8" s="12">
        <f>IF('Données projet'!$A$244&gt;35,FZ7+FY8-GH7,IF(A8&lt;'Données projet'!$A$244,$FW$205^A8,IF(A8='Données projet'!$A$244,'Données projet'!$B$244,FZ7+FY8-GH7)))</f>
        <v>2.8060662632966835</v>
      </c>
      <c r="GA8" s="17">
        <f>FZ8*VLOOKUP('Données projet'!$B$17,Paramètres!$A$1:$I$89,3,0)*VLOOKUP('Données projet'!$B$17,Paramètres!$A$1:$I$89,5,0)</f>
        <v>1.678027625451417</v>
      </c>
      <c r="GB8" s="13">
        <f t="shared" si="49"/>
        <v>0.72808914332366337</v>
      </c>
      <c r="GC8" s="20">
        <f t="shared" si="25"/>
        <v>4.1906533722832648</v>
      </c>
      <c r="GD8" s="59">
        <f t="shared" si="26"/>
        <v>297.52398670561661</v>
      </c>
      <c r="GE8" s="59">
        <f ca="1">AVERAGE(OFFSET($GD$3,0,0,'Données projet'!$E$17+1,1))-AVERAGE(OFFSET($H$3,0,0,'Données projet'!$E$17+1,1))</f>
        <v>165.39579887388538</v>
      </c>
      <c r="GF8" s="59">
        <f t="shared" si="50"/>
        <v>155.89639262545802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>
        <f>EXP(-LN(2)/35)*GL7+(1-EXP(-LN(2)/35))/(LN(2)/35)*GH8*GI8*VLOOKUP('Données projet'!$B$17,Paramètres!$A$1:$I$89,3,0)*0.475*44/12</f>
        <v>0</v>
      </c>
      <c r="GM8" s="21">
        <f>EXP(-LN(2)/25)*GM7+(1-EXP(-LN(2)/25))/(LN(2)/25)*Calculateur!GH8*Calculateur!GJ8*VLOOKUP('Données projet'!$B$17,Paramètres!$A$1:$I$89,3,0)*0.475*44/12</f>
        <v>0</v>
      </c>
      <c r="GN8" s="21">
        <f>EXP(-LN(2)/2)*GN7+(1-EXP(-LN(2)/2))/(LN(2)/2)*GH8*GK8*VLOOKUP('Données projet'!$B$17,Paramètres!$A$1:$I$89,3,0)*0.475*44/12</f>
        <v>0</v>
      </c>
      <c r="GO8" s="21">
        <f t="shared" si="27"/>
        <v>0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2.1333333333333333</v>
      </c>
      <c r="N9" s="13">
        <f>IF('Données projet'!$A$36&gt;35,N8+M9-V8,IF(A9&lt;'Données projet'!$A$36,$K$205^A9,IF(A9='Données projet'!$A$36,'Données projet'!$B$36,N8+M9-V8)))</f>
        <v>4.0000000000000009</v>
      </c>
      <c r="O9" s="13">
        <f>N9*VLOOKUP('Données projet'!$B$9,Paramètres!$A$1:$I$89,3,0)*VLOOKUP('Données projet'!$B$9,Paramètres!$A$1:$I$89,5,0)</f>
        <v>2.2360000000000007</v>
      </c>
      <c r="P9" s="13">
        <f t="shared" si="33"/>
        <v>0.93830784341656326</v>
      </c>
      <c r="Q9" s="20">
        <f t="shared" si="2"/>
        <v>5.5285861606171816</v>
      </c>
      <c r="R9" s="59">
        <f t="shared" si="0"/>
        <v>298.8619194939505</v>
      </c>
      <c r="S9" s="59">
        <f ca="1">AVERAGE(OFFSET($R$3,0,0,'Données projet'!$E$9+1,1))-AVERAGE(OFFSET($H$3,0,0,'Données projet'!$E$9+1,1))</f>
        <v>235.10258076192054</v>
      </c>
      <c r="T9" s="59">
        <f t="shared" si="34"/>
        <v>233.47316052603765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5.25</v>
      </c>
      <c r="AI9" s="13">
        <f>IF('Données projet'!$A$62&gt;35,AI8+AH9-AQ8,IF(A9&lt;'Données projet'!$A$62,$AF$205^A9,IF(A9='Données projet'!$A$62,'Données projet'!$B$62,AI8+AH9-AQ8)))</f>
        <v>4.0397713952878425</v>
      </c>
      <c r="AJ9" s="13">
        <f>AI9*VLOOKUP('Données projet'!$B$10,Paramètres!$A$1:$I$89,3,0)*VLOOKUP('Données projet'!$B$10,Paramètres!$A$1:$I$89,5,0)</f>
        <v>3.5291442909234596</v>
      </c>
      <c r="AK9" s="13">
        <f t="shared" si="35"/>
        <v>1.4043415972303146</v>
      </c>
      <c r="AL9" s="20">
        <f t="shared" si="4"/>
        <v>8.5924879218678232</v>
      </c>
      <c r="AM9" s="59">
        <f t="shared" si="5"/>
        <v>301.92582125520113</v>
      </c>
      <c r="AN9" s="59">
        <f ca="1">AVERAGE(OFFSET($AM$3,0,0,'Données projet'!$E$10+1,1))-AVERAGE(OFFSET($H$3,0,0,'Données projet'!$E$10+1,1))</f>
        <v>191.94797389630673</v>
      </c>
      <c r="AO9" s="59">
        <f t="shared" si="36"/>
        <v>273.52540822767878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1.2</v>
      </c>
      <c r="BD9" s="12">
        <f>IF('Données projet'!$A$88&gt;35,BD8+BC9-BL8,IF(A9&lt;'Données projet'!$A$88,$BA$205^A9,IF(A9='Données projet'!$A$88,'Données projet'!$B$88,BD8+BC9-BL8)))</f>
        <v>2.2620859438457455</v>
      </c>
      <c r="BE9" s="13">
        <f>BD9*VLOOKUP('Données projet'!$B$11,Paramètres!$A$1:$I$89,3,0)*VLOOKUP('Données projet'!$B$11,Paramètres!$A$1:$I$89,5,0)</f>
        <v>2.0467353619916304</v>
      </c>
      <c r="BF9" s="13">
        <f t="shared" si="37"/>
        <v>0.86777308699666067</v>
      </c>
      <c r="BG9" s="20">
        <f t="shared" si="7"/>
        <v>5.0761022153212734</v>
      </c>
      <c r="BH9" s="59">
        <f t="shared" si="8"/>
        <v>298.40943554865459</v>
      </c>
      <c r="BI9" s="59">
        <f ca="1">AVERAGE(OFFSET($BH$3,0,0,'Données projet'!$E$11+1,1))-AVERAGE(OFFSET($H$3,0,0,'Données projet'!$E$11+1,1))</f>
        <v>138.8931001150624</v>
      </c>
      <c r="BJ9" s="59">
        <f t="shared" si="38"/>
        <v>48.964659354096625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2.2620859438457455</v>
      </c>
      <c r="BZ9" s="13">
        <f>BY9*VLOOKUP('Données projet'!$B$12,Paramètres!$A$1:$I$89,3,0)*VLOOKUP('Données projet'!$B$12,Paramètres!$A$1:$I$89,5,0)</f>
        <v>2.2937551470595863</v>
      </c>
      <c r="CA9" s="13">
        <f t="shared" si="39"/>
        <v>0.95969104787443238</v>
      </c>
      <c r="CB9" s="20">
        <f t="shared" si="10"/>
        <v>5.6664187895100824</v>
      </c>
      <c r="CC9" s="59">
        <f t="shared" si="11"/>
        <v>298.9997521228434</v>
      </c>
      <c r="CD9" s="59">
        <f ca="1">AVERAGE(OFFSET($CC$3,0,0,'Données projet'!$E$12+1,1))-AVERAGE(OFFSET($H$3,0,0,'Données projet'!$E$12+1,1))</f>
        <v>169.2757878405003</v>
      </c>
      <c r="CE9" s="59">
        <f t="shared" si="40"/>
        <v>61.876502626609977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2.85</v>
      </c>
      <c r="CT9" s="12">
        <f>IF('Données projet'!$A$140&gt;35,CT8+CS9-DB8,IF(A9&lt;'Données projet'!$A$140,$CQ$205^A9,IF(A9='Données projet'!$A$140,'Données projet'!$B$140,CT8+CS9-DB8)))</f>
        <v>3.3632756010449452</v>
      </c>
      <c r="CU9" s="17">
        <f>CT9*VLOOKUP('Données projet'!$B$13,Paramètres!$A$1:$I$89,3,0)*VLOOKUP('Données projet'!$B$13,Paramètres!$A$1:$I$89,5,0)</f>
        <v>2.6758220681913585</v>
      </c>
      <c r="CV9" s="13">
        <f t="shared" si="41"/>
        <v>1.0996469508119751</v>
      </c>
      <c r="CW9" s="20">
        <f t="shared" si="13"/>
        <v>6.5756085414308059</v>
      </c>
      <c r="CX9" s="59">
        <f t="shared" si="14"/>
        <v>299.90894187476414</v>
      </c>
      <c r="CY9" s="59">
        <f ca="1">AVERAGE(OFFSET($CX$3,0,0,'Données projet'!$E$13+1,1))-AVERAGE(OFFSET($H$3,0,0,'Données projet'!$E$13+1,1))</f>
        <v>141.12810728817544</v>
      </c>
      <c r="CZ9" s="59">
        <f t="shared" si="42"/>
        <v>176.01405805137551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>
        <f>EXP(-LN(2)/35)*DF8+(1-EXP(-LN(2)/35))/(LN(2)/35)*DB9*DC9*VLOOKUP('Données projet'!$B$13,Paramètres!$A$1:$I$89,3,0)*0.475*44/12</f>
        <v>0</v>
      </c>
      <c r="DG9" s="21">
        <f>EXP(-LN(2)/25)*DG8+(1-EXP(-LN(2)/25))/(LN(2)/25)*Calculateur!DB9*Calculateur!DD9*VLOOKUP('Données projet'!$B$13,Paramètres!$A$1:$I$89,3,0)*0.475*44/12</f>
        <v>0</v>
      </c>
      <c r="DH9" s="21">
        <f>EXP(-LN(2)/2)*DH8+(1-EXP(-LN(2)/2))/(LN(2)/2)*DB9*DE9*VLOOKUP('Données projet'!$B$13,Paramètres!$A$1:$I$89,3,0)*0.475*44/12</f>
        <v>0</v>
      </c>
      <c r="DI9" s="22">
        <f t="shared" si="15"/>
        <v>0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3.1</v>
      </c>
      <c r="DO9" s="12">
        <f>IF('Données projet'!$A$166&gt;35,DO8+DN9-DW8,IF(A9&lt;'Données projet'!$A$166,$DL$205^A9,IF(A9='Données projet'!$A$166,'Données projet'!$B$166,DO8+DN9-DW8)))</f>
        <v>3.449193085800955</v>
      </c>
      <c r="DP9" s="17">
        <f>DO9*VLOOKUP('Données projet'!$B$14,Paramètres!$A$1:$I$89,3,0)*VLOOKUP('Données projet'!$B$14,Paramètres!$A$1:$I$89,5,0)</f>
        <v>2.0626174653089713</v>
      </c>
      <c r="DQ9" s="13">
        <f t="shared" si="43"/>
        <v>0.8737202876788509</v>
      </c>
      <c r="DR9" s="20">
        <f t="shared" si="16"/>
        <v>5.1141215864537903</v>
      </c>
      <c r="DS9" s="59">
        <f t="shared" si="17"/>
        <v>298.44745491978711</v>
      </c>
      <c r="DT9" s="59">
        <f ca="1">AVERAGE(OFFSET($DS$3,0,0,'Données projet'!$E$14+1,1))-AVERAGE(OFFSET($H$3,0,0,'Données projet'!$E$14+1,1))</f>
        <v>165.39579887388538</v>
      </c>
      <c r="DU9" s="59">
        <f t="shared" si="44"/>
        <v>155.89639262545802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>
        <f>EXP(-LN(2)/35)*EA8+(1-EXP(-LN(2)/35))/(LN(2)/35)*DW9*DX9*VLOOKUP('Données projet'!$B$14,Paramètres!$A$1:$I$89,3,0)*0.475*44/12</f>
        <v>0</v>
      </c>
      <c r="EB9" s="21">
        <f>EXP(-LN(2)/25)*EB8+(1-EXP(-LN(2)/25))/(LN(2)/25)*Calculateur!DW9*Calculateur!DY9*VLOOKUP('Données projet'!$B$14,Paramètres!$A$1:$I$89,3,0)*0.475*44/12</f>
        <v>0</v>
      </c>
      <c r="EC9" s="21">
        <f>EXP(-LN(2)/2)*EC8+(1-EXP(-LN(2)/2))/(LN(2)/2)*DW9*DZ9*VLOOKUP('Données projet'!$B$14,Paramètres!$A$1:$I$89,3,0)*0.475*44/12</f>
        <v>0</v>
      </c>
      <c r="ED9" s="22">
        <f t="shared" si="18"/>
        <v>0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1.2</v>
      </c>
      <c r="EJ9" s="12">
        <f>IF('Données projet'!$A$192&gt;35,EJ8+EI9-ER8,IF(A9&lt;'Données projet'!$A$192,$EG$205^A9,IF(A9='Données projet'!$A$192,'Données projet'!$B$192,EJ8+EI9-ER8)))</f>
        <v>2.2620859438457455</v>
      </c>
      <c r="EK9" s="17">
        <f>EJ9*VLOOKUP('Données projet'!$B$15,Paramètres!$A$1:$I$89,3,0)*VLOOKUP('Données projet'!$B$15,Paramètres!$A$1:$I$89,5,0)</f>
        <v>1.7644270361996814</v>
      </c>
      <c r="EL9" s="13">
        <f t="shared" si="45"/>
        <v>0.76111643093920622</v>
      </c>
      <c r="EM9" s="20">
        <f t="shared" si="19"/>
        <v>4.3986548719335623</v>
      </c>
      <c r="EN9" s="59">
        <f t="shared" si="20"/>
        <v>297.73198820526687</v>
      </c>
      <c r="EO9" s="59">
        <f ca="1">AVERAGE(OFFSET($EN$3,0,0,'Données projet'!$E$15+1,1))-AVERAGE(OFFSET($H$3,0,0,'Données projet'!$E$15+1,1))</f>
        <v>104.07220236158577</v>
      </c>
      <c r="EP9" s="59">
        <f t="shared" si="46"/>
        <v>34.162068257911756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>
        <f>EXP(-LN(2)/35)*EV8+(1-EXP(-LN(2)/35))/(LN(2)/35)*ER9*ES9*VLOOKUP('Données projet'!$B$15,Paramètres!$A$1:$I$89,3,0)*0.475*44/12</f>
        <v>0</v>
      </c>
      <c r="EW9" s="21">
        <f>EXP(-LN(2)/25)*EW8+(1-EXP(-LN(2)/25))/(LN(2)/25)*Calculateur!ER9*Calculateur!ET9*VLOOKUP('Données projet'!$B$15,Paramètres!$A$1:$I$89,3,0)*0.475*44/12</f>
        <v>0</v>
      </c>
      <c r="EX9" s="21">
        <f>EXP(-LN(2)/2)*EX8+(1-EXP(-LN(2)/2))/(LN(2)/2)*ER9*EU9*VLOOKUP('Données projet'!$B$15,Paramètres!$A$1:$I$89,3,0)*0.475*44/12</f>
        <v>0</v>
      </c>
      <c r="EY9" s="22">
        <f t="shared" si="21"/>
        <v>0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13.2</v>
      </c>
      <c r="FE9" s="12">
        <f>IF('Données projet'!$A$218&gt;35,FE8+FD9-FM8,IF(A9&lt;'Données projet'!$A$218,$FB$205^A9,IF(A9='Données projet'!$A$218,'Données projet'!$B$218,FE8+FD9-FM8)))</f>
        <v>37.200000000000003</v>
      </c>
      <c r="FF9" s="17">
        <f>FE9*VLOOKUP('Données projet'!$B$16,Paramètres!$A$1:$I$89,3,0)*VLOOKUP('Données projet'!$B$16,Paramètres!$A$1:$I$89,5,0)</f>
        <v>33.658560000000001</v>
      </c>
      <c r="FG9" s="13">
        <f t="shared" si="47"/>
        <v>10.301338939492442</v>
      </c>
      <c r="FH9" s="20">
        <f t="shared" si="22"/>
        <v>76.563490652949341</v>
      </c>
      <c r="FI9" s="59">
        <f t="shared" si="23"/>
        <v>369.89682398628264</v>
      </c>
      <c r="FJ9" s="59">
        <f ca="1">AVERAGE(OFFSET($FI$3,0,0,'Données projet'!$E$16+1,1))-AVERAGE(OFFSET($H$3,0,0,'Données projet'!$E$16+1,1))</f>
        <v>179.50097986986123</v>
      </c>
      <c r="FK9" s="59">
        <f t="shared" si="48"/>
        <v>287.11838730637578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>
        <f>EXP(-LN(2)/35)*FQ8+(1-EXP(-LN(2)/35))/(LN(2)/35)*FM9*FN9*VLOOKUP('Données projet'!$B$16,Paramètres!$A$1:$I$89,3,0)*0.475*44/12</f>
        <v>0</v>
      </c>
      <c r="FR9" s="21">
        <f>EXP(-LN(2)/25)*FR8+(1-EXP(-LN(2)/25))/(LN(2)/25)*Calculateur!FM9*Calculateur!FO9*VLOOKUP('Données projet'!$B$16,Paramètres!$A$1:$I$89,3,0)*0.475*44/12</f>
        <v>0.50875002988298801</v>
      </c>
      <c r="FS9" s="21">
        <f>EXP(-LN(2)/2)*FS8+(1-EXP(-LN(2)/2))/(LN(2)/2)*FM9*FP9*VLOOKUP('Données projet'!$B$16,Paramètres!$A$1:$I$89,3,0)*0.475*44/12</f>
        <v>1.0564037542386635</v>
      </c>
      <c r="FT9" s="22">
        <f t="shared" si="24"/>
        <v>1.5651537841216516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3.1</v>
      </c>
      <c r="FZ9" s="12">
        <f>IF('Données projet'!$A$244&gt;35,FZ8+FY9-GH8,IF(A9&lt;'Données projet'!$A$244,$FW$205^A9,IF(A9='Données projet'!$A$244,'Données projet'!$B$244,FZ8+FY9-GH8)))</f>
        <v>3.449193085800955</v>
      </c>
      <c r="GA9" s="17">
        <f>FZ9*VLOOKUP('Données projet'!$B$17,Paramètres!$A$1:$I$89,3,0)*VLOOKUP('Données projet'!$B$17,Paramètres!$A$1:$I$89,5,0)</f>
        <v>2.0626174653089713</v>
      </c>
      <c r="GB9" s="13">
        <f t="shared" si="49"/>
        <v>0.8737202876788509</v>
      </c>
      <c r="GC9" s="20">
        <f t="shared" si="25"/>
        <v>5.1141215864537903</v>
      </c>
      <c r="GD9" s="59">
        <f t="shared" si="26"/>
        <v>298.44745491978711</v>
      </c>
      <c r="GE9" s="59">
        <f ca="1">AVERAGE(OFFSET($GD$3,0,0,'Données projet'!$E$17+1,1))-AVERAGE(OFFSET($H$3,0,0,'Données projet'!$E$17+1,1))</f>
        <v>165.39579887388538</v>
      </c>
      <c r="GF9" s="59">
        <f t="shared" si="50"/>
        <v>155.89639262545802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>
        <f>EXP(-LN(2)/35)*GL8+(1-EXP(-LN(2)/35))/(LN(2)/35)*GH9*GI9*VLOOKUP('Données projet'!$B$17,Paramètres!$A$1:$I$89,3,0)*0.475*44/12</f>
        <v>0</v>
      </c>
      <c r="GM9" s="21">
        <f>EXP(-LN(2)/25)*GM8+(1-EXP(-LN(2)/25))/(LN(2)/25)*Calculateur!GH9*Calculateur!GJ9*VLOOKUP('Données projet'!$B$17,Paramètres!$A$1:$I$89,3,0)*0.475*44/12</f>
        <v>0</v>
      </c>
      <c r="GN9" s="21">
        <f>EXP(-LN(2)/2)*GN8+(1-EXP(-LN(2)/2))/(LN(2)/2)*GH9*GK9*VLOOKUP('Données projet'!$B$17,Paramètres!$A$1:$I$89,3,0)*0.475*44/12</f>
        <v>0</v>
      </c>
      <c r="GO9" s="21">
        <f t="shared" si="27"/>
        <v>0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2.1333333333333333</v>
      </c>
      <c r="N10" s="13">
        <f>IF('Données projet'!$A$36&gt;35,N9+M10-V9,IF(A10&lt;'Données projet'!$A$36,$K$205^A10,IF(A10='Données projet'!$A$36,'Données projet'!$B$36,N9+M10-V9)))</f>
        <v>5.0396841995794937</v>
      </c>
      <c r="O10" s="13">
        <f>N10*VLOOKUP('Données projet'!$B$9,Paramètres!$A$1:$I$89,3,0)*VLOOKUP('Données projet'!$B$9,Paramètres!$A$1:$I$89,5,0)</f>
        <v>2.8171834675649365</v>
      </c>
      <c r="P10" s="13">
        <f t="shared" si="33"/>
        <v>1.1508234815568323</v>
      </c>
      <c r="Q10" s="20">
        <f t="shared" si="2"/>
        <v>6.9109454363870801</v>
      </c>
      <c r="R10" s="59">
        <f t="shared" si="0"/>
        <v>300.24427876972038</v>
      </c>
      <c r="S10" s="59">
        <f ca="1">AVERAGE(OFFSET($R$3,0,0,'Données projet'!$E$9+1,1))-AVERAGE(OFFSET($H$3,0,0,'Données projet'!$E$9+1,1))</f>
        <v>235.10258076192054</v>
      </c>
      <c r="T10" s="59">
        <f t="shared" si="34"/>
        <v>233.47316052603765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5.25</v>
      </c>
      <c r="AI10" s="13">
        <f>IF('Données projet'!$A$62&gt;35,AI9+AH10-AQ9,IF(A10&lt;'Données projet'!$A$62,$AF$205^A10,IF(A10='Données projet'!$A$62,'Données projet'!$B$62,AI9+AH10-AQ9)))</f>
        <v>5.0981927926783266</v>
      </c>
      <c r="AJ10" s="13">
        <f>AI10*VLOOKUP('Données projet'!$B$10,Paramètres!$A$1:$I$89,3,0)*VLOOKUP('Données projet'!$B$10,Paramètres!$A$1:$I$89,5,0)</f>
        <v>4.4537812236837864</v>
      </c>
      <c r="AK10" s="13">
        <f t="shared" si="35"/>
        <v>1.7249197836166281</v>
      </c>
      <c r="AL10" s="20">
        <f t="shared" si="4"/>
        <v>10.761237587714888</v>
      </c>
      <c r="AM10" s="59">
        <f t="shared" si="5"/>
        <v>304.09457092104822</v>
      </c>
      <c r="AN10" s="59">
        <f ca="1">AVERAGE(OFFSET($AM$3,0,0,'Données projet'!$E$10+1,1))-AVERAGE(OFFSET($H$3,0,0,'Données projet'!$E$10+1,1))</f>
        <v>191.94797389630673</v>
      </c>
      <c r="AO10" s="59">
        <f t="shared" si="36"/>
        <v>273.52540822767878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1.2</v>
      </c>
      <c r="BD10" s="12">
        <f>IF('Données projet'!$A$88&gt;35,BD9+BC10-BL9,IF(A10&lt;'Données projet'!$A$88,$BA$205^A10,IF(A10='Données projet'!$A$88,'Données projet'!$B$88,BD9+BC10-BL9)))</f>
        <v>2.5917550374450604</v>
      </c>
      <c r="BE10" s="13">
        <f>BD10*VLOOKUP('Données projet'!$B$11,Paramètres!$A$1:$I$89,3,0)*VLOOKUP('Données projet'!$B$11,Paramètres!$A$1:$I$89,5,0)</f>
        <v>2.3450199578802908</v>
      </c>
      <c r="BF10" s="13">
        <f t="shared" si="37"/>
        <v>0.97861879064669866</v>
      </c>
      <c r="BG10" s="20">
        <f t="shared" si="7"/>
        <v>5.7886708203511725</v>
      </c>
      <c r="BH10" s="59">
        <f t="shared" si="8"/>
        <v>299.12200415368449</v>
      </c>
      <c r="BI10" s="59">
        <f ca="1">AVERAGE(OFFSET($BH$3,0,0,'Données projet'!$E$11+1,1))-AVERAGE(OFFSET($H$3,0,0,'Données projet'!$E$11+1,1))</f>
        <v>138.8931001150624</v>
      </c>
      <c r="BJ10" s="59">
        <f t="shared" si="38"/>
        <v>48.964659354096625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2.5917550374450604</v>
      </c>
      <c r="BZ10" s="13">
        <f>BY10*VLOOKUP('Données projet'!$B$12,Paramètres!$A$1:$I$89,3,0)*VLOOKUP('Données projet'!$B$12,Paramètres!$A$1:$I$89,5,0)</f>
        <v>2.6280396079692911</v>
      </c>
      <c r="CA10" s="13">
        <f t="shared" si="39"/>
        <v>1.082277967291873</v>
      </c>
      <c r="CB10" s="20">
        <f t="shared" si="10"/>
        <v>6.4621364435798609</v>
      </c>
      <c r="CC10" s="59">
        <f t="shared" si="11"/>
        <v>299.79546977691319</v>
      </c>
      <c r="CD10" s="59">
        <f ca="1">AVERAGE(OFFSET($CC$3,0,0,'Données projet'!$E$12+1,1))-AVERAGE(OFFSET($H$3,0,0,'Données projet'!$E$12+1,1))</f>
        <v>169.2757878405003</v>
      </c>
      <c r="CE10" s="59">
        <f t="shared" si="40"/>
        <v>61.876502626609977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2.85</v>
      </c>
      <c r="CT10" s="12">
        <f>IF('Données projet'!$A$140&gt;35,CT9+CS10-DB9,IF(A10&lt;'Données projet'!$A$140,$CQ$205^A10,IF(A10='Données projet'!$A$140,'Données projet'!$B$140,CT9+CS10-DB9)))</f>
        <v>4.116766164969822</v>
      </c>
      <c r="CU10" s="17">
        <f>CT10*VLOOKUP('Données projet'!$B$13,Paramètres!$A$1:$I$89,3,0)*VLOOKUP('Données projet'!$B$13,Paramètres!$A$1:$I$89,5,0)</f>
        <v>3.2752991608499906</v>
      </c>
      <c r="CV10" s="13">
        <f t="shared" si="41"/>
        <v>1.3147035191579648</v>
      </c>
      <c r="CW10" s="20">
        <f t="shared" si="13"/>
        <v>7.9942546676805222</v>
      </c>
      <c r="CX10" s="59">
        <f t="shared" si="14"/>
        <v>301.32758800101385</v>
      </c>
      <c r="CY10" s="59">
        <f ca="1">AVERAGE(OFFSET($CX$3,0,0,'Données projet'!$E$13+1,1))-AVERAGE(OFFSET($H$3,0,0,'Données projet'!$E$13+1,1))</f>
        <v>141.12810728817544</v>
      </c>
      <c r="CZ10" s="59">
        <f t="shared" si="42"/>
        <v>176.01405805137551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>
        <f>EXP(-LN(2)/35)*DF9+(1-EXP(-LN(2)/35))/(LN(2)/35)*DB10*DC10*VLOOKUP('Données projet'!$B$13,Paramètres!$A$1:$I$89,3,0)*0.475*44/12</f>
        <v>0</v>
      </c>
      <c r="DG10" s="21">
        <f>EXP(-LN(2)/25)*DG9+(1-EXP(-LN(2)/25))/(LN(2)/25)*Calculateur!DB10*Calculateur!DD10*VLOOKUP('Données projet'!$B$13,Paramètres!$A$1:$I$89,3,0)*0.475*44/12</f>
        <v>0</v>
      </c>
      <c r="DH10" s="21">
        <f>EXP(-LN(2)/2)*DH9+(1-EXP(-LN(2)/2))/(LN(2)/2)*DB10*DE10*VLOOKUP('Données projet'!$B$13,Paramètres!$A$1:$I$89,3,0)*0.475*44/12</f>
        <v>0</v>
      </c>
      <c r="DI10" s="22">
        <f t="shared" si="15"/>
        <v>0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3.1</v>
      </c>
      <c r="DO10" s="12">
        <f>IF('Données projet'!$A$166&gt;35,DO9+DN10-DW9,IF(A10&lt;'Données projet'!$A$166,$DL$205^A10,IF(A10='Données projet'!$A$166,'Données projet'!$B$166,DO9+DN10-DW9)))</f>
        <v>4.2397191751131711</v>
      </c>
      <c r="DP10" s="17">
        <f>DO10*VLOOKUP('Données projet'!$B$14,Paramètres!$A$1:$I$89,3,0)*VLOOKUP('Données projet'!$B$14,Paramètres!$A$1:$I$89,5,0)</f>
        <v>2.5353520667176763</v>
      </c>
      <c r="DQ10" s="13">
        <f t="shared" si="43"/>
        <v>1.0484803242866916</v>
      </c>
      <c r="DR10" s="20">
        <f t="shared" si="16"/>
        <v>6.2418414143326073</v>
      </c>
      <c r="DS10" s="59">
        <f t="shared" si="17"/>
        <v>299.57517474766593</v>
      </c>
      <c r="DT10" s="59">
        <f ca="1">AVERAGE(OFFSET($DS$3,0,0,'Données projet'!$E$14+1,1))-AVERAGE(OFFSET($H$3,0,0,'Données projet'!$E$14+1,1))</f>
        <v>165.39579887388538</v>
      </c>
      <c r="DU10" s="59">
        <f t="shared" si="44"/>
        <v>155.89639262545802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>
        <f>EXP(-LN(2)/35)*EA9+(1-EXP(-LN(2)/35))/(LN(2)/35)*DW10*DX10*VLOOKUP('Données projet'!$B$14,Paramètres!$A$1:$I$89,3,0)*0.475*44/12</f>
        <v>0</v>
      </c>
      <c r="EB10" s="21">
        <f>EXP(-LN(2)/25)*EB9+(1-EXP(-LN(2)/25))/(LN(2)/25)*Calculateur!DW10*Calculateur!DY10*VLOOKUP('Données projet'!$B$14,Paramètres!$A$1:$I$89,3,0)*0.475*44/12</f>
        <v>0</v>
      </c>
      <c r="EC10" s="21">
        <f>EXP(-LN(2)/2)*EC9+(1-EXP(-LN(2)/2))/(LN(2)/2)*DW10*DZ10*VLOOKUP('Données projet'!$B$14,Paramètres!$A$1:$I$89,3,0)*0.475*44/12</f>
        <v>0</v>
      </c>
      <c r="ED10" s="22">
        <f t="shared" si="18"/>
        <v>0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1.2</v>
      </c>
      <c r="EJ10" s="12">
        <f>IF('Données projet'!$A$192&gt;35,EJ9+EI10-ER9,IF(A10&lt;'Données projet'!$A$192,$EG$205^A10,IF(A10='Données projet'!$A$192,'Données projet'!$B$192,EJ9+EI10-ER9)))</f>
        <v>2.5917550374450604</v>
      </c>
      <c r="EK10" s="17">
        <f>EJ10*VLOOKUP('Données projet'!$B$15,Paramètres!$A$1:$I$89,3,0)*VLOOKUP('Données projet'!$B$15,Paramètres!$A$1:$I$89,5,0)</f>
        <v>2.021568929207147</v>
      </c>
      <c r="EL10" s="13">
        <f t="shared" si="45"/>
        <v>0.85833825956153864</v>
      </c>
      <c r="EM10" s="20">
        <f t="shared" si="19"/>
        <v>5.0158383537721276</v>
      </c>
      <c r="EN10" s="59">
        <f t="shared" si="20"/>
        <v>298.34917168710547</v>
      </c>
      <c r="EO10" s="59">
        <f ca="1">AVERAGE(OFFSET($EN$3,0,0,'Données projet'!$E$15+1,1))-AVERAGE(OFFSET($H$3,0,0,'Données projet'!$E$15+1,1))</f>
        <v>104.07220236158577</v>
      </c>
      <c r="EP10" s="59">
        <f t="shared" si="46"/>
        <v>34.162068257911756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>
        <f>EXP(-LN(2)/35)*EV9+(1-EXP(-LN(2)/35))/(LN(2)/35)*ER10*ES10*VLOOKUP('Données projet'!$B$15,Paramètres!$A$1:$I$89,3,0)*0.475*44/12</f>
        <v>0</v>
      </c>
      <c r="EW10" s="21">
        <f>EXP(-LN(2)/25)*EW9+(1-EXP(-LN(2)/25))/(LN(2)/25)*Calculateur!ER10*Calculateur!ET10*VLOOKUP('Données projet'!$B$15,Paramètres!$A$1:$I$89,3,0)*0.475*44/12</f>
        <v>0</v>
      </c>
      <c r="EX10" s="21">
        <f>EXP(-LN(2)/2)*EX9+(1-EXP(-LN(2)/2))/(LN(2)/2)*ER10*EU10*VLOOKUP('Données projet'!$B$15,Paramètres!$A$1:$I$89,3,0)*0.475*44/12</f>
        <v>0</v>
      </c>
      <c r="EY10" s="22">
        <f t="shared" si="21"/>
        <v>0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13.2</v>
      </c>
      <c r="FE10" s="12">
        <f>IF('Données projet'!$A$218&gt;35,FE9+FD10-FM9,IF(A10&lt;'Données projet'!$A$218,$FB$205^A10,IF(A10='Données projet'!$A$218,'Données projet'!$B$218,FE9+FD10-FM9)))</f>
        <v>50.400000000000006</v>
      </c>
      <c r="FF10" s="17">
        <f>FE10*VLOOKUP('Données projet'!$B$16,Paramètres!$A$1:$I$89,3,0)*VLOOKUP('Données projet'!$B$16,Paramètres!$A$1:$I$89,5,0)</f>
        <v>45.601920000000007</v>
      </c>
      <c r="FG10" s="13">
        <f t="shared" si="47"/>
        <v>13.471921919810917</v>
      </c>
      <c r="FH10" s="20">
        <f t="shared" si="22"/>
        <v>102.88694134367069</v>
      </c>
      <c r="FI10" s="59">
        <f t="shared" si="23"/>
        <v>396.220274677004</v>
      </c>
      <c r="FJ10" s="59">
        <f ca="1">AVERAGE(OFFSET($FI$3,0,0,'Données projet'!$E$16+1,1))-AVERAGE(OFFSET($H$3,0,0,'Données projet'!$E$16+1,1))</f>
        <v>179.50097986986123</v>
      </c>
      <c r="FK10" s="59">
        <f t="shared" si="48"/>
        <v>287.11838730637578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>
        <f>EXP(-LN(2)/35)*FQ9+(1-EXP(-LN(2)/35))/(LN(2)/35)*FM10*FN10*VLOOKUP('Données projet'!$B$16,Paramètres!$A$1:$I$89,3,0)*0.475*44/12</f>
        <v>0</v>
      </c>
      <c r="FR10" s="21">
        <f>EXP(-LN(2)/25)*FR9+(1-EXP(-LN(2)/25))/(LN(2)/25)*Calculateur!FM10*Calculateur!FO10*VLOOKUP('Données projet'!$B$16,Paramètres!$A$1:$I$89,3,0)*0.475*44/12</f>
        <v>0.49483823356183637</v>
      </c>
      <c r="FS10" s="21">
        <f>EXP(-LN(2)/2)*FS9+(1-EXP(-LN(2)/2))/(LN(2)/2)*FM10*FP10*VLOOKUP('Données projet'!$B$16,Paramètres!$A$1:$I$89,3,0)*0.475*44/12</f>
        <v>0.74699025829308596</v>
      </c>
      <c r="FT10" s="22">
        <f t="shared" si="24"/>
        <v>1.2418284918549223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3.1</v>
      </c>
      <c r="FZ10" s="12">
        <f>IF('Données projet'!$A$244&gt;35,FZ9+FY10-GH9,IF(A10&lt;'Données projet'!$A$244,$FW$205^A10,IF(A10='Données projet'!$A$244,'Données projet'!$B$244,FZ9+FY10-GH9)))</f>
        <v>4.2397191751131711</v>
      </c>
      <c r="GA10" s="17">
        <f>FZ10*VLOOKUP('Données projet'!$B$17,Paramètres!$A$1:$I$89,3,0)*VLOOKUP('Données projet'!$B$17,Paramètres!$A$1:$I$89,5,0)</f>
        <v>2.5353520667176763</v>
      </c>
      <c r="GB10" s="13">
        <f t="shared" si="49"/>
        <v>1.0484803242866916</v>
      </c>
      <c r="GC10" s="20">
        <f t="shared" si="25"/>
        <v>6.2418414143326073</v>
      </c>
      <c r="GD10" s="59">
        <f t="shared" si="26"/>
        <v>299.57517474766593</v>
      </c>
      <c r="GE10" s="59">
        <f ca="1">AVERAGE(OFFSET($GD$3,0,0,'Données projet'!$E$17+1,1))-AVERAGE(OFFSET($H$3,0,0,'Données projet'!$E$17+1,1))</f>
        <v>165.39579887388538</v>
      </c>
      <c r="GF10" s="59">
        <f t="shared" si="50"/>
        <v>155.89639262545802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>
        <f>EXP(-LN(2)/35)*GL9+(1-EXP(-LN(2)/35))/(LN(2)/35)*GH10*GI10*VLOOKUP('Données projet'!$B$17,Paramètres!$A$1:$I$89,3,0)*0.475*44/12</f>
        <v>0</v>
      </c>
      <c r="GM10" s="21">
        <f>EXP(-LN(2)/25)*GM9+(1-EXP(-LN(2)/25))/(LN(2)/25)*Calculateur!GH10*Calculateur!GJ10*VLOOKUP('Données projet'!$B$17,Paramètres!$A$1:$I$89,3,0)*0.475*44/12</f>
        <v>0</v>
      </c>
      <c r="GN10" s="21">
        <f>EXP(-LN(2)/2)*GN9+(1-EXP(-LN(2)/2))/(LN(2)/2)*GH10*GK10*VLOOKUP('Données projet'!$B$17,Paramètres!$A$1:$I$89,3,0)*0.475*44/12</f>
        <v>0</v>
      </c>
      <c r="GO10" s="21">
        <f t="shared" si="27"/>
        <v>0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2.1333333333333333</v>
      </c>
      <c r="N11" s="13">
        <f>IF('Données projet'!$A$36&gt;35,N10+M11-V10,IF(A11&lt;'Données projet'!$A$36,$K$205^A11,IF(A11='Données projet'!$A$36,'Données projet'!$B$36,N10+M11-V10)))</f>
        <v>6.3496042078728001</v>
      </c>
      <c r="O11" s="13">
        <f>N11*VLOOKUP('Données projet'!$B$9,Paramètres!$A$1:$I$89,3,0)*VLOOKUP('Données projet'!$B$9,Paramètres!$A$1:$I$89,5,0)</f>
        <v>3.5494287522008952</v>
      </c>
      <c r="P11" s="13">
        <f t="shared" si="33"/>
        <v>1.4114714003457627</v>
      </c>
      <c r="Q11" s="20">
        <f t="shared" si="2"/>
        <v>8.640234432352095</v>
      </c>
      <c r="R11" s="59">
        <f t="shared" si="0"/>
        <v>301.9735677656854</v>
      </c>
      <c r="S11" s="59">
        <f ca="1">AVERAGE(OFFSET($R$3,0,0,'Données projet'!$E$9+1,1))-AVERAGE(OFFSET($H$3,0,0,'Données projet'!$E$9+1,1))</f>
        <v>235.10258076192054</v>
      </c>
      <c r="T11" s="59">
        <f t="shared" si="34"/>
        <v>233.47316052603765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5.25</v>
      </c>
      <c r="AI11" s="13">
        <f>IF('Données projet'!$A$62&gt;35,AI10+AH11-AQ10,IF(A11&lt;'Données projet'!$A$62,$AF$205^A11,IF(A11='Données projet'!$A$62,'Données projet'!$B$62,AI10+AH11-AQ10)))</f>
        <v>6.433920934643699</v>
      </c>
      <c r="AJ11" s="13">
        <f>AI11*VLOOKUP('Données projet'!$B$10,Paramètres!$A$1:$I$89,3,0)*VLOOKUP('Données projet'!$B$10,Paramètres!$A$1:$I$89,5,0)</f>
        <v>5.6206733285047363</v>
      </c>
      <c r="AK11" s="13">
        <f t="shared" si="35"/>
        <v>2.1186784367707316</v>
      </c>
      <c r="AL11" s="20">
        <f t="shared" si="4"/>
        <v>13.479370991188105</v>
      </c>
      <c r="AM11" s="59">
        <f t="shared" si="5"/>
        <v>306.81270432452141</v>
      </c>
      <c r="AN11" s="59">
        <f ca="1">AVERAGE(OFFSET($AM$3,0,0,'Données projet'!$E$10+1,1))-AVERAGE(OFFSET($H$3,0,0,'Données projet'!$E$10+1,1))</f>
        <v>191.94797389630673</v>
      </c>
      <c r="AO11" s="59">
        <f t="shared" si="36"/>
        <v>273.52540822767878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1.2</v>
      </c>
      <c r="BD11" s="12">
        <f>IF('Données projet'!$A$88&gt;35,BD10+BC11-BL10,IF(A11&lt;'Données projet'!$A$88,$BA$205^A11,IF(A11='Données projet'!$A$88,'Données projet'!$B$88,BD10+BC11-BL10)))</f>
        <v>2.9694690391391689</v>
      </c>
      <c r="BE11" s="13">
        <f>BD11*VLOOKUP('Données projet'!$B$11,Paramètres!$A$1:$I$89,3,0)*VLOOKUP('Données projet'!$B$11,Paramètres!$A$1:$I$89,5,0)</f>
        <v>2.6867755866131198</v>
      </c>
      <c r="BF11" s="13">
        <f t="shared" si="37"/>
        <v>1.1036234607382931</v>
      </c>
      <c r="BG11" s="20">
        <f t="shared" si="7"/>
        <v>6.6016116741370441</v>
      </c>
      <c r="BH11" s="59">
        <f t="shared" si="8"/>
        <v>299.93494500747033</v>
      </c>
      <c r="BI11" s="59">
        <f ca="1">AVERAGE(OFFSET($BH$3,0,0,'Données projet'!$E$11+1,1))-AVERAGE(OFFSET($H$3,0,0,'Données projet'!$E$11+1,1))</f>
        <v>138.8931001150624</v>
      </c>
      <c r="BJ11" s="59">
        <f t="shared" si="38"/>
        <v>48.964659354096625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2.9694690391391689</v>
      </c>
      <c r="BZ11" s="13">
        <f>BY11*VLOOKUP('Données projet'!$B$12,Paramètres!$A$1:$I$89,3,0)*VLOOKUP('Données projet'!$B$12,Paramètres!$A$1:$I$89,5,0)</f>
        <v>3.0110416056871174</v>
      </c>
      <c r="CA11" s="13">
        <f t="shared" si="39"/>
        <v>1.2205236269315363</v>
      </c>
      <c r="CB11" s="20">
        <f t="shared" si="10"/>
        <v>7.3699761134774882</v>
      </c>
      <c r="CC11" s="59">
        <f t="shared" si="11"/>
        <v>300.70330944681081</v>
      </c>
      <c r="CD11" s="59">
        <f ca="1">AVERAGE(OFFSET($CC$3,0,0,'Données projet'!$E$12+1,1))-AVERAGE(OFFSET($H$3,0,0,'Données projet'!$E$12+1,1))</f>
        <v>169.2757878405003</v>
      </c>
      <c r="CE11" s="59">
        <f t="shared" si="40"/>
        <v>61.876502626609977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2.85</v>
      </c>
      <c r="CT11" s="12">
        <f>IF('Données projet'!$A$140&gt;35,CT10+CS11-DB10,IF(A11&lt;'Données projet'!$A$140,$CQ$205^A11,IF(A11='Données projet'!$A$140,'Données projet'!$B$140,CT10+CS11-DB10)))</f>
        <v>5.0390647890332847</v>
      </c>
      <c r="CU11" s="17">
        <f>CT11*VLOOKUP('Données projet'!$B$13,Paramètres!$A$1:$I$89,3,0)*VLOOKUP('Données projet'!$B$13,Paramètres!$A$1:$I$89,5,0)</f>
        <v>4.0090799461548814</v>
      </c>
      <c r="CV11" s="13">
        <f t="shared" si="41"/>
        <v>1.5718184295514674</v>
      </c>
      <c r="CW11" s="20">
        <f t="shared" si="13"/>
        <v>9.7200646710218894</v>
      </c>
      <c r="CX11" s="59">
        <f t="shared" si="14"/>
        <v>303.05339800435519</v>
      </c>
      <c r="CY11" s="59">
        <f ca="1">AVERAGE(OFFSET($CX$3,0,0,'Données projet'!$E$13+1,1))-AVERAGE(OFFSET($H$3,0,0,'Données projet'!$E$13+1,1))</f>
        <v>141.12810728817544</v>
      </c>
      <c r="CZ11" s="59">
        <f t="shared" si="42"/>
        <v>176.01405805137551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>
        <f>EXP(-LN(2)/35)*DF10+(1-EXP(-LN(2)/35))/(LN(2)/35)*DB11*DC11*VLOOKUP('Données projet'!$B$13,Paramètres!$A$1:$I$89,3,0)*0.475*44/12</f>
        <v>0</v>
      </c>
      <c r="DG11" s="21">
        <f>EXP(-LN(2)/25)*DG10+(1-EXP(-LN(2)/25))/(LN(2)/25)*Calculateur!DB11*Calculateur!DD11*VLOOKUP('Données projet'!$B$13,Paramètres!$A$1:$I$89,3,0)*0.475*44/12</f>
        <v>0</v>
      </c>
      <c r="DH11" s="21">
        <f>EXP(-LN(2)/2)*DH10+(1-EXP(-LN(2)/2))/(LN(2)/2)*DB11*DE11*VLOOKUP('Données projet'!$B$13,Paramètres!$A$1:$I$89,3,0)*0.475*44/12</f>
        <v>0</v>
      </c>
      <c r="DI11" s="22">
        <f t="shared" si="15"/>
        <v>0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3.1</v>
      </c>
      <c r="DO11" s="12">
        <f>IF('Données projet'!$A$166&gt;35,DO10+DN11-DW10,IF(A11&lt;'Données projet'!$A$166,$DL$205^A11,IF(A11='Données projet'!$A$166,'Données projet'!$B$166,DO10+DN11-DW10)))</f>
        <v>5.2114272053424884</v>
      </c>
      <c r="DP11" s="17">
        <f>DO11*VLOOKUP('Données projet'!$B$14,Paramètres!$A$1:$I$89,3,0)*VLOOKUP('Données projet'!$B$14,Paramètres!$A$1:$I$89,5,0)</f>
        <v>3.1164334687948081</v>
      </c>
      <c r="DQ11" s="13">
        <f t="shared" si="43"/>
        <v>1.2581955643227483</v>
      </c>
      <c r="DR11" s="20">
        <f t="shared" si="16"/>
        <v>7.6191455660130769</v>
      </c>
      <c r="DS11" s="59">
        <f t="shared" si="17"/>
        <v>300.95247889934637</v>
      </c>
      <c r="DT11" s="59">
        <f ca="1">AVERAGE(OFFSET($DS$3,0,0,'Données projet'!$E$14+1,1))-AVERAGE(OFFSET($H$3,0,0,'Données projet'!$E$14+1,1))</f>
        <v>165.39579887388538</v>
      </c>
      <c r="DU11" s="59">
        <f t="shared" si="44"/>
        <v>155.89639262545802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>
        <f>EXP(-LN(2)/35)*EA10+(1-EXP(-LN(2)/35))/(LN(2)/35)*DW11*DX11*VLOOKUP('Données projet'!$B$14,Paramètres!$A$1:$I$89,3,0)*0.475*44/12</f>
        <v>0</v>
      </c>
      <c r="EB11" s="21">
        <f>EXP(-LN(2)/25)*EB10+(1-EXP(-LN(2)/25))/(LN(2)/25)*Calculateur!DW11*Calculateur!DY11*VLOOKUP('Données projet'!$B$14,Paramètres!$A$1:$I$89,3,0)*0.475*44/12</f>
        <v>0</v>
      </c>
      <c r="EC11" s="21">
        <f>EXP(-LN(2)/2)*EC10+(1-EXP(-LN(2)/2))/(LN(2)/2)*DW11*DZ11*VLOOKUP('Données projet'!$B$14,Paramètres!$A$1:$I$89,3,0)*0.475*44/12</f>
        <v>0</v>
      </c>
      <c r="ED11" s="22">
        <f t="shared" si="18"/>
        <v>0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1.2</v>
      </c>
      <c r="EJ11" s="12">
        <f>IF('Données projet'!$A$192&gt;35,EJ10+EI11-ER10,IF(A11&lt;'Données projet'!$A$192,$EG$205^A11,IF(A11='Données projet'!$A$192,'Données projet'!$B$192,EJ10+EI11-ER10)))</f>
        <v>2.9694690391391689</v>
      </c>
      <c r="EK11" s="17">
        <f>EJ11*VLOOKUP('Données projet'!$B$15,Paramètres!$A$1:$I$89,3,0)*VLOOKUP('Données projet'!$B$15,Paramètres!$A$1:$I$89,5,0)</f>
        <v>2.316185850528552</v>
      </c>
      <c r="EL11" s="13">
        <f t="shared" si="45"/>
        <v>0.96797879782729113</v>
      </c>
      <c r="EM11" s="20">
        <f t="shared" si="19"/>
        <v>5.719920095886426</v>
      </c>
      <c r="EN11" s="59">
        <f t="shared" si="20"/>
        <v>299.05325342921975</v>
      </c>
      <c r="EO11" s="59">
        <f ca="1">AVERAGE(OFFSET($EN$3,0,0,'Données projet'!$E$15+1,1))-AVERAGE(OFFSET($H$3,0,0,'Données projet'!$E$15+1,1))</f>
        <v>104.07220236158577</v>
      </c>
      <c r="EP11" s="59">
        <f t="shared" si="46"/>
        <v>34.162068257911756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>
        <f>EXP(-LN(2)/35)*EV10+(1-EXP(-LN(2)/35))/(LN(2)/35)*ER11*ES11*VLOOKUP('Données projet'!$B$15,Paramètres!$A$1:$I$89,3,0)*0.475*44/12</f>
        <v>0</v>
      </c>
      <c r="EW11" s="21">
        <f>EXP(-LN(2)/25)*EW10+(1-EXP(-LN(2)/25))/(LN(2)/25)*Calculateur!ER11*Calculateur!ET11*VLOOKUP('Données projet'!$B$15,Paramètres!$A$1:$I$89,3,0)*0.475*44/12</f>
        <v>0</v>
      </c>
      <c r="EX11" s="21">
        <f>EXP(-LN(2)/2)*EX10+(1-EXP(-LN(2)/2))/(LN(2)/2)*ER11*EU11*VLOOKUP('Données projet'!$B$15,Paramètres!$A$1:$I$89,3,0)*0.475*44/12</f>
        <v>0</v>
      </c>
      <c r="EY11" s="22">
        <f t="shared" si="21"/>
        <v>0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13.2</v>
      </c>
      <c r="FE11" s="12">
        <f>IF('Données projet'!$A$218&gt;35,FE10+FD11-FM10,IF(A11&lt;'Données projet'!$A$218,$FB$205^A11,IF(A11='Données projet'!$A$218,'Données projet'!$B$218,FE10+FD11-FM10)))</f>
        <v>63.600000000000009</v>
      </c>
      <c r="FF11" s="17">
        <f>FE11*VLOOKUP('Données projet'!$B$16,Paramètres!$A$1:$I$89,3,0)*VLOOKUP('Données projet'!$B$16,Paramètres!$A$1:$I$89,5,0)</f>
        <v>57.545280000000012</v>
      </c>
      <c r="FG11" s="13">
        <f t="shared" si="47"/>
        <v>16.546138012021622</v>
      </c>
      <c r="FH11" s="20">
        <f t="shared" si="22"/>
        <v>129.04255303760434</v>
      </c>
      <c r="FI11" s="59">
        <f t="shared" si="23"/>
        <v>422.37588637093768</v>
      </c>
      <c r="FJ11" s="59">
        <f ca="1">AVERAGE(OFFSET($FI$3,0,0,'Données projet'!$E$16+1,1))-AVERAGE(OFFSET($H$3,0,0,'Données projet'!$E$16+1,1))</f>
        <v>179.50097986986123</v>
      </c>
      <c r="FK11" s="59">
        <f t="shared" si="48"/>
        <v>287.11838730637578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>
        <f>EXP(-LN(2)/35)*FQ10+(1-EXP(-LN(2)/35))/(LN(2)/35)*FM11*FN11*VLOOKUP('Données projet'!$B$16,Paramètres!$A$1:$I$89,3,0)*0.475*44/12</f>
        <v>0</v>
      </c>
      <c r="FR11" s="21">
        <f>EXP(-LN(2)/25)*FR10+(1-EXP(-LN(2)/25))/(LN(2)/25)*Calculateur!FM11*Calculateur!FO11*VLOOKUP('Données projet'!$B$16,Paramètres!$A$1:$I$89,3,0)*0.475*44/12</f>
        <v>0.4813068560426762</v>
      </c>
      <c r="FS11" s="21">
        <f>EXP(-LN(2)/2)*FS10+(1-EXP(-LN(2)/2))/(LN(2)/2)*FM11*FP11*VLOOKUP('Données projet'!$B$16,Paramètres!$A$1:$I$89,3,0)*0.475*44/12</f>
        <v>0.52820187711933175</v>
      </c>
      <c r="FT11" s="22">
        <f t="shared" si="24"/>
        <v>1.0095087331620078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3.1</v>
      </c>
      <c r="FZ11" s="12">
        <f>IF('Données projet'!$A$244&gt;35,FZ10+FY11-GH10,IF(A11&lt;'Données projet'!$A$244,$FW$205^A11,IF(A11='Données projet'!$A$244,'Données projet'!$B$244,FZ10+FY11-GH10)))</f>
        <v>5.2114272053424884</v>
      </c>
      <c r="GA11" s="17">
        <f>FZ11*VLOOKUP('Données projet'!$B$17,Paramètres!$A$1:$I$89,3,0)*VLOOKUP('Données projet'!$B$17,Paramètres!$A$1:$I$89,5,0)</f>
        <v>3.1164334687948081</v>
      </c>
      <c r="GB11" s="13">
        <f t="shared" si="49"/>
        <v>1.2581955643227483</v>
      </c>
      <c r="GC11" s="20">
        <f t="shared" si="25"/>
        <v>7.6191455660130769</v>
      </c>
      <c r="GD11" s="59">
        <f t="shared" si="26"/>
        <v>300.95247889934637</v>
      </c>
      <c r="GE11" s="59">
        <f ca="1">AVERAGE(OFFSET($GD$3,0,0,'Données projet'!$E$17+1,1))-AVERAGE(OFFSET($H$3,0,0,'Données projet'!$E$17+1,1))</f>
        <v>165.39579887388538</v>
      </c>
      <c r="GF11" s="59">
        <f t="shared" si="50"/>
        <v>155.89639262545802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>
        <f>EXP(-LN(2)/35)*GL10+(1-EXP(-LN(2)/35))/(LN(2)/35)*GH11*GI11*VLOOKUP('Données projet'!$B$17,Paramètres!$A$1:$I$89,3,0)*0.475*44/12</f>
        <v>0</v>
      </c>
      <c r="GM11" s="21">
        <f>EXP(-LN(2)/25)*GM10+(1-EXP(-LN(2)/25))/(LN(2)/25)*Calculateur!GH11*Calculateur!GJ11*VLOOKUP('Données projet'!$B$17,Paramètres!$A$1:$I$89,3,0)*0.475*44/12</f>
        <v>0</v>
      </c>
      <c r="GN11" s="21">
        <f>EXP(-LN(2)/2)*GN10+(1-EXP(-LN(2)/2))/(LN(2)/2)*GH11*GK11*VLOOKUP('Données projet'!$B$17,Paramètres!$A$1:$I$89,3,0)*0.475*44/12</f>
        <v>0</v>
      </c>
      <c r="GO11" s="21">
        <f t="shared" si="27"/>
        <v>0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2.1333333333333333</v>
      </c>
      <c r="N12" s="13">
        <f>IF('Données projet'!$A$36&gt;35,N11+M12-V11,IF(A12&lt;'Données projet'!$A$36,$K$205^A12,IF(A12='Données projet'!$A$36,'Données projet'!$B$36,N11+M12-V11)))</f>
        <v>8.0000000000000036</v>
      </c>
      <c r="O12" s="13">
        <f>N12*VLOOKUP('Données projet'!$B$9,Paramètres!$A$1:$I$89,3,0)*VLOOKUP('Données projet'!$B$9,Paramètres!$A$1:$I$89,5,0)</f>
        <v>4.4720000000000022</v>
      </c>
      <c r="P12" s="13">
        <f t="shared" si="33"/>
        <v>1.7311529925500939</v>
      </c>
      <c r="Q12" s="20">
        <f t="shared" si="2"/>
        <v>10.803824795358084</v>
      </c>
      <c r="R12" s="59">
        <f t="shared" si="0"/>
        <v>304.1371581286914</v>
      </c>
      <c r="S12" s="59">
        <f ca="1">AVERAGE(OFFSET($R$3,0,0,'Données projet'!$E$9+1,1))-AVERAGE(OFFSET($H$3,0,0,'Données projet'!$E$9+1,1))</f>
        <v>235.10258076192054</v>
      </c>
      <c r="T12" s="59">
        <f t="shared" si="34"/>
        <v>233.47316052603765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5.25</v>
      </c>
      <c r="AI12" s="13">
        <f>IF('Données projet'!$A$62&gt;35,AI11+AH12-AQ11,IF(A12&lt;'Données projet'!$A$62,$AF$205^A12,IF(A12='Données projet'!$A$62,'Données projet'!$B$62,AI11+AH12-AQ11)))</f>
        <v>8.1196102769388379</v>
      </c>
      <c r="AJ12" s="13">
        <f>AI12*VLOOKUP('Données projet'!$B$10,Paramètres!$A$1:$I$89,3,0)*VLOOKUP('Données projet'!$B$10,Paramètres!$A$1:$I$89,5,0)</f>
        <v>7.0932915379337693</v>
      </c>
      <c r="AK12" s="13">
        <f t="shared" si="35"/>
        <v>2.602322937606778</v>
      </c>
      <c r="AL12" s="20">
        <f t="shared" si="4"/>
        <v>16.886528544899786</v>
      </c>
      <c r="AM12" s="59">
        <f t="shared" si="5"/>
        <v>310.21986187823308</v>
      </c>
      <c r="AN12" s="59">
        <f ca="1">AVERAGE(OFFSET($AM$3,0,0,'Données projet'!$E$10+1,1))-AVERAGE(OFFSET($H$3,0,0,'Données projet'!$E$10+1,1))</f>
        <v>191.94797389630673</v>
      </c>
      <c r="AO12" s="59">
        <f t="shared" si="36"/>
        <v>273.52540822767878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1.2</v>
      </c>
      <c r="BD12" s="12">
        <f>IF('Données projet'!$A$88&gt;35,BD11+BC12-BL11,IF(A12&lt;'Données projet'!$A$88,$BA$205^A12,IF(A12='Données projet'!$A$88,'Données projet'!$B$88,BD11+BC12-BL11)))</f>
        <v>3.4022298585357786</v>
      </c>
      <c r="BE12" s="13">
        <f>BD12*VLOOKUP('Données projet'!$B$11,Paramètres!$A$1:$I$89,3,0)*VLOOKUP('Données projet'!$B$11,Paramètres!$A$1:$I$89,5,0)</f>
        <v>3.0783375760031726</v>
      </c>
      <c r="BF12" s="13">
        <f t="shared" si="37"/>
        <v>1.2445957044081368</v>
      </c>
      <c r="BG12" s="20">
        <f t="shared" si="7"/>
        <v>7.5291087967163621</v>
      </c>
      <c r="BH12" s="59">
        <f t="shared" si="8"/>
        <v>300.86244213004966</v>
      </c>
      <c r="BI12" s="59">
        <f ca="1">AVERAGE(OFFSET($BH$3,0,0,'Données projet'!$E$11+1,1))-AVERAGE(OFFSET($H$3,0,0,'Données projet'!$E$11+1,1))</f>
        <v>138.8931001150624</v>
      </c>
      <c r="BJ12" s="59">
        <f t="shared" si="38"/>
        <v>48.964659354096625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3.4022298585357786</v>
      </c>
      <c r="BZ12" s="13">
        <f>BY12*VLOOKUP('Données projet'!$B$12,Paramètres!$A$1:$I$89,3,0)*VLOOKUP('Données projet'!$B$12,Paramètres!$A$1:$I$89,5,0)</f>
        <v>3.4498610765552797</v>
      </c>
      <c r="CA12" s="13">
        <f t="shared" si="39"/>
        <v>1.3764282087582862</v>
      </c>
      <c r="CB12" s="20">
        <f t="shared" si="10"/>
        <v>8.4057871719211263</v>
      </c>
      <c r="CC12" s="59">
        <f t="shared" si="11"/>
        <v>301.73912050525445</v>
      </c>
      <c r="CD12" s="59">
        <f ca="1">AVERAGE(OFFSET($CC$3,0,0,'Données projet'!$E$12+1,1))-AVERAGE(OFFSET($H$3,0,0,'Données projet'!$E$12+1,1))</f>
        <v>169.2757878405003</v>
      </c>
      <c r="CE12" s="59">
        <f t="shared" si="40"/>
        <v>61.876502626609977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2.85</v>
      </c>
      <c r="CT12" s="12">
        <f>IF('Données projet'!$A$140&gt;35,CT11+CS12-DB11,IF(A12&lt;'Données projet'!$A$140,$CQ$205^A12,IF(A12='Données projet'!$A$140,'Données projet'!$B$140,CT11+CS12-DB11)))</f>
        <v>6.167990342551116</v>
      </c>
      <c r="CU12" s="17">
        <f>CT12*VLOOKUP('Données projet'!$B$13,Paramètres!$A$1:$I$89,3,0)*VLOOKUP('Données projet'!$B$13,Paramètres!$A$1:$I$89,5,0)</f>
        <v>4.9072531165336679</v>
      </c>
      <c r="CV12" s="13">
        <f t="shared" si="41"/>
        <v>1.8792169789429081</v>
      </c>
      <c r="CW12" s="20">
        <f t="shared" si="13"/>
        <v>11.819768749621701</v>
      </c>
      <c r="CX12" s="59">
        <f t="shared" si="14"/>
        <v>305.153102082955</v>
      </c>
      <c r="CY12" s="59">
        <f ca="1">AVERAGE(OFFSET($CX$3,0,0,'Données projet'!$E$13+1,1))-AVERAGE(OFFSET($H$3,0,0,'Données projet'!$E$13+1,1))</f>
        <v>141.12810728817544</v>
      </c>
      <c r="CZ12" s="59">
        <f t="shared" si="42"/>
        <v>176.01405805137551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>
        <f>EXP(-LN(2)/35)*DF11+(1-EXP(-LN(2)/35))/(LN(2)/35)*DB12*DC12*VLOOKUP('Données projet'!$B$13,Paramètres!$A$1:$I$89,3,0)*0.475*44/12</f>
        <v>0</v>
      </c>
      <c r="DG12" s="21">
        <f>EXP(-LN(2)/25)*DG11+(1-EXP(-LN(2)/25))/(LN(2)/25)*Calculateur!DB12*Calculateur!DD12*VLOOKUP('Données projet'!$B$13,Paramètres!$A$1:$I$89,3,0)*0.475*44/12</f>
        <v>0</v>
      </c>
      <c r="DH12" s="21">
        <f>EXP(-LN(2)/2)*DH11+(1-EXP(-LN(2)/2))/(LN(2)/2)*DB12*DE12*VLOOKUP('Données projet'!$B$13,Paramètres!$A$1:$I$89,3,0)*0.475*44/12</f>
        <v>0</v>
      </c>
      <c r="DI12" s="22">
        <f t="shared" si="15"/>
        <v>0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3.1</v>
      </c>
      <c r="DO12" s="12">
        <f>IF('Données projet'!$A$166&gt;35,DO11+DN12-DW11,IF(A12&lt;'Données projet'!$A$166,$DL$205^A12,IF(A12='Données projet'!$A$166,'Données projet'!$B$166,DO11+DN12-DW11)))</f>
        <v>6.4058425558006133</v>
      </c>
      <c r="DP12" s="17">
        <f>DO12*VLOOKUP('Données projet'!$B$14,Paramètres!$A$1:$I$89,3,0)*VLOOKUP('Données projet'!$B$14,Paramètres!$A$1:$I$89,5,0)</f>
        <v>3.8306938483687669</v>
      </c>
      <c r="DQ12" s="13">
        <f t="shared" si="43"/>
        <v>1.5098576877524461</v>
      </c>
      <c r="DR12" s="20">
        <f t="shared" si="16"/>
        <v>9.3014605920777775</v>
      </c>
      <c r="DS12" s="59">
        <f t="shared" si="17"/>
        <v>302.63479392541109</v>
      </c>
      <c r="DT12" s="59">
        <f ca="1">AVERAGE(OFFSET($DS$3,0,0,'Données projet'!$E$14+1,1))-AVERAGE(OFFSET($H$3,0,0,'Données projet'!$E$14+1,1))</f>
        <v>165.39579887388538</v>
      </c>
      <c r="DU12" s="59">
        <f t="shared" si="44"/>
        <v>155.89639262545802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>
        <f>EXP(-LN(2)/35)*EA11+(1-EXP(-LN(2)/35))/(LN(2)/35)*DW12*DX12*VLOOKUP('Données projet'!$B$14,Paramètres!$A$1:$I$89,3,0)*0.475*44/12</f>
        <v>0</v>
      </c>
      <c r="EB12" s="21">
        <f>EXP(-LN(2)/25)*EB11+(1-EXP(-LN(2)/25))/(LN(2)/25)*Calculateur!DW12*Calculateur!DY12*VLOOKUP('Données projet'!$B$14,Paramètres!$A$1:$I$89,3,0)*0.475*44/12</f>
        <v>0</v>
      </c>
      <c r="EC12" s="21">
        <f>EXP(-LN(2)/2)*EC11+(1-EXP(-LN(2)/2))/(LN(2)/2)*DW12*DZ12*VLOOKUP('Données projet'!$B$14,Paramètres!$A$1:$I$89,3,0)*0.475*44/12</f>
        <v>0</v>
      </c>
      <c r="ED12" s="22">
        <f t="shared" si="18"/>
        <v>0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1.2</v>
      </c>
      <c r="EJ12" s="12">
        <f>IF('Données projet'!$A$192&gt;35,EJ11+EI12-ER11,IF(A12&lt;'Données projet'!$A$192,$EG$205^A12,IF(A12='Données projet'!$A$192,'Données projet'!$B$192,EJ11+EI12-ER11)))</f>
        <v>3.4022298585357786</v>
      </c>
      <c r="EK12" s="17">
        <f>EJ12*VLOOKUP('Données projet'!$B$15,Paramètres!$A$1:$I$89,3,0)*VLOOKUP('Données projet'!$B$15,Paramètres!$A$1:$I$89,5,0)</f>
        <v>2.6537392896579073</v>
      </c>
      <c r="EL12" s="13">
        <f t="shared" si="45"/>
        <v>1.0916243597504351</v>
      </c>
      <c r="EM12" s="20">
        <f t="shared" si="19"/>
        <v>6.5231750227195286</v>
      </c>
      <c r="EN12" s="59">
        <f t="shared" si="20"/>
        <v>299.85650835605287</v>
      </c>
      <c r="EO12" s="59">
        <f ca="1">AVERAGE(OFFSET($EN$3,0,0,'Données projet'!$E$15+1,1))-AVERAGE(OFFSET($H$3,0,0,'Données projet'!$E$15+1,1))</f>
        <v>104.07220236158577</v>
      </c>
      <c r="EP12" s="59">
        <f t="shared" si="46"/>
        <v>34.162068257911756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>
        <f>EXP(-LN(2)/35)*EV11+(1-EXP(-LN(2)/35))/(LN(2)/35)*ER12*ES12*VLOOKUP('Données projet'!$B$15,Paramètres!$A$1:$I$89,3,0)*0.475*44/12</f>
        <v>0</v>
      </c>
      <c r="EW12" s="21">
        <f>EXP(-LN(2)/25)*EW11+(1-EXP(-LN(2)/25))/(LN(2)/25)*Calculateur!ER12*Calculateur!ET12*VLOOKUP('Données projet'!$B$15,Paramètres!$A$1:$I$89,3,0)*0.475*44/12</f>
        <v>0</v>
      </c>
      <c r="EX12" s="21">
        <f>EXP(-LN(2)/2)*EX11+(1-EXP(-LN(2)/2))/(LN(2)/2)*ER12*EU12*VLOOKUP('Données projet'!$B$15,Paramètres!$A$1:$I$89,3,0)*0.475*44/12</f>
        <v>0</v>
      </c>
      <c r="EY12" s="22">
        <f t="shared" si="21"/>
        <v>0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13.2</v>
      </c>
      <c r="FE12" s="12">
        <f>IF('Données projet'!$A$218&gt;35,FE11+FD12-FM11,IF(A12&lt;'Données projet'!$A$218,$FB$205^A12,IF(A12='Données projet'!$A$218,'Données projet'!$B$218,FE11+FD12-FM11)))</f>
        <v>76.800000000000011</v>
      </c>
      <c r="FF12" s="17">
        <f>FE12*VLOOKUP('Données projet'!$B$16,Paramètres!$A$1:$I$89,3,0)*VLOOKUP('Données projet'!$B$16,Paramètres!$A$1:$I$89,5,0)</f>
        <v>69.488640000000004</v>
      </c>
      <c r="FG12" s="13">
        <f t="shared" si="47"/>
        <v>19.546414723012209</v>
      </c>
      <c r="FH12" s="20">
        <f t="shared" si="22"/>
        <v>155.06938697591292</v>
      </c>
      <c r="FI12" s="59">
        <f t="shared" si="23"/>
        <v>448.40272030924621</v>
      </c>
      <c r="FJ12" s="59">
        <f ca="1">AVERAGE(OFFSET($FI$3,0,0,'Données projet'!$E$16+1,1))-AVERAGE(OFFSET($H$3,0,0,'Données projet'!$E$16+1,1))</f>
        <v>179.50097986986123</v>
      </c>
      <c r="FK12" s="59">
        <f t="shared" si="48"/>
        <v>287.11838730637578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>
        <f>EXP(-LN(2)/35)*FQ11+(1-EXP(-LN(2)/35))/(LN(2)/35)*FM12*FN12*VLOOKUP('Données projet'!$B$16,Paramètres!$A$1:$I$89,3,0)*0.475*44/12</f>
        <v>0</v>
      </c>
      <c r="FR12" s="21">
        <f>EXP(-LN(2)/25)*FR11+(1-EXP(-LN(2)/25))/(LN(2)/25)*Calculateur!FM12*Calculateur!FO12*VLOOKUP('Données projet'!$B$16,Paramètres!$A$1:$I$89,3,0)*0.475*44/12</f>
        <v>0.4681454947533617</v>
      </c>
      <c r="FS12" s="21">
        <f>EXP(-LN(2)/2)*FS11+(1-EXP(-LN(2)/2))/(LN(2)/2)*FM12*FP12*VLOOKUP('Données projet'!$B$16,Paramètres!$A$1:$I$89,3,0)*0.475*44/12</f>
        <v>0.37349512914654298</v>
      </c>
      <c r="FT12" s="22">
        <f t="shared" si="24"/>
        <v>0.84164062389990468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3.1</v>
      </c>
      <c r="FZ12" s="12">
        <f>IF('Données projet'!$A$244&gt;35,FZ11+FY12-GH11,IF(A12&lt;'Données projet'!$A$244,$FW$205^A12,IF(A12='Données projet'!$A$244,'Données projet'!$B$244,FZ11+FY12-GH11)))</f>
        <v>6.4058425558006133</v>
      </c>
      <c r="GA12" s="17">
        <f>FZ12*VLOOKUP('Données projet'!$B$17,Paramètres!$A$1:$I$89,3,0)*VLOOKUP('Données projet'!$B$17,Paramètres!$A$1:$I$89,5,0)</f>
        <v>3.8306938483687669</v>
      </c>
      <c r="GB12" s="13">
        <f t="shared" si="49"/>
        <v>1.5098576877524461</v>
      </c>
      <c r="GC12" s="20">
        <f t="shared" si="25"/>
        <v>9.3014605920777775</v>
      </c>
      <c r="GD12" s="59">
        <f t="shared" si="26"/>
        <v>302.63479392541109</v>
      </c>
      <c r="GE12" s="59">
        <f ca="1">AVERAGE(OFFSET($GD$3,0,0,'Données projet'!$E$17+1,1))-AVERAGE(OFFSET($H$3,0,0,'Données projet'!$E$17+1,1))</f>
        <v>165.39579887388538</v>
      </c>
      <c r="GF12" s="59">
        <f t="shared" si="50"/>
        <v>155.89639262545802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>
        <f>EXP(-LN(2)/35)*GL11+(1-EXP(-LN(2)/35))/(LN(2)/35)*GH12*GI12*VLOOKUP('Données projet'!$B$17,Paramètres!$A$1:$I$89,3,0)*0.475*44/12</f>
        <v>0</v>
      </c>
      <c r="GM12" s="21">
        <f>EXP(-LN(2)/25)*GM11+(1-EXP(-LN(2)/25))/(LN(2)/25)*Calculateur!GH12*Calculateur!GJ12*VLOOKUP('Données projet'!$B$17,Paramètres!$A$1:$I$89,3,0)*0.475*44/12</f>
        <v>0</v>
      </c>
      <c r="GN12" s="21">
        <f>EXP(-LN(2)/2)*GN11+(1-EXP(-LN(2)/2))/(LN(2)/2)*GH12*GK12*VLOOKUP('Données projet'!$B$17,Paramètres!$A$1:$I$89,3,0)*0.475*44/12</f>
        <v>0</v>
      </c>
      <c r="GO12" s="21">
        <f t="shared" si="27"/>
        <v>0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2.1333333333333333</v>
      </c>
      <c r="N13" s="13">
        <f>IF('Données projet'!$A$36&gt;35,N12+M13-V12,IF(A13&lt;'Données projet'!$A$36,$K$205^A13,IF(A13='Données projet'!$A$36,'Données projet'!$B$36,N12+M13-V12)))</f>
        <v>10.079368399158989</v>
      </c>
      <c r="O13" s="13">
        <f>N13*VLOOKUP('Données projet'!$B$9,Paramètres!$A$1:$I$89,3,0)*VLOOKUP('Données projet'!$B$9,Paramètres!$A$1:$I$89,5,0)</f>
        <v>5.6343669351298749</v>
      </c>
      <c r="P13" s="13">
        <f t="shared" si="33"/>
        <v>2.1232386875717131</v>
      </c>
      <c r="Q13" s="20">
        <f t="shared" si="2"/>
        <v>13.511163126205266</v>
      </c>
      <c r="R13" s="59">
        <f t="shared" si="0"/>
        <v>306.84449645953856</v>
      </c>
      <c r="S13" s="59">
        <f ca="1">AVERAGE(OFFSET($R$3,0,0,'Données projet'!$E$9+1,1))-AVERAGE(OFFSET($H$3,0,0,'Données projet'!$E$9+1,1))</f>
        <v>235.10258076192054</v>
      </c>
      <c r="T13" s="59">
        <f t="shared" si="34"/>
        <v>233.47316052603765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5.25</v>
      </c>
      <c r="AI13" s="13">
        <f>IF('Données projet'!$A$62&gt;35,AI12+AH13-AQ12,IF(A13&lt;'Données projet'!$A$62,$AF$205^A13,IF(A13='Données projet'!$A$62,'Données projet'!$B$62,AI12+AH13-AQ12)))</f>
        <v>10.246950765959603</v>
      </c>
      <c r="AJ13" s="13">
        <f>AI13*VLOOKUP('Données projet'!$B$10,Paramètres!$A$1:$I$89,3,0)*VLOOKUP('Données projet'!$B$10,Paramètres!$A$1:$I$89,5,0)</f>
        <v>8.9517361891423111</v>
      </c>
      <c r="AK13" s="13">
        <f t="shared" si="35"/>
        <v>3.1963721129461788</v>
      </c>
      <c r="AL13" s="20">
        <f t="shared" si="4"/>
        <v>21.157955292804118</v>
      </c>
      <c r="AM13" s="59">
        <f t="shared" si="5"/>
        <v>314.49128862613742</v>
      </c>
      <c r="AN13" s="59">
        <f ca="1">AVERAGE(OFFSET($AM$3,0,0,'Données projet'!$E$10+1,1))-AVERAGE(OFFSET($H$3,0,0,'Données projet'!$E$10+1,1))</f>
        <v>191.94797389630673</v>
      </c>
      <c r="AO13" s="59">
        <f t="shared" si="36"/>
        <v>273.52540822767878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1.2</v>
      </c>
      <c r="BD13" s="12">
        <f>IF('Données projet'!$A$88&gt;35,BD12+BC13-BL12,IF(A13&lt;'Données projet'!$A$88,$BA$205^A13,IF(A13='Données projet'!$A$88,'Données projet'!$B$88,BD12+BC13-BL12)))</f>
        <v>3.8980598409161908</v>
      </c>
      <c r="BE13" s="13">
        <f>BD13*VLOOKUP('Données projet'!$B$11,Paramètres!$A$1:$I$89,3,0)*VLOOKUP('Données projet'!$B$11,Paramètres!$A$1:$I$89,5,0)</f>
        <v>3.5269645440609696</v>
      </c>
      <c r="BF13" s="13">
        <f t="shared" si="37"/>
        <v>1.403575152701934</v>
      </c>
      <c r="BG13" s="20">
        <f t="shared" si="7"/>
        <v>8.587356638528723</v>
      </c>
      <c r="BH13" s="59">
        <f t="shared" si="8"/>
        <v>301.92068997186203</v>
      </c>
      <c r="BI13" s="59">
        <f ca="1">AVERAGE(OFFSET($BH$3,0,0,'Données projet'!$E$11+1,1))-AVERAGE(OFFSET($H$3,0,0,'Données projet'!$E$11+1,1))</f>
        <v>138.8931001150624</v>
      </c>
      <c r="BJ13" s="59">
        <f t="shared" si="38"/>
        <v>48.964659354096625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3.8980598409161908</v>
      </c>
      <c r="BZ13" s="13">
        <f>BY13*VLOOKUP('Données projet'!$B$12,Paramètres!$A$1:$I$89,3,0)*VLOOKUP('Données projet'!$B$12,Paramètres!$A$1:$I$89,5,0)</f>
        <v>3.9526326786890178</v>
      </c>
      <c r="CA13" s="13">
        <f t="shared" si="39"/>
        <v>1.552247389613062</v>
      </c>
      <c r="CB13" s="20">
        <f t="shared" si="10"/>
        <v>9.5876661189594543</v>
      </c>
      <c r="CC13" s="59">
        <f t="shared" si="11"/>
        <v>302.92099945229279</v>
      </c>
      <c r="CD13" s="59">
        <f ca="1">AVERAGE(OFFSET($CC$3,0,0,'Données projet'!$E$12+1,1))-AVERAGE(OFFSET($H$3,0,0,'Données projet'!$E$12+1,1))</f>
        <v>169.2757878405003</v>
      </c>
      <c r="CE13" s="59">
        <f t="shared" si="40"/>
        <v>61.876502626609977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2.85</v>
      </c>
      <c r="CT13" s="12">
        <f>IF('Données projet'!$A$140&gt;35,CT12+CS13-DB12,IF(A13&lt;'Données projet'!$A$140,$CQ$205^A13,IF(A13='Données projet'!$A$140,'Données projet'!$B$140,CT12+CS13-DB12)))</f>
        <v>7.5498344352707516</v>
      </c>
      <c r="CU13" s="17">
        <f>CT13*VLOOKUP('Données projet'!$B$13,Paramètres!$A$1:$I$89,3,0)*VLOOKUP('Données projet'!$B$13,Paramètres!$A$1:$I$89,5,0)</f>
        <v>6.0066482767014104</v>
      </c>
      <c r="CV13" s="13">
        <f t="shared" si="41"/>
        <v>2.2467330752414214</v>
      </c>
      <c r="CW13" s="20">
        <f t="shared" si="13"/>
        <v>14.374639187967096</v>
      </c>
      <c r="CX13" s="59">
        <f t="shared" si="14"/>
        <v>307.70797252130041</v>
      </c>
      <c r="CY13" s="59">
        <f ca="1">AVERAGE(OFFSET($CX$3,0,0,'Données projet'!$E$13+1,1))-AVERAGE(OFFSET($H$3,0,0,'Données projet'!$E$13+1,1))</f>
        <v>141.12810728817544</v>
      </c>
      <c r="CZ13" s="59">
        <f t="shared" si="42"/>
        <v>176.01405805137551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>
        <f>EXP(-LN(2)/35)*DF12+(1-EXP(-LN(2)/35))/(LN(2)/35)*DB13*DC13*VLOOKUP('Données projet'!$B$13,Paramètres!$A$1:$I$89,3,0)*0.475*44/12</f>
        <v>0</v>
      </c>
      <c r="DG13" s="21">
        <f>EXP(-LN(2)/25)*DG12+(1-EXP(-LN(2)/25))/(LN(2)/25)*Calculateur!DB13*Calculateur!DD13*VLOOKUP('Données projet'!$B$13,Paramètres!$A$1:$I$89,3,0)*0.475*44/12</f>
        <v>0</v>
      </c>
      <c r="DH13" s="21">
        <f>EXP(-LN(2)/2)*DH12+(1-EXP(-LN(2)/2))/(LN(2)/2)*DB13*DE13*VLOOKUP('Données projet'!$B$13,Paramètres!$A$1:$I$89,3,0)*0.475*44/12</f>
        <v>0</v>
      </c>
      <c r="DI13" s="22">
        <f t="shared" si="15"/>
        <v>0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3.1</v>
      </c>
      <c r="DO13" s="12">
        <f>IF('Données projet'!$A$166&gt;35,DO12+DN13-DW12,IF(A13&lt;'Données projet'!$A$166,$DL$205^A13,IF(A13='Données projet'!$A$166,'Données projet'!$B$166,DO12+DN13-DW12)))</f>
        <v>7.8740078740118129</v>
      </c>
      <c r="DP13" s="17">
        <f>DO13*VLOOKUP('Données projet'!$B$14,Paramètres!$A$1:$I$89,3,0)*VLOOKUP('Données projet'!$B$14,Paramètres!$A$1:$I$89,5,0)</f>
        <v>4.7086567086590643</v>
      </c>
      <c r="DQ13" s="13">
        <f t="shared" si="43"/>
        <v>1.8118568384019429</v>
      </c>
      <c r="DR13" s="20">
        <f t="shared" si="16"/>
        <v>11.356561094464588</v>
      </c>
      <c r="DS13" s="59">
        <f t="shared" si="17"/>
        <v>304.68989442779792</v>
      </c>
      <c r="DT13" s="59">
        <f ca="1">AVERAGE(OFFSET($DS$3,0,0,'Données projet'!$E$14+1,1))-AVERAGE(OFFSET($H$3,0,0,'Données projet'!$E$14+1,1))</f>
        <v>165.39579887388538</v>
      </c>
      <c r="DU13" s="59">
        <f t="shared" si="44"/>
        <v>155.89639262545802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>
        <f>EXP(-LN(2)/35)*EA12+(1-EXP(-LN(2)/35))/(LN(2)/35)*DW13*DX13*VLOOKUP('Données projet'!$B$14,Paramètres!$A$1:$I$89,3,0)*0.475*44/12</f>
        <v>0</v>
      </c>
      <c r="EB13" s="21">
        <f>EXP(-LN(2)/25)*EB12+(1-EXP(-LN(2)/25))/(LN(2)/25)*Calculateur!DW13*Calculateur!DY13*VLOOKUP('Données projet'!$B$14,Paramètres!$A$1:$I$89,3,0)*0.475*44/12</f>
        <v>0</v>
      </c>
      <c r="EC13" s="21">
        <f>EXP(-LN(2)/2)*EC12+(1-EXP(-LN(2)/2))/(LN(2)/2)*DW13*DZ13*VLOOKUP('Données projet'!$B$14,Paramètres!$A$1:$I$89,3,0)*0.475*44/12</f>
        <v>0</v>
      </c>
      <c r="ED13" s="22">
        <f t="shared" si="18"/>
        <v>0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1.2</v>
      </c>
      <c r="EJ13" s="12">
        <f>IF('Données projet'!$A$192&gt;35,EJ12+EI13-ER12,IF(A13&lt;'Données projet'!$A$192,$EG$205^A13,IF(A13='Données projet'!$A$192,'Données projet'!$B$192,EJ12+EI13-ER12)))</f>
        <v>3.8980598409161908</v>
      </c>
      <c r="EK13" s="17">
        <f>EJ13*VLOOKUP('Données projet'!$B$15,Paramètres!$A$1:$I$89,3,0)*VLOOKUP('Données projet'!$B$15,Paramètres!$A$1:$I$89,5,0)</f>
        <v>3.0404866759146292</v>
      </c>
      <c r="EL13" s="13">
        <f t="shared" si="45"/>
        <v>1.2310638884604614</v>
      </c>
      <c r="EM13" s="20">
        <f t="shared" si="19"/>
        <v>7.4396172329532817</v>
      </c>
      <c r="EN13" s="59">
        <f t="shared" si="20"/>
        <v>300.77295056628657</v>
      </c>
      <c r="EO13" s="59">
        <f ca="1">AVERAGE(OFFSET($EN$3,0,0,'Données projet'!$E$15+1,1))-AVERAGE(OFFSET($H$3,0,0,'Données projet'!$E$15+1,1))</f>
        <v>104.07220236158577</v>
      </c>
      <c r="EP13" s="59">
        <f t="shared" si="46"/>
        <v>34.162068257911756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>
        <f>EXP(-LN(2)/35)*EV12+(1-EXP(-LN(2)/35))/(LN(2)/35)*ER13*ES13*VLOOKUP('Données projet'!$B$15,Paramètres!$A$1:$I$89,3,0)*0.475*44/12</f>
        <v>0</v>
      </c>
      <c r="EW13" s="21">
        <f>EXP(-LN(2)/25)*EW12+(1-EXP(-LN(2)/25))/(LN(2)/25)*Calculateur!ER13*Calculateur!ET13*VLOOKUP('Données projet'!$B$15,Paramètres!$A$1:$I$89,3,0)*0.475*44/12</f>
        <v>0</v>
      </c>
      <c r="EX13" s="21">
        <f>EXP(-LN(2)/2)*EX12+(1-EXP(-LN(2)/2))/(LN(2)/2)*ER13*EU13*VLOOKUP('Données projet'!$B$15,Paramètres!$A$1:$I$89,3,0)*0.475*44/12</f>
        <v>0</v>
      </c>
      <c r="EY13" s="22">
        <f t="shared" si="21"/>
        <v>0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>
        <f>VLOOKUP(A13,'Données projet'!$A$217:$I$237,2,0)</f>
        <v>90</v>
      </c>
      <c r="FC13" s="12">
        <f>VLOOKUP(A13,'Données projet'!$A$217:$I$237,9,0)</f>
        <v>13.2</v>
      </c>
      <c r="FD13" s="12">
        <f t="array" ref="FD13">INDEX(FC:FC,MIN(IF(ISNUMBER(FC13:FC209),ROW(FC13:FC209),"")))</f>
        <v>13.2</v>
      </c>
      <c r="FE13" s="12">
        <f>IF('Données projet'!$A$218&gt;35,FE12+FD13-FM12,IF(A13&lt;'Données projet'!$A$218,$FB$205^A13,IF(A13='Données projet'!$A$218,'Données projet'!$B$218,FE12+FD13-FM12)))</f>
        <v>90.000000000000014</v>
      </c>
      <c r="FF13" s="17">
        <f>FE13*VLOOKUP('Données projet'!$B$16,Paramètres!$A$1:$I$89,3,0)*VLOOKUP('Données projet'!$B$16,Paramètres!$A$1:$I$89,5,0)</f>
        <v>81.432000000000002</v>
      </c>
      <c r="FG13" s="13">
        <f t="shared" si="47"/>
        <v>22.486953220240881</v>
      </c>
      <c r="FH13" s="20">
        <f t="shared" si="22"/>
        <v>180.99217685858619</v>
      </c>
      <c r="FI13" s="59">
        <f t="shared" si="23"/>
        <v>474.32551019191953</v>
      </c>
      <c r="FJ13" s="59">
        <f ca="1">AVERAGE(OFFSET($FI$3,0,0,'Données projet'!$E$16+1,1))-AVERAGE(OFFSET($H$3,0,0,'Données projet'!$E$16+1,1))</f>
        <v>179.50097986986123</v>
      </c>
      <c r="FK13" s="59">
        <f t="shared" si="48"/>
        <v>287.11838730637578</v>
      </c>
      <c r="FL13" s="15">
        <f>IF(ISNA(VLOOKUP(A13,'Données projet'!$A$217:$I$237,3,0)),0,VLOOKUP(A13,'Données projet'!$A$217:$I$237,3,0))</f>
        <v>2</v>
      </c>
      <c r="FM13" s="15">
        <f>IF(ISNA(VLOOKUP(A13,'Données projet'!$A$217:$I$237,4,0)),0,VLOOKUP(A13,'Données projet'!$A$217:$I$237,4,0))</f>
        <v>22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7.4999999999999997E-2</v>
      </c>
      <c r="FP13" s="16">
        <f>IF(ISNA(VLOOKUP(A13,'Données projet'!$A$217:$I$237,7,0)),0%,VLOOKUP(A13,'Données projet'!$A$217:$I$237,7,0))</f>
        <v>0.25</v>
      </c>
      <c r="FQ13" s="21">
        <f>EXP(-LN(2)/35)*FQ12+(1-EXP(-LN(2)/35))/(LN(2)/35)*FM13*FN13*VLOOKUP('Données projet'!$B$16,Paramètres!$A$1:$I$89,3,0)*0.475*44/12</f>
        <v>0</v>
      </c>
      <c r="FR13" s="21">
        <f>EXP(-LN(2)/25)*FR12+(1-EXP(-LN(2)/25))/(LN(2)/25)*Calculateur!FM13*Calculateur!FO13*VLOOKUP('Données projet'!$B$16,Paramètres!$A$1:$I$89,3,0)*0.475*44/12</f>
        <v>2.0992247002601312</v>
      </c>
      <c r="FS13" s="21">
        <f>EXP(-LN(2)/2)*FS12+(1-EXP(-LN(2)/2))/(LN(2)/2)*FM13*FP13*VLOOKUP('Données projet'!$B$16,Paramètres!$A$1:$I$89,3,0)*0.475*44/12</f>
        <v>4.9594682764019193</v>
      </c>
      <c r="FT13" s="22">
        <f t="shared" si="24"/>
        <v>7.0586929766620505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3.1</v>
      </c>
      <c r="FZ13" s="12">
        <f>IF('Données projet'!$A$244&gt;35,FZ12+FY13-GH12,IF(A13&lt;'Données projet'!$A$244,$FW$205^A13,IF(A13='Données projet'!$A$244,'Données projet'!$B$244,FZ12+FY13-GH12)))</f>
        <v>7.8740078740118129</v>
      </c>
      <c r="GA13" s="17">
        <f>FZ13*VLOOKUP('Données projet'!$B$17,Paramètres!$A$1:$I$89,3,0)*VLOOKUP('Données projet'!$B$17,Paramètres!$A$1:$I$89,5,0)</f>
        <v>4.7086567086590643</v>
      </c>
      <c r="GB13" s="13">
        <f t="shared" si="49"/>
        <v>1.8118568384019429</v>
      </c>
      <c r="GC13" s="20">
        <f t="shared" si="25"/>
        <v>11.356561094464588</v>
      </c>
      <c r="GD13" s="59">
        <f t="shared" si="26"/>
        <v>304.68989442779792</v>
      </c>
      <c r="GE13" s="59">
        <f ca="1">AVERAGE(OFFSET($GD$3,0,0,'Données projet'!$E$17+1,1))-AVERAGE(OFFSET($H$3,0,0,'Données projet'!$E$17+1,1))</f>
        <v>165.39579887388538</v>
      </c>
      <c r="GF13" s="59">
        <f t="shared" si="50"/>
        <v>155.89639262545802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>
        <f>EXP(-LN(2)/35)*GL12+(1-EXP(-LN(2)/35))/(LN(2)/35)*GH13*GI13*VLOOKUP('Données projet'!$B$17,Paramètres!$A$1:$I$89,3,0)*0.475*44/12</f>
        <v>0</v>
      </c>
      <c r="GM13" s="21">
        <f>EXP(-LN(2)/25)*GM12+(1-EXP(-LN(2)/25))/(LN(2)/25)*Calculateur!GH13*Calculateur!GJ13*VLOOKUP('Données projet'!$B$17,Paramètres!$A$1:$I$89,3,0)*0.475*44/12</f>
        <v>0</v>
      </c>
      <c r="GN13" s="21">
        <f>EXP(-LN(2)/2)*GN12+(1-EXP(-LN(2)/2))/(LN(2)/2)*GH13*GK13*VLOOKUP('Données projet'!$B$17,Paramètres!$A$1:$I$89,3,0)*0.475*44/12</f>
        <v>0</v>
      </c>
      <c r="GO13" s="21">
        <f t="shared" si="27"/>
        <v>0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2.1333333333333333</v>
      </c>
      <c r="N14" s="13">
        <f>IF('Données projet'!$A$36&gt;35,N13+M14-V13,IF(A14&lt;'Données projet'!$A$36,$K$205^A14,IF(A14='Données projet'!$A$36,'Données projet'!$B$36,N13+M14-V13)))</f>
        <v>12.6992084157456</v>
      </c>
      <c r="O14" s="13">
        <f>N14*VLOOKUP('Données projet'!$B$9,Paramètres!$A$1:$I$89,3,0)*VLOOKUP('Données projet'!$B$9,Paramètres!$A$1:$I$89,5,0)</f>
        <v>7.0988575044017903</v>
      </c>
      <c r="P14" s="13">
        <f t="shared" si="33"/>
        <v>2.6041271590678314</v>
      </c>
      <c r="Q14" s="20">
        <f t="shared" si="2"/>
        <v>16.899364955542922</v>
      </c>
      <c r="R14" s="59">
        <f t="shared" si="0"/>
        <v>310.23269828887624</v>
      </c>
      <c r="S14" s="59">
        <f ca="1">AVERAGE(OFFSET($R$3,0,0,'Données projet'!$E$9+1,1))-AVERAGE(OFFSET($H$3,0,0,'Données projet'!$E$9+1,1))</f>
        <v>235.10258076192054</v>
      </c>
      <c r="T14" s="59">
        <f t="shared" si="34"/>
        <v>233.47316052603765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5.25</v>
      </c>
      <c r="AI14" s="13">
        <f>IF('Données projet'!$A$62&gt;35,AI13+AH14-AQ13,IF(A14&lt;'Données projet'!$A$62,$AF$205^A14,IF(A14='Données projet'!$A$62,'Données projet'!$B$62,AI13+AH14-AQ13)))</f>
        <v>12.93165514337789</v>
      </c>
      <c r="AJ14" s="13">
        <f>AI14*VLOOKUP('Données projet'!$B$10,Paramètres!$A$1:$I$89,3,0)*VLOOKUP('Données projet'!$B$10,Paramètres!$A$1:$I$89,5,0)</f>
        <v>11.297093933254926</v>
      </c>
      <c r="AK14" s="13">
        <f t="shared" si="35"/>
        <v>3.9260287556070481</v>
      </c>
      <c r="AL14" s="20">
        <f t="shared" si="4"/>
        <v>26.513605349767932</v>
      </c>
      <c r="AM14" s="59">
        <f t="shared" si="5"/>
        <v>319.84693868310126</v>
      </c>
      <c r="AN14" s="59">
        <f ca="1">AVERAGE(OFFSET($AM$3,0,0,'Données projet'!$E$10+1,1))-AVERAGE(OFFSET($H$3,0,0,'Données projet'!$E$10+1,1))</f>
        <v>191.94797389630673</v>
      </c>
      <c r="AO14" s="59">
        <f t="shared" si="36"/>
        <v>273.52540822767878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1.2</v>
      </c>
      <c r="BD14" s="12">
        <f>IF('Données projet'!$A$88&gt;35,BD13+BC14-BL13,IF(A14&lt;'Données projet'!$A$88,$BA$205^A14,IF(A14='Données projet'!$A$88,'Données projet'!$B$88,BD13+BC14-BL13)))</f>
        <v>4.4661504822319662</v>
      </c>
      <c r="BE14" s="13">
        <f>BD14*VLOOKUP('Données projet'!$B$11,Paramètres!$A$1:$I$89,3,0)*VLOOKUP('Données projet'!$B$11,Paramètres!$A$1:$I$89,5,0)</f>
        <v>4.0409729563234826</v>
      </c>
      <c r="BF14" s="13">
        <f t="shared" si="37"/>
        <v>1.5828619706020071</v>
      </c>
      <c r="BG14" s="20">
        <f t="shared" si="7"/>
        <v>9.7948458310618953</v>
      </c>
      <c r="BH14" s="59">
        <f t="shared" si="8"/>
        <v>303.12817916439519</v>
      </c>
      <c r="BI14" s="59">
        <f ca="1">AVERAGE(OFFSET($BH$3,0,0,'Données projet'!$E$11+1,1))-AVERAGE(OFFSET($H$3,0,0,'Données projet'!$E$11+1,1))</f>
        <v>138.8931001150624</v>
      </c>
      <c r="BJ14" s="59">
        <f t="shared" si="38"/>
        <v>48.964659354096625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</v>
      </c>
      <c r="BY14" s="12">
        <f>IF('Données projet'!$A$114&gt;35,BY13+BX14-CG13,IF(A14&lt;'Données projet'!$A$114,$BV$205^A14,IF(A14='Données projet'!$A$114,'Données projet'!$B$114,BY13+BX14-CG13)))</f>
        <v>4.4661504822319662</v>
      </c>
      <c r="BZ14" s="13">
        <f>BY14*VLOOKUP('Données projet'!$B$12,Paramètres!$A$1:$I$89,3,0)*VLOOKUP('Données projet'!$B$12,Paramètres!$A$1:$I$89,5,0)</f>
        <v>4.5286765889832141</v>
      </c>
      <c r="CA14" s="13">
        <f t="shared" si="39"/>
        <v>1.7505249770594407</v>
      </c>
      <c r="CB14" s="20">
        <f t="shared" si="10"/>
        <v>10.936276060857622</v>
      </c>
      <c r="CC14" s="59">
        <f t="shared" si="11"/>
        <v>304.26960939419092</v>
      </c>
      <c r="CD14" s="59">
        <f ca="1">AVERAGE(OFFSET($CC$3,0,0,'Données projet'!$E$12+1,1))-AVERAGE(OFFSET($H$3,0,0,'Données projet'!$E$12+1,1))</f>
        <v>169.2757878405003</v>
      </c>
      <c r="CE14" s="59">
        <f t="shared" si="40"/>
        <v>61.876502626609977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2.85</v>
      </c>
      <c r="CT14" s="12">
        <f>IF('Données projet'!$A$140&gt;35,CT13+CS14-DB13,IF(A14&lt;'Données projet'!$A$140,$CQ$205^A14,IF(A14='Données projet'!$A$140,'Données projet'!$B$140,CT13+CS14-DB13)))</f>
        <v>9.2412596055434975</v>
      </c>
      <c r="CU14" s="17">
        <f>CT14*VLOOKUP('Données projet'!$B$13,Paramètres!$A$1:$I$89,3,0)*VLOOKUP('Données projet'!$B$13,Paramètres!$A$1:$I$89,5,0)</f>
        <v>7.3523461421704068</v>
      </c>
      <c r="CV14" s="13">
        <f t="shared" si="41"/>
        <v>2.6861238313328011</v>
      </c>
      <c r="CW14" s="20">
        <f t="shared" si="13"/>
        <v>17.483668537184752</v>
      </c>
      <c r="CX14" s="59">
        <f t="shared" si="14"/>
        <v>310.81700187051808</v>
      </c>
      <c r="CY14" s="59">
        <f ca="1">AVERAGE(OFFSET($CX$3,0,0,'Données projet'!$E$13+1,1))-AVERAGE(OFFSET($H$3,0,0,'Données projet'!$E$13+1,1))</f>
        <v>141.12810728817544</v>
      </c>
      <c r="CZ14" s="59">
        <f t="shared" si="42"/>
        <v>176.01405805137551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>
        <f>EXP(-LN(2)/35)*DF13+(1-EXP(-LN(2)/35))/(LN(2)/35)*DB14*DC14*VLOOKUP('Données projet'!$B$13,Paramètres!$A$1:$I$89,3,0)*0.475*44/12</f>
        <v>0</v>
      </c>
      <c r="DG14" s="21">
        <f>EXP(-LN(2)/25)*DG13+(1-EXP(-LN(2)/25))/(LN(2)/25)*Calculateur!DB14*Calculateur!DD14*VLOOKUP('Données projet'!$B$13,Paramètres!$A$1:$I$89,3,0)*0.475*44/12</f>
        <v>0</v>
      </c>
      <c r="DH14" s="21">
        <f>EXP(-LN(2)/2)*DH13+(1-EXP(-LN(2)/2))/(LN(2)/2)*DB14*DE14*VLOOKUP('Données projet'!$B$13,Paramètres!$A$1:$I$89,3,0)*0.475*44/12</f>
        <v>0</v>
      </c>
      <c r="DI14" s="22">
        <f t="shared" si="15"/>
        <v>0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3.1</v>
      </c>
      <c r="DO14" s="12">
        <f>IF('Données projet'!$A$166&gt;35,DO13+DN14-DW13,IF(A14&lt;'Données projet'!$A$166,$DL$205^A14,IF(A14='Données projet'!$A$166,'Données projet'!$B$166,DO13+DN14-DW13)))</f>
        <v>9.6786643536622421</v>
      </c>
      <c r="DP14" s="17">
        <f>DO14*VLOOKUP('Données projet'!$B$14,Paramètres!$A$1:$I$89,3,0)*VLOOKUP('Données projet'!$B$14,Paramètres!$A$1:$I$89,5,0)</f>
        <v>5.787841283490021</v>
      </c>
      <c r="DQ14" s="13">
        <f t="shared" si="43"/>
        <v>2.1742613423061434</v>
      </c>
      <c r="DR14" s="20">
        <f t="shared" si="16"/>
        <v>13.86732873992832</v>
      </c>
      <c r="DS14" s="59">
        <f t="shared" si="17"/>
        <v>307.20066207326164</v>
      </c>
      <c r="DT14" s="59">
        <f ca="1">AVERAGE(OFFSET($DS$3,0,0,'Données projet'!$E$14+1,1))-AVERAGE(OFFSET($H$3,0,0,'Données projet'!$E$14+1,1))</f>
        <v>165.39579887388538</v>
      </c>
      <c r="DU14" s="59">
        <f t="shared" si="44"/>
        <v>155.89639262545802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>
        <f>EXP(-LN(2)/35)*EA13+(1-EXP(-LN(2)/35))/(LN(2)/35)*DW14*DX14*VLOOKUP('Données projet'!$B$14,Paramètres!$A$1:$I$89,3,0)*0.475*44/12</f>
        <v>0</v>
      </c>
      <c r="EB14" s="21">
        <f>EXP(-LN(2)/25)*EB13+(1-EXP(-LN(2)/25))/(LN(2)/25)*Calculateur!DW14*Calculateur!DY14*VLOOKUP('Données projet'!$B$14,Paramètres!$A$1:$I$89,3,0)*0.475*44/12</f>
        <v>0</v>
      </c>
      <c r="EC14" s="21">
        <f>EXP(-LN(2)/2)*EC13+(1-EXP(-LN(2)/2))/(LN(2)/2)*DW14*DZ14*VLOOKUP('Données projet'!$B$14,Paramètres!$A$1:$I$89,3,0)*0.475*44/12</f>
        <v>0</v>
      </c>
      <c r="ED14" s="22">
        <f t="shared" si="18"/>
        <v>0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1.2</v>
      </c>
      <c r="EJ14" s="12">
        <f>IF('Données projet'!$A$192&gt;35,EJ13+EI14-ER13,IF(A14&lt;'Données projet'!$A$192,$EG$205^A14,IF(A14='Données projet'!$A$192,'Données projet'!$B$192,EJ13+EI14-ER13)))</f>
        <v>4.4661504822319662</v>
      </c>
      <c r="EK14" s="17">
        <f>EJ14*VLOOKUP('Données projet'!$B$15,Paramètres!$A$1:$I$89,3,0)*VLOOKUP('Données projet'!$B$15,Paramètres!$A$1:$I$89,5,0)</f>
        <v>3.4835973761409336</v>
      </c>
      <c r="EL14" s="13">
        <f t="shared" si="45"/>
        <v>1.3883148391978588</v>
      </c>
      <c r="EM14" s="20">
        <f t="shared" si="19"/>
        <v>8.4852471083817296</v>
      </c>
      <c r="EN14" s="59">
        <f t="shared" si="20"/>
        <v>301.81858044171503</v>
      </c>
      <c r="EO14" s="59">
        <f ca="1">AVERAGE(OFFSET($EN$3,0,0,'Données projet'!$E$15+1,1))-AVERAGE(OFFSET($H$3,0,0,'Données projet'!$E$15+1,1))</f>
        <v>104.07220236158577</v>
      </c>
      <c r="EP14" s="59">
        <f t="shared" si="46"/>
        <v>34.162068257911756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>
        <f>EXP(-LN(2)/35)*EV13+(1-EXP(-LN(2)/35))/(LN(2)/35)*ER14*ES14*VLOOKUP('Données projet'!$B$15,Paramètres!$A$1:$I$89,3,0)*0.475*44/12</f>
        <v>0</v>
      </c>
      <c r="EW14" s="21">
        <f>EXP(-LN(2)/25)*EW13+(1-EXP(-LN(2)/25))/(LN(2)/25)*Calculateur!ER14*Calculateur!ET14*VLOOKUP('Données projet'!$B$15,Paramètres!$A$1:$I$89,3,0)*0.475*44/12</f>
        <v>0</v>
      </c>
      <c r="EX14" s="21">
        <f>EXP(-LN(2)/2)*EX13+(1-EXP(-LN(2)/2))/(LN(2)/2)*ER14*EU14*VLOOKUP('Données projet'!$B$15,Paramètres!$A$1:$I$89,3,0)*0.475*44/12</f>
        <v>0</v>
      </c>
      <c r="EY14" s="22">
        <f t="shared" si="21"/>
        <v>0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9.1999999999999993</v>
      </c>
      <c r="FE14" s="12">
        <f>IF('Données projet'!$A$218&gt;35,FE13+FD14-FM13,IF(A14&lt;'Données projet'!$A$218,$FB$205^A14,IF(A14='Données projet'!$A$218,'Données projet'!$B$218,FE13+FD14-FM13)))</f>
        <v>77.200000000000017</v>
      </c>
      <c r="FF14" s="17">
        <f>FE14*VLOOKUP('Données projet'!$B$16,Paramètres!$A$1:$I$89,3,0)*VLOOKUP('Données projet'!$B$16,Paramètres!$A$1:$I$89,5,0)</f>
        <v>69.850560000000002</v>
      </c>
      <c r="FG14" s="13">
        <f t="shared" si="47"/>
        <v>19.636341737763914</v>
      </c>
      <c r="FH14" s="20">
        <f t="shared" si="22"/>
        <v>155.85635385993879</v>
      </c>
      <c r="FI14" s="59">
        <f t="shared" si="23"/>
        <v>449.18968719327211</v>
      </c>
      <c r="FJ14" s="59">
        <f ca="1">AVERAGE(OFFSET($FI$3,0,0,'Données projet'!$E$16+1,1))-AVERAGE(OFFSET($H$3,0,0,'Données projet'!$E$16+1,1))</f>
        <v>179.50097986986123</v>
      </c>
      <c r="FK14" s="59">
        <f t="shared" si="48"/>
        <v>287.11838730637578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>
        <f>EXP(-LN(2)/35)*FQ13+(1-EXP(-LN(2)/35))/(LN(2)/35)*FM14*FN14*VLOOKUP('Données projet'!$B$16,Paramètres!$A$1:$I$89,3,0)*0.475*44/12</f>
        <v>0</v>
      </c>
      <c r="FR14" s="21">
        <f>EXP(-LN(2)/25)*FR13+(1-EXP(-LN(2)/25))/(LN(2)/25)*Calculateur!FM14*Calculateur!FO14*VLOOKUP('Données projet'!$B$16,Paramètres!$A$1:$I$89,3,0)*0.475*44/12</f>
        <v>2.0418212904380888</v>
      </c>
      <c r="FS14" s="21">
        <f>EXP(-LN(2)/2)*FS13+(1-EXP(-LN(2)/2))/(LN(2)/2)*FM14*FP14*VLOOKUP('Données projet'!$B$16,Paramètres!$A$1:$I$89,3,0)*0.475*44/12</f>
        <v>3.5068736493233561</v>
      </c>
      <c r="FT14" s="22">
        <f t="shared" si="24"/>
        <v>5.5486949397614449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3.1</v>
      </c>
      <c r="FZ14" s="12">
        <f>IF('Données projet'!$A$244&gt;35,FZ13+FY14-GH13,IF(A14&lt;'Données projet'!$A$244,$FW$205^A14,IF(A14='Données projet'!$A$244,'Données projet'!$B$244,FZ13+FY14-GH13)))</f>
        <v>9.6786643536622421</v>
      </c>
      <c r="GA14" s="17">
        <f>FZ14*VLOOKUP('Données projet'!$B$17,Paramètres!$A$1:$I$89,3,0)*VLOOKUP('Données projet'!$B$17,Paramètres!$A$1:$I$89,5,0)</f>
        <v>5.787841283490021</v>
      </c>
      <c r="GB14" s="13">
        <f t="shared" si="49"/>
        <v>2.1742613423061434</v>
      </c>
      <c r="GC14" s="20">
        <f t="shared" si="25"/>
        <v>13.86732873992832</v>
      </c>
      <c r="GD14" s="59">
        <f t="shared" si="26"/>
        <v>307.20066207326164</v>
      </c>
      <c r="GE14" s="59">
        <f ca="1">AVERAGE(OFFSET($GD$3,0,0,'Données projet'!$E$17+1,1))-AVERAGE(OFFSET($H$3,0,0,'Données projet'!$E$17+1,1))</f>
        <v>165.39579887388538</v>
      </c>
      <c r="GF14" s="59">
        <f t="shared" si="50"/>
        <v>155.89639262545802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>
        <f>EXP(-LN(2)/35)*GL13+(1-EXP(-LN(2)/35))/(LN(2)/35)*GH14*GI14*VLOOKUP('Données projet'!$B$17,Paramètres!$A$1:$I$89,3,0)*0.475*44/12</f>
        <v>0</v>
      </c>
      <c r="GM14" s="21">
        <f>EXP(-LN(2)/25)*GM13+(1-EXP(-LN(2)/25))/(LN(2)/25)*Calculateur!GH14*Calculateur!GJ14*VLOOKUP('Données projet'!$B$17,Paramètres!$A$1:$I$89,3,0)*0.475*44/12</f>
        <v>0</v>
      </c>
      <c r="GN14" s="21">
        <f>EXP(-LN(2)/2)*GN13+(1-EXP(-LN(2)/2))/(LN(2)/2)*GH14*GK14*VLOOKUP('Données projet'!$B$17,Paramètres!$A$1:$I$89,3,0)*0.475*44/12</f>
        <v>0</v>
      </c>
      <c r="GO14" s="21">
        <f t="shared" si="27"/>
        <v>0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2.1333333333333333</v>
      </c>
      <c r="N15" s="13">
        <f>IF('Données projet'!$A$36&gt;35,N14+M15-V14,IF(A15&lt;'Données projet'!$A$36,$K$205^A15,IF(A15='Données projet'!$A$36,'Données projet'!$B$36,N14+M15-V14)))</f>
        <v>16.000000000000007</v>
      </c>
      <c r="O15" s="13">
        <f>N15*VLOOKUP('Données projet'!$B$9,Paramètres!$A$1:$I$89,3,0)*VLOOKUP('Données projet'!$B$9,Paramètres!$A$1:$I$89,5,0)</f>
        <v>8.9440000000000044</v>
      </c>
      <c r="P15" s="13">
        <f t="shared" si="33"/>
        <v>3.1939311864887299</v>
      </c>
      <c r="Q15" s="20">
        <f t="shared" si="2"/>
        <v>21.140230149801212</v>
      </c>
      <c r="R15" s="59">
        <f t="shared" si="0"/>
        <v>314.47356348313451</v>
      </c>
      <c r="S15" s="59">
        <f ca="1">AVERAGE(OFFSET($R$3,0,0,'Données projet'!$E$9+1,1))-AVERAGE(OFFSET($H$3,0,0,'Données projet'!$E$9+1,1))</f>
        <v>235.10258076192054</v>
      </c>
      <c r="T15" s="59">
        <f t="shared" si="34"/>
        <v>233.47316052603765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5.25</v>
      </c>
      <c r="AI15" s="13">
        <f>IF('Données projet'!$A$62&gt;35,AI14+AH15-AQ14,IF(A15&lt;'Données projet'!$A$62,$AF$205^A15,IF(A15='Données projet'!$A$62,'Données projet'!$B$62,AI14+AH15-AQ14)))</f>
        <v>16.319752926185881</v>
      </c>
      <c r="AJ15" s="13">
        <f>AI15*VLOOKUP('Données projet'!$B$10,Paramètres!$A$1:$I$89,3,0)*VLOOKUP('Données projet'!$B$10,Paramètres!$A$1:$I$89,5,0)</f>
        <v>14.256936156315987</v>
      </c>
      <c r="AK15" s="13">
        <f t="shared" si="35"/>
        <v>4.822248863773944</v>
      </c>
      <c r="AL15" s="20">
        <f t="shared" si="4"/>
        <v>33.229580576656623</v>
      </c>
      <c r="AM15" s="59">
        <f t="shared" si="5"/>
        <v>326.56291390998996</v>
      </c>
      <c r="AN15" s="59">
        <f ca="1">AVERAGE(OFFSET($AM$3,0,0,'Données projet'!$E$10+1,1))-AVERAGE(OFFSET($H$3,0,0,'Données projet'!$E$10+1,1))</f>
        <v>191.94797389630673</v>
      </c>
      <c r="AO15" s="59">
        <f t="shared" si="36"/>
        <v>273.52540822767878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1.2</v>
      </c>
      <c r="BD15" s="12">
        <f>IF('Données projet'!$A$88&gt;35,BD14+BC15-BL14,IF(A15&lt;'Données projet'!$A$88,$BA$205^A15,IF(A15='Données projet'!$A$88,'Données projet'!$B$88,BD14+BC15-BL14)))</f>
        <v>5.1170328173444979</v>
      </c>
      <c r="BE15" s="13">
        <f>BD15*VLOOKUP('Données projet'!$B$11,Paramètres!$A$1:$I$89,3,0)*VLOOKUP('Données projet'!$B$11,Paramètres!$A$1:$I$89,5,0)</f>
        <v>4.6298912931333014</v>
      </c>
      <c r="BF15" s="13">
        <f t="shared" si="37"/>
        <v>1.7850501365423737</v>
      </c>
      <c r="BG15" s="20">
        <f t="shared" si="7"/>
        <v>11.172689656685135</v>
      </c>
      <c r="BH15" s="59">
        <f t="shared" si="8"/>
        <v>304.50602299001844</v>
      </c>
      <c r="BI15" s="59">
        <f ca="1">AVERAGE(OFFSET($BH$3,0,0,'Données projet'!$E$11+1,1))-AVERAGE(OFFSET($H$3,0,0,'Données projet'!$E$11+1,1))</f>
        <v>138.8931001150624</v>
      </c>
      <c r="BJ15" s="59">
        <f t="shared" si="38"/>
        <v>48.964659354096625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</v>
      </c>
      <c r="BY15" s="12">
        <f>IF('Données projet'!$A$114&gt;35,BY14+BX15-CG14,IF(A15&lt;'Données projet'!$A$114,$BV$205^A15,IF(A15='Données projet'!$A$114,'Données projet'!$B$114,BY14+BX15-CG14)))</f>
        <v>5.1170328173444979</v>
      </c>
      <c r="BZ15" s="13">
        <f>BY15*VLOOKUP('Données projet'!$B$12,Paramètres!$A$1:$I$89,3,0)*VLOOKUP('Données projet'!$B$12,Paramètres!$A$1:$I$89,5,0)</f>
        <v>5.1886712767873213</v>
      </c>
      <c r="CA15" s="13">
        <f t="shared" si="39"/>
        <v>1.9741297139966976</v>
      </c>
      <c r="CB15" s="20">
        <f t="shared" si="10"/>
        <v>12.4752117256155</v>
      </c>
      <c r="CC15" s="59">
        <f t="shared" si="11"/>
        <v>305.80854505894882</v>
      </c>
      <c r="CD15" s="59">
        <f ca="1">AVERAGE(OFFSET($CC$3,0,0,'Données projet'!$E$12+1,1))-AVERAGE(OFFSET($H$3,0,0,'Données projet'!$E$12+1,1))</f>
        <v>169.2757878405003</v>
      </c>
      <c r="CE15" s="59">
        <f t="shared" si="40"/>
        <v>61.876502626609977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2.85</v>
      </c>
      <c r="CT15" s="12">
        <f>IF('Données projet'!$A$140&gt;35,CT14+CS15-DB14,IF(A15&lt;'Données projet'!$A$140,$CQ$205^A15,IF(A15='Données projet'!$A$140,'Données projet'!$B$140,CT14+CS15-DB14)))</f>
        <v>11.311622768584238</v>
      </c>
      <c r="CU15" s="17">
        <f>CT15*VLOOKUP('Données projet'!$B$13,Paramètres!$A$1:$I$89,3,0)*VLOOKUP('Données projet'!$B$13,Paramètres!$A$1:$I$89,5,0)</f>
        <v>8.99952707468562</v>
      </c>
      <c r="CV15" s="13">
        <f t="shared" si="41"/>
        <v>3.2114456838530732</v>
      </c>
      <c r="CW15" s="20">
        <f t="shared" si="13"/>
        <v>21.267444221121554</v>
      </c>
      <c r="CX15" s="59">
        <f t="shared" si="14"/>
        <v>314.60077755445485</v>
      </c>
      <c r="CY15" s="59">
        <f ca="1">AVERAGE(OFFSET($CX$3,0,0,'Données projet'!$E$13+1,1))-AVERAGE(OFFSET($H$3,0,0,'Données projet'!$E$13+1,1))</f>
        <v>141.12810728817544</v>
      </c>
      <c r="CZ15" s="59">
        <f t="shared" si="42"/>
        <v>176.01405805137551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>
        <f>EXP(-LN(2)/35)*DF14+(1-EXP(-LN(2)/35))/(LN(2)/35)*DB15*DC15*VLOOKUP('Données projet'!$B$13,Paramètres!$A$1:$I$89,3,0)*0.475*44/12</f>
        <v>0</v>
      </c>
      <c r="DG15" s="21">
        <f>EXP(-LN(2)/25)*DG14+(1-EXP(-LN(2)/25))/(LN(2)/25)*Calculateur!DB15*Calculateur!DD15*VLOOKUP('Données projet'!$B$13,Paramètres!$A$1:$I$89,3,0)*0.475*44/12</f>
        <v>0</v>
      </c>
      <c r="DH15" s="21">
        <f>EXP(-LN(2)/2)*DH14+(1-EXP(-LN(2)/2))/(LN(2)/2)*DB15*DE15*VLOOKUP('Données projet'!$B$13,Paramètres!$A$1:$I$89,3,0)*0.475*44/12</f>
        <v>0</v>
      </c>
      <c r="DI15" s="22">
        <f t="shared" si="15"/>
        <v>0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3.1</v>
      </c>
      <c r="DO15" s="12">
        <f>IF('Données projet'!$A$166&gt;35,DO14+DN15-DW14,IF(A15&lt;'Données projet'!$A$166,$DL$205^A15,IF(A15='Données projet'!$A$166,'Données projet'!$B$166,DO14+DN15-DW14)))</f>
        <v>11.896932943137111</v>
      </c>
      <c r="DP15" s="17">
        <f>DO15*VLOOKUP('Données projet'!$B$14,Paramètres!$A$1:$I$89,3,0)*VLOOKUP('Données projet'!$B$14,Paramètres!$A$1:$I$89,5,0)</f>
        <v>7.1143658999959936</v>
      </c>
      <c r="DQ15" s="13">
        <f t="shared" si="43"/>
        <v>2.6091533748419611</v>
      </c>
      <c r="DR15" s="20">
        <f t="shared" si="16"/>
        <v>16.935129403676104</v>
      </c>
      <c r="DS15" s="59">
        <f t="shared" si="17"/>
        <v>310.26846273700943</v>
      </c>
      <c r="DT15" s="59">
        <f ca="1">AVERAGE(OFFSET($DS$3,0,0,'Données projet'!$E$14+1,1))-AVERAGE(OFFSET($H$3,0,0,'Données projet'!$E$14+1,1))</f>
        <v>165.39579887388538</v>
      </c>
      <c r="DU15" s="59">
        <f t="shared" si="44"/>
        <v>155.89639262545802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>
        <f>EXP(-LN(2)/35)*EA14+(1-EXP(-LN(2)/35))/(LN(2)/35)*DW15*DX15*VLOOKUP('Données projet'!$B$14,Paramètres!$A$1:$I$89,3,0)*0.475*44/12</f>
        <v>0</v>
      </c>
      <c r="EB15" s="21">
        <f>EXP(-LN(2)/25)*EB14+(1-EXP(-LN(2)/25))/(LN(2)/25)*Calculateur!DW15*Calculateur!DY15*VLOOKUP('Données projet'!$B$14,Paramètres!$A$1:$I$89,3,0)*0.475*44/12</f>
        <v>0</v>
      </c>
      <c r="EC15" s="21">
        <f>EXP(-LN(2)/2)*EC14+(1-EXP(-LN(2)/2))/(LN(2)/2)*DW15*DZ15*VLOOKUP('Données projet'!$B$14,Paramètres!$A$1:$I$89,3,0)*0.475*44/12</f>
        <v>0</v>
      </c>
      <c r="ED15" s="22">
        <f t="shared" si="18"/>
        <v>0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1.2</v>
      </c>
      <c r="EJ15" s="12">
        <f>IF('Données projet'!$A$192&gt;35,EJ14+EI15-ER14,IF(A15&lt;'Données projet'!$A$192,$EG$205^A15,IF(A15='Données projet'!$A$192,'Données projet'!$B$192,EJ14+EI15-ER14)))</f>
        <v>5.1170328173444979</v>
      </c>
      <c r="EK15" s="17">
        <f>EJ15*VLOOKUP('Données projet'!$B$15,Paramètres!$A$1:$I$89,3,0)*VLOOKUP('Données projet'!$B$15,Paramètres!$A$1:$I$89,5,0)</f>
        <v>3.9912855975287087</v>
      </c>
      <c r="EL15" s="13">
        <f t="shared" si="45"/>
        <v>1.5656523684951553</v>
      </c>
      <c r="EM15" s="20">
        <f t="shared" si="19"/>
        <v>9.6783336241582294</v>
      </c>
      <c r="EN15" s="59">
        <f t="shared" si="20"/>
        <v>303.01166695749157</v>
      </c>
      <c r="EO15" s="59">
        <f ca="1">AVERAGE(OFFSET($EN$3,0,0,'Données projet'!$E$15+1,1))-AVERAGE(OFFSET($H$3,0,0,'Données projet'!$E$15+1,1))</f>
        <v>104.07220236158577</v>
      </c>
      <c r="EP15" s="59">
        <f t="shared" si="46"/>
        <v>34.162068257911756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>
        <f>EXP(-LN(2)/35)*EV14+(1-EXP(-LN(2)/35))/(LN(2)/35)*ER15*ES15*VLOOKUP('Données projet'!$B$15,Paramètres!$A$1:$I$89,3,0)*0.475*44/12</f>
        <v>0</v>
      </c>
      <c r="EW15" s="21">
        <f>EXP(-LN(2)/25)*EW14+(1-EXP(-LN(2)/25))/(LN(2)/25)*Calculateur!ER15*Calculateur!ET15*VLOOKUP('Données projet'!$B$15,Paramètres!$A$1:$I$89,3,0)*0.475*44/12</f>
        <v>0</v>
      </c>
      <c r="EX15" s="21">
        <f>EXP(-LN(2)/2)*EX14+(1-EXP(-LN(2)/2))/(LN(2)/2)*ER15*EU15*VLOOKUP('Données projet'!$B$15,Paramètres!$A$1:$I$89,3,0)*0.475*44/12</f>
        <v>0</v>
      </c>
      <c r="EY15" s="22">
        <f t="shared" si="21"/>
        <v>0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9.1999999999999993</v>
      </c>
      <c r="FE15" s="12">
        <f>IF('Données projet'!$A$218&gt;35,FE14+FD15-FM14,IF(A15&lt;'Données projet'!$A$218,$FB$205^A15,IF(A15='Données projet'!$A$218,'Données projet'!$B$218,FE14+FD15-FM14)))</f>
        <v>86.40000000000002</v>
      </c>
      <c r="FF15" s="17">
        <f>FE15*VLOOKUP('Données projet'!$B$16,Paramètres!$A$1:$I$89,3,0)*VLOOKUP('Données projet'!$B$16,Paramètres!$A$1:$I$89,5,0)</f>
        <v>78.174720000000022</v>
      </c>
      <c r="FG15" s="13">
        <f t="shared" si="47"/>
        <v>21.690295961056126</v>
      </c>
      <c r="FH15" s="20">
        <f t="shared" si="22"/>
        <v>173.9315694655061</v>
      </c>
      <c r="FI15" s="59">
        <f t="shared" si="23"/>
        <v>467.26490279883944</v>
      </c>
      <c r="FJ15" s="59">
        <f ca="1">AVERAGE(OFFSET($FI$3,0,0,'Données projet'!$E$16+1,1))-AVERAGE(OFFSET($H$3,0,0,'Données projet'!$E$16+1,1))</f>
        <v>179.50097986986123</v>
      </c>
      <c r="FK15" s="59">
        <f t="shared" si="48"/>
        <v>287.11838730637578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>
        <f>EXP(-LN(2)/35)*FQ14+(1-EXP(-LN(2)/35))/(LN(2)/35)*FM15*FN15*VLOOKUP('Données projet'!$B$16,Paramètres!$A$1:$I$89,3,0)*0.475*44/12</f>
        <v>0</v>
      </c>
      <c r="FR15" s="21">
        <f>EXP(-LN(2)/25)*FR14+(1-EXP(-LN(2)/25))/(LN(2)/25)*Calculateur!FM15*Calculateur!FO15*VLOOKUP('Données projet'!$B$16,Paramètres!$A$1:$I$89,3,0)*0.475*44/12</f>
        <v>1.9859875798763442</v>
      </c>
      <c r="FS15" s="21">
        <f>EXP(-LN(2)/2)*FS14+(1-EXP(-LN(2)/2))/(LN(2)/2)*FM15*FP15*VLOOKUP('Données projet'!$B$16,Paramètres!$A$1:$I$89,3,0)*0.475*44/12</f>
        <v>2.4797341382009601</v>
      </c>
      <c r="FT15" s="22">
        <f t="shared" si="24"/>
        <v>4.4657217180773046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3.1</v>
      </c>
      <c r="FZ15" s="12">
        <f>IF('Données projet'!$A$244&gt;35,FZ14+FY15-GH14,IF(A15&lt;'Données projet'!$A$244,$FW$205^A15,IF(A15='Données projet'!$A$244,'Données projet'!$B$244,FZ14+FY15-GH14)))</f>
        <v>11.896932943137111</v>
      </c>
      <c r="GA15" s="17">
        <f>FZ15*VLOOKUP('Données projet'!$B$17,Paramètres!$A$1:$I$89,3,0)*VLOOKUP('Données projet'!$B$17,Paramètres!$A$1:$I$89,5,0)</f>
        <v>7.1143658999959936</v>
      </c>
      <c r="GB15" s="13">
        <f t="shared" si="49"/>
        <v>2.6091533748419611</v>
      </c>
      <c r="GC15" s="20">
        <f t="shared" si="25"/>
        <v>16.935129403676104</v>
      </c>
      <c r="GD15" s="59">
        <f t="shared" si="26"/>
        <v>310.26846273700943</v>
      </c>
      <c r="GE15" s="59">
        <f ca="1">AVERAGE(OFFSET($GD$3,0,0,'Données projet'!$E$17+1,1))-AVERAGE(OFFSET($H$3,0,0,'Données projet'!$E$17+1,1))</f>
        <v>165.39579887388538</v>
      </c>
      <c r="GF15" s="59">
        <f t="shared" si="50"/>
        <v>155.89639262545802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>
        <f>EXP(-LN(2)/35)*GL14+(1-EXP(-LN(2)/35))/(LN(2)/35)*GH15*GI15*VLOOKUP('Données projet'!$B$17,Paramètres!$A$1:$I$89,3,0)*0.475*44/12</f>
        <v>0</v>
      </c>
      <c r="GM15" s="21">
        <f>EXP(-LN(2)/25)*GM14+(1-EXP(-LN(2)/25))/(LN(2)/25)*Calculateur!GH15*Calculateur!GJ15*VLOOKUP('Données projet'!$B$17,Paramètres!$A$1:$I$89,3,0)*0.475*44/12</f>
        <v>0</v>
      </c>
      <c r="GN15" s="21">
        <f>EXP(-LN(2)/2)*GN14+(1-EXP(-LN(2)/2))/(LN(2)/2)*GH15*GK15*VLOOKUP('Données projet'!$B$17,Paramètres!$A$1:$I$89,3,0)*0.475*44/12</f>
        <v>0</v>
      </c>
      <c r="GO15" s="21">
        <f t="shared" si="27"/>
        <v>0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2.1333333333333333</v>
      </c>
      <c r="N16" s="13">
        <f>IF('Données projet'!$A$36&gt;35,N15+M16-V15,IF(A16&lt;'Données projet'!$A$36,$K$205^A16,IF(A16='Données projet'!$A$36,'Données projet'!$B$36,N15+M16-V15)))</f>
        <v>20.158736798317982</v>
      </c>
      <c r="O16" s="13">
        <f>N16*VLOOKUP('Données projet'!$B$9,Paramètres!$A$1:$I$89,3,0)*VLOOKUP('Données projet'!$B$9,Paramètres!$A$1:$I$89,5,0)</f>
        <v>11.268733870259751</v>
      </c>
      <c r="P16" s="13">
        <f t="shared" si="33"/>
        <v>3.9173188561486798</v>
      </c>
      <c r="Q16" s="20">
        <f t="shared" si="2"/>
        <v>26.449041831828016</v>
      </c>
      <c r="R16" s="59">
        <f t="shared" si="0"/>
        <v>319.78237516516134</v>
      </c>
      <c r="S16" s="59">
        <f ca="1">AVERAGE(OFFSET($R$3,0,0,'Données projet'!$E$9+1,1))-AVERAGE(OFFSET($H$3,0,0,'Données projet'!$E$9+1,1))</f>
        <v>235.10258076192054</v>
      </c>
      <c r="T16" s="59">
        <f t="shared" si="34"/>
        <v>233.47316052603765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5.25</v>
      </c>
      <c r="AI16" s="13">
        <f>IF('Données projet'!$A$62&gt;35,AI15+AH16-AQ15,IF(A16&lt;'Données projet'!$A$62,$AF$205^A16,IF(A16='Données projet'!$A$62,'Données projet'!$B$62,AI15+AH16-AQ15)))</f>
        <v>20.595533411524546</v>
      </c>
      <c r="AJ16" s="13">
        <f>AI16*VLOOKUP('Données projet'!$B$10,Paramètres!$A$1:$I$89,3,0)*VLOOKUP('Données projet'!$B$10,Paramètres!$A$1:$I$89,5,0)</f>
        <v>17.992257988307845</v>
      </c>
      <c r="AK16" s="13">
        <f t="shared" si="35"/>
        <v>5.9230549625899274</v>
      </c>
      <c r="AL16" s="20">
        <f t="shared" si="4"/>
        <v>41.65250338948028</v>
      </c>
      <c r="AM16" s="59">
        <f t="shared" si="5"/>
        <v>334.98583672281359</v>
      </c>
      <c r="AN16" s="59">
        <f ca="1">AVERAGE(OFFSET($AM$3,0,0,'Données projet'!$E$10+1,1))-AVERAGE(OFFSET($H$3,0,0,'Données projet'!$E$10+1,1))</f>
        <v>191.94797389630673</v>
      </c>
      <c r="AO16" s="59">
        <f t="shared" si="36"/>
        <v>273.52540822767878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1.2</v>
      </c>
      <c r="BD16" s="12">
        <f>IF('Données projet'!$A$88&gt;35,BD15+BC16-BL15,IF(A16&lt;'Données projet'!$A$88,$BA$205^A16,IF(A16='Données projet'!$A$88,'Données projet'!$B$88,BD15+BC16-BL15)))</f>
        <v>5.8627726400958746</v>
      </c>
      <c r="BE16" s="13">
        <f>BD16*VLOOKUP('Données projet'!$B$11,Paramètres!$A$1:$I$89,3,0)*VLOOKUP('Données projet'!$B$11,Paramètres!$A$1:$I$89,5,0)</f>
        <v>5.3046366847587469</v>
      </c>
      <c r="BF16" s="13">
        <f t="shared" si="37"/>
        <v>2.0130649729098407</v>
      </c>
      <c r="BG16" s="20">
        <f t="shared" si="7"/>
        <v>12.74499705377279</v>
      </c>
      <c r="BH16" s="59">
        <f t="shared" si="8"/>
        <v>306.07833038710612</v>
      </c>
      <c r="BI16" s="59">
        <f ca="1">AVERAGE(OFFSET($BH$3,0,0,'Données projet'!$E$11+1,1))-AVERAGE(OFFSET($H$3,0,0,'Données projet'!$E$11+1,1))</f>
        <v>138.8931001150624</v>
      </c>
      <c r="BJ16" s="59">
        <f t="shared" si="38"/>
        <v>48.964659354096625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</v>
      </c>
      <c r="BY16" s="12">
        <f>IF('Données projet'!$A$114&gt;35,BY15+BX16-CG15,IF(A16&lt;'Données projet'!$A$114,$BV$205^A16,IF(A16='Données projet'!$A$114,'Données projet'!$B$114,BY15+BX16-CG15)))</f>
        <v>5.8627726400958746</v>
      </c>
      <c r="BZ16" s="13">
        <f>BY16*VLOOKUP('Données projet'!$B$12,Paramètres!$A$1:$I$89,3,0)*VLOOKUP('Données projet'!$B$12,Paramètres!$A$1:$I$89,5,0)</f>
        <v>5.9448514570572168</v>
      </c>
      <c r="CA16" s="13">
        <f t="shared" si="39"/>
        <v>2.2262967845401667</v>
      </c>
      <c r="CB16" s="20">
        <f t="shared" si="10"/>
        <v>14.231416520782107</v>
      </c>
      <c r="CC16" s="59">
        <f t="shared" si="11"/>
        <v>307.56474985411541</v>
      </c>
      <c r="CD16" s="59">
        <f ca="1">AVERAGE(OFFSET($CC$3,0,0,'Données projet'!$E$12+1,1))-AVERAGE(OFFSET($H$3,0,0,'Données projet'!$E$12+1,1))</f>
        <v>169.2757878405003</v>
      </c>
      <c r="CE16" s="59">
        <f t="shared" si="40"/>
        <v>61.876502626609977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2.85</v>
      </c>
      <c r="CT16" s="12">
        <f>IF('Données projet'!$A$140&gt;35,CT15+CS16-DB15,IF(A16&lt;'Données projet'!$A$140,$CQ$205^A16,IF(A16='Données projet'!$A$140,'Données projet'!$B$140,CT15+CS16-DB15)))</f>
        <v>13.845819197850375</v>
      </c>
      <c r="CU16" s="17">
        <f>CT16*VLOOKUP('Données projet'!$B$13,Paramètres!$A$1:$I$89,3,0)*VLOOKUP('Données projet'!$B$13,Paramètres!$A$1:$I$89,5,0)</f>
        <v>11.015733753809759</v>
      </c>
      <c r="CV16" s="13">
        <f t="shared" si="41"/>
        <v>3.8395040690366242</v>
      </c>
      <c r="CW16" s="20">
        <f t="shared" si="13"/>
        <v>25.872872541457451</v>
      </c>
      <c r="CX16" s="59">
        <f t="shared" si="14"/>
        <v>319.20620587479078</v>
      </c>
      <c r="CY16" s="59">
        <f ca="1">AVERAGE(OFFSET($CX$3,0,0,'Données projet'!$E$13+1,1))-AVERAGE(OFFSET($H$3,0,0,'Données projet'!$E$13+1,1))</f>
        <v>141.12810728817544</v>
      </c>
      <c r="CZ16" s="59">
        <f t="shared" si="42"/>
        <v>176.01405805137551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>
        <f>EXP(-LN(2)/35)*DF15+(1-EXP(-LN(2)/35))/(LN(2)/35)*DB16*DC16*VLOOKUP('Données projet'!$B$13,Paramètres!$A$1:$I$89,3,0)*0.475*44/12</f>
        <v>0</v>
      </c>
      <c r="DG16" s="21">
        <f>EXP(-LN(2)/25)*DG15+(1-EXP(-LN(2)/25))/(LN(2)/25)*Calculateur!DB16*Calculateur!DD16*VLOOKUP('Données projet'!$B$13,Paramètres!$A$1:$I$89,3,0)*0.475*44/12</f>
        <v>0</v>
      </c>
      <c r="DH16" s="21">
        <f>EXP(-LN(2)/2)*DH15+(1-EXP(-LN(2)/2))/(LN(2)/2)*DB16*DE16*VLOOKUP('Données projet'!$B$13,Paramètres!$A$1:$I$89,3,0)*0.475*44/12</f>
        <v>0</v>
      </c>
      <c r="DI16" s="22">
        <f t="shared" si="15"/>
        <v>0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3.1</v>
      </c>
      <c r="DO16" s="12">
        <f>IF('Données projet'!$A$166&gt;35,DO15+DN16-DW15,IF(A16&lt;'Données projet'!$A$166,$DL$205^A16,IF(A16='Données projet'!$A$166,'Données projet'!$B$166,DO15+DN16-DW15)))</f>
        <v>14.623610064538074</v>
      </c>
      <c r="DP16" s="17">
        <f>DO16*VLOOKUP('Données projet'!$B$14,Paramètres!$A$1:$I$89,3,0)*VLOOKUP('Données projet'!$B$14,Paramètres!$A$1:$I$89,5,0)</f>
        <v>8.744918818593769</v>
      </c>
      <c r="DQ16" s="13">
        <f t="shared" si="43"/>
        <v>3.1310317674270851</v>
      </c>
      <c r="DR16" s="20">
        <f t="shared" si="16"/>
        <v>20.68394727065299</v>
      </c>
      <c r="DS16" s="59">
        <f t="shared" si="17"/>
        <v>314.01728060398631</v>
      </c>
      <c r="DT16" s="59">
        <f ca="1">AVERAGE(OFFSET($DS$3,0,0,'Données projet'!$E$14+1,1))-AVERAGE(OFFSET($H$3,0,0,'Données projet'!$E$14+1,1))</f>
        <v>165.39579887388538</v>
      </c>
      <c r="DU16" s="59">
        <f t="shared" si="44"/>
        <v>155.89639262545802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>
        <f>EXP(-LN(2)/35)*EA15+(1-EXP(-LN(2)/35))/(LN(2)/35)*DW16*DX16*VLOOKUP('Données projet'!$B$14,Paramètres!$A$1:$I$89,3,0)*0.475*44/12</f>
        <v>0</v>
      </c>
      <c r="EB16" s="21">
        <f>EXP(-LN(2)/25)*EB15+(1-EXP(-LN(2)/25))/(LN(2)/25)*Calculateur!DW16*Calculateur!DY16*VLOOKUP('Données projet'!$B$14,Paramètres!$A$1:$I$89,3,0)*0.475*44/12</f>
        <v>0</v>
      </c>
      <c r="EC16" s="21">
        <f>EXP(-LN(2)/2)*EC15+(1-EXP(-LN(2)/2))/(LN(2)/2)*DW16*DZ16*VLOOKUP('Données projet'!$B$14,Paramètres!$A$1:$I$89,3,0)*0.475*44/12</f>
        <v>0</v>
      </c>
      <c r="ED16" s="22">
        <f t="shared" si="18"/>
        <v>0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1.2</v>
      </c>
      <c r="EJ16" s="12">
        <f>IF('Données projet'!$A$192&gt;35,EJ15+EI16-ER15,IF(A16&lt;'Données projet'!$A$192,$EG$205^A16,IF(A16='Données projet'!$A$192,'Données projet'!$B$192,EJ15+EI16-ER15)))</f>
        <v>5.8627726400958746</v>
      </c>
      <c r="EK16" s="17">
        <f>EJ16*VLOOKUP('Données projet'!$B$15,Paramètres!$A$1:$I$89,3,0)*VLOOKUP('Données projet'!$B$15,Paramètres!$A$1:$I$89,5,0)</f>
        <v>4.5729626592747827</v>
      </c>
      <c r="EL16" s="13">
        <f t="shared" si="45"/>
        <v>1.7656422518618211</v>
      </c>
      <c r="EM16" s="20">
        <f t="shared" si="19"/>
        <v>11.03973688689625</v>
      </c>
      <c r="EN16" s="59">
        <f t="shared" si="20"/>
        <v>304.37307022022958</v>
      </c>
      <c r="EO16" s="59">
        <f ca="1">AVERAGE(OFFSET($EN$3,0,0,'Données projet'!$E$15+1,1))-AVERAGE(OFFSET($H$3,0,0,'Données projet'!$E$15+1,1))</f>
        <v>104.07220236158577</v>
      </c>
      <c r="EP16" s="59">
        <f t="shared" si="46"/>
        <v>34.162068257911756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>
        <f>EXP(-LN(2)/35)*EV15+(1-EXP(-LN(2)/35))/(LN(2)/35)*ER16*ES16*VLOOKUP('Données projet'!$B$15,Paramètres!$A$1:$I$89,3,0)*0.475*44/12</f>
        <v>0</v>
      </c>
      <c r="EW16" s="21">
        <f>EXP(-LN(2)/25)*EW15+(1-EXP(-LN(2)/25))/(LN(2)/25)*Calculateur!ER16*Calculateur!ET16*VLOOKUP('Données projet'!$B$15,Paramètres!$A$1:$I$89,3,0)*0.475*44/12</f>
        <v>0</v>
      </c>
      <c r="EX16" s="21">
        <f>EXP(-LN(2)/2)*EX15+(1-EXP(-LN(2)/2))/(LN(2)/2)*ER16*EU16*VLOOKUP('Données projet'!$B$15,Paramètres!$A$1:$I$89,3,0)*0.475*44/12</f>
        <v>0</v>
      </c>
      <c r="EY16" s="22">
        <f t="shared" si="21"/>
        <v>0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9.1999999999999993</v>
      </c>
      <c r="FE16" s="12">
        <f>IF('Données projet'!$A$218&gt;35,FE15+FD16-FM15,IF(A16&lt;'Données projet'!$A$218,$FB$205^A16,IF(A16='Données projet'!$A$218,'Données projet'!$B$218,FE15+FD16-FM15)))</f>
        <v>95.600000000000023</v>
      </c>
      <c r="FF16" s="17">
        <f>FE16*VLOOKUP('Données projet'!$B$16,Paramètres!$A$1:$I$89,3,0)*VLOOKUP('Données projet'!$B$16,Paramètres!$A$1:$I$89,5,0)</f>
        <v>86.498880000000014</v>
      </c>
      <c r="FG16" s="13">
        <f t="shared" si="47"/>
        <v>23.718899159460385</v>
      </c>
      <c r="FH16" s="20">
        <f t="shared" si="22"/>
        <v>191.9626320360602</v>
      </c>
      <c r="FI16" s="59">
        <f t="shared" si="23"/>
        <v>485.29596536939351</v>
      </c>
      <c r="FJ16" s="59">
        <f ca="1">AVERAGE(OFFSET($FI$3,0,0,'Données projet'!$E$16+1,1))-AVERAGE(OFFSET($H$3,0,0,'Données projet'!$E$16+1,1))</f>
        <v>179.50097986986123</v>
      </c>
      <c r="FK16" s="59">
        <f t="shared" si="48"/>
        <v>287.11838730637578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>
        <f>EXP(-LN(2)/35)*FQ15+(1-EXP(-LN(2)/35))/(LN(2)/35)*FM16*FN16*VLOOKUP('Données projet'!$B$16,Paramètres!$A$1:$I$89,3,0)*0.475*44/12</f>
        <v>0</v>
      </c>
      <c r="FR16" s="21">
        <f>EXP(-LN(2)/25)*FR15+(1-EXP(-LN(2)/25))/(LN(2)/25)*Calculateur!FM16*Calculateur!FO16*VLOOKUP('Données projet'!$B$16,Paramètres!$A$1:$I$89,3,0)*0.475*44/12</f>
        <v>1.9316806450660777</v>
      </c>
      <c r="FS16" s="21">
        <f>EXP(-LN(2)/2)*FS15+(1-EXP(-LN(2)/2))/(LN(2)/2)*FM16*FP16*VLOOKUP('Données projet'!$B$16,Paramètres!$A$1:$I$89,3,0)*0.475*44/12</f>
        <v>1.7534368246616785</v>
      </c>
      <c r="FT16" s="22">
        <f t="shared" si="24"/>
        <v>3.6851174697277562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3.1</v>
      </c>
      <c r="FZ16" s="12">
        <f>IF('Données projet'!$A$244&gt;35,FZ15+FY16-GH15,IF(A16&lt;'Données projet'!$A$244,$FW$205^A16,IF(A16='Données projet'!$A$244,'Données projet'!$B$244,FZ15+FY16-GH15)))</f>
        <v>14.623610064538074</v>
      </c>
      <c r="GA16" s="17">
        <f>FZ16*VLOOKUP('Données projet'!$B$17,Paramètres!$A$1:$I$89,3,0)*VLOOKUP('Données projet'!$B$17,Paramètres!$A$1:$I$89,5,0)</f>
        <v>8.744918818593769</v>
      </c>
      <c r="GB16" s="13">
        <f t="shared" si="49"/>
        <v>3.1310317674270851</v>
      </c>
      <c r="GC16" s="20">
        <f t="shared" si="25"/>
        <v>20.68394727065299</v>
      </c>
      <c r="GD16" s="59">
        <f t="shared" si="26"/>
        <v>314.01728060398631</v>
      </c>
      <c r="GE16" s="59">
        <f ca="1">AVERAGE(OFFSET($GD$3,0,0,'Données projet'!$E$17+1,1))-AVERAGE(OFFSET($H$3,0,0,'Données projet'!$E$17+1,1))</f>
        <v>165.39579887388538</v>
      </c>
      <c r="GF16" s="59">
        <f t="shared" si="50"/>
        <v>155.89639262545802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>
        <f>EXP(-LN(2)/35)*GL15+(1-EXP(-LN(2)/35))/(LN(2)/35)*GH16*GI16*VLOOKUP('Données projet'!$B$17,Paramètres!$A$1:$I$89,3,0)*0.475*44/12</f>
        <v>0</v>
      </c>
      <c r="GM16" s="21">
        <f>EXP(-LN(2)/25)*GM15+(1-EXP(-LN(2)/25))/(LN(2)/25)*Calculateur!GH16*Calculateur!GJ16*VLOOKUP('Données projet'!$B$17,Paramètres!$A$1:$I$89,3,0)*0.475*44/12</f>
        <v>0</v>
      </c>
      <c r="GN16" s="21">
        <f>EXP(-LN(2)/2)*GN15+(1-EXP(-LN(2)/2))/(LN(2)/2)*GH16*GK16*VLOOKUP('Données projet'!$B$17,Paramètres!$A$1:$I$89,3,0)*0.475*44/12</f>
        <v>0</v>
      </c>
      <c r="GO16" s="21">
        <f t="shared" si="27"/>
        <v>0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2.1333333333333333</v>
      </c>
      <c r="N17" s="13">
        <f>IF('Données projet'!$A$36&gt;35,N16+M17-V16,IF(A17&lt;'Données projet'!$A$36,$K$205^A17,IF(A17='Données projet'!$A$36,'Données projet'!$B$36,N16+M17-V16)))</f>
        <v>25.398416831491208</v>
      </c>
      <c r="O17" s="13">
        <f>N17*VLOOKUP('Données projet'!$B$9,Paramètres!$A$1:$I$89,3,0)*VLOOKUP('Données projet'!$B$9,Paramètres!$A$1:$I$89,5,0)</f>
        <v>14.197715008803586</v>
      </c>
      <c r="P17" s="13">
        <f t="shared" si="33"/>
        <v>4.804545284398583</v>
      </c>
      <c r="Q17" s="20">
        <f t="shared" si="2"/>
        <v>33.09560334399378</v>
      </c>
      <c r="R17" s="59">
        <f t="shared" si="0"/>
        <v>326.4289366773271</v>
      </c>
      <c r="S17" s="59">
        <f ca="1">AVERAGE(OFFSET($R$3,0,0,'Données projet'!$E$9+1,1))-AVERAGE(OFFSET($H$3,0,0,'Données projet'!$E$9+1,1))</f>
        <v>235.10258076192054</v>
      </c>
      <c r="T17" s="59">
        <f t="shared" si="34"/>
        <v>233.47316052603765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5.25</v>
      </c>
      <c r="AI17" s="13">
        <f>IF('Données projet'!$A$62&gt;35,AI16+AH17-AQ16,IF(A17&lt;'Données projet'!$A$62,$AF$205^A17,IF(A17='Données projet'!$A$62,'Données projet'!$B$62,AI16+AH17-AQ16)))</f>
        <v>25.991569751317236</v>
      </c>
      <c r="AJ17" s="13">
        <f>AI17*VLOOKUP('Données projet'!$B$10,Paramètres!$A$1:$I$89,3,0)*VLOOKUP('Données projet'!$B$10,Paramètres!$A$1:$I$89,5,0)</f>
        <v>22.70623533475074</v>
      </c>
      <c r="AK17" s="13">
        <f t="shared" si="35"/>
        <v>7.2751492262067101</v>
      </c>
      <c r="AL17" s="20">
        <f t="shared" si="4"/>
        <v>52.217578110334223</v>
      </c>
      <c r="AM17" s="59">
        <f t="shared" si="5"/>
        <v>345.55091144366753</v>
      </c>
      <c r="AN17" s="59">
        <f ca="1">AVERAGE(OFFSET($AM$3,0,0,'Données projet'!$E$10+1,1))-AVERAGE(OFFSET($H$3,0,0,'Données projet'!$E$10+1,1))</f>
        <v>191.94797389630673</v>
      </c>
      <c r="AO17" s="59">
        <f t="shared" si="36"/>
        <v>273.52540822767878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1.2</v>
      </c>
      <c r="BD17" s="12">
        <f>IF('Données projet'!$A$88&gt;35,BD16+BC17-BL16,IF(A17&lt;'Données projet'!$A$88,$BA$205^A17,IF(A17='Données projet'!$A$88,'Données projet'!$B$88,BD16+BC17-BL16)))</f>
        <v>6.7171941741218459</v>
      </c>
      <c r="BE17" s="13">
        <f>BD17*VLOOKUP('Données projet'!$B$11,Paramètres!$A$1:$I$89,3,0)*VLOOKUP('Données projet'!$B$11,Paramètres!$A$1:$I$89,5,0)</f>
        <v>6.077717288745446</v>
      </c>
      <c r="BF17" s="13">
        <f t="shared" si="37"/>
        <v>2.2702054705343011</v>
      </c>
      <c r="BG17" s="20">
        <f t="shared" si="7"/>
        <v>14.53929880574556</v>
      </c>
      <c r="BH17" s="59">
        <f t="shared" si="8"/>
        <v>307.87263213907886</v>
      </c>
      <c r="BI17" s="59">
        <f ca="1">AVERAGE(OFFSET($BH$3,0,0,'Données projet'!$E$11+1,1))-AVERAGE(OFFSET($H$3,0,0,'Données projet'!$E$11+1,1))</f>
        <v>138.8931001150624</v>
      </c>
      <c r="BJ17" s="59">
        <f t="shared" si="38"/>
        <v>48.964659354096625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</v>
      </c>
      <c r="BY17" s="12">
        <f>IF('Données projet'!$A$114&gt;35,BY16+BX17-CG16,IF(A17&lt;'Données projet'!$A$114,$BV$205^A17,IF(A17='Données projet'!$A$114,'Données projet'!$B$114,BY16+BX17-CG16)))</f>
        <v>6.7171941741218459</v>
      </c>
      <c r="BZ17" s="13">
        <f>BY17*VLOOKUP('Données projet'!$B$12,Paramètres!$A$1:$I$89,3,0)*VLOOKUP('Données projet'!$B$12,Paramètres!$A$1:$I$89,5,0)</f>
        <v>6.8112348925595523</v>
      </c>
      <c r="CA17" s="13">
        <f t="shared" si="39"/>
        <v>2.5106746216891089</v>
      </c>
      <c r="CB17" s="20">
        <f t="shared" si="10"/>
        <v>16.235659070649749</v>
      </c>
      <c r="CC17" s="59">
        <f t="shared" si="11"/>
        <v>309.56899240398309</v>
      </c>
      <c r="CD17" s="59">
        <f ca="1">AVERAGE(OFFSET($CC$3,0,0,'Données projet'!$E$12+1,1))-AVERAGE(OFFSET($H$3,0,0,'Données projet'!$E$12+1,1))</f>
        <v>169.2757878405003</v>
      </c>
      <c r="CE17" s="59">
        <f t="shared" si="40"/>
        <v>61.876502626609977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2.85</v>
      </c>
      <c r="CT17" s="12">
        <f>IF('Données projet'!$A$140&gt;35,CT16+CS17-DB16,IF(A17&lt;'Données projet'!$A$140,$CQ$205^A17,IF(A17='Données projet'!$A$140,'Données projet'!$B$140,CT16+CS17-DB16)))</f>
        <v>16.94776365704034</v>
      </c>
      <c r="CU17" s="17">
        <f>CT17*VLOOKUP('Données projet'!$B$13,Paramètres!$A$1:$I$89,3,0)*VLOOKUP('Données projet'!$B$13,Paramètres!$A$1:$I$89,5,0)</f>
        <v>13.483640765541296</v>
      </c>
      <c r="CV17" s="13">
        <f t="shared" si="41"/>
        <v>4.5903910411032314</v>
      </c>
      <c r="CW17" s="20">
        <f t="shared" si="13"/>
        <v>31.478938729905888</v>
      </c>
      <c r="CX17" s="59">
        <f t="shared" si="14"/>
        <v>324.81227206323922</v>
      </c>
      <c r="CY17" s="59">
        <f ca="1">AVERAGE(OFFSET($CX$3,0,0,'Données projet'!$E$13+1,1))-AVERAGE(OFFSET($H$3,0,0,'Données projet'!$E$13+1,1))</f>
        <v>141.12810728817544</v>
      </c>
      <c r="CZ17" s="59">
        <f t="shared" si="42"/>
        <v>176.01405805137551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>
        <f>EXP(-LN(2)/35)*DF16+(1-EXP(-LN(2)/35))/(LN(2)/35)*DB17*DC17*VLOOKUP('Données projet'!$B$13,Paramètres!$A$1:$I$89,3,0)*0.475*44/12</f>
        <v>0</v>
      </c>
      <c r="DG17" s="21">
        <f>EXP(-LN(2)/25)*DG16+(1-EXP(-LN(2)/25))/(LN(2)/25)*Calculateur!DB17*Calculateur!DD17*VLOOKUP('Données projet'!$B$13,Paramètres!$A$1:$I$89,3,0)*0.475*44/12</f>
        <v>0</v>
      </c>
      <c r="DH17" s="21">
        <f>EXP(-LN(2)/2)*DH16+(1-EXP(-LN(2)/2))/(LN(2)/2)*DB17*DE17*VLOOKUP('Données projet'!$B$13,Paramètres!$A$1:$I$89,3,0)*0.475*44/12</f>
        <v>0</v>
      </c>
      <c r="DI17" s="22">
        <f t="shared" si="15"/>
        <v>0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3.1</v>
      </c>
      <c r="DO17" s="12">
        <f>IF('Données projet'!$A$166&gt;35,DO16+DN17-DW16,IF(A17&lt;'Données projet'!$A$166,$DL$205^A17,IF(A17='Données projet'!$A$166,'Données projet'!$B$166,DO16+DN17-DW16)))</f>
        <v>17.975218683822305</v>
      </c>
      <c r="DP17" s="17">
        <f>DO17*VLOOKUP('Données projet'!$B$14,Paramètres!$A$1:$I$89,3,0)*VLOOKUP('Données projet'!$B$14,Paramètres!$A$1:$I$89,5,0)</f>
        <v>10.74918077292574</v>
      </c>
      <c r="DQ17" s="13">
        <f t="shared" si="43"/>
        <v>3.7572953829252698</v>
      </c>
      <c r="DR17" s="20">
        <f t="shared" si="16"/>
        <v>25.26544597144051</v>
      </c>
      <c r="DS17" s="59">
        <f t="shared" si="17"/>
        <v>318.59877930477381</v>
      </c>
      <c r="DT17" s="59">
        <f ca="1">AVERAGE(OFFSET($DS$3,0,0,'Données projet'!$E$14+1,1))-AVERAGE(OFFSET($H$3,0,0,'Données projet'!$E$14+1,1))</f>
        <v>165.39579887388538</v>
      </c>
      <c r="DU17" s="59">
        <f t="shared" si="44"/>
        <v>155.89639262545802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>
        <f>EXP(-LN(2)/35)*EA16+(1-EXP(-LN(2)/35))/(LN(2)/35)*DW17*DX17*VLOOKUP('Données projet'!$B$14,Paramètres!$A$1:$I$89,3,0)*0.475*44/12</f>
        <v>0</v>
      </c>
      <c r="EB17" s="21">
        <f>EXP(-LN(2)/25)*EB16+(1-EXP(-LN(2)/25))/(LN(2)/25)*Calculateur!DW17*Calculateur!DY17*VLOOKUP('Données projet'!$B$14,Paramètres!$A$1:$I$89,3,0)*0.475*44/12</f>
        <v>0</v>
      </c>
      <c r="EC17" s="21">
        <f>EXP(-LN(2)/2)*EC16+(1-EXP(-LN(2)/2))/(LN(2)/2)*DW17*DZ17*VLOOKUP('Données projet'!$B$14,Paramètres!$A$1:$I$89,3,0)*0.475*44/12</f>
        <v>0</v>
      </c>
      <c r="ED17" s="22">
        <f t="shared" si="18"/>
        <v>0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1.2</v>
      </c>
      <c r="EJ17" s="12">
        <f>IF('Données projet'!$A$192&gt;35,EJ16+EI17-ER16,IF(A17&lt;'Données projet'!$A$192,$EG$205^A17,IF(A17='Données projet'!$A$192,'Données projet'!$B$192,EJ16+EI17-ER16)))</f>
        <v>6.7171941741218459</v>
      </c>
      <c r="EK17" s="17">
        <f>EJ17*VLOOKUP('Données projet'!$B$15,Paramètres!$A$1:$I$89,3,0)*VLOOKUP('Données projet'!$B$15,Paramètres!$A$1:$I$89,5,0)</f>
        <v>5.2394114558150404</v>
      </c>
      <c r="EL17" s="13">
        <f t="shared" si="45"/>
        <v>1.9911780062365287</v>
      </c>
      <c r="EM17" s="20">
        <f t="shared" si="19"/>
        <v>12.593276646406482</v>
      </c>
      <c r="EN17" s="59">
        <f t="shared" si="20"/>
        <v>305.92660997973979</v>
      </c>
      <c r="EO17" s="59">
        <f ca="1">AVERAGE(OFFSET($EN$3,0,0,'Données projet'!$E$15+1,1))-AVERAGE(OFFSET($H$3,0,0,'Données projet'!$E$15+1,1))</f>
        <v>104.07220236158577</v>
      </c>
      <c r="EP17" s="59">
        <f t="shared" si="46"/>
        <v>34.162068257911756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>
        <f>EXP(-LN(2)/35)*EV16+(1-EXP(-LN(2)/35))/(LN(2)/35)*ER17*ES17*VLOOKUP('Données projet'!$B$15,Paramètres!$A$1:$I$89,3,0)*0.475*44/12</f>
        <v>0</v>
      </c>
      <c r="EW17" s="21">
        <f>EXP(-LN(2)/25)*EW16+(1-EXP(-LN(2)/25))/(LN(2)/25)*Calculateur!ER17*Calculateur!ET17*VLOOKUP('Données projet'!$B$15,Paramètres!$A$1:$I$89,3,0)*0.475*44/12</f>
        <v>0</v>
      </c>
      <c r="EX17" s="21">
        <f>EXP(-LN(2)/2)*EX16+(1-EXP(-LN(2)/2))/(LN(2)/2)*ER17*EU17*VLOOKUP('Données projet'!$B$15,Paramètres!$A$1:$I$89,3,0)*0.475*44/12</f>
        <v>0</v>
      </c>
      <c r="EY17" s="22">
        <f t="shared" si="21"/>
        <v>0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9.1999999999999993</v>
      </c>
      <c r="FE17" s="12">
        <f>IF('Données projet'!$A$218&gt;35,FE16+FD17-FM16,IF(A17&lt;'Données projet'!$A$218,$FB$205^A17,IF(A17='Données projet'!$A$218,'Données projet'!$B$218,FE16+FD17-FM16)))</f>
        <v>104.80000000000003</v>
      </c>
      <c r="FF17" s="17">
        <f>FE17*VLOOKUP('Données projet'!$B$16,Paramètres!$A$1:$I$89,3,0)*VLOOKUP('Données projet'!$B$16,Paramètres!$A$1:$I$89,5,0)</f>
        <v>94.82304000000002</v>
      </c>
      <c r="FG17" s="13">
        <f t="shared" si="47"/>
        <v>25.724868560134329</v>
      </c>
      <c r="FH17" s="20">
        <f t="shared" si="22"/>
        <v>209.95427407556733</v>
      </c>
      <c r="FI17" s="59">
        <f t="shared" si="23"/>
        <v>503.28760740890061</v>
      </c>
      <c r="FJ17" s="59">
        <f ca="1">AVERAGE(OFFSET($FI$3,0,0,'Données projet'!$E$16+1,1))-AVERAGE(OFFSET($H$3,0,0,'Données projet'!$E$16+1,1))</f>
        <v>179.50097986986123</v>
      </c>
      <c r="FK17" s="59">
        <f t="shared" si="48"/>
        <v>287.11838730637578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>
        <f>EXP(-LN(2)/35)*FQ16+(1-EXP(-LN(2)/35))/(LN(2)/35)*FM17*FN17*VLOOKUP('Données projet'!$B$16,Paramètres!$A$1:$I$89,3,0)*0.475*44/12</f>
        <v>0</v>
      </c>
      <c r="FR17" s="21">
        <f>EXP(-LN(2)/25)*FR16+(1-EXP(-LN(2)/25))/(LN(2)/25)*Calculateur!FM17*Calculateur!FO17*VLOOKUP('Données projet'!$B$16,Paramètres!$A$1:$I$89,3,0)*0.475*44/12</f>
        <v>1.8788587362440756</v>
      </c>
      <c r="FS17" s="21">
        <f>EXP(-LN(2)/2)*FS16+(1-EXP(-LN(2)/2))/(LN(2)/2)*FM17*FP17*VLOOKUP('Données projet'!$B$16,Paramètres!$A$1:$I$89,3,0)*0.475*44/12</f>
        <v>1.2398670691004803</v>
      </c>
      <c r="FT17" s="22">
        <f t="shared" si="24"/>
        <v>3.1187258053445559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3.1</v>
      </c>
      <c r="FZ17" s="12">
        <f>IF('Données projet'!$A$244&gt;35,FZ16+FY17-GH16,IF(A17&lt;'Données projet'!$A$244,$FW$205^A17,IF(A17='Données projet'!$A$244,'Données projet'!$B$244,FZ16+FY17-GH16)))</f>
        <v>17.975218683822305</v>
      </c>
      <c r="GA17" s="17">
        <f>FZ17*VLOOKUP('Données projet'!$B$17,Paramètres!$A$1:$I$89,3,0)*VLOOKUP('Données projet'!$B$17,Paramètres!$A$1:$I$89,5,0)</f>
        <v>10.74918077292574</v>
      </c>
      <c r="GB17" s="13">
        <f t="shared" si="49"/>
        <v>3.7572953829252698</v>
      </c>
      <c r="GC17" s="20">
        <f t="shared" si="25"/>
        <v>25.26544597144051</v>
      </c>
      <c r="GD17" s="59">
        <f t="shared" si="26"/>
        <v>318.59877930477381</v>
      </c>
      <c r="GE17" s="59">
        <f ca="1">AVERAGE(OFFSET($GD$3,0,0,'Données projet'!$E$17+1,1))-AVERAGE(OFFSET($H$3,0,0,'Données projet'!$E$17+1,1))</f>
        <v>165.39579887388538</v>
      </c>
      <c r="GF17" s="59">
        <f t="shared" si="50"/>
        <v>155.89639262545802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>
        <f>EXP(-LN(2)/35)*GL16+(1-EXP(-LN(2)/35))/(LN(2)/35)*GH17*GI17*VLOOKUP('Données projet'!$B$17,Paramètres!$A$1:$I$89,3,0)*0.475*44/12</f>
        <v>0</v>
      </c>
      <c r="GM17" s="21">
        <f>EXP(-LN(2)/25)*GM16+(1-EXP(-LN(2)/25))/(LN(2)/25)*Calculateur!GH17*Calculateur!GJ17*VLOOKUP('Données projet'!$B$17,Paramètres!$A$1:$I$89,3,0)*0.475*44/12</f>
        <v>0</v>
      </c>
      <c r="GN17" s="21">
        <f>EXP(-LN(2)/2)*GN16+(1-EXP(-LN(2)/2))/(LN(2)/2)*GH17*GK17*VLOOKUP('Données projet'!$B$17,Paramètres!$A$1:$I$89,3,0)*0.475*44/12</f>
        <v>0</v>
      </c>
      <c r="GO17" s="21">
        <f t="shared" si="27"/>
        <v>0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>
        <f>VLOOKUP(A18,'Données projet'!$A$35:$I$55,2,0)</f>
        <v>32</v>
      </c>
      <c r="L18" s="12">
        <f>VLOOKUP(A18,'Données projet'!$A$35:$I$55,9,0)</f>
        <v>2.1333333333333333</v>
      </c>
      <c r="M18" s="12">
        <f t="array" ref="M18">INDEX(L:L,MIN(IF(ISNUMBER(L18:L214),ROW(L18:L214),"")))</f>
        <v>2.1333333333333333</v>
      </c>
      <c r="N18" s="13">
        <f>IF('Données projet'!$A$36&gt;35,N17+M18-V17,IF(A18&lt;'Données projet'!$A$36,$K$205^A18,IF(A18='Données projet'!$A$36,'Données projet'!$B$36,N17+M18-V17)))</f>
        <v>32</v>
      </c>
      <c r="O18" s="13">
        <f>N18*VLOOKUP('Données projet'!$B$9,Paramètres!$A$1:$I$89,3,0)*VLOOKUP('Données projet'!$B$9,Paramètres!$A$1:$I$89,5,0)</f>
        <v>17.888000000000002</v>
      </c>
      <c r="P18" s="13">
        <f t="shared" si="33"/>
        <v>5.8927180139048936</v>
      </c>
      <c r="Q18" s="20">
        <f t="shared" si="2"/>
        <v>41.418083874217693</v>
      </c>
      <c r="R18" s="59">
        <f t="shared" si="0"/>
        <v>334.75141720755101</v>
      </c>
      <c r="S18" s="59">
        <f ca="1">AVERAGE(OFFSET($R$3,0,0,'Données projet'!$E$9+1,1))-AVERAGE(OFFSET($H$3,0,0,'Données projet'!$E$9+1,1))</f>
        <v>235.10258076192054</v>
      </c>
      <c r="T18" s="59">
        <f t="shared" si="34"/>
        <v>233.47316052603765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5.25</v>
      </c>
      <c r="AI18" s="13">
        <f>IF('Données projet'!$A$62&gt;35,AI17+AH18-AQ17,IF(A18&lt;'Données projet'!$A$62,$AF$205^A18,IF(A18='Données projet'!$A$62,'Données projet'!$B$62,AI17+AH18-AQ17)))</f>
        <v>32.801369337662706</v>
      </c>
      <c r="AJ18" s="13">
        <f>AI18*VLOOKUP('Données projet'!$B$10,Paramètres!$A$1:$I$89,3,0)*VLOOKUP('Données projet'!$B$10,Paramètres!$A$1:$I$89,5,0)</f>
        <v>28.655276253382144</v>
      </c>
      <c r="AK18" s="13">
        <f t="shared" si="35"/>
        <v>8.9358948376924587</v>
      </c>
      <c r="AL18" s="20">
        <f t="shared" si="4"/>
        <v>65.471289650288256</v>
      </c>
      <c r="AM18" s="59">
        <f t="shared" si="5"/>
        <v>358.80462298362158</v>
      </c>
      <c r="AN18" s="59">
        <f ca="1">AVERAGE(OFFSET($AM$3,0,0,'Données projet'!$E$10+1,1))-AVERAGE(OFFSET($H$3,0,0,'Données projet'!$E$10+1,1))</f>
        <v>191.94797389630673</v>
      </c>
      <c r="AO18" s="59">
        <f t="shared" si="36"/>
        <v>273.52540822767878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1.2</v>
      </c>
      <c r="BD18" s="12">
        <f>IF('Données projet'!$A$88&gt;35,BD17+BC18-BL17,IF(A18&lt;'Données projet'!$A$88,$BA$205^A18,IF(A18='Données projet'!$A$88,'Données projet'!$B$88,BD17+BC18-BL17)))</f>
        <v>7.6961363407260848</v>
      </c>
      <c r="BE18" s="13">
        <f>BD18*VLOOKUP('Données projet'!$B$11,Paramètres!$A$1:$I$89,3,0)*VLOOKUP('Données projet'!$B$11,Paramètres!$A$1:$I$89,5,0)</f>
        <v>6.9634641610889609</v>
      </c>
      <c r="BF18" s="13">
        <f t="shared" si="37"/>
        <v>2.5601920195323435</v>
      </c>
      <c r="BG18" s="20">
        <f t="shared" si="7"/>
        <v>16.587034514582104</v>
      </c>
      <c r="BH18" s="59">
        <f t="shared" si="8"/>
        <v>309.92036784791543</v>
      </c>
      <c r="BI18" s="59">
        <f ca="1">AVERAGE(OFFSET($BH$3,0,0,'Données projet'!$E$11+1,1))-AVERAGE(OFFSET($H$3,0,0,'Données projet'!$E$11+1,1))</f>
        <v>138.8931001150624</v>
      </c>
      <c r="BJ18" s="59">
        <f t="shared" si="38"/>
        <v>48.964659354096625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</v>
      </c>
      <c r="BY18" s="12">
        <f>IF('Données projet'!$A$114&gt;35,BY17+BX18-CG17,IF(A18&lt;'Données projet'!$A$114,$BV$205^A18,IF(A18='Données projet'!$A$114,'Données projet'!$B$114,BY17+BX18-CG17)))</f>
        <v>7.6961363407260848</v>
      </c>
      <c r="BZ18" s="13">
        <f>BY18*VLOOKUP('Données projet'!$B$12,Paramètres!$A$1:$I$89,3,0)*VLOOKUP('Données projet'!$B$12,Paramètres!$A$1:$I$89,5,0)</f>
        <v>7.8038822494962501</v>
      </c>
      <c r="CA18" s="13">
        <f t="shared" si="39"/>
        <v>2.8313776940102406</v>
      </c>
      <c r="CB18" s="20">
        <f t="shared" si="10"/>
        <v>18.523077734940472</v>
      </c>
      <c r="CC18" s="59">
        <f t="shared" si="11"/>
        <v>311.85641106827381</v>
      </c>
      <c r="CD18" s="59">
        <f ca="1">AVERAGE(OFFSET($CC$3,0,0,'Données projet'!$E$12+1,1))-AVERAGE(OFFSET($H$3,0,0,'Données projet'!$E$12+1,1))</f>
        <v>169.2757878405003</v>
      </c>
      <c r="CE18" s="59">
        <f t="shared" si="40"/>
        <v>61.876502626609977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2.85</v>
      </c>
      <c r="CT18" s="12">
        <f>IF('Données projet'!$A$140&gt;35,CT17+CS18-DB17,IF(A18&lt;'Données projet'!$A$140,$CQ$205^A18,IF(A18='Données projet'!$A$140,'Données projet'!$B$140,CT17+CS18-DB17)))</f>
        <v>20.744651426583019</v>
      </c>
      <c r="CU18" s="17">
        <f>CT18*VLOOKUP('Données projet'!$B$13,Paramètres!$A$1:$I$89,3,0)*VLOOKUP('Données projet'!$B$13,Paramètres!$A$1:$I$89,5,0)</f>
        <v>16.50444467498945</v>
      </c>
      <c r="CV18" s="13">
        <f t="shared" si="41"/>
        <v>5.4881280319955339</v>
      </c>
      <c r="CW18" s="20">
        <f t="shared" si="13"/>
        <v>38.303730797998846</v>
      </c>
      <c r="CX18" s="59">
        <f t="shared" si="14"/>
        <v>331.63706413133218</v>
      </c>
      <c r="CY18" s="59">
        <f ca="1">AVERAGE(OFFSET($CX$3,0,0,'Données projet'!$E$13+1,1))-AVERAGE(OFFSET($H$3,0,0,'Données projet'!$E$13+1,1))</f>
        <v>141.12810728817544</v>
      </c>
      <c r="CZ18" s="59">
        <f t="shared" si="42"/>
        <v>176.01405805137551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>
        <f>EXP(-LN(2)/35)*DF17+(1-EXP(-LN(2)/35))/(LN(2)/35)*DB18*DC18*VLOOKUP('Données projet'!$B$13,Paramètres!$A$1:$I$89,3,0)*0.475*44/12</f>
        <v>0</v>
      </c>
      <c r="DG18" s="21">
        <f>EXP(-LN(2)/25)*DG17+(1-EXP(-LN(2)/25))/(LN(2)/25)*Calculateur!DB18*Calculateur!DD18*VLOOKUP('Données projet'!$B$13,Paramètres!$A$1:$I$89,3,0)*0.475*44/12</f>
        <v>0</v>
      </c>
      <c r="DH18" s="21">
        <f>EXP(-LN(2)/2)*DH17+(1-EXP(-LN(2)/2))/(LN(2)/2)*DB18*DE18*VLOOKUP('Données projet'!$B$13,Paramètres!$A$1:$I$89,3,0)*0.475*44/12</f>
        <v>0</v>
      </c>
      <c r="DI18" s="22">
        <f t="shared" si="15"/>
        <v>0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3.1</v>
      </c>
      <c r="DO18" s="12">
        <f>IF('Données projet'!$A$166&gt;35,DO17+DN18-DW17,IF(A18&lt;'Données projet'!$A$166,$DL$205^A18,IF(A18='Données projet'!$A$166,'Données projet'!$B$166,DO17+DN18-DW17)))</f>
        <v>22.094987852196994</v>
      </c>
      <c r="DP18" s="17">
        <f>DO18*VLOOKUP('Données projet'!$B$14,Paramètres!$A$1:$I$89,3,0)*VLOOKUP('Données projet'!$B$14,Paramètres!$A$1:$I$89,5,0)</f>
        <v>13.212802735613803</v>
      </c>
      <c r="DQ18" s="13">
        <f t="shared" si="43"/>
        <v>4.5088231749728802</v>
      </c>
      <c r="DR18" s="20">
        <f t="shared" si="16"/>
        <v>30.865165127605138</v>
      </c>
      <c r="DS18" s="59">
        <f t="shared" si="17"/>
        <v>324.19849846093848</v>
      </c>
      <c r="DT18" s="59">
        <f ca="1">AVERAGE(OFFSET($DS$3,0,0,'Données projet'!$E$14+1,1))-AVERAGE(OFFSET($H$3,0,0,'Données projet'!$E$14+1,1))</f>
        <v>165.39579887388538</v>
      </c>
      <c r="DU18" s="59">
        <f t="shared" si="44"/>
        <v>155.89639262545802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>
        <f>EXP(-LN(2)/35)*EA17+(1-EXP(-LN(2)/35))/(LN(2)/35)*DW18*DX18*VLOOKUP('Données projet'!$B$14,Paramètres!$A$1:$I$89,3,0)*0.475*44/12</f>
        <v>0</v>
      </c>
      <c r="EB18" s="21">
        <f>EXP(-LN(2)/25)*EB17+(1-EXP(-LN(2)/25))/(LN(2)/25)*Calculateur!DW18*Calculateur!DY18*VLOOKUP('Données projet'!$B$14,Paramètres!$A$1:$I$89,3,0)*0.475*44/12</f>
        <v>0</v>
      </c>
      <c r="EC18" s="21">
        <f>EXP(-LN(2)/2)*EC17+(1-EXP(-LN(2)/2))/(LN(2)/2)*DW18*DZ18*VLOOKUP('Données projet'!$B$14,Paramètres!$A$1:$I$89,3,0)*0.475*44/12</f>
        <v>0</v>
      </c>
      <c r="ED18" s="22">
        <f t="shared" si="18"/>
        <v>0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1.2</v>
      </c>
      <c r="EJ18" s="12">
        <f>IF('Données projet'!$A$192&gt;35,EJ17+EI18-ER17,IF(A18&lt;'Données projet'!$A$192,$EG$205^A18,IF(A18='Données projet'!$A$192,'Données projet'!$B$192,EJ17+EI18-ER17)))</f>
        <v>7.6961363407260848</v>
      </c>
      <c r="EK18" s="17">
        <f>EJ18*VLOOKUP('Données projet'!$B$15,Paramètres!$A$1:$I$89,3,0)*VLOOKUP('Données projet'!$B$15,Paramètres!$A$1:$I$89,5,0)</f>
        <v>6.0029863457663462</v>
      </c>
      <c r="EL18" s="13">
        <f t="shared" si="45"/>
        <v>2.2455227543061551</v>
      </c>
      <c r="EM18" s="20">
        <f t="shared" si="19"/>
        <v>14.366153349292938</v>
      </c>
      <c r="EN18" s="59">
        <f t="shared" si="20"/>
        <v>307.69948668262623</v>
      </c>
      <c r="EO18" s="59">
        <f ca="1">AVERAGE(OFFSET($EN$3,0,0,'Données projet'!$E$15+1,1))-AVERAGE(OFFSET($H$3,0,0,'Données projet'!$E$15+1,1))</f>
        <v>104.07220236158577</v>
      </c>
      <c r="EP18" s="59">
        <f t="shared" si="46"/>
        <v>34.162068257911756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>
        <f>EXP(-LN(2)/35)*EV17+(1-EXP(-LN(2)/35))/(LN(2)/35)*ER18*ES18*VLOOKUP('Données projet'!$B$15,Paramètres!$A$1:$I$89,3,0)*0.475*44/12</f>
        <v>0</v>
      </c>
      <c r="EW18" s="21">
        <f>EXP(-LN(2)/25)*EW17+(1-EXP(-LN(2)/25))/(LN(2)/25)*Calculateur!ER18*Calculateur!ET18*VLOOKUP('Données projet'!$B$15,Paramètres!$A$1:$I$89,3,0)*0.475*44/12</f>
        <v>0</v>
      </c>
      <c r="EX18" s="21">
        <f>EXP(-LN(2)/2)*EX17+(1-EXP(-LN(2)/2))/(LN(2)/2)*ER18*EU18*VLOOKUP('Données projet'!$B$15,Paramètres!$A$1:$I$89,3,0)*0.475*44/12</f>
        <v>0</v>
      </c>
      <c r="EY18" s="22">
        <f t="shared" si="21"/>
        <v>0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>
        <f>VLOOKUP(A18,'Données projet'!$A$217:$I$237,2,0)</f>
        <v>114</v>
      </c>
      <c r="FC18" s="12">
        <f>VLOOKUP(A18,'Données projet'!$A$217:$I$237,9,0)</f>
        <v>9.1999999999999993</v>
      </c>
      <c r="FD18" s="12">
        <f t="array" ref="FD18">INDEX(FC:FC,MIN(IF(ISNUMBER(FC18:FC214),ROW(FC18:FC214),"")))</f>
        <v>9.1999999999999993</v>
      </c>
      <c r="FE18" s="12">
        <f>IF('Données projet'!$A$218&gt;35,FE17+FD18-FM17,IF(A18&lt;'Données projet'!$A$218,$FB$205^A18,IF(A18='Données projet'!$A$218,'Données projet'!$B$218,FE17+FD18-FM17)))</f>
        <v>114.00000000000003</v>
      </c>
      <c r="FF18" s="17">
        <f>FE18*VLOOKUP('Données projet'!$B$16,Paramètres!$A$1:$I$89,3,0)*VLOOKUP('Données projet'!$B$16,Paramètres!$A$1:$I$89,5,0)</f>
        <v>103.14720000000003</v>
      </c>
      <c r="FG18" s="13">
        <f t="shared" si="47"/>
        <v>27.710417026801451</v>
      </c>
      <c r="FH18" s="20">
        <f t="shared" si="22"/>
        <v>227.91034965501254</v>
      </c>
      <c r="FI18" s="59">
        <f t="shared" si="23"/>
        <v>521.24368298834588</v>
      </c>
      <c r="FJ18" s="59">
        <f ca="1">AVERAGE(OFFSET($FI$3,0,0,'Données projet'!$E$16+1,1))-AVERAGE(OFFSET($H$3,0,0,'Données projet'!$E$16+1,1))</f>
        <v>179.50097986986123</v>
      </c>
      <c r="FK18" s="59">
        <f t="shared" si="48"/>
        <v>287.11838730637578</v>
      </c>
      <c r="FL18" s="15">
        <f>IF(ISNA(VLOOKUP(A18,'Données projet'!$A$217:$I$237,3,0)),0,VLOOKUP(A18,'Données projet'!$A$217:$I$237,3,0))</f>
        <v>3</v>
      </c>
      <c r="FM18" s="15">
        <f>IF(ISNA(VLOOKUP(A18,'Données projet'!$A$217:$I$237,4,0)),0,VLOOKUP(A18,'Données projet'!$A$217:$I$237,4,0))</f>
        <v>22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7.4999999999999997E-2</v>
      </c>
      <c r="FP18" s="16">
        <f>IF(ISNA(VLOOKUP(A18,'Données projet'!$A$217:$I$237,7,0)),0%,VLOOKUP(A18,'Données projet'!$A$217:$I$237,7,0))</f>
        <v>0.25</v>
      </c>
      <c r="FQ18" s="21">
        <f>EXP(-LN(2)/35)*FQ17+(1-EXP(-LN(2)/35))/(LN(2)/35)*FM18*FN18*VLOOKUP('Données projet'!$B$16,Paramètres!$A$1:$I$89,3,0)*0.475*44/12</f>
        <v>0</v>
      </c>
      <c r="FR18" s="21">
        <f>EXP(-LN(2)/25)*FR17+(1-EXP(-LN(2)/25))/(LN(2)/25)*Calculateur!FM18*Calculateur!FO18*VLOOKUP('Données projet'!$B$16,Paramètres!$A$1:$I$89,3,0)*0.475*44/12</f>
        <v>3.4713619139760965</v>
      </c>
      <c r="FS18" s="21">
        <f>EXP(-LN(2)/2)*FS17+(1-EXP(-LN(2)/2))/(LN(2)/2)*FM18*FP18*VLOOKUP('Données projet'!$B$16,Paramètres!$A$1:$I$89,3,0)*0.475*44/12</f>
        <v>5.5720857501730929</v>
      </c>
      <c r="FT18" s="22">
        <f t="shared" si="24"/>
        <v>9.0434476641491894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3.1</v>
      </c>
      <c r="FZ18" s="12">
        <f>IF('Données projet'!$A$244&gt;35,FZ17+FY18-GH17,IF(A18&lt;'Données projet'!$A$244,$FW$205^A18,IF(A18='Données projet'!$A$244,'Données projet'!$B$244,FZ17+FY18-GH17)))</f>
        <v>22.094987852196994</v>
      </c>
      <c r="GA18" s="17">
        <f>FZ18*VLOOKUP('Données projet'!$B$17,Paramètres!$A$1:$I$89,3,0)*VLOOKUP('Données projet'!$B$17,Paramètres!$A$1:$I$89,5,0)</f>
        <v>13.212802735613803</v>
      </c>
      <c r="GB18" s="13">
        <f t="shared" si="49"/>
        <v>4.5088231749728802</v>
      </c>
      <c r="GC18" s="20">
        <f t="shared" si="25"/>
        <v>30.865165127605138</v>
      </c>
      <c r="GD18" s="59">
        <f t="shared" si="26"/>
        <v>324.19849846093848</v>
      </c>
      <c r="GE18" s="59">
        <f ca="1">AVERAGE(OFFSET($GD$3,0,0,'Données projet'!$E$17+1,1))-AVERAGE(OFFSET($H$3,0,0,'Données projet'!$E$17+1,1))</f>
        <v>165.39579887388538</v>
      </c>
      <c r="GF18" s="59">
        <f t="shared" si="50"/>
        <v>155.89639262545802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>
        <f>EXP(-LN(2)/35)*GL17+(1-EXP(-LN(2)/35))/(LN(2)/35)*GH18*GI18*VLOOKUP('Données projet'!$B$17,Paramètres!$A$1:$I$89,3,0)*0.475*44/12</f>
        <v>0</v>
      </c>
      <c r="GM18" s="21">
        <f>EXP(-LN(2)/25)*GM17+(1-EXP(-LN(2)/25))/(LN(2)/25)*Calculateur!GH18*Calculateur!GJ18*VLOOKUP('Données projet'!$B$17,Paramètres!$A$1:$I$89,3,0)*0.475*44/12</f>
        <v>0</v>
      </c>
      <c r="GN18" s="21">
        <f>EXP(-LN(2)/2)*GN17+(1-EXP(-LN(2)/2))/(LN(2)/2)*GH18*GK18*VLOOKUP('Données projet'!$B$17,Paramètres!$A$1:$I$89,3,0)*0.475*44/12</f>
        <v>0</v>
      </c>
      <c r="GO18" s="21">
        <f t="shared" si="27"/>
        <v>0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12.6</v>
      </c>
      <c r="N19" s="13">
        <f>IF('Données projet'!$A$36&gt;35,N18+M19-V18,IF(A19&lt;'Données projet'!$A$36,$K$205^A19,IF(A19='Données projet'!$A$36,'Données projet'!$B$36,N18+M19-V18)))</f>
        <v>44.6</v>
      </c>
      <c r="O19" s="13">
        <f>N19*VLOOKUP('Données projet'!$B$9,Paramètres!$A$1:$I$89,3,0)*VLOOKUP('Données projet'!$B$9,Paramètres!$A$1:$I$89,5,0)</f>
        <v>24.931400000000004</v>
      </c>
      <c r="P19" s="13">
        <f t="shared" si="33"/>
        <v>7.9016432787212629</v>
      </c>
      <c r="Q19" s="20">
        <f t="shared" si="2"/>
        <v>57.184217043772861</v>
      </c>
      <c r="R19" s="59">
        <f t="shared" si="0"/>
        <v>350.5175503771062</v>
      </c>
      <c r="S19" s="59">
        <f ca="1">AVERAGE(OFFSET($R$3,0,0,'Données projet'!$E$9+1,1))-AVERAGE(OFFSET($H$3,0,0,'Données projet'!$E$9+1,1))</f>
        <v>235.10258076192054</v>
      </c>
      <c r="T19" s="59">
        <f t="shared" si="34"/>
        <v>233.47316052603765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5.25</v>
      </c>
      <c r="AI19" s="13">
        <f>IF('Données projet'!$A$62&gt;35,AI18+AH19-AQ18,IF(A19&lt;'Données projet'!$A$62,$AF$205^A19,IF(A19='Données projet'!$A$62,'Données projet'!$B$62,AI18+AH19-AQ18)))</f>
        <v>41.39533859324645</v>
      </c>
      <c r="AJ19" s="13">
        <f>AI19*VLOOKUP('Données projet'!$B$10,Paramètres!$A$1:$I$89,3,0)*VLOOKUP('Données projet'!$B$10,Paramètres!$A$1:$I$89,5,0)</f>
        <v>36.162967795060098</v>
      </c>
      <c r="AK19" s="13">
        <f t="shared" si="35"/>
        <v>10.975749646847175</v>
      </c>
      <c r="AL19" s="20">
        <f t="shared" si="4"/>
        <v>82.099932877988508</v>
      </c>
      <c r="AM19" s="59">
        <f t="shared" si="5"/>
        <v>375.43326621132184</v>
      </c>
      <c r="AN19" s="59">
        <f ca="1">AVERAGE(OFFSET($AM$3,0,0,'Données projet'!$E$10+1,1))-AVERAGE(OFFSET($H$3,0,0,'Données projet'!$E$10+1,1))</f>
        <v>191.94797389630673</v>
      </c>
      <c r="AO19" s="59">
        <f t="shared" si="36"/>
        <v>273.52540822767878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1.2</v>
      </c>
      <c r="BD19" s="12">
        <f>IF('Données projet'!$A$88&gt;35,BD18+BC19-BL18,IF(A19&lt;'Données projet'!$A$88,$BA$205^A19,IF(A19='Données projet'!$A$88,'Données projet'!$B$88,BD18+BC19-BL18)))</f>
        <v>8.8177463744060987</v>
      </c>
      <c r="BE19" s="13">
        <f>BD19*VLOOKUP('Données projet'!$B$11,Paramètres!$A$1:$I$89,3,0)*VLOOKUP('Données projet'!$B$11,Paramètres!$A$1:$I$89,5,0)</f>
        <v>7.9782969195626388</v>
      </c>
      <c r="BF19" s="13">
        <f t="shared" si="37"/>
        <v>2.887220237089136</v>
      </c>
      <c r="BG19" s="20">
        <f t="shared" si="7"/>
        <v>18.924109047835174</v>
      </c>
      <c r="BH19" s="59">
        <f t="shared" si="8"/>
        <v>312.25744238116852</v>
      </c>
      <c r="BI19" s="59">
        <f ca="1">AVERAGE(OFFSET($BH$3,0,0,'Données projet'!$E$11+1,1))-AVERAGE(OFFSET($H$3,0,0,'Données projet'!$E$11+1,1))</f>
        <v>138.8931001150624</v>
      </c>
      <c r="BJ19" s="59">
        <f t="shared" si="38"/>
        <v>48.964659354096625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</v>
      </c>
      <c r="BY19" s="12">
        <f>IF('Données projet'!$A$114&gt;35,BY18+BX19-CG18,IF(A19&lt;'Données projet'!$A$114,$BV$205^A19,IF(A19='Données projet'!$A$114,'Données projet'!$B$114,BY18+BX19-CG18)))</f>
        <v>8.8177463744060987</v>
      </c>
      <c r="BZ19" s="13">
        <f>BY19*VLOOKUP('Données projet'!$B$12,Paramètres!$A$1:$I$89,3,0)*VLOOKUP('Données projet'!$B$12,Paramètres!$A$1:$I$89,5,0)</f>
        <v>8.9411948236477841</v>
      </c>
      <c r="CA19" s="13">
        <f t="shared" si="39"/>
        <v>3.1930460350713803</v>
      </c>
      <c r="CB19" s="20">
        <f t="shared" si="10"/>
        <v>21.133802828935874</v>
      </c>
      <c r="CC19" s="59">
        <f t="shared" si="11"/>
        <v>314.46713616226918</v>
      </c>
      <c r="CD19" s="59">
        <f ca="1">AVERAGE(OFFSET($CC$3,0,0,'Données projet'!$E$12+1,1))-AVERAGE(OFFSET($H$3,0,0,'Données projet'!$E$12+1,1))</f>
        <v>169.2757878405003</v>
      </c>
      <c r="CE19" s="59">
        <f t="shared" si="40"/>
        <v>61.876502626609977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2.85</v>
      </c>
      <c r="CT19" s="12">
        <f>IF('Données projet'!$A$140&gt;35,CT18+CS19-DB18,IF(A19&lt;'Données projet'!$A$140,$CQ$205^A19,IF(A19='Données projet'!$A$140,'Données projet'!$B$140,CT18+CS19-DB18)))</f>
        <v>25.392173948075062</v>
      </c>
      <c r="CU19" s="17">
        <f>CT19*VLOOKUP('Données projet'!$B$13,Paramètres!$A$1:$I$89,3,0)*VLOOKUP('Données projet'!$B$13,Paramètres!$A$1:$I$89,5,0)</f>
        <v>20.20201359308852</v>
      </c>
      <c r="CV19" s="13">
        <f t="shared" si="41"/>
        <v>6.5614343148283067</v>
      </c>
      <c r="CW19" s="20">
        <f t="shared" si="13"/>
        <v>46.613005106288462</v>
      </c>
      <c r="CX19" s="59">
        <f t="shared" si="14"/>
        <v>339.9463384396218</v>
      </c>
      <c r="CY19" s="59">
        <f ca="1">AVERAGE(OFFSET($CX$3,0,0,'Données projet'!$E$13+1,1))-AVERAGE(OFFSET($H$3,0,0,'Données projet'!$E$13+1,1))</f>
        <v>141.12810728817544</v>
      </c>
      <c r="CZ19" s="59">
        <f t="shared" si="42"/>
        <v>176.01405805137551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>
        <f>EXP(-LN(2)/35)*DF18+(1-EXP(-LN(2)/35))/(LN(2)/35)*DB19*DC19*VLOOKUP('Données projet'!$B$13,Paramètres!$A$1:$I$89,3,0)*0.475*44/12</f>
        <v>0</v>
      </c>
      <c r="DG19" s="21">
        <f>EXP(-LN(2)/25)*DG18+(1-EXP(-LN(2)/25))/(LN(2)/25)*Calculateur!DB19*Calculateur!DD19*VLOOKUP('Données projet'!$B$13,Paramètres!$A$1:$I$89,3,0)*0.475*44/12</f>
        <v>0</v>
      </c>
      <c r="DH19" s="21">
        <f>EXP(-LN(2)/2)*DH18+(1-EXP(-LN(2)/2))/(LN(2)/2)*DB19*DE19*VLOOKUP('Données projet'!$B$13,Paramètres!$A$1:$I$89,3,0)*0.475*44/12</f>
        <v>0</v>
      </c>
      <c r="DI19" s="22">
        <f t="shared" si="15"/>
        <v>0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3.1</v>
      </c>
      <c r="DO19" s="12">
        <f>IF('Données projet'!$A$166&gt;35,DO18+DN19-DW18,IF(A19&lt;'Données projet'!$A$166,$DL$205^A19,IF(A19='Données projet'!$A$166,'Données projet'!$B$166,DO18+DN19-DW18)))</f>
        <v>27.158973516583817</v>
      </c>
      <c r="DP19" s="17">
        <f>DO19*VLOOKUP('Données projet'!$B$14,Paramètres!$A$1:$I$89,3,0)*VLOOKUP('Données projet'!$B$14,Paramètres!$A$1:$I$89,5,0)</f>
        <v>16.241066162917125</v>
      </c>
      <c r="DQ19" s="13">
        <f t="shared" si="43"/>
        <v>5.4106702697792288</v>
      </c>
      <c r="DR19" s="20">
        <f t="shared" si="16"/>
        <v>37.71010762027948</v>
      </c>
      <c r="DS19" s="59">
        <f t="shared" si="17"/>
        <v>331.04344095361279</v>
      </c>
      <c r="DT19" s="59">
        <f ca="1">AVERAGE(OFFSET($DS$3,0,0,'Données projet'!$E$14+1,1))-AVERAGE(OFFSET($H$3,0,0,'Données projet'!$E$14+1,1))</f>
        <v>165.39579887388538</v>
      </c>
      <c r="DU19" s="59">
        <f t="shared" si="44"/>
        <v>155.89639262545802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>
        <f>EXP(-LN(2)/35)*EA18+(1-EXP(-LN(2)/35))/(LN(2)/35)*DW19*DX19*VLOOKUP('Données projet'!$B$14,Paramètres!$A$1:$I$89,3,0)*0.475*44/12</f>
        <v>0</v>
      </c>
      <c r="EB19" s="21">
        <f>EXP(-LN(2)/25)*EB18+(1-EXP(-LN(2)/25))/(LN(2)/25)*Calculateur!DW19*Calculateur!DY19*VLOOKUP('Données projet'!$B$14,Paramètres!$A$1:$I$89,3,0)*0.475*44/12</f>
        <v>0</v>
      </c>
      <c r="EC19" s="21">
        <f>EXP(-LN(2)/2)*EC18+(1-EXP(-LN(2)/2))/(LN(2)/2)*DW19*DZ19*VLOOKUP('Données projet'!$B$14,Paramètres!$A$1:$I$89,3,0)*0.475*44/12</f>
        <v>0</v>
      </c>
      <c r="ED19" s="22">
        <f t="shared" si="18"/>
        <v>0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1.2</v>
      </c>
      <c r="EJ19" s="12">
        <f>IF('Données projet'!$A$192&gt;35,EJ18+EI19-ER18,IF(A19&lt;'Données projet'!$A$192,$EG$205^A19,IF(A19='Données projet'!$A$192,'Données projet'!$B$192,EJ18+EI19-ER18)))</f>
        <v>8.8177463744060987</v>
      </c>
      <c r="EK19" s="17">
        <f>EJ19*VLOOKUP('Données projet'!$B$15,Paramètres!$A$1:$I$89,3,0)*VLOOKUP('Données projet'!$B$15,Paramètres!$A$1:$I$89,5,0)</f>
        <v>6.8778421720367575</v>
      </c>
      <c r="EL19" s="13">
        <f t="shared" si="45"/>
        <v>2.5323564363977424</v>
      </c>
      <c r="EM19" s="20">
        <f t="shared" si="19"/>
        <v>16.389429243023422</v>
      </c>
      <c r="EN19" s="59">
        <f t="shared" si="20"/>
        <v>309.72276257635673</v>
      </c>
      <c r="EO19" s="59">
        <f ca="1">AVERAGE(OFFSET($EN$3,0,0,'Données projet'!$E$15+1,1))-AVERAGE(OFFSET($H$3,0,0,'Données projet'!$E$15+1,1))</f>
        <v>104.07220236158577</v>
      </c>
      <c r="EP19" s="59">
        <f t="shared" si="46"/>
        <v>34.162068257911756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>
        <f>EXP(-LN(2)/35)*EV18+(1-EXP(-LN(2)/35))/(LN(2)/35)*ER19*ES19*VLOOKUP('Données projet'!$B$15,Paramètres!$A$1:$I$89,3,0)*0.475*44/12</f>
        <v>0</v>
      </c>
      <c r="EW19" s="21">
        <f>EXP(-LN(2)/25)*EW18+(1-EXP(-LN(2)/25))/(LN(2)/25)*Calculateur!ER19*Calculateur!ET19*VLOOKUP('Données projet'!$B$15,Paramètres!$A$1:$I$89,3,0)*0.475*44/12</f>
        <v>0</v>
      </c>
      <c r="EX19" s="21">
        <f>EXP(-LN(2)/2)*EX18+(1-EXP(-LN(2)/2))/(LN(2)/2)*ER19*EU19*VLOOKUP('Données projet'!$B$15,Paramètres!$A$1:$I$89,3,0)*0.475*44/12</f>
        <v>0</v>
      </c>
      <c r="EY19" s="22">
        <f t="shared" si="21"/>
        <v>0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9.4</v>
      </c>
      <c r="FE19" s="12">
        <f>IF('Données projet'!$A$218&gt;35,FE18+FD19-FM18,IF(A19&lt;'Données projet'!$A$218,$FB$205^A19,IF(A19='Données projet'!$A$218,'Données projet'!$B$218,FE18+FD19-FM18)))</f>
        <v>101.40000000000003</v>
      </c>
      <c r="FF19" s="17">
        <f>FE19*VLOOKUP('Données projet'!$B$16,Paramètres!$A$1:$I$89,3,0)*VLOOKUP('Données projet'!$B$16,Paramètres!$A$1:$I$89,5,0)</f>
        <v>91.746720000000039</v>
      </c>
      <c r="FG19" s="13">
        <f t="shared" si="47"/>
        <v>24.986019358738364</v>
      </c>
      <c r="FH19" s="20">
        <f t="shared" si="22"/>
        <v>203.3095210498027</v>
      </c>
      <c r="FI19" s="59">
        <f t="shared" si="23"/>
        <v>496.64285438313601</v>
      </c>
      <c r="FJ19" s="59">
        <f ca="1">AVERAGE(OFFSET($FI$3,0,0,'Données projet'!$E$16+1,1))-AVERAGE(OFFSET($H$3,0,0,'Données projet'!$E$16+1,1))</f>
        <v>179.50097986986123</v>
      </c>
      <c r="FK19" s="59">
        <f t="shared" si="48"/>
        <v>287.11838730637578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>
        <f>EXP(-LN(2)/35)*FQ18+(1-EXP(-LN(2)/35))/(LN(2)/35)*FM19*FN19*VLOOKUP('Données projet'!$B$16,Paramètres!$A$1:$I$89,3,0)*0.475*44/12</f>
        <v>0</v>
      </c>
      <c r="FR19" s="21">
        <f>EXP(-LN(2)/25)*FR18+(1-EXP(-LN(2)/25))/(LN(2)/25)*Calculateur!FM19*Calculateur!FO19*VLOOKUP('Données projet'!$B$16,Paramètres!$A$1:$I$89,3,0)*0.475*44/12</f>
        <v>3.3764373398874308</v>
      </c>
      <c r="FS19" s="21">
        <f>EXP(-LN(2)/2)*FS18+(1-EXP(-LN(2)/2))/(LN(2)/2)*FM19*FP19*VLOOKUP('Données projet'!$B$16,Paramètres!$A$1:$I$89,3,0)*0.475*44/12</f>
        <v>3.940059619300325</v>
      </c>
      <c r="FT19" s="22">
        <f t="shared" si="24"/>
        <v>7.3164969591877558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3.1</v>
      </c>
      <c r="FZ19" s="12">
        <f>IF('Données projet'!$A$244&gt;35,FZ18+FY19-GH18,IF(A19&lt;'Données projet'!$A$244,$FW$205^A19,IF(A19='Données projet'!$A$244,'Données projet'!$B$244,FZ18+FY19-GH18)))</f>
        <v>27.158973516583817</v>
      </c>
      <c r="GA19" s="17">
        <f>FZ19*VLOOKUP('Données projet'!$B$17,Paramètres!$A$1:$I$89,3,0)*VLOOKUP('Données projet'!$B$17,Paramètres!$A$1:$I$89,5,0)</f>
        <v>16.241066162917125</v>
      </c>
      <c r="GB19" s="13">
        <f t="shared" si="49"/>
        <v>5.4106702697792288</v>
      </c>
      <c r="GC19" s="20">
        <f t="shared" si="25"/>
        <v>37.71010762027948</v>
      </c>
      <c r="GD19" s="59">
        <f t="shared" si="26"/>
        <v>331.04344095361279</v>
      </c>
      <c r="GE19" s="59">
        <f ca="1">AVERAGE(OFFSET($GD$3,0,0,'Données projet'!$E$17+1,1))-AVERAGE(OFFSET($H$3,0,0,'Données projet'!$E$17+1,1))</f>
        <v>165.39579887388538</v>
      </c>
      <c r="GF19" s="59">
        <f t="shared" si="50"/>
        <v>155.89639262545802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>
        <f>EXP(-LN(2)/35)*GL18+(1-EXP(-LN(2)/35))/(LN(2)/35)*GH19*GI19*VLOOKUP('Données projet'!$B$17,Paramètres!$A$1:$I$89,3,0)*0.475*44/12</f>
        <v>0</v>
      </c>
      <c r="GM19" s="21">
        <f>EXP(-LN(2)/25)*GM18+(1-EXP(-LN(2)/25))/(LN(2)/25)*Calculateur!GH19*Calculateur!GJ19*VLOOKUP('Données projet'!$B$17,Paramètres!$A$1:$I$89,3,0)*0.475*44/12</f>
        <v>0</v>
      </c>
      <c r="GN19" s="21">
        <f>EXP(-LN(2)/2)*GN18+(1-EXP(-LN(2)/2))/(LN(2)/2)*GH19*GK19*VLOOKUP('Données projet'!$B$17,Paramètres!$A$1:$I$89,3,0)*0.475*44/12</f>
        <v>0</v>
      </c>
      <c r="GO19" s="21">
        <f t="shared" si="27"/>
        <v>0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12.6</v>
      </c>
      <c r="N20" s="13">
        <f>IF('Données projet'!$A$36&gt;35,N19+M20-V19,IF(A20&lt;'Données projet'!$A$36,$K$205^A20,IF(A20='Données projet'!$A$36,'Données projet'!$B$36,N19+M20-V19)))</f>
        <v>57.2</v>
      </c>
      <c r="O20" s="13">
        <f>N20*VLOOKUP('Données projet'!$B$9,Paramètres!$A$1:$I$89,3,0)*VLOOKUP('Données projet'!$B$9,Paramètres!$A$1:$I$89,5,0)</f>
        <v>31.974800000000002</v>
      </c>
      <c r="P20" s="13">
        <f t="shared" si="33"/>
        <v>9.8446497456819966</v>
      </c>
      <c r="Q20" s="20">
        <f t="shared" si="2"/>
        <v>72.835541640396144</v>
      </c>
      <c r="R20" s="59">
        <f t="shared" si="0"/>
        <v>366.16887497372943</v>
      </c>
      <c r="S20" s="59">
        <f ca="1">AVERAGE(OFFSET($R$3,0,0,'Données projet'!$E$9+1,1))-AVERAGE(OFFSET($H$3,0,0,'Données projet'!$E$9+1,1))</f>
        <v>235.10258076192054</v>
      </c>
      <c r="T20" s="59">
        <f t="shared" si="34"/>
        <v>233.47316052603765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5.25</v>
      </c>
      <c r="AI20" s="13">
        <f>IF('Données projet'!$A$62&gt;35,AI19+AH20-AQ19,IF(A20&lt;'Données projet'!$A$62,$AF$205^A20,IF(A20='Données projet'!$A$62,'Données projet'!$B$62,AI19+AH20-AQ19)))</f>
        <v>52.240930541944905</v>
      </c>
      <c r="AJ20" s="13">
        <f>AI20*VLOOKUP('Données projet'!$B$10,Paramètres!$A$1:$I$89,3,0)*VLOOKUP('Données projet'!$B$10,Paramètres!$A$1:$I$89,5,0)</f>
        <v>45.637676921443074</v>
      </c>
      <c r="AK20" s="13">
        <f t="shared" si="35"/>
        <v>13.481255374909317</v>
      </c>
      <c r="AL20" s="20">
        <f t="shared" si="4"/>
        <v>102.96547374948041</v>
      </c>
      <c r="AM20" s="59">
        <f t="shared" si="5"/>
        <v>396.29880708281371</v>
      </c>
      <c r="AN20" s="59">
        <f ca="1">AVERAGE(OFFSET($AM$3,0,0,'Données projet'!$E$10+1,1))-AVERAGE(OFFSET($H$3,0,0,'Données projet'!$E$10+1,1))</f>
        <v>191.94797389630673</v>
      </c>
      <c r="AO20" s="59">
        <f t="shared" si="36"/>
        <v>273.52540822767878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1.2</v>
      </c>
      <c r="BD20" s="12">
        <f>IF('Données projet'!$A$88&gt;35,BD19+BC20-BL19,IF(A20&lt;'Données projet'!$A$88,$BA$205^A20,IF(A20='Données projet'!$A$88,'Données projet'!$B$88,BD19+BC20-BL19)))</f>
        <v>10.102816228956828</v>
      </c>
      <c r="BE20" s="13">
        <f>BD20*VLOOKUP('Données projet'!$B$11,Paramètres!$A$1:$I$89,3,0)*VLOOKUP('Données projet'!$B$11,Paramètres!$A$1:$I$89,5,0)</f>
        <v>9.1410281239601368</v>
      </c>
      <c r="BF20" s="13">
        <f t="shared" si="37"/>
        <v>3.2560216709759704</v>
      </c>
      <c r="BG20" s="20">
        <f t="shared" si="7"/>
        <v>21.591528392847053</v>
      </c>
      <c r="BH20" s="59">
        <f t="shared" si="8"/>
        <v>314.92486172618038</v>
      </c>
      <c r="BI20" s="59">
        <f ca="1">AVERAGE(OFFSET($BH$3,0,0,'Données projet'!$E$11+1,1))-AVERAGE(OFFSET($H$3,0,0,'Données projet'!$E$11+1,1))</f>
        <v>138.8931001150624</v>
      </c>
      <c r="BJ20" s="59">
        <f t="shared" si="38"/>
        <v>48.964659354096625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</v>
      </c>
      <c r="BY20" s="12">
        <f>IF('Données projet'!$A$114&gt;35,BY19+BX20-CG19,IF(A20&lt;'Données projet'!$A$114,$BV$205^A20,IF(A20='Données projet'!$A$114,'Données projet'!$B$114,BY19+BX20-CG19)))</f>
        <v>10.102816228956828</v>
      </c>
      <c r="BZ20" s="13">
        <f>BY20*VLOOKUP('Données projet'!$B$12,Paramètres!$A$1:$I$89,3,0)*VLOOKUP('Données projet'!$B$12,Paramètres!$A$1:$I$89,5,0)</f>
        <v>10.244255656162224</v>
      </c>
      <c r="CA20" s="13">
        <f t="shared" si="39"/>
        <v>3.6009123769158946</v>
      </c>
      <c r="CB20" s="20">
        <f t="shared" si="10"/>
        <v>24.113667657611057</v>
      </c>
      <c r="CC20" s="59">
        <f t="shared" si="11"/>
        <v>317.44700099094439</v>
      </c>
      <c r="CD20" s="59">
        <f ca="1">AVERAGE(OFFSET($CC$3,0,0,'Données projet'!$E$12+1,1))-AVERAGE(OFFSET($H$3,0,0,'Données projet'!$E$12+1,1))</f>
        <v>169.2757878405003</v>
      </c>
      <c r="CE20" s="59">
        <f t="shared" si="40"/>
        <v>61.876502626609977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2.85</v>
      </c>
      <c r="CT20" s="12">
        <f>IF('Données projet'!$A$140&gt;35,CT19+CS20-DB19,IF(A20&lt;'Données projet'!$A$140,$CQ$205^A20,IF(A20='Données projet'!$A$140,'Données projet'!$B$140,CT19+CS20-DB19)))</f>
        <v>31.080902954246678</v>
      </c>
      <c r="CU20" s="17">
        <f>CT20*VLOOKUP('Données projet'!$B$13,Paramètres!$A$1:$I$89,3,0)*VLOOKUP('Données projet'!$B$13,Paramètres!$A$1:$I$89,5,0)</f>
        <v>24.72796639039866</v>
      </c>
      <c r="CV20" s="13">
        <f t="shared" si="41"/>
        <v>7.8446457547660584</v>
      </c>
      <c r="CW20" s="20">
        <f t="shared" si="13"/>
        <v>56.730632819495213</v>
      </c>
      <c r="CX20" s="59">
        <f t="shared" si="14"/>
        <v>350.06396615282853</v>
      </c>
      <c r="CY20" s="59">
        <f ca="1">AVERAGE(OFFSET($CX$3,0,0,'Données projet'!$E$13+1,1))-AVERAGE(OFFSET($H$3,0,0,'Données projet'!$E$13+1,1))</f>
        <v>141.12810728817544</v>
      </c>
      <c r="CZ20" s="59">
        <f t="shared" si="42"/>
        <v>176.01405805137551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>
        <f>EXP(-LN(2)/35)*DF19+(1-EXP(-LN(2)/35))/(LN(2)/35)*DB20*DC20*VLOOKUP('Données projet'!$B$13,Paramètres!$A$1:$I$89,3,0)*0.475*44/12</f>
        <v>0</v>
      </c>
      <c r="DG20" s="21">
        <f>EXP(-LN(2)/25)*DG19+(1-EXP(-LN(2)/25))/(LN(2)/25)*Calculateur!DB20*Calculateur!DD20*VLOOKUP('Données projet'!$B$13,Paramètres!$A$1:$I$89,3,0)*0.475*44/12</f>
        <v>0</v>
      </c>
      <c r="DH20" s="21">
        <f>EXP(-LN(2)/2)*DH19+(1-EXP(-LN(2)/2))/(LN(2)/2)*DB20*DE20*VLOOKUP('Données projet'!$B$13,Paramètres!$A$1:$I$89,3,0)*0.475*44/12</f>
        <v>0</v>
      </c>
      <c r="DI20" s="22">
        <f t="shared" si="15"/>
        <v>0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3.1</v>
      </c>
      <c r="DO20" s="12">
        <f>IF('Données projet'!$A$166&gt;35,DO19+DN20-DW19,IF(A20&lt;'Données projet'!$A$166,$DL$205^A20,IF(A20='Données projet'!$A$166,'Données projet'!$B$166,DO19+DN20-DW19)))</f>
        <v>33.383582168439972</v>
      </c>
      <c r="DP20" s="17">
        <f>DO20*VLOOKUP('Données projet'!$B$14,Paramètres!$A$1:$I$89,3,0)*VLOOKUP('Données projet'!$B$14,Paramètres!$A$1:$I$89,5,0)</f>
        <v>19.963382136727105</v>
      </c>
      <c r="DQ20" s="13">
        <f t="shared" si="43"/>
        <v>6.492903277017275</v>
      </c>
      <c r="DR20" s="20">
        <f t="shared" si="16"/>
        <v>46.078030428938128</v>
      </c>
      <c r="DS20" s="59">
        <f t="shared" si="17"/>
        <v>339.41136376227144</v>
      </c>
      <c r="DT20" s="59">
        <f ca="1">AVERAGE(OFFSET($DS$3,0,0,'Données projet'!$E$14+1,1))-AVERAGE(OFFSET($H$3,0,0,'Données projet'!$E$14+1,1))</f>
        <v>165.39579887388538</v>
      </c>
      <c r="DU20" s="59">
        <f t="shared" si="44"/>
        <v>155.89639262545802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>
        <f>EXP(-LN(2)/35)*EA19+(1-EXP(-LN(2)/35))/(LN(2)/35)*DW20*DX20*VLOOKUP('Données projet'!$B$14,Paramètres!$A$1:$I$89,3,0)*0.475*44/12</f>
        <v>0</v>
      </c>
      <c r="EB20" s="21">
        <f>EXP(-LN(2)/25)*EB19+(1-EXP(-LN(2)/25))/(LN(2)/25)*Calculateur!DW20*Calculateur!DY20*VLOOKUP('Données projet'!$B$14,Paramètres!$A$1:$I$89,3,0)*0.475*44/12</f>
        <v>0</v>
      </c>
      <c r="EC20" s="21">
        <f>EXP(-LN(2)/2)*EC19+(1-EXP(-LN(2)/2))/(LN(2)/2)*DW20*DZ20*VLOOKUP('Données projet'!$B$14,Paramètres!$A$1:$I$89,3,0)*0.475*44/12</f>
        <v>0</v>
      </c>
      <c r="ED20" s="22">
        <f t="shared" si="18"/>
        <v>0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1.2</v>
      </c>
      <c r="EJ20" s="12">
        <f>IF('Données projet'!$A$192&gt;35,EJ19+EI20-ER19,IF(A20&lt;'Données projet'!$A$192,$EG$205^A20,IF(A20='Données projet'!$A$192,'Données projet'!$B$192,EJ19+EI20-ER19)))</f>
        <v>10.102816228956828</v>
      </c>
      <c r="EK20" s="17">
        <f>EJ20*VLOOKUP('Données projet'!$B$15,Paramètres!$A$1:$I$89,3,0)*VLOOKUP('Données projet'!$B$15,Paramètres!$A$1:$I$89,5,0)</f>
        <v>7.8801966585863257</v>
      </c>
      <c r="EL20" s="13">
        <f t="shared" si="45"/>
        <v>2.8558290530200297</v>
      </c>
      <c r="EM20" s="20">
        <f t="shared" si="19"/>
        <v>18.698578114381068</v>
      </c>
      <c r="EN20" s="59">
        <f t="shared" si="20"/>
        <v>312.03191144771438</v>
      </c>
      <c r="EO20" s="59">
        <f ca="1">AVERAGE(OFFSET($EN$3,0,0,'Données projet'!$E$15+1,1))-AVERAGE(OFFSET($H$3,0,0,'Données projet'!$E$15+1,1))</f>
        <v>104.07220236158577</v>
      </c>
      <c r="EP20" s="59">
        <f t="shared" si="46"/>
        <v>34.162068257911756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>
        <f>EXP(-LN(2)/35)*EV19+(1-EXP(-LN(2)/35))/(LN(2)/35)*ER20*ES20*VLOOKUP('Données projet'!$B$15,Paramètres!$A$1:$I$89,3,0)*0.475*44/12</f>
        <v>0</v>
      </c>
      <c r="EW20" s="21">
        <f>EXP(-LN(2)/25)*EW19+(1-EXP(-LN(2)/25))/(LN(2)/25)*Calculateur!ER20*Calculateur!ET20*VLOOKUP('Données projet'!$B$15,Paramètres!$A$1:$I$89,3,0)*0.475*44/12</f>
        <v>0</v>
      </c>
      <c r="EX20" s="21">
        <f>EXP(-LN(2)/2)*EX19+(1-EXP(-LN(2)/2))/(LN(2)/2)*ER20*EU20*VLOOKUP('Données projet'!$B$15,Paramètres!$A$1:$I$89,3,0)*0.475*44/12</f>
        <v>0</v>
      </c>
      <c r="EY20" s="22">
        <f t="shared" si="21"/>
        <v>0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9.4</v>
      </c>
      <c r="FE20" s="12">
        <f>IF('Données projet'!$A$218&gt;35,FE19+FD20-FM19,IF(A20&lt;'Données projet'!$A$218,$FB$205^A20,IF(A20='Données projet'!$A$218,'Données projet'!$B$218,FE19+FD20-FM19)))</f>
        <v>110.80000000000004</v>
      </c>
      <c r="FF20" s="17">
        <f>FE20*VLOOKUP('Données projet'!$B$16,Paramètres!$A$1:$I$89,3,0)*VLOOKUP('Données projet'!$B$16,Paramètres!$A$1:$I$89,5,0)</f>
        <v>100.25184000000004</v>
      </c>
      <c r="FG20" s="13">
        <f t="shared" si="47"/>
        <v>27.021986169920048</v>
      </c>
      <c r="FH20" s="20">
        <f t="shared" si="22"/>
        <v>221.66858057927746</v>
      </c>
      <c r="FI20" s="59">
        <f t="shared" si="23"/>
        <v>515.0019139126108</v>
      </c>
      <c r="FJ20" s="59">
        <f ca="1">AVERAGE(OFFSET($FI$3,0,0,'Données projet'!$E$16+1,1))-AVERAGE(OFFSET($H$3,0,0,'Données projet'!$E$16+1,1))</f>
        <v>179.50097986986123</v>
      </c>
      <c r="FK20" s="59">
        <f t="shared" si="48"/>
        <v>287.11838730637578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>
        <f>EXP(-LN(2)/35)*FQ19+(1-EXP(-LN(2)/35))/(LN(2)/35)*FM20*FN20*VLOOKUP('Données projet'!$B$16,Paramètres!$A$1:$I$89,3,0)*0.475*44/12</f>
        <v>0</v>
      </c>
      <c r="FR20" s="21">
        <f>EXP(-LN(2)/25)*FR19+(1-EXP(-LN(2)/25))/(LN(2)/25)*Calculateur!FM20*Calculateur!FO20*VLOOKUP('Données projet'!$B$16,Paramètres!$A$1:$I$89,3,0)*0.475*44/12</f>
        <v>3.2841084832690863</v>
      </c>
      <c r="FS20" s="21">
        <f>EXP(-LN(2)/2)*FS19+(1-EXP(-LN(2)/2))/(LN(2)/2)*FM20*FP20*VLOOKUP('Données projet'!$B$16,Paramètres!$A$1:$I$89,3,0)*0.475*44/12</f>
        <v>2.7860428750865469</v>
      </c>
      <c r="FT20" s="22">
        <f t="shared" si="24"/>
        <v>6.0701513583556332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3.1</v>
      </c>
      <c r="FZ20" s="12">
        <f>IF('Données projet'!$A$244&gt;35,FZ19+FY20-GH19,IF(A20&lt;'Données projet'!$A$244,$FW$205^A20,IF(A20='Données projet'!$A$244,'Données projet'!$B$244,FZ19+FY20-GH19)))</f>
        <v>33.383582168439972</v>
      </c>
      <c r="GA20" s="17">
        <f>FZ20*VLOOKUP('Données projet'!$B$17,Paramètres!$A$1:$I$89,3,0)*VLOOKUP('Données projet'!$B$17,Paramètres!$A$1:$I$89,5,0)</f>
        <v>19.963382136727105</v>
      </c>
      <c r="GB20" s="13">
        <f t="shared" si="49"/>
        <v>6.492903277017275</v>
      </c>
      <c r="GC20" s="20">
        <f t="shared" si="25"/>
        <v>46.078030428938128</v>
      </c>
      <c r="GD20" s="59">
        <f t="shared" si="26"/>
        <v>339.41136376227144</v>
      </c>
      <c r="GE20" s="59">
        <f ca="1">AVERAGE(OFFSET($GD$3,0,0,'Données projet'!$E$17+1,1))-AVERAGE(OFFSET($H$3,0,0,'Données projet'!$E$17+1,1))</f>
        <v>165.39579887388538</v>
      </c>
      <c r="GF20" s="59">
        <f t="shared" si="50"/>
        <v>155.89639262545802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>
        <f>EXP(-LN(2)/35)*GL19+(1-EXP(-LN(2)/35))/(LN(2)/35)*GH20*GI20*VLOOKUP('Données projet'!$B$17,Paramètres!$A$1:$I$89,3,0)*0.475*44/12</f>
        <v>0</v>
      </c>
      <c r="GM20" s="21">
        <f>EXP(-LN(2)/25)*GM19+(1-EXP(-LN(2)/25))/(LN(2)/25)*Calculateur!GH20*Calculateur!GJ20*VLOOKUP('Données projet'!$B$17,Paramètres!$A$1:$I$89,3,0)*0.475*44/12</f>
        <v>0</v>
      </c>
      <c r="GN20" s="21">
        <f>EXP(-LN(2)/2)*GN19+(1-EXP(-LN(2)/2))/(LN(2)/2)*GH20*GK20*VLOOKUP('Données projet'!$B$17,Paramètres!$A$1:$I$89,3,0)*0.475*44/12</f>
        <v>0</v>
      </c>
      <c r="GO20" s="21">
        <f t="shared" si="27"/>
        <v>0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12.6</v>
      </c>
      <c r="N21" s="13">
        <f>IF('Données projet'!$A$36&gt;35,N20+M21-V20,IF(A21&lt;'Données projet'!$A$36,$K$205^A21,IF(A21='Données projet'!$A$36,'Données projet'!$B$36,N20+M21-V20)))</f>
        <v>69.8</v>
      </c>
      <c r="O21" s="13">
        <f>N21*VLOOKUP('Données projet'!$B$9,Paramètres!$A$1:$I$89,3,0)*VLOOKUP('Données projet'!$B$9,Paramètres!$A$1:$I$89,5,0)</f>
        <v>39.0182</v>
      </c>
      <c r="P21" s="13">
        <f t="shared" si="33"/>
        <v>11.738045530221873</v>
      </c>
      <c r="Q21" s="20">
        <f t="shared" si="2"/>
        <v>88.400460965136418</v>
      </c>
      <c r="R21" s="59">
        <f t="shared" si="0"/>
        <v>381.73379429846972</v>
      </c>
      <c r="S21" s="59">
        <f ca="1">AVERAGE(OFFSET($R$3,0,0,'Données projet'!$E$9+1,1))-AVERAGE(OFFSET($H$3,0,0,'Données projet'!$E$9+1,1))</f>
        <v>235.10258076192054</v>
      </c>
      <c r="T21" s="59">
        <f t="shared" si="34"/>
        <v>233.47316052603765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5.25</v>
      </c>
      <c r="AI21" s="13">
        <f>IF('Données projet'!$A$62&gt;35,AI20+AH21-AQ20,IF(A21&lt;'Données projet'!$A$62,$AF$205^A21,IF(A21='Données projet'!$A$62,'Données projet'!$B$62,AI20+AH21-AQ20)))</f>
        <v>65.928071049370772</v>
      </c>
      <c r="AJ21" s="13">
        <f>AI21*VLOOKUP('Données projet'!$B$10,Paramètres!$A$1:$I$89,3,0)*VLOOKUP('Données projet'!$B$10,Paramètres!$A$1:$I$89,5,0)</f>
        <v>57.594762868730314</v>
      </c>
      <c r="AK21" s="13">
        <f t="shared" si="35"/>
        <v>16.558709184454482</v>
      </c>
      <c r="AL21" s="20">
        <f t="shared" si="4"/>
        <v>129.1506304926302</v>
      </c>
      <c r="AM21" s="59">
        <f t="shared" si="5"/>
        <v>422.48396382596354</v>
      </c>
      <c r="AN21" s="59">
        <f ca="1">AVERAGE(OFFSET($AM$3,0,0,'Données projet'!$E$10+1,1))-AVERAGE(OFFSET($H$3,0,0,'Données projet'!$E$10+1,1))</f>
        <v>191.94797389630673</v>
      </c>
      <c r="AO21" s="59">
        <f t="shared" si="36"/>
        <v>273.52540822767878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1.2</v>
      </c>
      <c r="BD21" s="12">
        <f>IF('Données projet'!$A$88&gt;35,BD20+BC21-BL20,IF(A21&lt;'Données projet'!$A$88,$BA$205^A21,IF(A21='Données projet'!$A$88,'Données projet'!$B$88,BD20+BC21-BL20)))</f>
        <v>11.575168010312384</v>
      </c>
      <c r="BE21" s="13">
        <f>BD21*VLOOKUP('Données projet'!$B$11,Paramètres!$A$1:$I$89,3,0)*VLOOKUP('Données projet'!$B$11,Paramètres!$A$1:$I$89,5,0)</f>
        <v>10.473212015730644</v>
      </c>
      <c r="BF21" s="13">
        <f t="shared" si="37"/>
        <v>3.6719322570811741</v>
      </c>
      <c r="BG21" s="20">
        <f t="shared" si="7"/>
        <v>24.636126275147248</v>
      </c>
      <c r="BH21" s="59">
        <f t="shared" si="8"/>
        <v>317.96945960848058</v>
      </c>
      <c r="BI21" s="59">
        <f ca="1">AVERAGE(OFFSET($BH$3,0,0,'Données projet'!$E$11+1,1))-AVERAGE(OFFSET($H$3,0,0,'Données projet'!$E$11+1,1))</f>
        <v>138.8931001150624</v>
      </c>
      <c r="BJ21" s="59">
        <f t="shared" si="38"/>
        <v>48.964659354096625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</v>
      </c>
      <c r="BY21" s="12">
        <f>IF('Données projet'!$A$114&gt;35,BY20+BX21-CG20,IF(A21&lt;'Données projet'!$A$114,$BV$205^A21,IF(A21='Données projet'!$A$114,'Données projet'!$B$114,BY20+BX21-CG20)))</f>
        <v>11.575168010312384</v>
      </c>
      <c r="BZ21" s="13">
        <f>BY21*VLOOKUP('Données projet'!$B$12,Paramètres!$A$1:$I$89,3,0)*VLOOKUP('Données projet'!$B$12,Paramètres!$A$1:$I$89,5,0)</f>
        <v>11.737220362456757</v>
      </c>
      <c r="CA21" s="13">
        <f t="shared" si="39"/>
        <v>4.0608778588863084</v>
      </c>
      <c r="CB21" s="20">
        <f t="shared" si="10"/>
        <v>27.515021068839172</v>
      </c>
      <c r="CC21" s="59">
        <f t="shared" si="11"/>
        <v>320.8483544021725</v>
      </c>
      <c r="CD21" s="59">
        <f ca="1">AVERAGE(OFFSET($CC$3,0,0,'Données projet'!$E$12+1,1))-AVERAGE(OFFSET($H$3,0,0,'Données projet'!$E$12+1,1))</f>
        <v>169.2757878405003</v>
      </c>
      <c r="CE21" s="59">
        <f t="shared" si="40"/>
        <v>61.876502626609977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2.85</v>
      </c>
      <c r="CT21" s="12">
        <f>IF('Données projet'!$A$140&gt;35,CT20+CS21-DB20,IF(A21&lt;'Données projet'!$A$140,$CQ$205^A21,IF(A21='Données projet'!$A$140,'Données projet'!$B$140,CT20+CS21-DB20)))</f>
        <v>38.044104865803838</v>
      </c>
      <c r="CU21" s="17">
        <f>CT21*VLOOKUP('Données projet'!$B$13,Paramètres!$A$1:$I$89,3,0)*VLOOKUP('Données projet'!$B$13,Paramètres!$A$1:$I$89,5,0)</f>
        <v>30.267889831233536</v>
      </c>
      <c r="CV21" s="13">
        <f t="shared" si="41"/>
        <v>9.3788132388519472</v>
      </c>
      <c r="CW21" s="20">
        <f t="shared" si="13"/>
        <v>69.051341180398879</v>
      </c>
      <c r="CX21" s="59">
        <f t="shared" si="14"/>
        <v>362.38467451373219</v>
      </c>
      <c r="CY21" s="59">
        <f ca="1">AVERAGE(OFFSET($CX$3,0,0,'Données projet'!$E$13+1,1))-AVERAGE(OFFSET($H$3,0,0,'Données projet'!$E$13+1,1))</f>
        <v>141.12810728817544</v>
      </c>
      <c r="CZ21" s="59">
        <f t="shared" si="42"/>
        <v>176.01405805137551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>
        <f>EXP(-LN(2)/35)*DF20+(1-EXP(-LN(2)/35))/(LN(2)/35)*DB21*DC21*VLOOKUP('Données projet'!$B$13,Paramètres!$A$1:$I$89,3,0)*0.475*44/12</f>
        <v>0</v>
      </c>
      <c r="DG21" s="21">
        <f>EXP(-LN(2)/25)*DG20+(1-EXP(-LN(2)/25))/(LN(2)/25)*Calculateur!DB21*Calculateur!DD21*VLOOKUP('Données projet'!$B$13,Paramètres!$A$1:$I$89,3,0)*0.475*44/12</f>
        <v>0</v>
      </c>
      <c r="DH21" s="21">
        <f>EXP(-LN(2)/2)*DH20+(1-EXP(-LN(2)/2))/(LN(2)/2)*DB21*DE21*VLOOKUP('Données projet'!$B$13,Paramètres!$A$1:$I$89,3,0)*0.475*44/12</f>
        <v>0</v>
      </c>
      <c r="DI21" s="22">
        <f t="shared" si="15"/>
        <v>0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3.1</v>
      </c>
      <c r="DO21" s="12">
        <f>IF('Données projet'!$A$166&gt;35,DO20+DN21-DW20,IF(A21&lt;'Données projet'!$A$166,$DL$205^A21,IF(A21='Données projet'!$A$166,'Données projet'!$B$166,DO20+DN21-DW20)))</f>
        <v>41.034818849706127</v>
      </c>
      <c r="DP21" s="17">
        <f>DO21*VLOOKUP('Données projet'!$B$14,Paramètres!$A$1:$I$89,3,0)*VLOOKUP('Données projet'!$B$14,Paramètres!$A$1:$I$89,5,0)</f>
        <v>24.538821672124264</v>
      </c>
      <c r="DQ21" s="13">
        <f t="shared" si="43"/>
        <v>7.7916026781690766</v>
      </c>
      <c r="DR21" s="20">
        <f t="shared" si="16"/>
        <v>56.30882241009423</v>
      </c>
      <c r="DS21" s="59">
        <f t="shared" si="17"/>
        <v>349.64215574342757</v>
      </c>
      <c r="DT21" s="59">
        <f ca="1">AVERAGE(OFFSET($DS$3,0,0,'Données projet'!$E$14+1,1))-AVERAGE(OFFSET($H$3,0,0,'Données projet'!$E$14+1,1))</f>
        <v>165.39579887388538</v>
      </c>
      <c r="DU21" s="59">
        <f t="shared" si="44"/>
        <v>155.89639262545802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>
        <f>EXP(-LN(2)/35)*EA20+(1-EXP(-LN(2)/35))/(LN(2)/35)*DW21*DX21*VLOOKUP('Données projet'!$B$14,Paramètres!$A$1:$I$89,3,0)*0.475*44/12</f>
        <v>0</v>
      </c>
      <c r="EB21" s="21">
        <f>EXP(-LN(2)/25)*EB20+(1-EXP(-LN(2)/25))/(LN(2)/25)*Calculateur!DW21*Calculateur!DY21*VLOOKUP('Données projet'!$B$14,Paramètres!$A$1:$I$89,3,0)*0.475*44/12</f>
        <v>0</v>
      </c>
      <c r="EC21" s="21">
        <f>EXP(-LN(2)/2)*EC20+(1-EXP(-LN(2)/2))/(LN(2)/2)*DW21*DZ21*VLOOKUP('Données projet'!$B$14,Paramètres!$A$1:$I$89,3,0)*0.475*44/12</f>
        <v>0</v>
      </c>
      <c r="ED21" s="22">
        <f t="shared" si="18"/>
        <v>0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1.2</v>
      </c>
      <c r="EJ21" s="12">
        <f>IF('Données projet'!$A$192&gt;35,EJ20+EI21-ER20,IF(A21&lt;'Données projet'!$A$192,$EG$205^A21,IF(A21='Données projet'!$A$192,'Données projet'!$B$192,EJ20+EI21-ER20)))</f>
        <v>11.575168010312384</v>
      </c>
      <c r="EK21" s="17">
        <f>EJ21*VLOOKUP('Données projet'!$B$15,Paramètres!$A$1:$I$89,3,0)*VLOOKUP('Données projet'!$B$15,Paramètres!$A$1:$I$89,5,0)</f>
        <v>9.0286310480436587</v>
      </c>
      <c r="EL21" s="13">
        <f t="shared" si="45"/>
        <v>3.220620708384474</v>
      </c>
      <c r="EM21" s="20">
        <f t="shared" si="19"/>
        <v>21.334113475779002</v>
      </c>
      <c r="EN21" s="59">
        <f t="shared" si="20"/>
        <v>314.66744680911233</v>
      </c>
      <c r="EO21" s="59">
        <f ca="1">AVERAGE(OFFSET($EN$3,0,0,'Données projet'!$E$15+1,1))-AVERAGE(OFFSET($H$3,0,0,'Données projet'!$E$15+1,1))</f>
        <v>104.07220236158577</v>
      </c>
      <c r="EP21" s="59">
        <f t="shared" si="46"/>
        <v>34.162068257911756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>
        <f>EXP(-LN(2)/35)*EV20+(1-EXP(-LN(2)/35))/(LN(2)/35)*ER21*ES21*VLOOKUP('Données projet'!$B$15,Paramètres!$A$1:$I$89,3,0)*0.475*44/12</f>
        <v>0</v>
      </c>
      <c r="EW21" s="21">
        <f>EXP(-LN(2)/25)*EW20+(1-EXP(-LN(2)/25))/(LN(2)/25)*Calculateur!ER21*Calculateur!ET21*VLOOKUP('Données projet'!$B$15,Paramètres!$A$1:$I$89,3,0)*0.475*44/12</f>
        <v>0</v>
      </c>
      <c r="EX21" s="21">
        <f>EXP(-LN(2)/2)*EX20+(1-EXP(-LN(2)/2))/(LN(2)/2)*ER21*EU21*VLOOKUP('Données projet'!$B$15,Paramètres!$A$1:$I$89,3,0)*0.475*44/12</f>
        <v>0</v>
      </c>
      <c r="EY21" s="22">
        <f t="shared" si="21"/>
        <v>0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9.4</v>
      </c>
      <c r="FE21" s="12">
        <f>IF('Données projet'!$A$218&gt;35,FE20+FD21-FM20,IF(A21&lt;'Données projet'!$A$218,$FB$205^A21,IF(A21='Données projet'!$A$218,'Données projet'!$B$218,FE20+FD21-FM20)))</f>
        <v>120.20000000000005</v>
      </c>
      <c r="FF21" s="17">
        <f>FE21*VLOOKUP('Données projet'!$B$16,Paramètres!$A$1:$I$89,3,0)*VLOOKUP('Données projet'!$B$16,Paramètres!$A$1:$I$89,5,0)</f>
        <v>108.75696000000003</v>
      </c>
      <c r="FG21" s="13">
        <f t="shared" si="47"/>
        <v>29.037921223305609</v>
      </c>
      <c r="FH21" s="20">
        <f t="shared" si="22"/>
        <v>239.99275146392401</v>
      </c>
      <c r="FI21" s="59">
        <f t="shared" si="23"/>
        <v>533.32608479725729</v>
      </c>
      <c r="FJ21" s="59">
        <f ca="1">AVERAGE(OFFSET($FI$3,0,0,'Données projet'!$E$16+1,1))-AVERAGE(OFFSET($H$3,0,0,'Données projet'!$E$16+1,1))</f>
        <v>179.50097986986123</v>
      </c>
      <c r="FK21" s="59">
        <f t="shared" si="48"/>
        <v>287.11838730637578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>
        <f>EXP(-LN(2)/35)*FQ20+(1-EXP(-LN(2)/35))/(LN(2)/35)*FM21*FN21*VLOOKUP('Données projet'!$B$16,Paramètres!$A$1:$I$89,3,0)*0.475*44/12</f>
        <v>0</v>
      </c>
      <c r="FR21" s="21">
        <f>EXP(-LN(2)/25)*FR20+(1-EXP(-LN(2)/25))/(LN(2)/25)*Calculateur!FM21*Calculateur!FO21*VLOOKUP('Données projet'!$B$16,Paramètres!$A$1:$I$89,3,0)*0.475*44/12</f>
        <v>3.1943043640903341</v>
      </c>
      <c r="FS21" s="21">
        <f>EXP(-LN(2)/2)*FS20+(1-EXP(-LN(2)/2))/(LN(2)/2)*FM21*FP21*VLOOKUP('Données projet'!$B$16,Paramètres!$A$1:$I$89,3,0)*0.475*44/12</f>
        <v>1.9700298096501627</v>
      </c>
      <c r="FT21" s="22">
        <f t="shared" si="24"/>
        <v>5.1643341737404969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3.1</v>
      </c>
      <c r="FZ21" s="12">
        <f>IF('Données projet'!$A$244&gt;35,FZ20+FY21-GH20,IF(A21&lt;'Données projet'!$A$244,$FW$205^A21,IF(A21='Données projet'!$A$244,'Données projet'!$B$244,FZ20+FY21-GH20)))</f>
        <v>41.034818849706127</v>
      </c>
      <c r="GA21" s="17">
        <f>FZ21*VLOOKUP('Données projet'!$B$17,Paramètres!$A$1:$I$89,3,0)*VLOOKUP('Données projet'!$B$17,Paramètres!$A$1:$I$89,5,0)</f>
        <v>24.538821672124264</v>
      </c>
      <c r="GB21" s="13">
        <f t="shared" si="49"/>
        <v>7.7916026781690766</v>
      </c>
      <c r="GC21" s="20">
        <f t="shared" si="25"/>
        <v>56.30882241009423</v>
      </c>
      <c r="GD21" s="59">
        <f t="shared" si="26"/>
        <v>349.64215574342757</v>
      </c>
      <c r="GE21" s="59">
        <f ca="1">AVERAGE(OFFSET($GD$3,0,0,'Données projet'!$E$17+1,1))-AVERAGE(OFFSET($H$3,0,0,'Données projet'!$E$17+1,1))</f>
        <v>165.39579887388538</v>
      </c>
      <c r="GF21" s="59">
        <f t="shared" si="50"/>
        <v>155.89639262545802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>
        <f>EXP(-LN(2)/35)*GL20+(1-EXP(-LN(2)/35))/(LN(2)/35)*GH21*GI21*VLOOKUP('Données projet'!$B$17,Paramètres!$A$1:$I$89,3,0)*0.475*44/12</f>
        <v>0</v>
      </c>
      <c r="GM21" s="21">
        <f>EXP(-LN(2)/25)*GM20+(1-EXP(-LN(2)/25))/(LN(2)/25)*Calculateur!GH21*Calculateur!GJ21*VLOOKUP('Données projet'!$B$17,Paramètres!$A$1:$I$89,3,0)*0.475*44/12</f>
        <v>0</v>
      </c>
      <c r="GN21" s="21">
        <f>EXP(-LN(2)/2)*GN20+(1-EXP(-LN(2)/2))/(LN(2)/2)*GH21*GK21*VLOOKUP('Données projet'!$B$17,Paramètres!$A$1:$I$89,3,0)*0.475*44/12</f>
        <v>0</v>
      </c>
      <c r="GO21" s="21">
        <f t="shared" si="27"/>
        <v>0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12.6</v>
      </c>
      <c r="N22" s="13">
        <f>IF('Données projet'!$A$36&gt;35,N21+M22-V21,IF(A22&lt;'Données projet'!$A$36,$K$205^A22,IF(A22='Données projet'!$A$36,'Données projet'!$B$36,N21+M22-V21)))</f>
        <v>82.399999999999991</v>
      </c>
      <c r="O22" s="13">
        <f>N22*VLOOKUP('Données projet'!$B$9,Paramètres!$A$1:$I$89,3,0)*VLOOKUP('Données projet'!$B$9,Paramètres!$A$1:$I$89,5,0)</f>
        <v>46.061599999999999</v>
      </c>
      <c r="P22" s="13">
        <f t="shared" si="33"/>
        <v>13.591845292116123</v>
      </c>
      <c r="Q22" s="20">
        <f t="shared" si="2"/>
        <v>103.89641721710223</v>
      </c>
      <c r="R22" s="59">
        <f t="shared" si="0"/>
        <v>397.22975055043554</v>
      </c>
      <c r="S22" s="59">
        <f ca="1">AVERAGE(OFFSET($R$3,0,0,'Données projet'!$E$9+1,1))-AVERAGE(OFFSET($H$3,0,0,'Données projet'!$E$9+1,1))</f>
        <v>235.10258076192054</v>
      </c>
      <c r="T22" s="59">
        <f t="shared" si="34"/>
        <v>233.47316052603765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5.25</v>
      </c>
      <c r="AI22" s="13">
        <f>IF('Données projet'!$A$62&gt;35,AI21+AH22-AQ21,IF(A22&lt;'Données projet'!$A$62,$AF$205^A22,IF(A22='Données projet'!$A$62,'Données projet'!$B$62,AI21+AH22-AQ21)))</f>
        <v>83.201246746571883</v>
      </c>
      <c r="AJ22" s="13">
        <f>AI22*VLOOKUP('Données projet'!$B$10,Paramètres!$A$1:$I$89,3,0)*VLOOKUP('Données projet'!$B$10,Paramètres!$A$1:$I$89,5,0)</f>
        <v>72.684609157805212</v>
      </c>
      <c r="AK22" s="13">
        <f t="shared" si="35"/>
        <v>20.338673382424638</v>
      </c>
      <c r="AL22" s="20">
        <f t="shared" si="4"/>
        <v>162.01555042423362</v>
      </c>
      <c r="AM22" s="59">
        <f t="shared" si="5"/>
        <v>455.34888375756691</v>
      </c>
      <c r="AN22" s="59">
        <f ca="1">AVERAGE(OFFSET($AM$3,0,0,'Données projet'!$E$10+1,1))-AVERAGE(OFFSET($H$3,0,0,'Données projet'!$E$10+1,1))</f>
        <v>191.94797389630673</v>
      </c>
      <c r="AO22" s="59">
        <f t="shared" si="36"/>
        <v>273.52540822767878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1.2</v>
      </c>
      <c r="BD22" s="12">
        <f>IF('Données projet'!$A$88&gt;35,BD21+BC22-BL21,IF(A22&lt;'Données projet'!$A$88,$BA$205^A22,IF(A22='Données projet'!$A$88,'Données projet'!$B$88,BD21+BC22-BL21)))</f>
        <v>13.262095581124292</v>
      </c>
      <c r="BE22" s="13">
        <f>BD22*VLOOKUP('Données projet'!$B$11,Paramètres!$A$1:$I$89,3,0)*VLOOKUP('Données projet'!$B$11,Paramètres!$A$1:$I$89,5,0)</f>
        <v>11.999544081801259</v>
      </c>
      <c r="BF22" s="13">
        <f t="shared" si="37"/>
        <v>4.1409695214196116</v>
      </c>
      <c r="BG22" s="20">
        <f t="shared" si="7"/>
        <v>28.111394525609683</v>
      </c>
      <c r="BH22" s="59">
        <f t="shared" si="8"/>
        <v>321.444727858943</v>
      </c>
      <c r="BI22" s="59">
        <f ca="1">AVERAGE(OFFSET($BH$3,0,0,'Données projet'!$E$11+1,1))-AVERAGE(OFFSET($H$3,0,0,'Données projet'!$E$11+1,1))</f>
        <v>138.8931001150624</v>
      </c>
      <c r="BJ22" s="59">
        <f t="shared" si="38"/>
        <v>48.964659354096625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</v>
      </c>
      <c r="BY22" s="12">
        <f>IF('Données projet'!$A$114&gt;35,BY21+BX22-CG21,IF(A22&lt;'Données projet'!$A$114,$BV$205^A22,IF(A22='Données projet'!$A$114,'Données projet'!$B$114,BY21+BX22-CG21)))</f>
        <v>13.262095581124292</v>
      </c>
      <c r="BZ22" s="13">
        <f>BY22*VLOOKUP('Données projet'!$B$12,Paramètres!$A$1:$I$89,3,0)*VLOOKUP('Données projet'!$B$12,Paramètres!$A$1:$I$89,5,0)</f>
        <v>13.447764919260033</v>
      </c>
      <c r="CA22" s="13">
        <f t="shared" si="39"/>
        <v>4.5795974071762906</v>
      </c>
      <c r="CB22" s="20">
        <f t="shared" si="10"/>
        <v>31.397656051876599</v>
      </c>
      <c r="CC22" s="59">
        <f t="shared" si="11"/>
        <v>324.73098938520991</v>
      </c>
      <c r="CD22" s="59">
        <f ca="1">AVERAGE(OFFSET($CC$3,0,0,'Données projet'!$E$12+1,1))-AVERAGE(OFFSET($H$3,0,0,'Données projet'!$E$12+1,1))</f>
        <v>169.2757878405003</v>
      </c>
      <c r="CE22" s="59">
        <f t="shared" si="40"/>
        <v>61.876502626609977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2.85</v>
      </c>
      <c r="CT22" s="12">
        <f>IF('Données projet'!$A$140&gt;35,CT21+CS22-DB21,IF(A22&lt;'Données projet'!$A$140,$CQ$205^A22,IF(A22='Données projet'!$A$140,'Données projet'!$B$140,CT21+CS22-DB21)))</f>
        <v>46.567305884609858</v>
      </c>
      <c r="CU22" s="17">
        <f>CT22*VLOOKUP('Données projet'!$B$13,Paramètres!$A$1:$I$89,3,0)*VLOOKUP('Données projet'!$B$13,Paramètres!$A$1:$I$89,5,0)</f>
        <v>37.048948561795605</v>
      </c>
      <c r="CV22" s="13">
        <f t="shared" si="41"/>
        <v>11.213015924373986</v>
      </c>
      <c r="CW22" s="20">
        <f t="shared" si="13"/>
        <v>84.056254813412025</v>
      </c>
      <c r="CX22" s="59">
        <f t="shared" si="14"/>
        <v>377.38958814674533</v>
      </c>
      <c r="CY22" s="59">
        <f ca="1">AVERAGE(OFFSET($CX$3,0,0,'Données projet'!$E$13+1,1))-AVERAGE(OFFSET($H$3,0,0,'Données projet'!$E$13+1,1))</f>
        <v>141.12810728817544</v>
      </c>
      <c r="CZ22" s="59">
        <f t="shared" si="42"/>
        <v>176.01405805137551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>
        <f>EXP(-LN(2)/35)*DF21+(1-EXP(-LN(2)/35))/(LN(2)/35)*DB22*DC22*VLOOKUP('Données projet'!$B$13,Paramètres!$A$1:$I$89,3,0)*0.475*44/12</f>
        <v>0</v>
      </c>
      <c r="DG22" s="21">
        <f>EXP(-LN(2)/25)*DG21+(1-EXP(-LN(2)/25))/(LN(2)/25)*Calculateur!DB22*Calculateur!DD22*VLOOKUP('Données projet'!$B$13,Paramètres!$A$1:$I$89,3,0)*0.475*44/12</f>
        <v>0</v>
      </c>
      <c r="DH22" s="21">
        <f>EXP(-LN(2)/2)*DH21+(1-EXP(-LN(2)/2))/(LN(2)/2)*DB22*DE22*VLOOKUP('Données projet'!$B$13,Paramètres!$A$1:$I$89,3,0)*0.475*44/12</f>
        <v>0</v>
      </c>
      <c r="DI22" s="22">
        <f t="shared" si="15"/>
        <v>0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3.1</v>
      </c>
      <c r="DO22" s="12">
        <f>IF('Données projet'!$A$166&gt;35,DO21+DN22-DW21,IF(A22&lt;'Données projet'!$A$166,$DL$205^A22,IF(A22='Données projet'!$A$166,'Données projet'!$B$166,DO21+DN22-DW21)))</f>
        <v>50.43965472405398</v>
      </c>
      <c r="DP22" s="17">
        <f>DO22*VLOOKUP('Données projet'!$B$14,Paramètres!$A$1:$I$89,3,0)*VLOOKUP('Données projet'!$B$14,Paramètres!$A$1:$I$89,5,0)</f>
        <v>30.16291352498428</v>
      </c>
      <c r="DQ22" s="13">
        <f t="shared" si="43"/>
        <v>9.3500657108726006</v>
      </c>
      <c r="DR22" s="20">
        <f t="shared" si="16"/>
        <v>68.818438835784079</v>
      </c>
      <c r="DS22" s="59">
        <f t="shared" si="17"/>
        <v>362.15177216911741</v>
      </c>
      <c r="DT22" s="59">
        <f ca="1">AVERAGE(OFFSET($DS$3,0,0,'Données projet'!$E$14+1,1))-AVERAGE(OFFSET($H$3,0,0,'Données projet'!$E$14+1,1))</f>
        <v>165.39579887388538</v>
      </c>
      <c r="DU22" s="59">
        <f t="shared" si="44"/>
        <v>155.89639262545802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>
        <f>EXP(-LN(2)/35)*EA21+(1-EXP(-LN(2)/35))/(LN(2)/35)*DW22*DX22*VLOOKUP('Données projet'!$B$14,Paramètres!$A$1:$I$89,3,0)*0.475*44/12</f>
        <v>0</v>
      </c>
      <c r="EB22" s="21">
        <f>EXP(-LN(2)/25)*EB21+(1-EXP(-LN(2)/25))/(LN(2)/25)*Calculateur!DW22*Calculateur!DY22*VLOOKUP('Données projet'!$B$14,Paramètres!$A$1:$I$89,3,0)*0.475*44/12</f>
        <v>0</v>
      </c>
      <c r="EC22" s="21">
        <f>EXP(-LN(2)/2)*EC21+(1-EXP(-LN(2)/2))/(LN(2)/2)*DW22*DZ22*VLOOKUP('Données projet'!$B$14,Paramètres!$A$1:$I$89,3,0)*0.475*44/12</f>
        <v>0</v>
      </c>
      <c r="ED22" s="22">
        <f t="shared" si="18"/>
        <v>0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1.2</v>
      </c>
      <c r="EJ22" s="12">
        <f>IF('Données projet'!$A$192&gt;35,EJ21+EI22-ER21,IF(A22&lt;'Données projet'!$A$192,$EG$205^A22,IF(A22='Données projet'!$A$192,'Données projet'!$B$192,EJ21+EI22-ER21)))</f>
        <v>13.262095581124292</v>
      </c>
      <c r="EK22" s="17">
        <f>EJ22*VLOOKUP('Données projet'!$B$15,Paramètres!$A$1:$I$89,3,0)*VLOOKUP('Données projet'!$B$15,Paramètres!$A$1:$I$89,5,0)</f>
        <v>10.344434553276947</v>
      </c>
      <c r="EL22" s="13">
        <f t="shared" si="45"/>
        <v>3.6320093236344571</v>
      </c>
      <c r="EM22" s="20">
        <f t="shared" si="19"/>
        <v>24.342306418954028</v>
      </c>
      <c r="EN22" s="59">
        <f t="shared" si="20"/>
        <v>317.67563975228734</v>
      </c>
      <c r="EO22" s="59">
        <f ca="1">AVERAGE(OFFSET($EN$3,0,0,'Données projet'!$E$15+1,1))-AVERAGE(OFFSET($H$3,0,0,'Données projet'!$E$15+1,1))</f>
        <v>104.07220236158577</v>
      </c>
      <c r="EP22" s="59">
        <f t="shared" si="46"/>
        <v>34.162068257911756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>
        <f>EXP(-LN(2)/35)*EV21+(1-EXP(-LN(2)/35))/(LN(2)/35)*ER22*ES22*VLOOKUP('Données projet'!$B$15,Paramètres!$A$1:$I$89,3,0)*0.475*44/12</f>
        <v>0</v>
      </c>
      <c r="EW22" s="21">
        <f>EXP(-LN(2)/25)*EW21+(1-EXP(-LN(2)/25))/(LN(2)/25)*Calculateur!ER22*Calculateur!ET22*VLOOKUP('Données projet'!$B$15,Paramètres!$A$1:$I$89,3,0)*0.475*44/12</f>
        <v>0</v>
      </c>
      <c r="EX22" s="21">
        <f>EXP(-LN(2)/2)*EX21+(1-EXP(-LN(2)/2))/(LN(2)/2)*ER22*EU22*VLOOKUP('Données projet'!$B$15,Paramètres!$A$1:$I$89,3,0)*0.475*44/12</f>
        <v>0</v>
      </c>
      <c r="EY22" s="22">
        <f t="shared" si="21"/>
        <v>0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9.4</v>
      </c>
      <c r="FE22" s="12">
        <f>IF('Données projet'!$A$218&gt;35,FE21+FD22-FM21,IF(A22&lt;'Données projet'!$A$218,$FB$205^A22,IF(A22='Données projet'!$A$218,'Données projet'!$B$218,FE21+FD22-FM21)))</f>
        <v>129.60000000000005</v>
      </c>
      <c r="FF22" s="17">
        <f>FE22*VLOOKUP('Données projet'!$B$16,Paramètres!$A$1:$I$89,3,0)*VLOOKUP('Données projet'!$B$16,Paramètres!$A$1:$I$89,5,0)</f>
        <v>117.26208000000004</v>
      </c>
      <c r="FG22" s="13">
        <f t="shared" si="47"/>
        <v>31.035569170075775</v>
      </c>
      <c r="FH22" s="20">
        <f t="shared" si="22"/>
        <v>258.28507230454869</v>
      </c>
      <c r="FI22" s="59">
        <f t="shared" si="23"/>
        <v>551.61840563788201</v>
      </c>
      <c r="FJ22" s="59">
        <f ca="1">AVERAGE(OFFSET($FI$3,0,0,'Données projet'!$E$16+1,1))-AVERAGE(OFFSET($H$3,0,0,'Données projet'!$E$16+1,1))</f>
        <v>179.50097986986123</v>
      </c>
      <c r="FK22" s="59">
        <f t="shared" si="48"/>
        <v>287.11838730637578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>
        <f>EXP(-LN(2)/35)*FQ21+(1-EXP(-LN(2)/35))/(LN(2)/35)*FM22*FN22*VLOOKUP('Données projet'!$B$16,Paramètres!$A$1:$I$89,3,0)*0.475*44/12</f>
        <v>0</v>
      </c>
      <c r="FR22" s="21">
        <f>EXP(-LN(2)/25)*FR21+(1-EXP(-LN(2)/25))/(LN(2)/25)*Calculateur!FM22*Calculateur!FO22*VLOOKUP('Données projet'!$B$16,Paramètres!$A$1:$I$89,3,0)*0.475*44/12</f>
        <v>3.106955943273118</v>
      </c>
      <c r="FS22" s="21">
        <f>EXP(-LN(2)/2)*FS21+(1-EXP(-LN(2)/2))/(LN(2)/2)*FM22*FP22*VLOOKUP('Données projet'!$B$16,Paramètres!$A$1:$I$89,3,0)*0.475*44/12</f>
        <v>1.3930214375432737</v>
      </c>
      <c r="FT22" s="22">
        <f t="shared" si="24"/>
        <v>4.4999773808163912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3.1</v>
      </c>
      <c r="FZ22" s="12">
        <f>IF('Données projet'!$A$244&gt;35,FZ21+FY22-GH21,IF(A22&lt;'Données projet'!$A$244,$FW$205^A22,IF(A22='Données projet'!$A$244,'Données projet'!$B$244,FZ21+FY22-GH21)))</f>
        <v>50.43965472405398</v>
      </c>
      <c r="GA22" s="17">
        <f>FZ22*VLOOKUP('Données projet'!$B$17,Paramètres!$A$1:$I$89,3,0)*VLOOKUP('Données projet'!$B$17,Paramètres!$A$1:$I$89,5,0)</f>
        <v>30.16291352498428</v>
      </c>
      <c r="GB22" s="13">
        <f t="shared" si="49"/>
        <v>9.3500657108726006</v>
      </c>
      <c r="GC22" s="20">
        <f t="shared" si="25"/>
        <v>68.818438835784079</v>
      </c>
      <c r="GD22" s="59">
        <f t="shared" si="26"/>
        <v>362.15177216911741</v>
      </c>
      <c r="GE22" s="59">
        <f ca="1">AVERAGE(OFFSET($GD$3,0,0,'Données projet'!$E$17+1,1))-AVERAGE(OFFSET($H$3,0,0,'Données projet'!$E$17+1,1))</f>
        <v>165.39579887388538</v>
      </c>
      <c r="GF22" s="59">
        <f t="shared" si="50"/>
        <v>155.89639262545802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>
        <f>EXP(-LN(2)/35)*GL21+(1-EXP(-LN(2)/35))/(LN(2)/35)*GH22*GI22*VLOOKUP('Données projet'!$B$17,Paramètres!$A$1:$I$89,3,0)*0.475*44/12</f>
        <v>0</v>
      </c>
      <c r="GM22" s="21">
        <f>EXP(-LN(2)/25)*GM21+(1-EXP(-LN(2)/25))/(LN(2)/25)*Calculateur!GH22*Calculateur!GJ22*VLOOKUP('Données projet'!$B$17,Paramètres!$A$1:$I$89,3,0)*0.475*44/12</f>
        <v>0</v>
      </c>
      <c r="GN22" s="21">
        <f>EXP(-LN(2)/2)*GN21+(1-EXP(-LN(2)/2))/(LN(2)/2)*GH22*GK22*VLOOKUP('Données projet'!$B$17,Paramètres!$A$1:$I$89,3,0)*0.475*44/12</f>
        <v>0</v>
      </c>
      <c r="GO22" s="21">
        <f t="shared" si="27"/>
        <v>0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95</v>
      </c>
      <c r="L23" s="12">
        <f>VLOOKUP(A23,'Données projet'!$A$35:$I$55,9,0)</f>
        <v>12.6</v>
      </c>
      <c r="M23" s="12">
        <f t="array" ref="M23">INDEX(L:L,MIN(IF(ISNUMBER(L23:L219),ROW(L23:L219),"")))</f>
        <v>12.6</v>
      </c>
      <c r="N23" s="13">
        <f>IF('Données projet'!$A$36&gt;35,N22+M23-V22,IF(A23&lt;'Données projet'!$A$36,$K$205^A23,IF(A23='Données projet'!$A$36,'Données projet'!$B$36,N22+M23-V22)))</f>
        <v>94.999999999999986</v>
      </c>
      <c r="O23" s="13">
        <f>N23*VLOOKUP('Données projet'!$B$9,Paramètres!$A$1:$I$89,3,0)*VLOOKUP('Données projet'!$B$9,Paramètres!$A$1:$I$89,5,0)</f>
        <v>53.104999999999997</v>
      </c>
      <c r="P23" s="13">
        <f t="shared" si="33"/>
        <v>15.412806139971311</v>
      </c>
      <c r="Q23" s="20">
        <f t="shared" si="2"/>
        <v>119.33517902711669</v>
      </c>
      <c r="R23" s="59">
        <f t="shared" si="0"/>
        <v>412.66851236044999</v>
      </c>
      <c r="S23" s="59">
        <f ca="1">AVERAGE(OFFSET($R$3,0,0,'Données projet'!$E$9+1,1))-AVERAGE(OFFSET($H$3,0,0,'Données projet'!$E$9+1,1))</f>
        <v>235.10258076192054</v>
      </c>
      <c r="T23" s="59">
        <f t="shared" si="34"/>
        <v>233.47316052603765</v>
      </c>
      <c r="U23" s="15">
        <f>IF(ISNA(VLOOKUP(A23,'Données projet'!$A$35:$I$55,3,0)),0,VLOOKUP(A23,'Données projet'!$A$35:$I$55,3,0))</f>
        <v>1</v>
      </c>
      <c r="V23" s="15">
        <f>IF(ISNA(VLOOKUP(A23,'Données projet'!$A$35:$I$55,4,0)),0,VLOOKUP(A23,'Données projet'!$A$35:$I$55,4,0))</f>
        <v>20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0.27500000000000002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4.0624637214493449</v>
      </c>
      <c r="AB23" s="21">
        <f>EXP(-LN(2)/2)*AB22+(1-EXP(-LN(2)/2))/(LN(2)/2)*V23*Y23*VLOOKUP('Données projet'!$B$9,Paramètres!$A$1:$I$89,3,0)*0.475*44/12</f>
        <v>6.3291785431729446</v>
      </c>
      <c r="AC23" s="22">
        <f t="shared" si="3"/>
        <v>10.391642264622289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105</v>
      </c>
      <c r="AG23" s="12">
        <f>VLOOKUP(A23,'Données projet'!$A$61:$I$81,9,0)</f>
        <v>5.25</v>
      </c>
      <c r="AH23" s="12">
        <f t="array" ref="AH23">INDEX(AG:AG,MIN(IF(ISNUMBER(AG23:AG219),ROW(AG23:AG219),"")))</f>
        <v>5.25</v>
      </c>
      <c r="AI23" s="13">
        <f>IF('Données projet'!$A$62&gt;35,AI22+AH23-AQ22,IF(A23&lt;'Données projet'!$A$62,$AF$205^A23,IF(A23='Données projet'!$A$62,'Données projet'!$B$62,AI22+AH23-AQ22)))</f>
        <v>105</v>
      </c>
      <c r="AJ23" s="13">
        <f>AI23*VLOOKUP('Données projet'!$B$10,Paramètres!$A$1:$I$89,3,0)*VLOOKUP('Données projet'!$B$10,Paramètres!$A$1:$I$89,5,0)</f>
        <v>91.728000000000009</v>
      </c>
      <c r="AK23" s="13">
        <f t="shared" si="35"/>
        <v>24.981514582386563</v>
      </c>
      <c r="AL23" s="20">
        <f t="shared" si="4"/>
        <v>203.26907123098991</v>
      </c>
      <c r="AM23" s="59">
        <f t="shared" si="5"/>
        <v>496.60240456432325</v>
      </c>
      <c r="AN23" s="59">
        <f ca="1">AVERAGE(OFFSET($AM$3,0,0,'Données projet'!$E$10+1,1))-AVERAGE(OFFSET($H$3,0,0,'Données projet'!$E$10+1,1))</f>
        <v>191.94797389630673</v>
      </c>
      <c r="AO23" s="59">
        <f t="shared" si="36"/>
        <v>273.52540822767878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32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3.3090613585623756</v>
      </c>
      <c r="AW23" s="21">
        <f>EXP(-LN(2)/2)*AW22+(1-EXP(-LN(2)/2))/(LN(2)/2)*AQ23*AT23*VLOOKUP('Données projet'!$B$10,Paramètres!$A$1:$I$89,3,0)*0.475*44/12</f>
        <v>6.5941209007941382</v>
      </c>
      <c r="AX23" s="21">
        <f t="shared" si="6"/>
        <v>9.9031822593565142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1.2</v>
      </c>
      <c r="BD23" s="12">
        <f>IF('Données projet'!$A$88&gt;35,BD22+BC23-BL22,IF(A23&lt;'Données projet'!$A$88,$BA$205^A23,IF(A23='Données projet'!$A$88,'Données projet'!$B$88,BD22+BC23-BL22)))</f>
        <v>15.194870523363559</v>
      </c>
      <c r="BE23" s="13">
        <f>BD23*VLOOKUP('Données projet'!$B$11,Paramètres!$A$1:$I$89,3,0)*VLOOKUP('Données projet'!$B$11,Paramètres!$A$1:$I$89,5,0)</f>
        <v>13.748318849539347</v>
      </c>
      <c r="BF23" s="13">
        <f t="shared" si="37"/>
        <v>4.6699196436038939</v>
      </c>
      <c r="BG23" s="20">
        <f t="shared" si="7"/>
        <v>32.078432042224485</v>
      </c>
      <c r="BH23" s="59">
        <f t="shared" si="8"/>
        <v>325.41176537555782</v>
      </c>
      <c r="BI23" s="59">
        <f ca="1">AVERAGE(OFFSET($BH$3,0,0,'Données projet'!$E$11+1,1))-AVERAGE(OFFSET($H$3,0,0,'Données projet'!$E$11+1,1))</f>
        <v>138.8931001150624</v>
      </c>
      <c r="BJ23" s="59">
        <f t="shared" si="38"/>
        <v>48.964659354096625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1.2</v>
      </c>
      <c r="BY23" s="12">
        <f>IF('Données projet'!$A$114&gt;35,BY22+BX23-CG22,IF(A23&lt;'Données projet'!$A$114,$BV$205^A23,IF(A23='Données projet'!$A$114,'Données projet'!$B$114,BY22+BX23-CG22)))</f>
        <v>15.194870523363559</v>
      </c>
      <c r="BZ23" s="13">
        <f>BY23*VLOOKUP('Données projet'!$B$12,Paramètres!$A$1:$I$89,3,0)*VLOOKUP('Données projet'!$B$12,Paramètres!$A$1:$I$89,5,0)</f>
        <v>15.407598710690648</v>
      </c>
      <c r="CA23" s="13">
        <f t="shared" si="39"/>
        <v>5.1645760204094255</v>
      </c>
      <c r="CB23" s="20">
        <f t="shared" si="10"/>
        <v>35.829870989999293</v>
      </c>
      <c r="CC23" s="59">
        <f t="shared" si="11"/>
        <v>329.16320432333259</v>
      </c>
      <c r="CD23" s="59">
        <f ca="1">AVERAGE(OFFSET($CC$3,0,0,'Données projet'!$E$12+1,1))-AVERAGE(OFFSET($H$3,0,0,'Données projet'!$E$12+1,1))</f>
        <v>169.2757878405003</v>
      </c>
      <c r="CE23" s="59">
        <f t="shared" si="40"/>
        <v>61.876502626609977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>
        <f>VLOOKUP(A23,'Données projet'!$A$139:$I$159,2,0)</f>
        <v>57</v>
      </c>
      <c r="CR23" s="12">
        <f>VLOOKUP(A23,'Données projet'!$A$139:$I$159,9,0)</f>
        <v>2.85</v>
      </c>
      <c r="CS23" s="12">
        <f t="array" ref="CS23">INDEX(CR:CR,MIN(IF(ISNUMBER(CR23:CR219),ROW(CR23:CR219),"")))</f>
        <v>2.85</v>
      </c>
      <c r="CT23" s="12">
        <f>IF('Données projet'!$A$140&gt;35,CT22+CS23-DB22,IF(A23&lt;'Données projet'!$A$140,$CQ$205^A23,IF(A23='Données projet'!$A$140,'Données projet'!$B$140,CT22+CS23-DB22)))</f>
        <v>57</v>
      </c>
      <c r="CU23" s="17">
        <f>CT23*VLOOKUP('Données projet'!$B$13,Paramètres!$A$1:$I$89,3,0)*VLOOKUP('Données projet'!$B$13,Paramètres!$A$1:$I$89,5,0)</f>
        <v>45.349200000000003</v>
      </c>
      <c r="CV23" s="13">
        <f t="shared" si="41"/>
        <v>13.405931317559235</v>
      </c>
      <c r="CW23" s="20">
        <f t="shared" si="13"/>
        <v>102.33185371141569</v>
      </c>
      <c r="CX23" s="59">
        <f t="shared" si="14"/>
        <v>395.66518704474902</v>
      </c>
      <c r="CY23" s="59">
        <f ca="1">AVERAGE(OFFSET($CX$3,0,0,'Données projet'!$E$13+1,1))-AVERAGE(OFFSET($H$3,0,0,'Données projet'!$E$13+1,1))</f>
        <v>141.12810728817544</v>
      </c>
      <c r="CZ23" s="59">
        <f t="shared" si="42"/>
        <v>176.01405805137551</v>
      </c>
      <c r="DA23" s="15">
        <f>IF(ISNA(VLOOKUP(A23,'Données projet'!$A$139:$I$159,3,0)),0,VLOOKUP(A23,'Données projet'!$A$139:$I$159,3,0))</f>
        <v>1</v>
      </c>
      <c r="DB23" s="15">
        <f>IF(ISNA(VLOOKUP(A23,'Données projet'!$A$139:$I$159,4,0)),0,VLOOKUP(A23,'Données projet'!$A$139:$I$159,4,0))</f>
        <v>21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0.13250000000000001</v>
      </c>
      <c r="DE23" s="16">
        <f>IF(ISNA(VLOOKUP(A23,'Données projet'!$A$139:$I$159,7,0)),0%,VLOOKUP(A23,'Données projet'!$A$139:$I$159,7,0))</f>
        <v>0.25</v>
      </c>
      <c r="DF23" s="21">
        <f>EXP(-LN(2)/35)*DF22+(1-EXP(-LN(2)/35))/(LN(2)/35)*DB23*DC23*VLOOKUP('Données projet'!$B$13,Paramètres!$A$1:$I$89,3,0)*0.475*44/12</f>
        <v>0</v>
      </c>
      <c r="DG23" s="21">
        <f>EXP(-LN(2)/25)*DG22+(1-EXP(-LN(2)/25))/(LN(2)/25)*Calculateur!DB23*Calculateur!DD23*VLOOKUP('Données projet'!$B$13,Paramètres!$A$1:$I$89,3,0)*0.475*44/12</f>
        <v>2.4376070636430143</v>
      </c>
      <c r="DH23" s="21">
        <f>EXP(-LN(2)/2)*DH22+(1-EXP(-LN(2)/2))/(LN(2)/2)*DB23*DE23*VLOOKUP('Données projet'!$B$13,Paramètres!$A$1:$I$89,3,0)*0.475*44/12</f>
        <v>3.9410175696152461</v>
      </c>
      <c r="DI23" s="22">
        <f t="shared" si="15"/>
        <v>6.3786246332582603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>
        <f>VLOOKUP(A23,'Données projet'!$A$165:$I$185,2,0)</f>
        <v>62</v>
      </c>
      <c r="DM23" s="12">
        <f>VLOOKUP(A23,'Données projet'!$A$165:$I$185,9,0)</f>
        <v>3.1</v>
      </c>
      <c r="DN23" s="12">
        <f t="array" ref="DN23">INDEX(DM:DM,MIN(IF(ISNUMBER(DM23:DM219),ROW(DM23:DM219),"")))</f>
        <v>3.1</v>
      </c>
      <c r="DO23" s="12">
        <f>IF('Données projet'!$A$166&gt;35,DO22+DN23-DW22,IF(A23&lt;'Données projet'!$A$166,$DL$205^A23,IF(A23='Données projet'!$A$166,'Données projet'!$B$166,DO22+DN23-DW22)))</f>
        <v>62</v>
      </c>
      <c r="DP23" s="17">
        <f>DO23*VLOOKUP('Données projet'!$B$14,Paramètres!$A$1:$I$89,3,0)*VLOOKUP('Données projet'!$B$14,Paramètres!$A$1:$I$89,5,0)</f>
        <v>37.076000000000001</v>
      </c>
      <c r="DQ23" s="13">
        <f t="shared" si="43"/>
        <v>11.220249852136831</v>
      </c>
      <c r="DR23" s="20">
        <f t="shared" si="16"/>
        <v>84.115968492471652</v>
      </c>
      <c r="DS23" s="59">
        <f t="shared" si="17"/>
        <v>377.44930182580498</v>
      </c>
      <c r="DT23" s="59">
        <f ca="1">AVERAGE(OFFSET($DS$3,0,0,'Données projet'!$E$14+1,1))-AVERAGE(OFFSET($H$3,0,0,'Données projet'!$E$14+1,1))</f>
        <v>165.39579887388538</v>
      </c>
      <c r="DU23" s="59">
        <f t="shared" si="44"/>
        <v>155.89639262545802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>
        <f>EXP(-LN(2)/35)*EA22+(1-EXP(-LN(2)/35))/(LN(2)/35)*DW23*DX23*VLOOKUP('Données projet'!$B$14,Paramètres!$A$1:$I$89,3,0)*0.475*44/12</f>
        <v>0</v>
      </c>
      <c r="EB23" s="21">
        <f>EXP(-LN(2)/25)*EB22+(1-EXP(-LN(2)/25))/(LN(2)/25)*Calculateur!DW23*Calculateur!DY23*VLOOKUP('Données projet'!$B$14,Paramètres!$A$1:$I$89,3,0)*0.475*44/12</f>
        <v>0</v>
      </c>
      <c r="EC23" s="21">
        <f>EXP(-LN(2)/2)*EC22+(1-EXP(-LN(2)/2))/(LN(2)/2)*DW23*DZ23*VLOOKUP('Données projet'!$B$14,Paramètres!$A$1:$I$89,3,0)*0.475*44/12</f>
        <v>0</v>
      </c>
      <c r="ED23" s="22">
        <f t="shared" si="18"/>
        <v>0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1.2</v>
      </c>
      <c r="EJ23" s="12">
        <f>IF('Données projet'!$A$192&gt;35,EJ22+EI23-ER22,IF(A23&lt;'Données projet'!$A$192,$EG$205^A23,IF(A23='Données projet'!$A$192,'Données projet'!$B$192,EJ22+EI23-ER22)))</f>
        <v>15.194870523363559</v>
      </c>
      <c r="EK23" s="17">
        <f>EJ23*VLOOKUP('Données projet'!$B$15,Paramètres!$A$1:$I$89,3,0)*VLOOKUP('Données projet'!$B$15,Paramètres!$A$1:$I$89,5,0)</f>
        <v>11.851999008223576</v>
      </c>
      <c r="EL23" s="13">
        <f t="shared" si="45"/>
        <v>4.0959469994790974</v>
      </c>
      <c r="EM23" s="20">
        <f t="shared" si="19"/>
        <v>27.776005963415486</v>
      </c>
      <c r="EN23" s="59">
        <f t="shared" si="20"/>
        <v>321.10933929674877</v>
      </c>
      <c r="EO23" s="59">
        <f ca="1">AVERAGE(OFFSET($EN$3,0,0,'Données projet'!$E$15+1,1))-AVERAGE(OFFSET($H$3,0,0,'Données projet'!$E$15+1,1))</f>
        <v>104.07220236158577</v>
      </c>
      <c r="EP23" s="59">
        <f t="shared" si="46"/>
        <v>34.162068257911756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>
        <f>EXP(-LN(2)/35)*EV22+(1-EXP(-LN(2)/35))/(LN(2)/35)*ER23*ES23*VLOOKUP('Données projet'!$B$15,Paramètres!$A$1:$I$89,3,0)*0.475*44/12</f>
        <v>0</v>
      </c>
      <c r="EW23" s="21">
        <f>EXP(-LN(2)/25)*EW22+(1-EXP(-LN(2)/25))/(LN(2)/25)*Calculateur!ER23*Calculateur!ET23*VLOOKUP('Données projet'!$B$15,Paramètres!$A$1:$I$89,3,0)*0.475*44/12</f>
        <v>0</v>
      </c>
      <c r="EX23" s="21">
        <f>EXP(-LN(2)/2)*EX22+(1-EXP(-LN(2)/2))/(LN(2)/2)*ER23*EU23*VLOOKUP('Données projet'!$B$15,Paramètres!$A$1:$I$89,3,0)*0.475*44/12</f>
        <v>0</v>
      </c>
      <c r="EY23" s="22">
        <f t="shared" si="21"/>
        <v>0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>
        <f>VLOOKUP(A23,'Données projet'!$A$217:$I$237,2,0)</f>
        <v>139</v>
      </c>
      <c r="FC23" s="12">
        <f>VLOOKUP(A23,'Données projet'!$A$217:$I$237,9,0)</f>
        <v>9.4</v>
      </c>
      <c r="FD23" s="12">
        <f t="array" ref="FD23">INDEX(FC:FC,MIN(IF(ISNUMBER(FC23:FC219),ROW(FC23:FC219),"")))</f>
        <v>9.4</v>
      </c>
      <c r="FE23" s="12">
        <f>IF('Données projet'!$A$218&gt;35,FE22+FD23-FM22,IF(A23&lt;'Données projet'!$A$218,$FB$205^A23,IF(A23='Données projet'!$A$218,'Données projet'!$B$218,FE22+FD23-FM22)))</f>
        <v>139.00000000000006</v>
      </c>
      <c r="FF23" s="17">
        <f>FE23*VLOOKUP('Données projet'!$B$16,Paramètres!$A$1:$I$89,3,0)*VLOOKUP('Données projet'!$B$16,Paramètres!$A$1:$I$89,5,0)</f>
        <v>125.76720000000006</v>
      </c>
      <c r="FG23" s="13">
        <f t="shared" si="47"/>
        <v>33.016407232101997</v>
      </c>
      <c r="FH23" s="20">
        <f t="shared" si="22"/>
        <v>276.54811592924437</v>
      </c>
      <c r="FI23" s="59">
        <f t="shared" si="23"/>
        <v>569.88144926257769</v>
      </c>
      <c r="FJ23" s="59">
        <f ca="1">AVERAGE(OFFSET($FI$3,0,0,'Données projet'!$E$16+1,1))-AVERAGE(OFFSET($H$3,0,0,'Données projet'!$E$16+1,1))</f>
        <v>179.50097986986123</v>
      </c>
      <c r="FK23" s="59">
        <f t="shared" si="48"/>
        <v>287.11838730637578</v>
      </c>
      <c r="FL23" s="15">
        <f>IF(ISNA(VLOOKUP(A23,'Données projet'!$A$217:$I$237,3,0)),0,VLOOKUP(A23,'Données projet'!$A$217:$I$237,3,0))</f>
        <v>4</v>
      </c>
      <c r="FM23" s="15">
        <f>IF(ISNA(VLOOKUP(A23,'Données projet'!$A$217:$I$237,4,0)),0,VLOOKUP(A23,'Données projet'!$A$217:$I$237,4,0))</f>
        <v>17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9.9000000000000005E-2</v>
      </c>
      <c r="FP23" s="16">
        <f>IF(ISNA(VLOOKUP(A23,'Données projet'!$A$217:$I$237,7,0)),0%,VLOOKUP(A23,'Données projet'!$A$217:$I$237,7,0))</f>
        <v>0.33</v>
      </c>
      <c r="FQ23" s="21">
        <f>EXP(-LN(2)/35)*FQ22+(1-EXP(-LN(2)/35))/(LN(2)/35)*FM23*FN23*VLOOKUP('Données projet'!$B$16,Paramètres!$A$1:$I$89,3,0)*0.475*44/12</f>
        <v>0</v>
      </c>
      <c r="FR23" s="21">
        <f>EXP(-LN(2)/25)*FR22+(1-EXP(-LN(2)/25))/(LN(2)/25)*Calculateur!FM23*Calculateur!FO23*VLOOKUP('Données projet'!$B$16,Paramètres!$A$1:$I$89,3,0)*0.475*44/12</f>
        <v>4.6987543516696952</v>
      </c>
      <c r="FS23" s="21">
        <f>EXP(-LN(2)/2)*FS22+(1-EXP(-LN(2)/2))/(LN(2)/2)*FM23*FP23*VLOOKUP('Données projet'!$B$16,Paramètres!$A$1:$I$89,3,0)*0.475*44/12</f>
        <v>5.7742895894241801</v>
      </c>
      <c r="FT23" s="22">
        <f t="shared" si="24"/>
        <v>10.473043941093875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>
        <f>VLOOKUP(A23,'Données projet'!$A$243:$I$263,2,0)</f>
        <v>62</v>
      </c>
      <c r="FX23" s="12">
        <f>VLOOKUP(A23,'Données projet'!$A$243:$I$263,9,0)</f>
        <v>3.1</v>
      </c>
      <c r="FY23" s="12">
        <f t="array" ref="FY23">INDEX(FX:FX,MIN(IF(ISNUMBER(FX23:FX219),ROW(FX23:FX219),"")))</f>
        <v>3.1</v>
      </c>
      <c r="FZ23" s="12">
        <f>IF('Données projet'!$A$244&gt;35,FZ22+FY23-GH22,IF(A23&lt;'Données projet'!$A$244,$FW$205^A23,IF(A23='Données projet'!$A$244,'Données projet'!$B$244,FZ22+FY23-GH22)))</f>
        <v>62</v>
      </c>
      <c r="GA23" s="17">
        <f>FZ23*VLOOKUP('Données projet'!$B$17,Paramètres!$A$1:$I$89,3,0)*VLOOKUP('Données projet'!$B$17,Paramètres!$A$1:$I$89,5,0)</f>
        <v>37.076000000000001</v>
      </c>
      <c r="GB23" s="13">
        <f t="shared" si="49"/>
        <v>11.220249852136831</v>
      </c>
      <c r="GC23" s="20">
        <f t="shared" si="25"/>
        <v>84.115968492471652</v>
      </c>
      <c r="GD23" s="59">
        <f t="shared" si="26"/>
        <v>377.44930182580498</v>
      </c>
      <c r="GE23" s="59">
        <f ca="1">AVERAGE(OFFSET($GD$3,0,0,'Données projet'!$E$17+1,1))-AVERAGE(OFFSET($H$3,0,0,'Données projet'!$E$17+1,1))</f>
        <v>165.39579887388538</v>
      </c>
      <c r="GF23" s="59">
        <f t="shared" si="50"/>
        <v>155.89639262545802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>
        <f>EXP(-LN(2)/35)*GL22+(1-EXP(-LN(2)/35))/(LN(2)/35)*GH23*GI23*VLOOKUP('Données projet'!$B$17,Paramètres!$A$1:$I$89,3,0)*0.475*44/12</f>
        <v>0</v>
      </c>
      <c r="GM23" s="21">
        <f>EXP(-LN(2)/25)*GM22+(1-EXP(-LN(2)/25))/(LN(2)/25)*Calculateur!GH23*Calculateur!GJ23*VLOOKUP('Données projet'!$B$17,Paramètres!$A$1:$I$89,3,0)*0.475*44/12</f>
        <v>0</v>
      </c>
      <c r="GN23" s="21">
        <f>EXP(-LN(2)/2)*GN22+(1-EXP(-LN(2)/2))/(LN(2)/2)*GH23*GK23*VLOOKUP('Données projet'!$B$17,Paramètres!$A$1:$I$89,3,0)*0.475*44/12</f>
        <v>0</v>
      </c>
      <c r="GO23" s="21">
        <f t="shared" si="27"/>
        <v>0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16.5</v>
      </c>
      <c r="N24" s="13">
        <f>IF('Données projet'!$A$36&gt;35,N23+M24-V23,IF(A24&lt;'Données projet'!$A$36,$K$205^A24,IF(A24='Données projet'!$A$36,'Données projet'!$B$36,N23+M24-V23)))</f>
        <v>91.499999999999986</v>
      </c>
      <c r="O24" s="13">
        <f>N24*VLOOKUP('Données projet'!$B$9,Paramètres!$A$1:$I$89,3,0)*VLOOKUP('Données projet'!$B$9,Paramètres!$A$1:$I$89,5,0)</f>
        <v>51.148499999999991</v>
      </c>
      <c r="P24" s="13">
        <f t="shared" si="33"/>
        <v>14.909971627825177</v>
      </c>
      <c r="Q24" s="20">
        <f t="shared" si="2"/>
        <v>115.05183808512884</v>
      </c>
      <c r="R24" s="59">
        <f t="shared" si="0"/>
        <v>408.38517141846216</v>
      </c>
      <c r="S24" s="59">
        <f ca="1">AVERAGE(OFFSET($R$3,0,0,'Données projet'!$E$9+1,1))-AVERAGE(OFFSET($H$3,0,0,'Données projet'!$E$9+1,1))</f>
        <v>235.10258076192054</v>
      </c>
      <c r="T24" s="59">
        <f t="shared" si="34"/>
        <v>233.47316052603765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3.9513754373506305</v>
      </c>
      <c r="AB24" s="21">
        <f>EXP(-LN(2)/2)*AB23+(1-EXP(-LN(2)/2))/(LN(2)/2)*V24*Y24*VLOOKUP('Données projet'!$B$9,Paramètres!$A$1:$I$89,3,0)*0.475*44/12</f>
        <v>4.4754050672179835</v>
      </c>
      <c r="AC24" s="22">
        <f t="shared" si="3"/>
        <v>8.4267805045686135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10.199999999999999</v>
      </c>
      <c r="AI24" s="13">
        <f>IF('Données projet'!$A$62&gt;35,AI23+AH24-AQ23,IF(A24&lt;'Données projet'!$A$62,$AF$205^A24,IF(A24='Données projet'!$A$62,'Données projet'!$B$62,AI23+AH24-AQ23)))</f>
        <v>83.2</v>
      </c>
      <c r="AJ24" s="13">
        <f>AI24*VLOOKUP('Données projet'!$B$10,Paramètres!$A$1:$I$89,3,0)*VLOOKUP('Données projet'!$B$10,Paramètres!$A$1:$I$89,5,0)</f>
        <v>72.683520000000016</v>
      </c>
      <c r="AK24" s="13">
        <f t="shared" si="35"/>
        <v>20.338404088189375</v>
      </c>
      <c r="AL24" s="20">
        <f t="shared" si="4"/>
        <v>162.01318445359652</v>
      </c>
      <c r="AM24" s="59">
        <f t="shared" si="5"/>
        <v>455.34651778692984</v>
      </c>
      <c r="AN24" s="59">
        <f ca="1">AVERAGE(OFFSET($AM$3,0,0,'Données projet'!$E$10+1,1))-AVERAGE(OFFSET($H$3,0,0,'Données projet'!$E$10+1,1))</f>
        <v>191.94797389630673</v>
      </c>
      <c r="AO24" s="59">
        <f t="shared" si="36"/>
        <v>273.52540822767878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3.2185749016965137</v>
      </c>
      <c r="AW24" s="21">
        <f>EXP(-LN(2)/2)*AW23+(1-EXP(-LN(2)/2))/(LN(2)/2)*AQ24*AT24*VLOOKUP('Données projet'!$B$10,Paramètres!$A$1:$I$89,3,0)*0.475*44/12</f>
        <v>4.6627476049154808</v>
      </c>
      <c r="AX24" s="21">
        <f t="shared" si="6"/>
        <v>7.8813225066119941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1.2</v>
      </c>
      <c r="BD24" s="12">
        <f>IF('Données projet'!$A$88&gt;35,BD23+BC24-BL23,IF(A24&lt;'Données projet'!$A$88,$BA$205^A24,IF(A24='Données projet'!$A$88,'Données projet'!$B$88,BD23+BC24-BL23)))</f>
        <v>17.409321838276906</v>
      </c>
      <c r="BE24" s="13">
        <f>BD24*VLOOKUP('Données projet'!$B$11,Paramètres!$A$1:$I$89,3,0)*VLOOKUP('Données projet'!$B$11,Paramètres!$A$1:$I$89,5,0)</f>
        <v>15.751954399272945</v>
      </c>
      <c r="BF24" s="13">
        <f t="shared" si="37"/>
        <v>5.2664356414391653</v>
      </c>
      <c r="BG24" s="20">
        <f t="shared" si="7"/>
        <v>36.607029320906918</v>
      </c>
      <c r="BH24" s="59">
        <f t="shared" si="8"/>
        <v>329.94036265424023</v>
      </c>
      <c r="BI24" s="59">
        <f ca="1">AVERAGE(OFFSET($BH$3,0,0,'Données projet'!$E$11+1,1))-AVERAGE(OFFSET($H$3,0,0,'Données projet'!$E$11+1,1))</f>
        <v>138.8931001150624</v>
      </c>
      <c r="BJ24" s="59">
        <f t="shared" si="38"/>
        <v>48.964659354096625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1.2</v>
      </c>
      <c r="BY24" s="12">
        <f>IF('Données projet'!$A$114&gt;35,BY23+BX24-CG23,IF(A24&lt;'Données projet'!$A$114,$BV$205^A24,IF(A24='Données projet'!$A$114,'Données projet'!$B$114,BY23+BX24-CG23)))</f>
        <v>17.409321838276906</v>
      </c>
      <c r="BZ24" s="13">
        <f>BY24*VLOOKUP('Données projet'!$B$12,Paramètres!$A$1:$I$89,3,0)*VLOOKUP('Données projet'!$B$12,Paramètres!$A$1:$I$89,5,0)</f>
        <v>17.653052344012782</v>
      </c>
      <c r="CA24" s="13">
        <f t="shared" si="39"/>
        <v>5.8242773543349813</v>
      </c>
      <c r="CB24" s="20">
        <f t="shared" si="10"/>
        <v>40.889682557955688</v>
      </c>
      <c r="CC24" s="59">
        <f t="shared" si="11"/>
        <v>334.22301589128898</v>
      </c>
      <c r="CD24" s="59">
        <f ca="1">AVERAGE(OFFSET($CC$3,0,0,'Données projet'!$E$12+1,1))-AVERAGE(OFFSET($H$3,0,0,'Données projet'!$E$12+1,1))</f>
        <v>169.2757878405003</v>
      </c>
      <c r="CE24" s="59">
        <f t="shared" si="40"/>
        <v>61.876502626609977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9.9</v>
      </c>
      <c r="CT24" s="12">
        <f>IF('Données projet'!$A$140&gt;35,CT23+CS24-DB23,IF(A24&lt;'Données projet'!$A$140,$CQ$205^A24,IF(A24='Données projet'!$A$140,'Données projet'!$B$140,CT23+CS24-DB23)))</f>
        <v>45.900000000000006</v>
      </c>
      <c r="CU24" s="17">
        <f>CT24*VLOOKUP('Données projet'!$B$13,Paramètres!$A$1:$I$89,3,0)*VLOOKUP('Données projet'!$B$13,Paramètres!$A$1:$I$89,5,0)</f>
        <v>36.518040000000006</v>
      </c>
      <c r="CV24" s="13">
        <f t="shared" si="41"/>
        <v>11.07091857271117</v>
      </c>
      <c r="CW24" s="20">
        <f t="shared" si="13"/>
        <v>82.884102847471965</v>
      </c>
      <c r="CX24" s="59">
        <f t="shared" si="14"/>
        <v>376.21743618080529</v>
      </c>
      <c r="CY24" s="59">
        <f ca="1">AVERAGE(OFFSET($CX$3,0,0,'Données projet'!$E$13+1,1))-AVERAGE(OFFSET($H$3,0,0,'Données projet'!$E$13+1,1))</f>
        <v>141.12810728817544</v>
      </c>
      <c r="CZ24" s="59">
        <f t="shared" si="42"/>
        <v>176.01405805137551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>
        <f>EXP(-LN(2)/35)*DF23+(1-EXP(-LN(2)/35))/(LN(2)/35)*DB24*DC24*VLOOKUP('Données projet'!$B$13,Paramètres!$A$1:$I$89,3,0)*0.475*44/12</f>
        <v>0</v>
      </c>
      <c r="DG24" s="21">
        <f>EXP(-LN(2)/25)*DG23+(1-EXP(-LN(2)/25))/(LN(2)/25)*Calculateur!DB24*Calculateur!DD24*VLOOKUP('Données projet'!$B$13,Paramètres!$A$1:$I$89,3,0)*0.475*44/12</f>
        <v>2.3709505702995117</v>
      </c>
      <c r="DH24" s="21">
        <f>EXP(-LN(2)/2)*DH23+(1-EXP(-LN(2)/2))/(LN(2)/2)*DB24*DE24*VLOOKUP('Données projet'!$B$13,Paramètres!$A$1:$I$89,3,0)*0.475*44/12</f>
        <v>2.7867202482502673</v>
      </c>
      <c r="DI24" s="22">
        <f t="shared" si="15"/>
        <v>5.1576708185497786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10.199999999999999</v>
      </c>
      <c r="DO24" s="12">
        <f>IF('Données projet'!$A$166&gt;35,DO23+DN24-DW23,IF(A24&lt;'Données projet'!$A$166,$DL$205^A24,IF(A24='Données projet'!$A$166,'Données projet'!$B$166,DO23+DN24-DW23)))</f>
        <v>72.2</v>
      </c>
      <c r="DP24" s="17">
        <f>DO24*VLOOKUP('Données projet'!$B$14,Paramètres!$A$1:$I$89,3,0)*VLOOKUP('Données projet'!$B$14,Paramètres!$A$1:$I$89,5,0)</f>
        <v>43.175600000000003</v>
      </c>
      <c r="DQ24" s="13">
        <f t="shared" si="43"/>
        <v>12.836561291924522</v>
      </c>
      <c r="DR24" s="20">
        <f t="shared" si="16"/>
        <v>97.554514250101889</v>
      </c>
      <c r="DS24" s="59">
        <f t="shared" si="17"/>
        <v>390.88784758343519</v>
      </c>
      <c r="DT24" s="59">
        <f ca="1">AVERAGE(OFFSET($DS$3,0,0,'Données projet'!$E$14+1,1))-AVERAGE(OFFSET($H$3,0,0,'Données projet'!$E$14+1,1))</f>
        <v>165.39579887388538</v>
      </c>
      <c r="DU24" s="59">
        <f t="shared" si="44"/>
        <v>155.89639262545802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>
        <f>EXP(-LN(2)/35)*EA23+(1-EXP(-LN(2)/35))/(LN(2)/35)*DW24*DX24*VLOOKUP('Données projet'!$B$14,Paramètres!$A$1:$I$89,3,0)*0.475*44/12</f>
        <v>0</v>
      </c>
      <c r="EB24" s="21">
        <f>EXP(-LN(2)/25)*EB23+(1-EXP(-LN(2)/25))/(LN(2)/25)*Calculateur!DW24*Calculateur!DY24*VLOOKUP('Données projet'!$B$14,Paramètres!$A$1:$I$89,3,0)*0.475*44/12</f>
        <v>0</v>
      </c>
      <c r="EC24" s="21">
        <f>EXP(-LN(2)/2)*EC23+(1-EXP(-LN(2)/2))/(LN(2)/2)*DW24*DZ24*VLOOKUP('Données projet'!$B$14,Paramètres!$A$1:$I$89,3,0)*0.475*44/12</f>
        <v>0</v>
      </c>
      <c r="ED24" s="22">
        <f t="shared" si="18"/>
        <v>0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1.2</v>
      </c>
      <c r="EJ24" s="12">
        <f>IF('Données projet'!$A$192&gt;35,EJ23+EI24-ER23,IF(A24&lt;'Données projet'!$A$192,$EG$205^A24,IF(A24='Données projet'!$A$192,'Données projet'!$B$192,EJ23+EI24-ER23)))</f>
        <v>17.409321838276906</v>
      </c>
      <c r="EK24" s="17">
        <f>EJ24*VLOOKUP('Données projet'!$B$15,Paramètres!$A$1:$I$89,3,0)*VLOOKUP('Données projet'!$B$15,Paramètres!$A$1:$I$89,5,0)</f>
        <v>13.579271033855987</v>
      </c>
      <c r="EL24" s="13">
        <f t="shared" si="45"/>
        <v>4.6191461330704211</v>
      </c>
      <c r="EM24" s="20">
        <f t="shared" si="19"/>
        <v>31.69557656573016</v>
      </c>
      <c r="EN24" s="59">
        <f t="shared" si="20"/>
        <v>325.02890989906348</v>
      </c>
      <c r="EO24" s="59">
        <f ca="1">AVERAGE(OFFSET($EN$3,0,0,'Données projet'!$E$15+1,1))-AVERAGE(OFFSET($H$3,0,0,'Données projet'!$E$15+1,1))</f>
        <v>104.07220236158577</v>
      </c>
      <c r="EP24" s="59">
        <f t="shared" si="46"/>
        <v>34.162068257911756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>
        <f>EXP(-LN(2)/35)*EV23+(1-EXP(-LN(2)/35))/(LN(2)/35)*ER24*ES24*VLOOKUP('Données projet'!$B$15,Paramètres!$A$1:$I$89,3,0)*0.475*44/12</f>
        <v>0</v>
      </c>
      <c r="EW24" s="21">
        <f>EXP(-LN(2)/25)*EW23+(1-EXP(-LN(2)/25))/(LN(2)/25)*Calculateur!ER24*Calculateur!ET24*VLOOKUP('Données projet'!$B$15,Paramètres!$A$1:$I$89,3,0)*0.475*44/12</f>
        <v>0</v>
      </c>
      <c r="EX24" s="21">
        <f>EXP(-LN(2)/2)*EX23+(1-EXP(-LN(2)/2))/(LN(2)/2)*ER24*EU24*VLOOKUP('Données projet'!$B$15,Paramètres!$A$1:$I$89,3,0)*0.475*44/12</f>
        <v>0</v>
      </c>
      <c r="EY24" s="22">
        <f t="shared" si="21"/>
        <v>0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7.6</v>
      </c>
      <c r="FE24" s="12">
        <f>IF('Données projet'!$A$218&gt;35,FE23+FD24-FM23,IF(A24&lt;'Données projet'!$A$218,$FB$205^A24,IF(A24='Données projet'!$A$218,'Données projet'!$B$218,FE23+FD24-FM23)))</f>
        <v>129.60000000000005</v>
      </c>
      <c r="FF24" s="17">
        <f>FE24*VLOOKUP('Données projet'!$B$16,Paramètres!$A$1:$I$89,3,0)*VLOOKUP('Données projet'!$B$16,Paramètres!$A$1:$I$89,5,0)</f>
        <v>117.26208000000004</v>
      </c>
      <c r="FG24" s="13">
        <f t="shared" si="47"/>
        <v>31.035569170075775</v>
      </c>
      <c r="FH24" s="20">
        <f t="shared" si="22"/>
        <v>258.28507230454869</v>
      </c>
      <c r="FI24" s="59">
        <f t="shared" si="23"/>
        <v>551.61840563788201</v>
      </c>
      <c r="FJ24" s="59">
        <f ca="1">AVERAGE(OFFSET($FI$3,0,0,'Données projet'!$E$16+1,1))-AVERAGE(OFFSET($H$3,0,0,'Données projet'!$E$16+1,1))</f>
        <v>179.50097986986123</v>
      </c>
      <c r="FK24" s="59">
        <f t="shared" si="48"/>
        <v>287.11838730637578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>
        <f>EXP(-LN(2)/35)*FQ23+(1-EXP(-LN(2)/35))/(LN(2)/35)*FM24*FN24*VLOOKUP('Données projet'!$B$16,Paramètres!$A$1:$I$89,3,0)*0.475*44/12</f>
        <v>0</v>
      </c>
      <c r="FR24" s="21">
        <f>EXP(-LN(2)/25)*FR23+(1-EXP(-LN(2)/25))/(LN(2)/25)*Calculateur!FM24*Calculateur!FO24*VLOOKUP('Données projet'!$B$16,Paramètres!$A$1:$I$89,3,0)*0.475*44/12</f>
        <v>4.5702666668265355</v>
      </c>
      <c r="FS24" s="21">
        <f>EXP(-LN(2)/2)*FS23+(1-EXP(-LN(2)/2))/(LN(2)/2)*FM24*FP24*VLOOKUP('Données projet'!$B$16,Paramètres!$A$1:$I$89,3,0)*0.475*44/12</f>
        <v>4.0830393252167232</v>
      </c>
      <c r="FT24" s="22">
        <f t="shared" si="24"/>
        <v>8.6533059920432578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10.199999999999999</v>
      </c>
      <c r="FZ24" s="12">
        <f>IF('Données projet'!$A$244&gt;35,FZ23+FY24-GH23,IF(A24&lt;'Données projet'!$A$244,$FW$205^A24,IF(A24='Données projet'!$A$244,'Données projet'!$B$244,FZ23+FY24-GH23)))</f>
        <v>72.2</v>
      </c>
      <c r="GA24" s="17">
        <f>FZ24*VLOOKUP('Données projet'!$B$17,Paramètres!$A$1:$I$89,3,0)*VLOOKUP('Données projet'!$B$17,Paramètres!$A$1:$I$89,5,0)</f>
        <v>43.175600000000003</v>
      </c>
      <c r="GB24" s="13">
        <f t="shared" si="49"/>
        <v>12.836561291924522</v>
      </c>
      <c r="GC24" s="20">
        <f t="shared" si="25"/>
        <v>97.554514250101889</v>
      </c>
      <c r="GD24" s="59">
        <f t="shared" si="26"/>
        <v>390.88784758343519</v>
      </c>
      <c r="GE24" s="59">
        <f ca="1">AVERAGE(OFFSET($GD$3,0,0,'Données projet'!$E$17+1,1))-AVERAGE(OFFSET($H$3,0,0,'Données projet'!$E$17+1,1))</f>
        <v>165.39579887388538</v>
      </c>
      <c r="GF24" s="59">
        <f t="shared" si="50"/>
        <v>155.89639262545802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>
        <f>EXP(-LN(2)/35)*GL23+(1-EXP(-LN(2)/35))/(LN(2)/35)*GH24*GI24*VLOOKUP('Données projet'!$B$17,Paramètres!$A$1:$I$89,3,0)*0.475*44/12</f>
        <v>0</v>
      </c>
      <c r="GM24" s="21">
        <f>EXP(-LN(2)/25)*GM23+(1-EXP(-LN(2)/25))/(LN(2)/25)*Calculateur!GH24*Calculateur!GJ24*VLOOKUP('Données projet'!$B$17,Paramètres!$A$1:$I$89,3,0)*0.475*44/12</f>
        <v>0</v>
      </c>
      <c r="GN24" s="21">
        <f>EXP(-LN(2)/2)*GN23+(1-EXP(-LN(2)/2))/(LN(2)/2)*GH24*GK24*VLOOKUP('Données projet'!$B$17,Paramètres!$A$1:$I$89,3,0)*0.475*44/12</f>
        <v>0</v>
      </c>
      <c r="GO24" s="21">
        <f t="shared" si="27"/>
        <v>0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16.5</v>
      </c>
      <c r="N25" s="13">
        <f>IF('Données projet'!$A$36&gt;35,N24+M25-V24,IF(A25&lt;'Données projet'!$A$36,$K$205^A25,IF(A25='Données projet'!$A$36,'Données projet'!$B$36,N24+M25-V24)))</f>
        <v>107.99999999999999</v>
      </c>
      <c r="O25" s="13">
        <f>N25*VLOOKUP('Données projet'!$B$9,Paramètres!$A$1:$I$89,3,0)*VLOOKUP('Données projet'!$B$9,Paramètres!$A$1:$I$89,5,0)</f>
        <v>60.371999999999993</v>
      </c>
      <c r="P25" s="13">
        <f t="shared" si="33"/>
        <v>17.262288423858568</v>
      </c>
      <c r="Q25" s="20">
        <f t="shared" si="2"/>
        <v>135.21305233822034</v>
      </c>
      <c r="R25" s="59">
        <f t="shared" si="0"/>
        <v>428.54638567155365</v>
      </c>
      <c r="S25" s="59">
        <f ca="1">AVERAGE(OFFSET($R$3,0,0,'Données projet'!$E$9+1,1))-AVERAGE(OFFSET($H$3,0,0,'Données projet'!$E$9+1,1))</f>
        <v>235.10258076192054</v>
      </c>
      <c r="T25" s="59">
        <f t="shared" si="34"/>
        <v>233.47316052603765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3.8433248682224743</v>
      </c>
      <c r="AB25" s="21">
        <f>EXP(-LN(2)/2)*AB24+(1-EXP(-LN(2)/2))/(LN(2)/2)*V25*Y25*VLOOKUP('Données projet'!$B$9,Paramètres!$A$1:$I$89,3,0)*0.475*44/12</f>
        <v>3.1645892715864727</v>
      </c>
      <c r="AC25" s="22">
        <f t="shared" si="3"/>
        <v>7.0079141398089471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10.199999999999999</v>
      </c>
      <c r="AI25" s="13">
        <f>IF('Données projet'!$A$62&gt;35,AI24+AH25-AQ24,IF(A25&lt;'Données projet'!$A$62,$AF$205^A25,IF(A25='Données projet'!$A$62,'Données projet'!$B$62,AI24+AH25-AQ24)))</f>
        <v>93.4</v>
      </c>
      <c r="AJ25" s="13">
        <f>AI25*VLOOKUP('Données projet'!$B$10,Paramètres!$A$1:$I$89,3,0)*VLOOKUP('Données projet'!$B$10,Paramètres!$A$1:$I$89,5,0)</f>
        <v>81.594240000000013</v>
      </c>
      <c r="AK25" s="13">
        <f t="shared" si="35"/>
        <v>22.526535320646357</v>
      </c>
      <c r="AL25" s="20">
        <f t="shared" si="4"/>
        <v>181.34368368345909</v>
      </c>
      <c r="AM25" s="59">
        <f t="shared" si="5"/>
        <v>474.67701701679243</v>
      </c>
      <c r="AN25" s="59">
        <f ca="1">AVERAGE(OFFSET($AM$3,0,0,'Données projet'!$E$10+1,1))-AVERAGE(OFFSET($H$3,0,0,'Données projet'!$E$10+1,1))</f>
        <v>191.94797389630673</v>
      </c>
      <c r="AO25" s="59">
        <f t="shared" si="36"/>
        <v>273.52540822767878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3.1305628017521245</v>
      </c>
      <c r="AW25" s="21">
        <f>EXP(-LN(2)/2)*AW24+(1-EXP(-LN(2)/2))/(LN(2)/2)*AQ25*AT25*VLOOKUP('Données projet'!$B$10,Paramètres!$A$1:$I$89,3,0)*0.475*44/12</f>
        <v>3.2970604503970695</v>
      </c>
      <c r="AX25" s="21">
        <f t="shared" si="6"/>
        <v>6.4276232521491945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1.2</v>
      </c>
      <c r="BD25" s="12">
        <f>IF('Données projet'!$A$88&gt;35,BD24+BC25-BL24,IF(A25&lt;'Données projet'!$A$88,$BA$205^A25,IF(A25='Données projet'!$A$88,'Données projet'!$B$88,BD24+BC25-BL24)))</f>
        <v>19.946500129940819</v>
      </c>
      <c r="BE25" s="13">
        <f>BD25*VLOOKUP('Données projet'!$B$11,Paramètres!$A$1:$I$89,3,0)*VLOOKUP('Données projet'!$B$11,Paramètres!$A$1:$I$89,5,0)</f>
        <v>18.047593317570453</v>
      </c>
      <c r="BF25" s="13">
        <f t="shared" si="37"/>
        <v>5.9391480972072355</v>
      </c>
      <c r="BG25" s="20">
        <f t="shared" si="7"/>
        <v>41.776907964071142</v>
      </c>
      <c r="BH25" s="59">
        <f t="shared" si="8"/>
        <v>335.11024129740446</v>
      </c>
      <c r="BI25" s="59">
        <f ca="1">AVERAGE(OFFSET($BH$3,0,0,'Données projet'!$E$11+1,1))-AVERAGE(OFFSET($H$3,0,0,'Données projet'!$E$11+1,1))</f>
        <v>138.8931001150624</v>
      </c>
      <c r="BJ25" s="59">
        <f t="shared" si="38"/>
        <v>48.964659354096625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1.2</v>
      </c>
      <c r="BY25" s="12">
        <f>IF('Données projet'!$A$114&gt;35,BY24+BX25-CG24,IF(A25&lt;'Données projet'!$A$114,$BV$205^A25,IF(A25='Données projet'!$A$114,'Données projet'!$B$114,BY24+BX25-CG24)))</f>
        <v>19.946500129940819</v>
      </c>
      <c r="BZ25" s="13">
        <f>BY25*VLOOKUP('Données projet'!$B$12,Paramètres!$A$1:$I$89,3,0)*VLOOKUP('Données projet'!$B$12,Paramètres!$A$1:$I$89,5,0)</f>
        <v>20.225751131759992</v>
      </c>
      <c r="CA25" s="13">
        <f t="shared" si="39"/>
        <v>6.5682461766784241</v>
      </c>
      <c r="CB25" s="20">
        <f t="shared" si="10"/>
        <v>46.666211978863579</v>
      </c>
      <c r="CC25" s="59">
        <f t="shared" si="11"/>
        <v>339.99954531219691</v>
      </c>
      <c r="CD25" s="59">
        <f ca="1">AVERAGE(OFFSET($CC$3,0,0,'Données projet'!$E$12+1,1))-AVERAGE(OFFSET($H$3,0,0,'Données projet'!$E$12+1,1))</f>
        <v>169.2757878405003</v>
      </c>
      <c r="CE25" s="59">
        <f t="shared" si="40"/>
        <v>61.876502626609977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9.9</v>
      </c>
      <c r="CT25" s="12">
        <f>IF('Données projet'!$A$140&gt;35,CT24+CS25-DB24,IF(A25&lt;'Données projet'!$A$140,$CQ$205^A25,IF(A25='Données projet'!$A$140,'Données projet'!$B$140,CT24+CS25-DB24)))</f>
        <v>55.800000000000004</v>
      </c>
      <c r="CU25" s="17">
        <f>CT25*VLOOKUP('Données projet'!$B$13,Paramètres!$A$1:$I$89,3,0)*VLOOKUP('Données projet'!$B$13,Paramètres!$A$1:$I$89,5,0)</f>
        <v>44.394480000000001</v>
      </c>
      <c r="CV25" s="13">
        <f t="shared" si="41"/>
        <v>13.1562447968447</v>
      </c>
      <c r="CW25" s="20">
        <f t="shared" si="13"/>
        <v>100.2341790211712</v>
      </c>
      <c r="CX25" s="59">
        <f t="shared" si="14"/>
        <v>393.56751235450452</v>
      </c>
      <c r="CY25" s="59">
        <f ca="1">AVERAGE(OFFSET($CX$3,0,0,'Données projet'!$E$13+1,1))-AVERAGE(OFFSET($H$3,0,0,'Données projet'!$E$13+1,1))</f>
        <v>141.12810728817544</v>
      </c>
      <c r="CZ25" s="59">
        <f t="shared" si="42"/>
        <v>176.01405805137551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>
        <f>EXP(-LN(2)/35)*DF24+(1-EXP(-LN(2)/35))/(LN(2)/35)*DB25*DC25*VLOOKUP('Données projet'!$B$13,Paramètres!$A$1:$I$89,3,0)*0.475*44/12</f>
        <v>0</v>
      </c>
      <c r="DG25" s="21">
        <f>EXP(-LN(2)/25)*DG24+(1-EXP(-LN(2)/25))/(LN(2)/25)*Calculateur!DB25*Calculateur!DD25*VLOOKUP('Données projet'!$B$13,Paramètres!$A$1:$I$89,3,0)*0.475*44/12</f>
        <v>2.3061168022717999</v>
      </c>
      <c r="DH25" s="21">
        <f>EXP(-LN(2)/2)*DH24+(1-EXP(-LN(2)/2))/(LN(2)/2)*DB25*DE25*VLOOKUP('Données projet'!$B$13,Paramètres!$A$1:$I$89,3,0)*0.475*44/12</f>
        <v>1.9705087848076233</v>
      </c>
      <c r="DI25" s="22">
        <f t="shared" si="15"/>
        <v>4.2766255870794234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10.199999999999999</v>
      </c>
      <c r="DO25" s="12">
        <f>IF('Données projet'!$A$166&gt;35,DO24+DN25-DW24,IF(A25&lt;'Données projet'!$A$166,$DL$205^A25,IF(A25='Données projet'!$A$166,'Données projet'!$B$166,DO24+DN25-DW24)))</f>
        <v>82.4</v>
      </c>
      <c r="DP25" s="17">
        <f>DO25*VLOOKUP('Données projet'!$B$14,Paramètres!$A$1:$I$89,3,0)*VLOOKUP('Données projet'!$B$14,Paramètres!$A$1:$I$89,5,0)</f>
        <v>49.275200000000005</v>
      </c>
      <c r="DQ25" s="13">
        <f t="shared" si="43"/>
        <v>14.426418124326277</v>
      </c>
      <c r="DR25" s="20">
        <f t="shared" si="16"/>
        <v>110.94698489986827</v>
      </c>
      <c r="DS25" s="59">
        <f t="shared" si="17"/>
        <v>404.28031823320157</v>
      </c>
      <c r="DT25" s="59">
        <f ca="1">AVERAGE(OFFSET($DS$3,0,0,'Données projet'!$E$14+1,1))-AVERAGE(OFFSET($H$3,0,0,'Données projet'!$E$14+1,1))</f>
        <v>165.39579887388538</v>
      </c>
      <c r="DU25" s="59">
        <f t="shared" si="44"/>
        <v>155.89639262545802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>
        <f>EXP(-LN(2)/35)*EA24+(1-EXP(-LN(2)/35))/(LN(2)/35)*DW25*DX25*VLOOKUP('Données projet'!$B$14,Paramètres!$A$1:$I$89,3,0)*0.475*44/12</f>
        <v>0</v>
      </c>
      <c r="EB25" s="21">
        <f>EXP(-LN(2)/25)*EB24+(1-EXP(-LN(2)/25))/(LN(2)/25)*Calculateur!DW25*Calculateur!DY25*VLOOKUP('Données projet'!$B$14,Paramètres!$A$1:$I$89,3,0)*0.475*44/12</f>
        <v>0</v>
      </c>
      <c r="EC25" s="21">
        <f>EXP(-LN(2)/2)*EC24+(1-EXP(-LN(2)/2))/(LN(2)/2)*DW25*DZ25*VLOOKUP('Données projet'!$B$14,Paramètres!$A$1:$I$89,3,0)*0.475*44/12</f>
        <v>0</v>
      </c>
      <c r="ED25" s="22">
        <f t="shared" si="18"/>
        <v>0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1.2</v>
      </c>
      <c r="EJ25" s="12">
        <f>IF('Données projet'!$A$192&gt;35,EJ24+EI25-ER24,IF(A25&lt;'Données projet'!$A$192,$EG$205^A25,IF(A25='Données projet'!$A$192,'Données projet'!$B$192,EJ24+EI25-ER24)))</f>
        <v>19.946500129940819</v>
      </c>
      <c r="EK25" s="17">
        <f>EJ25*VLOOKUP('Données projet'!$B$15,Paramètres!$A$1:$I$89,3,0)*VLOOKUP('Données projet'!$B$15,Paramètres!$A$1:$I$89,5,0)</f>
        <v>15.558270101353839</v>
      </c>
      <c r="EL25" s="13">
        <f t="shared" si="45"/>
        <v>5.2091765350901511</v>
      </c>
      <c r="EM25" s="20">
        <f t="shared" si="19"/>
        <v>36.169969558473291</v>
      </c>
      <c r="EN25" s="59">
        <f t="shared" si="20"/>
        <v>329.50330289180658</v>
      </c>
      <c r="EO25" s="59">
        <f ca="1">AVERAGE(OFFSET($EN$3,0,0,'Données projet'!$E$15+1,1))-AVERAGE(OFFSET($H$3,0,0,'Données projet'!$E$15+1,1))</f>
        <v>104.07220236158577</v>
      </c>
      <c r="EP25" s="59">
        <f t="shared" si="46"/>
        <v>34.162068257911756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>
        <f>EXP(-LN(2)/35)*EV24+(1-EXP(-LN(2)/35))/(LN(2)/35)*ER25*ES25*VLOOKUP('Données projet'!$B$15,Paramètres!$A$1:$I$89,3,0)*0.475*44/12</f>
        <v>0</v>
      </c>
      <c r="EW25" s="21">
        <f>EXP(-LN(2)/25)*EW24+(1-EXP(-LN(2)/25))/(LN(2)/25)*Calculateur!ER25*Calculateur!ET25*VLOOKUP('Données projet'!$B$15,Paramètres!$A$1:$I$89,3,0)*0.475*44/12</f>
        <v>0</v>
      </c>
      <c r="EX25" s="21">
        <f>EXP(-LN(2)/2)*EX24+(1-EXP(-LN(2)/2))/(LN(2)/2)*ER25*EU25*VLOOKUP('Données projet'!$B$15,Paramètres!$A$1:$I$89,3,0)*0.475*44/12</f>
        <v>0</v>
      </c>
      <c r="EY25" s="22">
        <f t="shared" si="21"/>
        <v>0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7.6</v>
      </c>
      <c r="FE25" s="12">
        <f>IF('Données projet'!$A$218&gt;35,FE24+FD25-FM24,IF(A25&lt;'Données projet'!$A$218,$FB$205^A25,IF(A25='Données projet'!$A$218,'Données projet'!$B$218,FE24+FD25-FM24)))</f>
        <v>137.20000000000005</v>
      </c>
      <c r="FF25" s="17">
        <f>FE25*VLOOKUP('Données projet'!$B$16,Paramètres!$A$1:$I$89,3,0)*VLOOKUP('Données projet'!$B$16,Paramètres!$A$1:$I$89,5,0)</f>
        <v>124.13856000000004</v>
      </c>
      <c r="FG25" s="13">
        <f t="shared" si="47"/>
        <v>32.638337418918006</v>
      </c>
      <c r="FH25" s="20">
        <f t="shared" si="22"/>
        <v>273.05309633794894</v>
      </c>
      <c r="FI25" s="59">
        <f t="shared" si="23"/>
        <v>566.38642967128226</v>
      </c>
      <c r="FJ25" s="59">
        <f ca="1">AVERAGE(OFFSET($FI$3,0,0,'Données projet'!$E$16+1,1))-AVERAGE(OFFSET($H$3,0,0,'Données projet'!$E$16+1,1))</f>
        <v>179.50097986986123</v>
      </c>
      <c r="FK25" s="59">
        <f t="shared" si="48"/>
        <v>287.11838730637578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>
        <f>EXP(-LN(2)/35)*FQ24+(1-EXP(-LN(2)/35))/(LN(2)/35)*FM25*FN25*VLOOKUP('Données projet'!$B$16,Paramètres!$A$1:$I$89,3,0)*0.475*44/12</f>
        <v>0</v>
      </c>
      <c r="FR25" s="21">
        <f>EXP(-LN(2)/25)*FR24+(1-EXP(-LN(2)/25))/(LN(2)/25)*Calculateur!FM25*Calculateur!FO25*VLOOKUP('Données projet'!$B$16,Paramètres!$A$1:$I$89,3,0)*0.475*44/12</f>
        <v>4.4452924844822856</v>
      </c>
      <c r="FS25" s="21">
        <f>EXP(-LN(2)/2)*FS24+(1-EXP(-LN(2)/2))/(LN(2)/2)*FM25*FP25*VLOOKUP('Données projet'!$B$16,Paramètres!$A$1:$I$89,3,0)*0.475*44/12</f>
        <v>2.8871447947120905</v>
      </c>
      <c r="FT25" s="22">
        <f t="shared" si="24"/>
        <v>7.3324372791943766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10.199999999999999</v>
      </c>
      <c r="FZ25" s="12">
        <f>IF('Données projet'!$A$244&gt;35,FZ24+FY25-GH24,IF(A25&lt;'Données projet'!$A$244,$FW$205^A25,IF(A25='Données projet'!$A$244,'Données projet'!$B$244,FZ24+FY25-GH24)))</f>
        <v>82.4</v>
      </c>
      <c r="GA25" s="17">
        <f>FZ25*VLOOKUP('Données projet'!$B$17,Paramètres!$A$1:$I$89,3,0)*VLOOKUP('Données projet'!$B$17,Paramètres!$A$1:$I$89,5,0)</f>
        <v>49.275200000000005</v>
      </c>
      <c r="GB25" s="13">
        <f t="shared" si="49"/>
        <v>14.426418124326277</v>
      </c>
      <c r="GC25" s="20">
        <f t="shared" si="25"/>
        <v>110.94698489986827</v>
      </c>
      <c r="GD25" s="59">
        <f t="shared" si="26"/>
        <v>404.28031823320157</v>
      </c>
      <c r="GE25" s="59">
        <f ca="1">AVERAGE(OFFSET($GD$3,0,0,'Données projet'!$E$17+1,1))-AVERAGE(OFFSET($H$3,0,0,'Données projet'!$E$17+1,1))</f>
        <v>165.39579887388538</v>
      </c>
      <c r="GF25" s="59">
        <f t="shared" si="50"/>
        <v>155.89639262545802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>
        <f>EXP(-LN(2)/35)*GL24+(1-EXP(-LN(2)/35))/(LN(2)/35)*GH25*GI25*VLOOKUP('Données projet'!$B$17,Paramètres!$A$1:$I$89,3,0)*0.475*44/12</f>
        <v>0</v>
      </c>
      <c r="GM25" s="21">
        <f>EXP(-LN(2)/25)*GM24+(1-EXP(-LN(2)/25))/(LN(2)/25)*Calculateur!GH25*Calculateur!GJ25*VLOOKUP('Données projet'!$B$17,Paramètres!$A$1:$I$89,3,0)*0.475*44/12</f>
        <v>0</v>
      </c>
      <c r="GN25" s="21">
        <f>EXP(-LN(2)/2)*GN24+(1-EXP(-LN(2)/2))/(LN(2)/2)*GH25*GK25*VLOOKUP('Données projet'!$B$17,Paramètres!$A$1:$I$89,3,0)*0.475*44/12</f>
        <v>0</v>
      </c>
      <c r="GO25" s="21">
        <f t="shared" si="27"/>
        <v>0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16.5</v>
      </c>
      <c r="N26" s="13">
        <f>IF('Données projet'!$A$36&gt;35,N25+M26-V25,IF(A26&lt;'Données projet'!$A$36,$K$205^A26,IF(A26='Données projet'!$A$36,'Données projet'!$B$36,N25+M26-V25)))</f>
        <v>124.49999999999999</v>
      </c>
      <c r="O26" s="13">
        <f>N26*VLOOKUP('Données projet'!$B$9,Paramètres!$A$1:$I$89,3,0)*VLOOKUP('Données projet'!$B$9,Paramètres!$A$1:$I$89,5,0)</f>
        <v>69.595500000000001</v>
      </c>
      <c r="P26" s="13">
        <f t="shared" si="33"/>
        <v>19.572972108970312</v>
      </c>
      <c r="Q26" s="20">
        <f t="shared" si="2"/>
        <v>155.30175558978996</v>
      </c>
      <c r="R26" s="59">
        <f t="shared" si="0"/>
        <v>448.63508892312325</v>
      </c>
      <c r="S26" s="59">
        <f ca="1">AVERAGE(OFFSET($R$3,0,0,'Données projet'!$E$9+1,1))-AVERAGE(OFFSET($H$3,0,0,'Données projet'!$E$9+1,1))</f>
        <v>235.10258076192054</v>
      </c>
      <c r="T26" s="59">
        <f t="shared" si="34"/>
        <v>233.47316052603765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3.7382289475892598</v>
      </c>
      <c r="AB26" s="21">
        <f>EXP(-LN(2)/2)*AB25+(1-EXP(-LN(2)/2))/(LN(2)/2)*V26*Y26*VLOOKUP('Données projet'!$B$9,Paramètres!$A$1:$I$89,3,0)*0.475*44/12</f>
        <v>2.2377025336089917</v>
      </c>
      <c r="AC26" s="22">
        <f t="shared" si="3"/>
        <v>5.975931481198252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10.199999999999999</v>
      </c>
      <c r="AI26" s="13">
        <f>IF('Données projet'!$A$62&gt;35,AI25+AH26-AQ25,IF(A26&lt;'Données projet'!$A$62,$AF$205^A26,IF(A26='Données projet'!$A$62,'Données projet'!$B$62,AI25+AH26-AQ25)))</f>
        <v>103.60000000000001</v>
      </c>
      <c r="AJ26" s="13">
        <f>AI26*VLOOKUP('Données projet'!$B$10,Paramètres!$A$1:$I$89,3,0)*VLOOKUP('Données projet'!$B$10,Paramètres!$A$1:$I$89,5,0)</f>
        <v>90.504960000000025</v>
      </c>
      <c r="AK26" s="13">
        <f t="shared" si="35"/>
        <v>24.686969501776463</v>
      </c>
      <c r="AL26" s="20">
        <f t="shared" si="4"/>
        <v>200.62594388226071</v>
      </c>
      <c r="AM26" s="59">
        <f t="shared" si="5"/>
        <v>493.95927721559406</v>
      </c>
      <c r="AN26" s="59">
        <f ca="1">AVERAGE(OFFSET($AM$3,0,0,'Données projet'!$E$10+1,1))-AVERAGE(OFFSET($H$3,0,0,'Données projet'!$E$10+1,1))</f>
        <v>191.94797389630673</v>
      </c>
      <c r="AO26" s="59">
        <f t="shared" si="36"/>
        <v>273.52540822767878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3.0449573973090698</v>
      </c>
      <c r="AW26" s="21">
        <f>EXP(-LN(2)/2)*AW25+(1-EXP(-LN(2)/2))/(LN(2)/2)*AQ26*AT26*VLOOKUP('Données projet'!$B$10,Paramètres!$A$1:$I$89,3,0)*0.475*44/12</f>
        <v>2.3313738024577408</v>
      </c>
      <c r="AX26" s="21">
        <f t="shared" si="6"/>
        <v>5.3763311997668106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1.2</v>
      </c>
      <c r="BD26" s="12">
        <f>IF('Données projet'!$A$88&gt;35,BD25+BC26-BL25,IF(A26&lt;'Données projet'!$A$88,$BA$205^A26,IF(A26='Données projet'!$A$88,'Données projet'!$B$88,BD25+BC26-BL25)))</f>
        <v>22.853438584779923</v>
      </c>
      <c r="BE26" s="13">
        <f>BD26*VLOOKUP('Données projet'!$B$11,Paramètres!$A$1:$I$89,3,0)*VLOOKUP('Données projet'!$B$11,Paramètres!$A$1:$I$89,5,0)</f>
        <v>20.677791231508873</v>
      </c>
      <c r="BF26" s="13">
        <f t="shared" si="37"/>
        <v>6.6977900276630162</v>
      </c>
      <c r="BG26" s="20">
        <f t="shared" si="7"/>
        <v>47.679137359724372</v>
      </c>
      <c r="BH26" s="59">
        <f t="shared" si="8"/>
        <v>341.01247069305771</v>
      </c>
      <c r="BI26" s="59">
        <f ca="1">AVERAGE(OFFSET($BH$3,0,0,'Données projet'!$E$11+1,1))-AVERAGE(OFFSET($H$3,0,0,'Données projet'!$E$11+1,1))</f>
        <v>138.8931001150624</v>
      </c>
      <c r="BJ26" s="59">
        <f t="shared" si="38"/>
        <v>48.964659354096625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1.2</v>
      </c>
      <c r="BY26" s="12">
        <f>IF('Données projet'!$A$114&gt;35,BY25+BX26-CG25,IF(A26&lt;'Données projet'!$A$114,$BV$205^A26,IF(A26='Données projet'!$A$114,'Données projet'!$B$114,BY25+BX26-CG25)))</f>
        <v>22.853438584779923</v>
      </c>
      <c r="BZ26" s="13">
        <f>BY26*VLOOKUP('Données projet'!$B$12,Paramètres!$A$1:$I$89,3,0)*VLOOKUP('Données projet'!$B$12,Paramètres!$A$1:$I$89,5,0)</f>
        <v>23.173386724966843</v>
      </c>
      <c r="CA26" s="13">
        <f t="shared" si="39"/>
        <v>7.4072464638622444</v>
      </c>
      <c r="CB26" s="20">
        <f t="shared" si="10"/>
        <v>53.261269470543994</v>
      </c>
      <c r="CC26" s="59">
        <f t="shared" si="11"/>
        <v>346.59460280387731</v>
      </c>
      <c r="CD26" s="59">
        <f ca="1">AVERAGE(OFFSET($CC$3,0,0,'Données projet'!$E$12+1,1))-AVERAGE(OFFSET($H$3,0,0,'Données projet'!$E$12+1,1))</f>
        <v>169.2757878405003</v>
      </c>
      <c r="CE26" s="59">
        <f t="shared" si="40"/>
        <v>61.876502626609977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9.9</v>
      </c>
      <c r="CT26" s="12">
        <f>IF('Données projet'!$A$140&gt;35,CT25+CS26-DB25,IF(A26&lt;'Données projet'!$A$140,$CQ$205^A26,IF(A26='Données projet'!$A$140,'Données projet'!$B$140,CT25+CS26-DB25)))</f>
        <v>65.7</v>
      </c>
      <c r="CU26" s="17">
        <f>CT26*VLOOKUP('Données projet'!$B$13,Paramètres!$A$1:$I$89,3,0)*VLOOKUP('Données projet'!$B$13,Paramètres!$A$1:$I$89,5,0)</f>
        <v>52.270920000000011</v>
      </c>
      <c r="CV26" s="13">
        <f t="shared" si="41"/>
        <v>15.198709986876882</v>
      </c>
      <c r="CW26" s="20">
        <f t="shared" si="13"/>
        <v>117.50960556047725</v>
      </c>
      <c r="CX26" s="59">
        <f t="shared" si="14"/>
        <v>410.84293889381058</v>
      </c>
      <c r="CY26" s="59">
        <f ca="1">AVERAGE(OFFSET($CX$3,0,0,'Données projet'!$E$13+1,1))-AVERAGE(OFFSET($H$3,0,0,'Données projet'!$E$13+1,1))</f>
        <v>141.12810728817544</v>
      </c>
      <c r="CZ26" s="59">
        <f t="shared" si="42"/>
        <v>176.01405805137551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>
        <f>EXP(-LN(2)/35)*DF25+(1-EXP(-LN(2)/35))/(LN(2)/35)*DB26*DC26*VLOOKUP('Données projet'!$B$13,Paramètres!$A$1:$I$89,3,0)*0.475*44/12</f>
        <v>0</v>
      </c>
      <c r="DG26" s="21">
        <f>EXP(-LN(2)/25)*DG25+(1-EXP(-LN(2)/25))/(LN(2)/25)*Calculateur!DB26*Calculateur!DD26*VLOOKUP('Données projet'!$B$13,Paramètres!$A$1:$I$89,3,0)*0.475*44/12</f>
        <v>2.2430559170402655</v>
      </c>
      <c r="DH26" s="21">
        <f>EXP(-LN(2)/2)*DH25+(1-EXP(-LN(2)/2))/(LN(2)/2)*DB26*DE26*VLOOKUP('Données projet'!$B$13,Paramètres!$A$1:$I$89,3,0)*0.475*44/12</f>
        <v>1.3933601241251339</v>
      </c>
      <c r="DI26" s="22">
        <f t="shared" si="15"/>
        <v>3.6364160411653996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10.199999999999999</v>
      </c>
      <c r="DO26" s="12">
        <f>IF('Données projet'!$A$166&gt;35,DO25+DN26-DW25,IF(A26&lt;'Données projet'!$A$166,$DL$205^A26,IF(A26='Données projet'!$A$166,'Données projet'!$B$166,DO25+DN26-DW25)))</f>
        <v>92.600000000000009</v>
      </c>
      <c r="DP26" s="17">
        <f>DO26*VLOOKUP('Données projet'!$B$14,Paramètres!$A$1:$I$89,3,0)*VLOOKUP('Données projet'!$B$14,Paramètres!$A$1:$I$89,5,0)</f>
        <v>55.374800000000008</v>
      </c>
      <c r="DQ26" s="13">
        <f t="shared" si="43"/>
        <v>15.99346995700764</v>
      </c>
      <c r="DR26" s="20">
        <f t="shared" si="16"/>
        <v>124.29973684178829</v>
      </c>
      <c r="DS26" s="59">
        <f t="shared" si="17"/>
        <v>417.63307017512159</v>
      </c>
      <c r="DT26" s="59">
        <f ca="1">AVERAGE(OFFSET($DS$3,0,0,'Données projet'!$E$14+1,1))-AVERAGE(OFFSET($H$3,0,0,'Données projet'!$E$14+1,1))</f>
        <v>165.39579887388538</v>
      </c>
      <c r="DU26" s="59">
        <f t="shared" si="44"/>
        <v>155.89639262545802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>
        <f>EXP(-LN(2)/35)*EA25+(1-EXP(-LN(2)/35))/(LN(2)/35)*DW26*DX26*VLOOKUP('Données projet'!$B$14,Paramètres!$A$1:$I$89,3,0)*0.475*44/12</f>
        <v>0</v>
      </c>
      <c r="EB26" s="21">
        <f>EXP(-LN(2)/25)*EB25+(1-EXP(-LN(2)/25))/(LN(2)/25)*Calculateur!DW26*Calculateur!DY26*VLOOKUP('Données projet'!$B$14,Paramètres!$A$1:$I$89,3,0)*0.475*44/12</f>
        <v>0</v>
      </c>
      <c r="EC26" s="21">
        <f>EXP(-LN(2)/2)*EC25+(1-EXP(-LN(2)/2))/(LN(2)/2)*DW26*DZ26*VLOOKUP('Données projet'!$B$14,Paramètres!$A$1:$I$89,3,0)*0.475*44/12</f>
        <v>0</v>
      </c>
      <c r="ED26" s="22">
        <f t="shared" si="18"/>
        <v>0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1.2</v>
      </c>
      <c r="EJ26" s="12">
        <f>IF('Données projet'!$A$192&gt;35,EJ25+EI26-ER25,IF(A26&lt;'Données projet'!$A$192,$EG$205^A26,IF(A26='Données projet'!$A$192,'Données projet'!$B$192,EJ25+EI26-ER25)))</f>
        <v>22.853438584779923</v>
      </c>
      <c r="EK26" s="17">
        <f>EJ26*VLOOKUP('Données projet'!$B$15,Paramètres!$A$1:$I$89,3,0)*VLOOKUP('Données projet'!$B$15,Paramètres!$A$1:$I$89,5,0)</f>
        <v>17.82568209612834</v>
      </c>
      <c r="EL26" s="13">
        <f t="shared" si="45"/>
        <v>5.8745749521668449</v>
      </c>
      <c r="EM26" s="20">
        <f t="shared" si="19"/>
        <v>41.277947692447448</v>
      </c>
      <c r="EN26" s="59">
        <f t="shared" si="20"/>
        <v>334.61128102578078</v>
      </c>
      <c r="EO26" s="59">
        <f ca="1">AVERAGE(OFFSET($EN$3,0,0,'Données projet'!$E$15+1,1))-AVERAGE(OFFSET($H$3,0,0,'Données projet'!$E$15+1,1))</f>
        <v>104.07220236158577</v>
      </c>
      <c r="EP26" s="59">
        <f t="shared" si="46"/>
        <v>34.162068257911756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>
        <f>EXP(-LN(2)/35)*EV25+(1-EXP(-LN(2)/35))/(LN(2)/35)*ER26*ES26*VLOOKUP('Données projet'!$B$15,Paramètres!$A$1:$I$89,3,0)*0.475*44/12</f>
        <v>0</v>
      </c>
      <c r="EW26" s="21">
        <f>EXP(-LN(2)/25)*EW25+(1-EXP(-LN(2)/25))/(LN(2)/25)*Calculateur!ER26*Calculateur!ET26*VLOOKUP('Données projet'!$B$15,Paramètres!$A$1:$I$89,3,0)*0.475*44/12</f>
        <v>0</v>
      </c>
      <c r="EX26" s="21">
        <f>EXP(-LN(2)/2)*EX25+(1-EXP(-LN(2)/2))/(LN(2)/2)*ER26*EU26*VLOOKUP('Données projet'!$B$15,Paramètres!$A$1:$I$89,3,0)*0.475*44/12</f>
        <v>0</v>
      </c>
      <c r="EY26" s="22">
        <f t="shared" si="21"/>
        <v>0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7.6</v>
      </c>
      <c r="FE26" s="12">
        <f>IF('Données projet'!$A$218&gt;35,FE25+FD26-FM25,IF(A26&lt;'Données projet'!$A$218,$FB$205^A26,IF(A26='Données projet'!$A$218,'Données projet'!$B$218,FE25+FD26-FM25)))</f>
        <v>144.80000000000004</v>
      </c>
      <c r="FF26" s="17">
        <f>FE26*VLOOKUP('Données projet'!$B$16,Paramètres!$A$1:$I$89,3,0)*VLOOKUP('Données projet'!$B$16,Paramètres!$A$1:$I$89,5,0)</f>
        <v>131.01504000000003</v>
      </c>
      <c r="FG26" s="13">
        <f t="shared" si="47"/>
        <v>34.230798998779804</v>
      </c>
      <c r="FH26" s="20">
        <f t="shared" si="22"/>
        <v>287.80316958954154</v>
      </c>
      <c r="FI26" s="59">
        <f t="shared" si="23"/>
        <v>581.1365029228748</v>
      </c>
      <c r="FJ26" s="59">
        <f ca="1">AVERAGE(OFFSET($FI$3,0,0,'Données projet'!$E$16+1,1))-AVERAGE(OFFSET($H$3,0,0,'Données projet'!$E$16+1,1))</f>
        <v>179.50097986986123</v>
      </c>
      <c r="FK26" s="59">
        <f t="shared" si="48"/>
        <v>287.11838730637578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>
        <f>EXP(-LN(2)/35)*FQ25+(1-EXP(-LN(2)/35))/(LN(2)/35)*FM26*FN26*VLOOKUP('Données projet'!$B$16,Paramètres!$A$1:$I$89,3,0)*0.475*44/12</f>
        <v>0</v>
      </c>
      <c r="FR26" s="21">
        <f>EXP(-LN(2)/25)*FR25+(1-EXP(-LN(2)/25))/(LN(2)/25)*Calculateur!FM26*Calculateur!FO26*VLOOKUP('Données projet'!$B$16,Paramètres!$A$1:$I$89,3,0)*0.475*44/12</f>
        <v>4.323735727726346</v>
      </c>
      <c r="FS26" s="21">
        <f>EXP(-LN(2)/2)*FS25+(1-EXP(-LN(2)/2))/(LN(2)/2)*FM26*FP26*VLOOKUP('Données projet'!$B$16,Paramètres!$A$1:$I$89,3,0)*0.475*44/12</f>
        <v>2.041519662608362</v>
      </c>
      <c r="FT26" s="22">
        <f t="shared" si="24"/>
        <v>6.365255390334708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10.199999999999999</v>
      </c>
      <c r="FZ26" s="12">
        <f>IF('Données projet'!$A$244&gt;35,FZ25+FY26-GH25,IF(A26&lt;'Données projet'!$A$244,$FW$205^A26,IF(A26='Données projet'!$A$244,'Données projet'!$B$244,FZ25+FY26-GH25)))</f>
        <v>92.600000000000009</v>
      </c>
      <c r="GA26" s="17">
        <f>FZ26*VLOOKUP('Données projet'!$B$17,Paramètres!$A$1:$I$89,3,0)*VLOOKUP('Données projet'!$B$17,Paramètres!$A$1:$I$89,5,0)</f>
        <v>55.374800000000008</v>
      </c>
      <c r="GB26" s="13">
        <f t="shared" si="49"/>
        <v>15.99346995700764</v>
      </c>
      <c r="GC26" s="20">
        <f t="shared" si="25"/>
        <v>124.29973684178829</v>
      </c>
      <c r="GD26" s="59">
        <f t="shared" si="26"/>
        <v>417.63307017512159</v>
      </c>
      <c r="GE26" s="59">
        <f ca="1">AVERAGE(OFFSET($GD$3,0,0,'Données projet'!$E$17+1,1))-AVERAGE(OFFSET($H$3,0,0,'Données projet'!$E$17+1,1))</f>
        <v>165.39579887388538</v>
      </c>
      <c r="GF26" s="59">
        <f t="shared" si="50"/>
        <v>155.89639262545802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>
        <f>EXP(-LN(2)/35)*GL25+(1-EXP(-LN(2)/35))/(LN(2)/35)*GH26*GI26*VLOOKUP('Données projet'!$B$17,Paramètres!$A$1:$I$89,3,0)*0.475*44/12</f>
        <v>0</v>
      </c>
      <c r="GM26" s="21">
        <f>EXP(-LN(2)/25)*GM25+(1-EXP(-LN(2)/25))/(LN(2)/25)*Calculateur!GH26*Calculateur!GJ26*VLOOKUP('Données projet'!$B$17,Paramètres!$A$1:$I$89,3,0)*0.475*44/12</f>
        <v>0</v>
      </c>
      <c r="GN26" s="21">
        <f>EXP(-LN(2)/2)*GN25+(1-EXP(-LN(2)/2))/(LN(2)/2)*GH26*GK26*VLOOKUP('Données projet'!$B$17,Paramètres!$A$1:$I$89,3,0)*0.475*44/12</f>
        <v>0</v>
      </c>
      <c r="GO26" s="21">
        <f t="shared" si="27"/>
        <v>0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16.5</v>
      </c>
      <c r="N27" s="13">
        <f>IF('Données projet'!$A$36&gt;35,N26+M27-V26,IF(A27&lt;'Données projet'!$A$36,$K$205^A27,IF(A27='Données projet'!$A$36,'Données projet'!$B$36,N26+M27-V26)))</f>
        <v>141</v>
      </c>
      <c r="O27" s="13">
        <f>N27*VLOOKUP('Données projet'!$B$9,Paramètres!$A$1:$I$89,3,0)*VLOOKUP('Données projet'!$B$9,Paramètres!$A$1:$I$89,5,0)</f>
        <v>78.819000000000003</v>
      </c>
      <c r="P27" s="13">
        <f t="shared" si="33"/>
        <v>21.848174018657907</v>
      </c>
      <c r="Q27" s="20">
        <f t="shared" si="2"/>
        <v>175.32866141582917</v>
      </c>
      <c r="R27" s="59">
        <f t="shared" si="0"/>
        <v>468.66199474916249</v>
      </c>
      <c r="S27" s="59">
        <f ca="1">AVERAGE(OFFSET($R$3,0,0,'Données projet'!$E$9+1,1))-AVERAGE(OFFSET($H$3,0,0,'Données projet'!$E$9+1,1))</f>
        <v>235.10258076192054</v>
      </c>
      <c r="T27" s="59">
        <f t="shared" si="34"/>
        <v>233.47316052603765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3.636006880432515</v>
      </c>
      <c r="AB27" s="21">
        <f>EXP(-LN(2)/2)*AB26+(1-EXP(-LN(2)/2))/(LN(2)/2)*V27*Y27*VLOOKUP('Données projet'!$B$9,Paramètres!$A$1:$I$89,3,0)*0.475*44/12</f>
        <v>1.5822946357932364</v>
      </c>
      <c r="AC27" s="22">
        <f t="shared" si="3"/>
        <v>5.2183015162257513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10.199999999999999</v>
      </c>
      <c r="AI27" s="13">
        <f>IF('Données projet'!$A$62&gt;35,AI26+AH27-AQ26,IF(A27&lt;'Données projet'!$A$62,$AF$205^A27,IF(A27='Données projet'!$A$62,'Données projet'!$B$62,AI26+AH27-AQ26)))</f>
        <v>113.80000000000001</v>
      </c>
      <c r="AJ27" s="13">
        <f>AI27*VLOOKUP('Données projet'!$B$10,Paramètres!$A$1:$I$89,3,0)*VLOOKUP('Données projet'!$B$10,Paramètres!$A$1:$I$89,5,0)</f>
        <v>99.415680000000023</v>
      </c>
      <c r="AK27" s="13">
        <f t="shared" si="35"/>
        <v>26.822743922231254</v>
      </c>
      <c r="AL27" s="20">
        <f t="shared" si="4"/>
        <v>219.86525499788613</v>
      </c>
      <c r="AM27" s="59">
        <f t="shared" si="5"/>
        <v>513.19858833121941</v>
      </c>
      <c r="AN27" s="59">
        <f ca="1">AVERAGE(OFFSET($AM$3,0,0,'Données projet'!$E$10+1,1))-AVERAGE(OFFSET($H$3,0,0,'Données projet'!$E$10+1,1))</f>
        <v>191.94797389630673</v>
      </c>
      <c r="AO27" s="59">
        <f t="shared" si="36"/>
        <v>273.52540822767878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2.961692877152303</v>
      </c>
      <c r="AW27" s="21">
        <f>EXP(-LN(2)/2)*AW26+(1-EXP(-LN(2)/2))/(LN(2)/2)*AQ27*AT27*VLOOKUP('Données projet'!$B$10,Paramètres!$A$1:$I$89,3,0)*0.475*44/12</f>
        <v>1.6485302251985352</v>
      </c>
      <c r="AX27" s="21">
        <f t="shared" si="6"/>
        <v>4.6102231023508384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1.2</v>
      </c>
      <c r="BD27" s="12">
        <f>IF('Données projet'!$A$88&gt;35,BD26+BC27-BL26,IF(A27&lt;'Données projet'!$A$88,$BA$205^A27,IF(A27='Données projet'!$A$88,'Données projet'!$B$88,BD26+BC27-BL26)))</f>
        <v>26.184024853780567</v>
      </c>
      <c r="BE27" s="13">
        <f>BD27*VLOOKUP('Données projet'!$B$11,Paramètres!$A$1:$I$89,3,0)*VLOOKUP('Données projet'!$B$11,Paramètres!$A$1:$I$89,5,0)</f>
        <v>23.691305687700655</v>
      </c>
      <c r="BF27" s="13">
        <f t="shared" si="37"/>
        <v>7.5533377044018843</v>
      </c>
      <c r="BG27" s="20">
        <f t="shared" si="7"/>
        <v>54.417753907911923</v>
      </c>
      <c r="BH27" s="59">
        <f t="shared" si="8"/>
        <v>347.75108724124522</v>
      </c>
      <c r="BI27" s="59">
        <f ca="1">AVERAGE(OFFSET($BH$3,0,0,'Données projet'!$E$11+1,1))-AVERAGE(OFFSET($H$3,0,0,'Données projet'!$E$11+1,1))</f>
        <v>138.8931001150624</v>
      </c>
      <c r="BJ27" s="59">
        <f t="shared" si="38"/>
        <v>48.964659354096625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1.2</v>
      </c>
      <c r="BY27" s="12">
        <f>IF('Données projet'!$A$114&gt;35,BY26+BX27-CG26,IF(A27&lt;'Données projet'!$A$114,$BV$205^A27,IF(A27='Données projet'!$A$114,'Données projet'!$B$114,BY26+BX27-CG26)))</f>
        <v>26.184024853780567</v>
      </c>
      <c r="BZ27" s="13">
        <f>BY27*VLOOKUP('Données projet'!$B$12,Paramètres!$A$1:$I$89,3,0)*VLOOKUP('Données projet'!$B$12,Paramètres!$A$1:$I$89,5,0)</f>
        <v>26.550601201733496</v>
      </c>
      <c r="CA27" s="13">
        <f t="shared" si="39"/>
        <v>8.3534171376241328</v>
      </c>
      <c r="CB27" s="20">
        <f t="shared" si="10"/>
        <v>60.7911652743812</v>
      </c>
      <c r="CC27" s="59">
        <f t="shared" si="11"/>
        <v>354.12449860771449</v>
      </c>
      <c r="CD27" s="59">
        <f ca="1">AVERAGE(OFFSET($CC$3,0,0,'Données projet'!$E$12+1,1))-AVERAGE(OFFSET($H$3,0,0,'Données projet'!$E$12+1,1))</f>
        <v>169.2757878405003</v>
      </c>
      <c r="CE27" s="59">
        <f t="shared" si="40"/>
        <v>61.876502626609977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9.9</v>
      </c>
      <c r="CT27" s="12">
        <f>IF('Données projet'!$A$140&gt;35,CT26+CS27-DB26,IF(A27&lt;'Données projet'!$A$140,$CQ$205^A27,IF(A27='Données projet'!$A$140,'Données projet'!$B$140,CT26+CS27-DB26)))</f>
        <v>75.600000000000009</v>
      </c>
      <c r="CU27" s="17">
        <f>CT27*VLOOKUP('Données projet'!$B$13,Paramètres!$A$1:$I$89,3,0)*VLOOKUP('Données projet'!$B$13,Paramètres!$A$1:$I$89,5,0)</f>
        <v>60.147360000000006</v>
      </c>
      <c r="CV27" s="13">
        <f t="shared" si="41"/>
        <v>17.205520923258081</v>
      </c>
      <c r="CW27" s="20">
        <f t="shared" si="13"/>
        <v>134.72293427467449</v>
      </c>
      <c r="CX27" s="59">
        <f t="shared" si="14"/>
        <v>428.05626760800783</v>
      </c>
      <c r="CY27" s="59">
        <f ca="1">AVERAGE(OFFSET($CX$3,0,0,'Données projet'!$E$13+1,1))-AVERAGE(OFFSET($H$3,0,0,'Données projet'!$E$13+1,1))</f>
        <v>141.12810728817544</v>
      </c>
      <c r="CZ27" s="59">
        <f t="shared" si="42"/>
        <v>176.01405805137551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>
        <f>EXP(-LN(2)/35)*DF26+(1-EXP(-LN(2)/35))/(LN(2)/35)*DB27*DC27*VLOOKUP('Données projet'!$B$13,Paramètres!$A$1:$I$89,3,0)*0.475*44/12</f>
        <v>0</v>
      </c>
      <c r="DG27" s="21">
        <f>EXP(-LN(2)/25)*DG26+(1-EXP(-LN(2)/25))/(LN(2)/25)*Calculateur!DB27*Calculateur!DD27*VLOOKUP('Données projet'!$B$13,Paramètres!$A$1:$I$89,3,0)*0.475*44/12</f>
        <v>2.1817194350316154</v>
      </c>
      <c r="DH27" s="21">
        <f>EXP(-LN(2)/2)*DH26+(1-EXP(-LN(2)/2))/(LN(2)/2)*DB27*DE27*VLOOKUP('Données projet'!$B$13,Paramètres!$A$1:$I$89,3,0)*0.475*44/12</f>
        <v>0.98525439240381185</v>
      </c>
      <c r="DI27" s="22">
        <f t="shared" si="15"/>
        <v>3.1669738274354273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10.199999999999999</v>
      </c>
      <c r="DO27" s="12">
        <f>IF('Données projet'!$A$166&gt;35,DO26+DN27-DW26,IF(A27&lt;'Données projet'!$A$166,$DL$205^A27,IF(A27='Données projet'!$A$166,'Données projet'!$B$166,DO26+DN27-DW26)))</f>
        <v>102.80000000000001</v>
      </c>
      <c r="DP27" s="17">
        <f>DO27*VLOOKUP('Données projet'!$B$14,Paramètres!$A$1:$I$89,3,0)*VLOOKUP('Données projet'!$B$14,Paramètres!$A$1:$I$89,5,0)</f>
        <v>61.47440000000001</v>
      </c>
      <c r="DQ27" s="13">
        <f t="shared" si="43"/>
        <v>17.540515274317094</v>
      </c>
      <c r="DR27" s="20">
        <f t="shared" si="16"/>
        <v>137.61764410276893</v>
      </c>
      <c r="DS27" s="59">
        <f t="shared" si="17"/>
        <v>430.95097743610222</v>
      </c>
      <c r="DT27" s="59">
        <f ca="1">AVERAGE(OFFSET($DS$3,0,0,'Données projet'!$E$14+1,1))-AVERAGE(OFFSET($H$3,0,0,'Données projet'!$E$14+1,1))</f>
        <v>165.39579887388538</v>
      </c>
      <c r="DU27" s="59">
        <f t="shared" si="44"/>
        <v>155.89639262545802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>
        <f>EXP(-LN(2)/35)*EA26+(1-EXP(-LN(2)/35))/(LN(2)/35)*DW27*DX27*VLOOKUP('Données projet'!$B$14,Paramètres!$A$1:$I$89,3,0)*0.475*44/12</f>
        <v>0</v>
      </c>
      <c r="EB27" s="21">
        <f>EXP(-LN(2)/25)*EB26+(1-EXP(-LN(2)/25))/(LN(2)/25)*Calculateur!DW27*Calculateur!DY27*VLOOKUP('Données projet'!$B$14,Paramètres!$A$1:$I$89,3,0)*0.475*44/12</f>
        <v>0</v>
      </c>
      <c r="EC27" s="21">
        <f>EXP(-LN(2)/2)*EC26+(1-EXP(-LN(2)/2))/(LN(2)/2)*DW27*DZ27*VLOOKUP('Données projet'!$B$14,Paramètres!$A$1:$I$89,3,0)*0.475*44/12</f>
        <v>0</v>
      </c>
      <c r="ED27" s="22">
        <f t="shared" si="18"/>
        <v>0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1.2</v>
      </c>
      <c r="EJ27" s="12">
        <f>IF('Données projet'!$A$192&gt;35,EJ26+EI27-ER26,IF(A27&lt;'Données projet'!$A$192,$EG$205^A27,IF(A27='Données projet'!$A$192,'Données projet'!$B$192,EJ26+EI27-ER26)))</f>
        <v>26.184024853780567</v>
      </c>
      <c r="EK27" s="17">
        <f>EJ27*VLOOKUP('Données projet'!$B$15,Paramètres!$A$1:$I$89,3,0)*VLOOKUP('Données projet'!$B$15,Paramètres!$A$1:$I$89,5,0)</f>
        <v>20.423539385948843</v>
      </c>
      <c r="EL27" s="13">
        <f t="shared" si="45"/>
        <v>6.6249685792283906</v>
      </c>
      <c r="EM27" s="20">
        <f t="shared" si="19"/>
        <v>47.109484706017014</v>
      </c>
      <c r="EN27" s="59">
        <f t="shared" si="20"/>
        <v>340.4428180393503</v>
      </c>
      <c r="EO27" s="59">
        <f ca="1">AVERAGE(OFFSET($EN$3,0,0,'Données projet'!$E$15+1,1))-AVERAGE(OFFSET($H$3,0,0,'Données projet'!$E$15+1,1))</f>
        <v>104.07220236158577</v>
      </c>
      <c r="EP27" s="59">
        <f t="shared" si="46"/>
        <v>34.162068257911756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>
        <f>EXP(-LN(2)/35)*EV26+(1-EXP(-LN(2)/35))/(LN(2)/35)*ER27*ES27*VLOOKUP('Données projet'!$B$15,Paramètres!$A$1:$I$89,3,0)*0.475*44/12</f>
        <v>0</v>
      </c>
      <c r="EW27" s="21">
        <f>EXP(-LN(2)/25)*EW26+(1-EXP(-LN(2)/25))/(LN(2)/25)*Calculateur!ER27*Calculateur!ET27*VLOOKUP('Données projet'!$B$15,Paramètres!$A$1:$I$89,3,0)*0.475*44/12</f>
        <v>0</v>
      </c>
      <c r="EX27" s="21">
        <f>EXP(-LN(2)/2)*EX26+(1-EXP(-LN(2)/2))/(LN(2)/2)*ER27*EU27*VLOOKUP('Données projet'!$B$15,Paramètres!$A$1:$I$89,3,0)*0.475*44/12</f>
        <v>0</v>
      </c>
      <c r="EY27" s="22">
        <f t="shared" si="21"/>
        <v>0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7.6</v>
      </c>
      <c r="FE27" s="12">
        <f>IF('Données projet'!$A$218&gt;35,FE26+FD27-FM26,IF(A27&lt;'Données projet'!$A$218,$FB$205^A27,IF(A27='Données projet'!$A$218,'Données projet'!$B$218,FE26+FD27-FM26)))</f>
        <v>152.40000000000003</v>
      </c>
      <c r="FF27" s="17">
        <f>FE27*VLOOKUP('Données projet'!$B$16,Paramètres!$A$1:$I$89,3,0)*VLOOKUP('Données projet'!$B$16,Paramètres!$A$1:$I$89,5,0)</f>
        <v>137.89152000000001</v>
      </c>
      <c r="FG27" s="13">
        <f t="shared" si="47"/>
        <v>35.813556561308687</v>
      </c>
      <c r="FH27" s="20">
        <f t="shared" si="22"/>
        <v>302.53634167761265</v>
      </c>
      <c r="FI27" s="59">
        <f t="shared" si="23"/>
        <v>595.86967501094591</v>
      </c>
      <c r="FJ27" s="59">
        <f ca="1">AVERAGE(OFFSET($FI$3,0,0,'Données projet'!$E$16+1,1))-AVERAGE(OFFSET($H$3,0,0,'Données projet'!$E$16+1,1))</f>
        <v>179.50097986986123</v>
      </c>
      <c r="FK27" s="59">
        <f t="shared" si="48"/>
        <v>287.11838730637578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>
        <f>EXP(-LN(2)/35)*FQ26+(1-EXP(-LN(2)/35))/(LN(2)/35)*FM27*FN27*VLOOKUP('Données projet'!$B$16,Paramètres!$A$1:$I$89,3,0)*0.475*44/12</f>
        <v>0</v>
      </c>
      <c r="FR27" s="21">
        <f>EXP(-LN(2)/25)*FR26+(1-EXP(-LN(2)/25))/(LN(2)/25)*Calculateur!FM27*Calculateur!FO27*VLOOKUP('Données projet'!$B$16,Paramètres!$A$1:$I$89,3,0)*0.475*44/12</f>
        <v>4.2055029468762894</v>
      </c>
      <c r="FS27" s="21">
        <f>EXP(-LN(2)/2)*FS26+(1-EXP(-LN(2)/2))/(LN(2)/2)*FM27*FP27*VLOOKUP('Données projet'!$B$16,Paramètres!$A$1:$I$89,3,0)*0.475*44/12</f>
        <v>1.4435723973560455</v>
      </c>
      <c r="FT27" s="22">
        <f t="shared" si="24"/>
        <v>5.6490753442323349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10.199999999999999</v>
      </c>
      <c r="FZ27" s="12">
        <f>IF('Données projet'!$A$244&gt;35,FZ26+FY27-GH26,IF(A27&lt;'Données projet'!$A$244,$FW$205^A27,IF(A27='Données projet'!$A$244,'Données projet'!$B$244,FZ26+FY27-GH26)))</f>
        <v>102.80000000000001</v>
      </c>
      <c r="GA27" s="17">
        <f>FZ27*VLOOKUP('Données projet'!$B$17,Paramètres!$A$1:$I$89,3,0)*VLOOKUP('Données projet'!$B$17,Paramètres!$A$1:$I$89,5,0)</f>
        <v>61.47440000000001</v>
      </c>
      <c r="GB27" s="13">
        <f t="shared" si="49"/>
        <v>17.540515274317094</v>
      </c>
      <c r="GC27" s="20">
        <f t="shared" si="25"/>
        <v>137.61764410276893</v>
      </c>
      <c r="GD27" s="59">
        <f t="shared" si="26"/>
        <v>430.95097743610222</v>
      </c>
      <c r="GE27" s="59">
        <f ca="1">AVERAGE(OFFSET($GD$3,0,0,'Données projet'!$E$17+1,1))-AVERAGE(OFFSET($H$3,0,0,'Données projet'!$E$17+1,1))</f>
        <v>165.39579887388538</v>
      </c>
      <c r="GF27" s="59">
        <f t="shared" si="50"/>
        <v>155.89639262545802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>
        <f>EXP(-LN(2)/35)*GL26+(1-EXP(-LN(2)/35))/(LN(2)/35)*GH27*GI27*VLOOKUP('Données projet'!$B$17,Paramètres!$A$1:$I$89,3,0)*0.475*44/12</f>
        <v>0</v>
      </c>
      <c r="GM27" s="21">
        <f>EXP(-LN(2)/25)*GM26+(1-EXP(-LN(2)/25))/(LN(2)/25)*Calculateur!GH27*Calculateur!GJ27*VLOOKUP('Données projet'!$B$17,Paramètres!$A$1:$I$89,3,0)*0.475*44/12</f>
        <v>0</v>
      </c>
      <c r="GN27" s="21">
        <f>EXP(-LN(2)/2)*GN26+(1-EXP(-LN(2)/2))/(LN(2)/2)*GH27*GK27*VLOOKUP('Données projet'!$B$17,Paramètres!$A$1:$I$89,3,0)*0.475*44/12</f>
        <v>0</v>
      </c>
      <c r="GO27" s="21">
        <f t="shared" si="27"/>
        <v>0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16.5</v>
      </c>
      <c r="N28" s="13">
        <f>IF('Données projet'!$A$36&gt;35,N27+M28-V27,IF(A28&lt;'Données projet'!$A$36,$K$205^A28,IF(A28='Données projet'!$A$36,'Données projet'!$B$36,N27+M28-V27)))</f>
        <v>157.5</v>
      </c>
      <c r="O28" s="13">
        <f>N28*VLOOKUP('Données projet'!$B$9,Paramètres!$A$1:$I$89,3,0)*VLOOKUP('Données projet'!$B$9,Paramètres!$A$1:$I$89,5,0)</f>
        <v>88.04249999999999</v>
      </c>
      <c r="P28" s="13">
        <f t="shared" si="33"/>
        <v>24.0925206268385</v>
      </c>
      <c r="Q28" s="20">
        <f t="shared" si="2"/>
        <v>195.30182759174372</v>
      </c>
      <c r="R28" s="59">
        <f t="shared" si="0"/>
        <v>488.635160925077</v>
      </c>
      <c r="S28" s="59">
        <f ca="1">AVERAGE(OFFSET($R$3,0,0,'Données projet'!$E$9+1,1))-AVERAGE(OFFSET($H$3,0,0,'Données projet'!$E$9+1,1))</f>
        <v>235.10258076192054</v>
      </c>
      <c r="T28" s="59">
        <f t="shared" si="34"/>
        <v>233.47316052603765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3.5365800810777963</v>
      </c>
      <c r="AB28" s="21">
        <f>EXP(-LN(2)/2)*AB27+(1-EXP(-LN(2)/2))/(LN(2)/2)*V28*Y28*VLOOKUP('Données projet'!$B$9,Paramètres!$A$1:$I$89,3,0)*0.475*44/12</f>
        <v>1.1188512668044959</v>
      </c>
      <c r="AC28" s="22">
        <f t="shared" si="3"/>
        <v>4.655431347882292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10.199999999999999</v>
      </c>
      <c r="AI28" s="13">
        <f>IF('Données projet'!$A$62&gt;35,AI27+AH28-AQ27,IF(A28&lt;'Données projet'!$A$62,$AF$205^A28,IF(A28='Données projet'!$A$62,'Données projet'!$B$62,AI27+AH28-AQ27)))</f>
        <v>124.00000000000001</v>
      </c>
      <c r="AJ28" s="13">
        <f>AI28*VLOOKUP('Données projet'!$B$10,Paramètres!$A$1:$I$89,3,0)*VLOOKUP('Données projet'!$B$10,Paramètres!$A$1:$I$89,5,0)</f>
        <v>108.32640000000002</v>
      </c>
      <c r="AK28" s="13">
        <f t="shared" si="35"/>
        <v>28.936320206966883</v>
      </c>
      <c r="AL28" s="20">
        <f t="shared" si="4"/>
        <v>239.06590436046736</v>
      </c>
      <c r="AM28" s="59">
        <f t="shared" si="5"/>
        <v>532.39923769380061</v>
      </c>
      <c r="AN28" s="59">
        <f ca="1">AVERAGE(OFFSET($AM$3,0,0,'Données projet'!$E$10+1,1))-AVERAGE(OFFSET($H$3,0,0,'Données projet'!$E$10+1,1))</f>
        <v>191.94797389630673</v>
      </c>
      <c r="AO28" s="59">
        <f t="shared" si="36"/>
        <v>273.52540822767878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2.8807052296779139</v>
      </c>
      <c r="AW28" s="21">
        <f>EXP(-LN(2)/2)*AW27+(1-EXP(-LN(2)/2))/(LN(2)/2)*AQ28*AT28*VLOOKUP('Données projet'!$B$10,Paramètres!$A$1:$I$89,3,0)*0.475*44/12</f>
        <v>1.1656869012288706</v>
      </c>
      <c r="AX28" s="21">
        <f t="shared" si="6"/>
        <v>4.046392130906785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30</v>
      </c>
      <c r="BB28" s="12">
        <f>VLOOKUP(A28,'Données projet'!$A$87:$I$107,9,0)</f>
        <v>1.2</v>
      </c>
      <c r="BC28" s="12">
        <f t="array" ref="BC28">INDEX(BB:BB,MIN(IF(ISNUMBER(BB28:BB224),ROW(BB28:BB224),"")))</f>
        <v>1.2</v>
      </c>
      <c r="BD28" s="12">
        <f>IF('Données projet'!$A$88&gt;35,BD27+BC28-BL27,IF(A28&lt;'Données projet'!$A$88,$BA$205^A28,IF(A28='Données projet'!$A$88,'Données projet'!$B$88,BD27+BC28-BL27)))</f>
        <v>30</v>
      </c>
      <c r="BE28" s="13">
        <f>BD28*VLOOKUP('Données projet'!$B$11,Paramètres!$A$1:$I$89,3,0)*VLOOKUP('Données projet'!$B$11,Paramètres!$A$1:$I$89,5,0)</f>
        <v>27.143999999999998</v>
      </c>
      <c r="BF28" s="13">
        <f t="shared" si="37"/>
        <v>8.5181694620316346</v>
      </c>
      <c r="BG28" s="20">
        <f t="shared" si="7"/>
        <v>62.111611813038422</v>
      </c>
      <c r="BH28" s="59">
        <f t="shared" si="8"/>
        <v>355.44494514637177</v>
      </c>
      <c r="BI28" s="59">
        <f ca="1">AVERAGE(OFFSET($BH$3,0,0,'Données projet'!$E$11+1,1))-AVERAGE(OFFSET($H$3,0,0,'Données projet'!$E$11+1,1))</f>
        <v>138.8931001150624</v>
      </c>
      <c r="BJ28" s="59">
        <f t="shared" si="38"/>
        <v>48.964659354096625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30</v>
      </c>
      <c r="BW28" s="12">
        <f>VLOOKUP(A28,'Données projet'!$A$113:$I$133,9,0)</f>
        <v>1.2</v>
      </c>
      <c r="BX28" s="12">
        <f t="array" ref="BX28">INDEX(BW:BW,MIN(IF(ISNUMBER(BW28:BW224),ROW(BW28:BW224),"")))</f>
        <v>1.2</v>
      </c>
      <c r="BY28" s="12">
        <f>IF('Données projet'!$A$114&gt;35,BY27+BX28-CG27,IF(A28&lt;'Données projet'!$A$114,$BV$205^A28,IF(A28='Données projet'!$A$114,'Données projet'!$B$114,BY27+BX28-CG27)))</f>
        <v>30</v>
      </c>
      <c r="BZ28" s="13">
        <f>BY28*VLOOKUP('Données projet'!$B$12,Paramètres!$A$1:$I$89,3,0)*VLOOKUP('Données projet'!$B$12,Paramètres!$A$1:$I$89,5,0)</f>
        <v>30.42</v>
      </c>
      <c r="CA28" s="13">
        <f t="shared" si="39"/>
        <v>9.4204476947792024</v>
      </c>
      <c r="CB28" s="20">
        <f t="shared" si="10"/>
        <v>69.388779735073783</v>
      </c>
      <c r="CC28" s="59">
        <f t="shared" si="11"/>
        <v>362.72211306840711</v>
      </c>
      <c r="CD28" s="59">
        <f ca="1">AVERAGE(OFFSET($CC$3,0,0,'Données projet'!$E$12+1,1))-AVERAGE(OFFSET($H$3,0,0,'Données projet'!$E$12+1,1))</f>
        <v>169.2757878405003</v>
      </c>
      <c r="CE28" s="59">
        <f t="shared" si="40"/>
        <v>61.876502626609977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9.9</v>
      </c>
      <c r="CT28" s="12">
        <f>IF('Données projet'!$A$140&gt;35,CT27+CS28-DB27,IF(A28&lt;'Données projet'!$A$140,$CQ$205^A28,IF(A28='Données projet'!$A$140,'Données projet'!$B$140,CT27+CS28-DB27)))</f>
        <v>85.500000000000014</v>
      </c>
      <c r="CU28" s="17">
        <f>CT28*VLOOKUP('Données projet'!$B$13,Paramètres!$A$1:$I$89,3,0)*VLOOKUP('Données projet'!$B$13,Paramètres!$A$1:$I$89,5,0)</f>
        <v>68.023800000000023</v>
      </c>
      <c r="CV28" s="13">
        <f t="shared" si="41"/>
        <v>19.181882508307471</v>
      </c>
      <c r="CW28" s="20">
        <f t="shared" si="13"/>
        <v>151.88323036863554</v>
      </c>
      <c r="CX28" s="59">
        <f t="shared" si="14"/>
        <v>445.21656370196888</v>
      </c>
      <c r="CY28" s="59">
        <f ca="1">AVERAGE(OFFSET($CX$3,0,0,'Données projet'!$E$13+1,1))-AVERAGE(OFFSET($H$3,0,0,'Données projet'!$E$13+1,1))</f>
        <v>141.12810728817544</v>
      </c>
      <c r="CZ28" s="59">
        <f t="shared" si="42"/>
        <v>176.01405805137551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>
        <f>EXP(-LN(2)/35)*DF27+(1-EXP(-LN(2)/35))/(LN(2)/35)*DB28*DC28*VLOOKUP('Données projet'!$B$13,Paramètres!$A$1:$I$89,3,0)*0.475*44/12</f>
        <v>0</v>
      </c>
      <c r="DG28" s="21">
        <f>EXP(-LN(2)/25)*DG27+(1-EXP(-LN(2)/25))/(LN(2)/25)*Calculateur!DB28*Calculateur!DD28*VLOOKUP('Données projet'!$B$13,Paramètres!$A$1:$I$89,3,0)*0.475*44/12</f>
        <v>2.1220602023490369</v>
      </c>
      <c r="DH28" s="21">
        <f>EXP(-LN(2)/2)*DH27+(1-EXP(-LN(2)/2))/(LN(2)/2)*DB28*DE28*VLOOKUP('Données projet'!$B$13,Paramètres!$A$1:$I$89,3,0)*0.475*44/12</f>
        <v>0.69668006206256705</v>
      </c>
      <c r="DI28" s="22">
        <f t="shared" si="15"/>
        <v>2.8187402644116037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10.199999999999999</v>
      </c>
      <c r="DO28" s="12">
        <f>IF('Données projet'!$A$166&gt;35,DO27+DN28-DW27,IF(A28&lt;'Données projet'!$A$166,$DL$205^A28,IF(A28='Données projet'!$A$166,'Données projet'!$B$166,DO27+DN28-DW27)))</f>
        <v>113.00000000000001</v>
      </c>
      <c r="DP28" s="17">
        <f>DO28*VLOOKUP('Données projet'!$B$14,Paramètres!$A$1:$I$89,3,0)*VLOOKUP('Données projet'!$B$14,Paramètres!$A$1:$I$89,5,0)</f>
        <v>67.574000000000012</v>
      </c>
      <c r="DQ28" s="13">
        <f t="shared" si="43"/>
        <v>19.069765110231607</v>
      </c>
      <c r="DR28" s="20">
        <f t="shared" si="16"/>
        <v>150.90455756698671</v>
      </c>
      <c r="DS28" s="59">
        <f t="shared" si="17"/>
        <v>444.23789090032005</v>
      </c>
      <c r="DT28" s="59">
        <f ca="1">AVERAGE(OFFSET($DS$3,0,0,'Données projet'!$E$14+1,1))-AVERAGE(OFFSET($H$3,0,0,'Données projet'!$E$14+1,1))</f>
        <v>165.39579887388538</v>
      </c>
      <c r="DU28" s="59">
        <f t="shared" si="44"/>
        <v>155.89639262545802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>
        <f>EXP(-LN(2)/35)*EA27+(1-EXP(-LN(2)/35))/(LN(2)/35)*DW28*DX28*VLOOKUP('Données projet'!$B$14,Paramètres!$A$1:$I$89,3,0)*0.475*44/12</f>
        <v>0</v>
      </c>
      <c r="EB28" s="21">
        <f>EXP(-LN(2)/25)*EB27+(1-EXP(-LN(2)/25))/(LN(2)/25)*Calculateur!DW28*Calculateur!DY28*VLOOKUP('Données projet'!$B$14,Paramètres!$A$1:$I$89,3,0)*0.475*44/12</f>
        <v>0</v>
      </c>
      <c r="EC28" s="21">
        <f>EXP(-LN(2)/2)*EC27+(1-EXP(-LN(2)/2))/(LN(2)/2)*DW28*DZ28*VLOOKUP('Données projet'!$B$14,Paramètres!$A$1:$I$89,3,0)*0.475*44/12</f>
        <v>0</v>
      </c>
      <c r="ED28" s="22">
        <f t="shared" si="18"/>
        <v>0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>
        <f>VLOOKUP(A28,'Données projet'!$A$191:$I$211,2,0)</f>
        <v>30</v>
      </c>
      <c r="EH28" s="12">
        <f>VLOOKUP(A28,'Données projet'!$A$191:$I$211,9,0)</f>
        <v>1.2</v>
      </c>
      <c r="EI28" s="12">
        <f t="array" ref="EI28">INDEX(EH:EH,MIN(IF(ISNUMBER(EH28:EH224),ROW(EH28:EH224),"")))</f>
        <v>1.2</v>
      </c>
      <c r="EJ28" s="12">
        <f>IF('Données projet'!$A$192&gt;35,EJ27+EI28-ER27,IF(A28&lt;'Données projet'!$A$192,$EG$205^A28,IF(A28='Données projet'!$A$192,'Données projet'!$B$192,EJ27+EI28-ER27)))</f>
        <v>30</v>
      </c>
      <c r="EK28" s="17">
        <f>EJ28*VLOOKUP('Données projet'!$B$15,Paramètres!$A$1:$I$89,3,0)*VLOOKUP('Données projet'!$B$15,Paramètres!$A$1:$I$89,5,0)</f>
        <v>23.400000000000002</v>
      </c>
      <c r="EL28" s="13">
        <f t="shared" si="45"/>
        <v>7.4712143488056828</v>
      </c>
      <c r="EM28" s="20">
        <f t="shared" si="19"/>
        <v>53.767364990836569</v>
      </c>
      <c r="EN28" s="59">
        <f t="shared" si="20"/>
        <v>347.10069832416991</v>
      </c>
      <c r="EO28" s="59">
        <f ca="1">AVERAGE(OFFSET($EN$3,0,0,'Données projet'!$E$15+1,1))-AVERAGE(OFFSET($H$3,0,0,'Données projet'!$E$15+1,1))</f>
        <v>104.07220236158577</v>
      </c>
      <c r="EP28" s="59">
        <f t="shared" si="46"/>
        <v>34.162068257911756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>
        <f>EXP(-LN(2)/35)*EV27+(1-EXP(-LN(2)/35))/(LN(2)/35)*ER28*ES28*VLOOKUP('Données projet'!$B$15,Paramètres!$A$1:$I$89,3,0)*0.475*44/12</f>
        <v>0</v>
      </c>
      <c r="EW28" s="21">
        <f>EXP(-LN(2)/25)*EW27+(1-EXP(-LN(2)/25))/(LN(2)/25)*Calculateur!ER28*Calculateur!ET28*VLOOKUP('Données projet'!$B$15,Paramètres!$A$1:$I$89,3,0)*0.475*44/12</f>
        <v>0</v>
      </c>
      <c r="EX28" s="21">
        <f>EXP(-LN(2)/2)*EX27+(1-EXP(-LN(2)/2))/(LN(2)/2)*ER28*EU28*VLOOKUP('Données projet'!$B$15,Paramètres!$A$1:$I$89,3,0)*0.475*44/12</f>
        <v>0</v>
      </c>
      <c r="EY28" s="22">
        <f t="shared" si="21"/>
        <v>0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>
        <f>VLOOKUP(A28,'Données projet'!$A$217:$I$237,2,0)</f>
        <v>160</v>
      </c>
      <c r="FC28" s="12">
        <f>VLOOKUP(A28,'Données projet'!$A$217:$I$237,9,0)</f>
        <v>7.6</v>
      </c>
      <c r="FD28" s="12">
        <f t="array" ref="FD28">INDEX(FC:FC,MIN(IF(ISNUMBER(FC28:FC224),ROW(FC28:FC224),"")))</f>
        <v>7.6</v>
      </c>
      <c r="FE28" s="12">
        <f>IF('Données projet'!$A$218&gt;35,FE27+FD28-FM27,IF(A28&lt;'Données projet'!$A$218,$FB$205^A28,IF(A28='Données projet'!$A$218,'Données projet'!$B$218,FE27+FD28-FM27)))</f>
        <v>160.00000000000003</v>
      </c>
      <c r="FF28" s="17">
        <f>FE28*VLOOKUP('Données projet'!$B$16,Paramètres!$A$1:$I$89,3,0)*VLOOKUP('Données projet'!$B$16,Paramètres!$A$1:$I$89,5,0)</f>
        <v>144.76800000000003</v>
      </c>
      <c r="FG28" s="13">
        <f t="shared" si="47"/>
        <v>37.387149255707826</v>
      </c>
      <c r="FH28" s="20">
        <f t="shared" si="22"/>
        <v>317.25355162035777</v>
      </c>
      <c r="FI28" s="59">
        <f t="shared" si="23"/>
        <v>610.58688495369108</v>
      </c>
      <c r="FJ28" s="59">
        <f ca="1">AVERAGE(OFFSET($FI$3,0,0,'Données projet'!$E$16+1,1))-AVERAGE(OFFSET($H$3,0,0,'Données projet'!$E$16+1,1))</f>
        <v>179.50097986986123</v>
      </c>
      <c r="FK28" s="59">
        <f t="shared" si="48"/>
        <v>287.11838730637578</v>
      </c>
      <c r="FL28" s="15">
        <f>IF(ISNA(VLOOKUP(A28,'Données projet'!$A$217:$I$237,3,0)),0,VLOOKUP(A28,'Données projet'!$A$217:$I$237,3,0))</f>
        <v>5</v>
      </c>
      <c r="FM28" s="15">
        <f>IF(ISNA(VLOOKUP(A28,'Données projet'!$A$217:$I$237,4,0)),0,VLOOKUP(A28,'Données projet'!$A$217:$I$237,4,0))</f>
        <v>13</v>
      </c>
      <c r="FN28" s="16">
        <f>IF(ISNA(VLOOKUP(A28,'Données projet'!$A$217:$I$237,5,0)),0%,VLOOKUP(A28,'Données projet'!$A$217:$I$237,5,0)*VLOOKUP('Données projet'!$B$16,Paramètres!$A$1:$I$89,7,0))</f>
        <v>0.03</v>
      </c>
      <c r="FO28" s="16">
        <f>IF(ISNA(VLOOKUP(A28,'Données projet'!$A$217:$I$237,6,0)),0%,VLOOKUP(A28,'Données projet'!$A$217:$I$237,6,0)*VLOOKUP('Données projet'!$B$16,Paramètres!$A$1:$I$89,7,0))</f>
        <v>0.13500000000000001</v>
      </c>
      <c r="FP28" s="16">
        <f>IF(ISNA(VLOOKUP(A28,'Données projet'!$A$217:$I$237,7,0)),0%,VLOOKUP(A28,'Données projet'!$A$217:$I$237,7,0))</f>
        <v>0.45</v>
      </c>
      <c r="FQ28" s="21">
        <f>EXP(-LN(2)/35)*FQ27+(1-EXP(-LN(2)/35))/(LN(2)/35)*FM28*FN28*VLOOKUP('Données projet'!$B$16,Paramètres!$A$1:$I$89,3,0)*0.475*44/12</f>
        <v>0.39008954376655119</v>
      </c>
      <c r="FR28" s="21">
        <f>EXP(-LN(2)/25)*FR27+(1-EXP(-LN(2)/25))/(LN(2)/25)*Calculateur!FM28*Calculateur!FO28*VLOOKUP('Données projet'!$B$16,Paramètres!$A$1:$I$89,3,0)*0.475*44/12</f>
        <v>5.8389945043225486</v>
      </c>
      <c r="FS28" s="21">
        <f>EXP(-LN(2)/2)*FS27+(1-EXP(-LN(2)/2))/(LN(2)/2)*FM28*FP28*VLOOKUP('Données projet'!$B$16,Paramètres!$A$1:$I$89,3,0)*0.475*44/12</f>
        <v>6.014923272463669</v>
      </c>
      <c r="FT28" s="22">
        <f t="shared" si="24"/>
        <v>12.244007320552768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10.199999999999999</v>
      </c>
      <c r="FZ28" s="12">
        <f>IF('Données projet'!$A$244&gt;35,FZ27+FY28-GH27,IF(A28&lt;'Données projet'!$A$244,$FW$205^A28,IF(A28='Données projet'!$A$244,'Données projet'!$B$244,FZ27+FY28-GH27)))</f>
        <v>113.00000000000001</v>
      </c>
      <c r="GA28" s="17">
        <f>FZ28*VLOOKUP('Données projet'!$B$17,Paramètres!$A$1:$I$89,3,0)*VLOOKUP('Données projet'!$B$17,Paramètres!$A$1:$I$89,5,0)</f>
        <v>67.574000000000012</v>
      </c>
      <c r="GB28" s="13">
        <f t="shared" si="49"/>
        <v>19.069765110231607</v>
      </c>
      <c r="GC28" s="20">
        <f t="shared" si="25"/>
        <v>150.90455756698671</v>
      </c>
      <c r="GD28" s="59">
        <f t="shared" si="26"/>
        <v>444.23789090032005</v>
      </c>
      <c r="GE28" s="59">
        <f ca="1">AVERAGE(OFFSET($GD$3,0,0,'Données projet'!$E$17+1,1))-AVERAGE(OFFSET($H$3,0,0,'Données projet'!$E$17+1,1))</f>
        <v>165.39579887388538</v>
      </c>
      <c r="GF28" s="59">
        <f t="shared" si="50"/>
        <v>155.89639262545802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>
        <f>EXP(-LN(2)/35)*GL27+(1-EXP(-LN(2)/35))/(LN(2)/35)*GH28*GI28*VLOOKUP('Données projet'!$B$17,Paramètres!$A$1:$I$89,3,0)*0.475*44/12</f>
        <v>0</v>
      </c>
      <c r="GM28" s="21">
        <f>EXP(-LN(2)/25)*GM27+(1-EXP(-LN(2)/25))/(LN(2)/25)*Calculateur!GH28*Calculateur!GJ28*VLOOKUP('Données projet'!$B$17,Paramètres!$A$1:$I$89,3,0)*0.475*44/12</f>
        <v>0</v>
      </c>
      <c r="GN28" s="21">
        <f>EXP(-LN(2)/2)*GN27+(1-EXP(-LN(2)/2))/(LN(2)/2)*GH28*GK28*VLOOKUP('Données projet'!$B$17,Paramètres!$A$1:$I$89,3,0)*0.475*44/12</f>
        <v>0</v>
      </c>
      <c r="GO28" s="21">
        <f t="shared" si="27"/>
        <v>0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16.5</v>
      </c>
      <c r="N29" s="13">
        <f>IF('Données projet'!$A$36&gt;35,N28+M29-V28,IF(A29&lt;'Données projet'!$A$36,$K$205^A29,IF(A29='Données projet'!$A$36,'Données projet'!$B$36,N28+M29-V28)))</f>
        <v>174</v>
      </c>
      <c r="O29" s="13">
        <f>N29*VLOOKUP('Données projet'!$B$9,Paramètres!$A$1:$I$89,3,0)*VLOOKUP('Données projet'!$B$9,Paramètres!$A$1:$I$89,5,0)</f>
        <v>97.265999999999991</v>
      </c>
      <c r="P29" s="13">
        <f t="shared" si="33"/>
        <v>26.309612648745627</v>
      </c>
      <c r="Q29" s="20">
        <f t="shared" si="2"/>
        <v>215.22752536323196</v>
      </c>
      <c r="R29" s="59">
        <f t="shared" si="0"/>
        <v>508.56085869656528</v>
      </c>
      <c r="S29" s="59">
        <f ca="1">AVERAGE(OFFSET($R$3,0,0,'Données projet'!$E$9+1,1))-AVERAGE(OFFSET($H$3,0,0,'Données projet'!$E$9+1,1))</f>
        <v>235.10258076192054</v>
      </c>
      <c r="T29" s="59">
        <f t="shared" si="34"/>
        <v>233.47316052603765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3.4398721127800607</v>
      </c>
      <c r="AB29" s="21">
        <f>EXP(-LN(2)/2)*AB28+(1-EXP(-LN(2)/2))/(LN(2)/2)*V29*Y29*VLOOKUP('Données projet'!$B$9,Paramètres!$A$1:$I$89,3,0)*0.475*44/12</f>
        <v>0.79114731789661819</v>
      </c>
      <c r="AC29" s="22">
        <f t="shared" si="3"/>
        <v>4.2310194306766791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10.199999999999999</v>
      </c>
      <c r="AI29" s="13">
        <f>IF('Données projet'!$A$62&gt;35,AI28+AH29-AQ28,IF(A29&lt;'Données projet'!$A$62,$AF$205^A29,IF(A29='Données projet'!$A$62,'Données projet'!$B$62,AI28+AH29-AQ28)))</f>
        <v>134.20000000000002</v>
      </c>
      <c r="AJ29" s="13">
        <f>AI29*VLOOKUP('Données projet'!$B$10,Paramètres!$A$1:$I$89,3,0)*VLOOKUP('Données projet'!$B$10,Paramètres!$A$1:$I$89,5,0)</f>
        <v>117.23712000000003</v>
      </c>
      <c r="AK29" s="13">
        <f t="shared" si="35"/>
        <v>31.029731926851252</v>
      </c>
      <c r="AL29" s="20">
        <f t="shared" si="4"/>
        <v>258.2314337725993</v>
      </c>
      <c r="AM29" s="59">
        <f t="shared" si="5"/>
        <v>551.56476710593256</v>
      </c>
      <c r="AN29" s="59">
        <f ca="1">AVERAGE(OFFSET($AM$3,0,0,'Données projet'!$E$10+1,1))-AVERAGE(OFFSET($H$3,0,0,'Données projet'!$E$10+1,1))</f>
        <v>191.94797389630673</v>
      </c>
      <c r="AO29" s="59">
        <f t="shared" si="36"/>
        <v>273.52540822767878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2.8019321936826671</v>
      </c>
      <c r="AW29" s="21">
        <f>EXP(-LN(2)/2)*AW28+(1-EXP(-LN(2)/2))/(LN(2)/2)*AQ29*AT29*VLOOKUP('Données projet'!$B$10,Paramètres!$A$1:$I$89,3,0)*0.475*44/12</f>
        <v>0.82426511259926771</v>
      </c>
      <c r="AX29" s="21">
        <f t="shared" si="6"/>
        <v>3.6261973062819348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4.8</v>
      </c>
      <c r="BD29" s="12">
        <f>IF('Données projet'!$A$88&gt;35,BD28+BC29-BL28,IF(A29&lt;'Données projet'!$A$88,$BA$205^A29,IF(A29='Données projet'!$A$88,'Données projet'!$B$88,BD28+BC29-BL28)))</f>
        <v>34.799999999999997</v>
      </c>
      <c r="BE29" s="13">
        <f>BD29*VLOOKUP('Données projet'!$B$11,Paramètres!$A$1:$I$89,3,0)*VLOOKUP('Données projet'!$B$11,Paramètres!$A$1:$I$89,5,0)</f>
        <v>31.487039999999997</v>
      </c>
      <c r="BF29" s="13">
        <f t="shared" si="37"/>
        <v>9.7118363356135369</v>
      </c>
      <c r="BG29" s="20">
        <f t="shared" si="7"/>
        <v>71.754709617860229</v>
      </c>
      <c r="BH29" s="59">
        <f t="shared" si="8"/>
        <v>365.08804295119353</v>
      </c>
      <c r="BI29" s="59">
        <f ca="1">AVERAGE(OFFSET($BH$3,0,0,'Données projet'!$E$11+1,1))-AVERAGE(OFFSET($H$3,0,0,'Données projet'!$E$11+1,1))</f>
        <v>138.8931001150624</v>
      </c>
      <c r="BJ29" s="59">
        <f t="shared" si="38"/>
        <v>48.964659354096625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34.799999999999997</v>
      </c>
      <c r="BZ29" s="13">
        <f>BY29*VLOOKUP('Données projet'!$B$12,Paramètres!$A$1:$I$89,3,0)*VLOOKUP('Données projet'!$B$12,Paramètres!$A$1:$I$89,5,0)</f>
        <v>35.287199999999999</v>
      </c>
      <c r="CA29" s="13">
        <f t="shared" si="39"/>
        <v>10.740552489323523</v>
      </c>
      <c r="CB29" s="20">
        <f t="shared" si="10"/>
        <v>80.165002252238452</v>
      </c>
      <c r="CC29" s="59">
        <f t="shared" si="11"/>
        <v>373.49833558557179</v>
      </c>
      <c r="CD29" s="59">
        <f ca="1">AVERAGE(OFFSET($CC$3,0,0,'Données projet'!$E$12+1,1))-AVERAGE(OFFSET($H$3,0,0,'Données projet'!$E$12+1,1))</f>
        <v>169.2757878405003</v>
      </c>
      <c r="CE29" s="59">
        <f t="shared" si="40"/>
        <v>61.876502626609977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9.9</v>
      </c>
      <c r="CT29" s="12">
        <f>IF('Données projet'!$A$140&gt;35,CT28+CS29-DB28,IF(A29&lt;'Données projet'!$A$140,$CQ$205^A29,IF(A29='Données projet'!$A$140,'Données projet'!$B$140,CT28+CS29-DB28)))</f>
        <v>95.40000000000002</v>
      </c>
      <c r="CU29" s="17">
        <f>CT29*VLOOKUP('Données projet'!$B$13,Paramètres!$A$1:$I$89,3,0)*VLOOKUP('Données projet'!$B$13,Paramètres!$A$1:$I$89,5,0)</f>
        <v>75.900240000000025</v>
      </c>
      <c r="CV29" s="13">
        <f t="shared" si="41"/>
        <v>21.131723109700886</v>
      </c>
      <c r="CW29" s="20">
        <f t="shared" si="13"/>
        <v>168.99733574939575</v>
      </c>
      <c r="CX29" s="59">
        <f t="shared" si="14"/>
        <v>462.33066908272906</v>
      </c>
      <c r="CY29" s="59">
        <f ca="1">AVERAGE(OFFSET($CX$3,0,0,'Données projet'!$E$13+1,1))-AVERAGE(OFFSET($H$3,0,0,'Données projet'!$E$13+1,1))</f>
        <v>141.12810728817544</v>
      </c>
      <c r="CZ29" s="59">
        <f t="shared" si="42"/>
        <v>176.01405805137551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>
        <f>EXP(-LN(2)/35)*DF28+(1-EXP(-LN(2)/35))/(LN(2)/35)*DB29*DC29*VLOOKUP('Données projet'!$B$13,Paramètres!$A$1:$I$89,3,0)*0.475*44/12</f>
        <v>0</v>
      </c>
      <c r="DG29" s="21">
        <f>EXP(-LN(2)/25)*DG28+(1-EXP(-LN(2)/25))/(LN(2)/25)*Calculateur!DB29*Calculateur!DD29*VLOOKUP('Données projet'!$B$13,Paramètres!$A$1:$I$89,3,0)*0.475*44/12</f>
        <v>2.0640323545215065</v>
      </c>
      <c r="DH29" s="21">
        <f>EXP(-LN(2)/2)*DH28+(1-EXP(-LN(2)/2))/(LN(2)/2)*DB29*DE29*VLOOKUP('Données projet'!$B$13,Paramètres!$A$1:$I$89,3,0)*0.475*44/12</f>
        <v>0.49262719620190598</v>
      </c>
      <c r="DI29" s="22">
        <f t="shared" si="15"/>
        <v>2.5566595507234124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10.199999999999999</v>
      </c>
      <c r="DO29" s="12">
        <f>IF('Données projet'!$A$166&gt;35,DO28+DN29-DW28,IF(A29&lt;'Données projet'!$A$166,$DL$205^A29,IF(A29='Données projet'!$A$166,'Données projet'!$B$166,DO28+DN29-DW28)))</f>
        <v>123.20000000000002</v>
      </c>
      <c r="DP29" s="17">
        <f>DO29*VLOOKUP('Données projet'!$B$14,Paramètres!$A$1:$I$89,3,0)*VLOOKUP('Données projet'!$B$14,Paramètres!$A$1:$I$89,5,0)</f>
        <v>73.673600000000022</v>
      </c>
      <c r="DQ29" s="13">
        <f t="shared" si="43"/>
        <v>20.583008456666128</v>
      </c>
      <c r="DR29" s="20">
        <f t="shared" si="16"/>
        <v>164.16359306202688</v>
      </c>
      <c r="DS29" s="59">
        <f t="shared" si="17"/>
        <v>457.49692639536022</v>
      </c>
      <c r="DT29" s="59">
        <f ca="1">AVERAGE(OFFSET($DS$3,0,0,'Données projet'!$E$14+1,1))-AVERAGE(OFFSET($H$3,0,0,'Données projet'!$E$14+1,1))</f>
        <v>165.39579887388538</v>
      </c>
      <c r="DU29" s="59">
        <f t="shared" si="44"/>
        <v>155.89639262545802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>
        <f>EXP(-LN(2)/35)*EA28+(1-EXP(-LN(2)/35))/(LN(2)/35)*DW29*DX29*VLOOKUP('Données projet'!$B$14,Paramètres!$A$1:$I$89,3,0)*0.475*44/12</f>
        <v>0</v>
      </c>
      <c r="EB29" s="21">
        <f>EXP(-LN(2)/25)*EB28+(1-EXP(-LN(2)/25))/(LN(2)/25)*Calculateur!DW29*Calculateur!DY29*VLOOKUP('Données projet'!$B$14,Paramètres!$A$1:$I$89,3,0)*0.475*44/12</f>
        <v>0</v>
      </c>
      <c r="EC29" s="21">
        <f>EXP(-LN(2)/2)*EC28+(1-EXP(-LN(2)/2))/(LN(2)/2)*DW29*DZ29*VLOOKUP('Données projet'!$B$14,Paramètres!$A$1:$I$89,3,0)*0.475*44/12</f>
        <v>0</v>
      </c>
      <c r="ED29" s="22">
        <f t="shared" si="18"/>
        <v>0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4.8</v>
      </c>
      <c r="EJ29" s="12">
        <f>IF('Données projet'!$A$192&gt;35,EJ28+EI29-ER28,IF(A29&lt;'Données projet'!$A$192,$EG$205^A29,IF(A29='Données projet'!$A$192,'Données projet'!$B$192,EJ28+EI29-ER28)))</f>
        <v>34.799999999999997</v>
      </c>
      <c r="EK29" s="17">
        <f>EJ29*VLOOKUP('Données projet'!$B$15,Paramètres!$A$1:$I$89,3,0)*VLOOKUP('Données projet'!$B$15,Paramètres!$A$1:$I$89,5,0)</f>
        <v>27.143999999999998</v>
      </c>
      <c r="EL29" s="13">
        <f t="shared" si="45"/>
        <v>8.5181694620316346</v>
      </c>
      <c r="EM29" s="20">
        <f t="shared" si="19"/>
        <v>62.111611813038422</v>
      </c>
      <c r="EN29" s="59">
        <f t="shared" si="20"/>
        <v>355.44494514637177</v>
      </c>
      <c r="EO29" s="59">
        <f ca="1">AVERAGE(OFFSET($EN$3,0,0,'Données projet'!$E$15+1,1))-AVERAGE(OFFSET($H$3,0,0,'Données projet'!$E$15+1,1))</f>
        <v>104.07220236158577</v>
      </c>
      <c r="EP29" s="59">
        <f t="shared" si="46"/>
        <v>34.162068257911756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>
        <f>EXP(-LN(2)/35)*EV28+(1-EXP(-LN(2)/35))/(LN(2)/35)*ER29*ES29*VLOOKUP('Données projet'!$B$15,Paramètres!$A$1:$I$89,3,0)*0.475*44/12</f>
        <v>0</v>
      </c>
      <c r="EW29" s="21">
        <f>EXP(-LN(2)/25)*EW28+(1-EXP(-LN(2)/25))/(LN(2)/25)*Calculateur!ER29*Calculateur!ET29*VLOOKUP('Données projet'!$B$15,Paramètres!$A$1:$I$89,3,0)*0.475*44/12</f>
        <v>0</v>
      </c>
      <c r="EX29" s="21">
        <f>EXP(-LN(2)/2)*EX28+(1-EXP(-LN(2)/2))/(LN(2)/2)*ER29*EU29*VLOOKUP('Données projet'!$B$15,Paramètres!$A$1:$I$89,3,0)*0.475*44/12</f>
        <v>0</v>
      </c>
      <c r="EY29" s="22">
        <f t="shared" si="21"/>
        <v>0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5.8</v>
      </c>
      <c r="FE29" s="12">
        <f>IF('Données projet'!$A$218&gt;35,FE28+FD29-FM28,IF(A29&lt;'Données projet'!$A$218,$FB$205^A29,IF(A29='Données projet'!$A$218,'Données projet'!$B$218,FE28+FD29-FM28)))</f>
        <v>152.80000000000004</v>
      </c>
      <c r="FF29" s="17">
        <f>FE29*VLOOKUP('Données projet'!$B$16,Paramètres!$A$1:$I$89,3,0)*VLOOKUP('Données projet'!$B$16,Paramètres!$A$1:$I$89,5,0)</f>
        <v>138.25344000000004</v>
      </c>
      <c r="FG29" s="13">
        <f t="shared" si="47"/>
        <v>35.896601257774428</v>
      </c>
      <c r="FH29" s="20">
        <f t="shared" si="22"/>
        <v>303.31132185729052</v>
      </c>
      <c r="FI29" s="59">
        <f t="shared" si="23"/>
        <v>596.64465519062378</v>
      </c>
      <c r="FJ29" s="59">
        <f ca="1">AVERAGE(OFFSET($FI$3,0,0,'Données projet'!$E$16+1,1))-AVERAGE(OFFSET($H$3,0,0,'Données projet'!$E$16+1,1))</f>
        <v>179.50097986986123</v>
      </c>
      <c r="FK29" s="59">
        <f t="shared" si="48"/>
        <v>287.11838730637578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>
        <f>EXP(-LN(2)/35)*FQ28+(1-EXP(-LN(2)/35))/(LN(2)/35)*FM29*FN29*VLOOKUP('Données projet'!$B$16,Paramètres!$A$1:$I$89,3,0)*0.475*44/12</f>
        <v>0.3824401257444171</v>
      </c>
      <c r="FR29" s="21">
        <f>EXP(-LN(2)/25)*FR28+(1-EXP(-LN(2)/25))/(LN(2)/25)*Calculateur!FM29*Calculateur!FO29*VLOOKUP('Données projet'!$B$16,Paramètres!$A$1:$I$89,3,0)*0.475*44/12</f>
        <v>5.6793268925424725</v>
      </c>
      <c r="FS29" s="21">
        <f>EXP(-LN(2)/2)*FS28+(1-EXP(-LN(2)/2))/(LN(2)/2)*FM29*FP29*VLOOKUP('Données projet'!$B$16,Paramètres!$A$1:$I$89,3,0)*0.475*44/12</f>
        <v>4.2531930342758404</v>
      </c>
      <c r="FT29" s="22">
        <f t="shared" si="24"/>
        <v>10.31496005256273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10.199999999999999</v>
      </c>
      <c r="FZ29" s="12">
        <f>IF('Données projet'!$A$244&gt;35,FZ28+FY29-GH28,IF(A29&lt;'Données projet'!$A$244,$FW$205^A29,IF(A29='Données projet'!$A$244,'Données projet'!$B$244,FZ28+FY29-GH28)))</f>
        <v>123.20000000000002</v>
      </c>
      <c r="GA29" s="17">
        <f>FZ29*VLOOKUP('Données projet'!$B$17,Paramètres!$A$1:$I$89,3,0)*VLOOKUP('Données projet'!$B$17,Paramètres!$A$1:$I$89,5,0)</f>
        <v>73.673600000000022</v>
      </c>
      <c r="GB29" s="13">
        <f t="shared" si="49"/>
        <v>20.583008456666128</v>
      </c>
      <c r="GC29" s="20">
        <f t="shared" si="25"/>
        <v>164.16359306202688</v>
      </c>
      <c r="GD29" s="59">
        <f t="shared" si="26"/>
        <v>457.49692639536022</v>
      </c>
      <c r="GE29" s="59">
        <f ca="1">AVERAGE(OFFSET($GD$3,0,0,'Données projet'!$E$17+1,1))-AVERAGE(OFFSET($H$3,0,0,'Données projet'!$E$17+1,1))</f>
        <v>165.39579887388538</v>
      </c>
      <c r="GF29" s="59">
        <f t="shared" si="50"/>
        <v>155.89639262545802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>
        <f>EXP(-LN(2)/35)*GL28+(1-EXP(-LN(2)/35))/(LN(2)/35)*GH29*GI29*VLOOKUP('Données projet'!$B$17,Paramètres!$A$1:$I$89,3,0)*0.475*44/12</f>
        <v>0</v>
      </c>
      <c r="GM29" s="21">
        <f>EXP(-LN(2)/25)*GM28+(1-EXP(-LN(2)/25))/(LN(2)/25)*Calculateur!GH29*Calculateur!GJ29*VLOOKUP('Données projet'!$B$17,Paramètres!$A$1:$I$89,3,0)*0.475*44/12</f>
        <v>0</v>
      </c>
      <c r="GN29" s="21">
        <f>EXP(-LN(2)/2)*GN28+(1-EXP(-LN(2)/2))/(LN(2)/2)*GH29*GK29*VLOOKUP('Données projet'!$B$17,Paramètres!$A$1:$I$89,3,0)*0.475*44/12</f>
        <v>0</v>
      </c>
      <c r="GO29" s="21">
        <f t="shared" si="27"/>
        <v>0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16.5</v>
      </c>
      <c r="N30" s="13">
        <f>IF('Données projet'!$A$36&gt;35,N29+M30-V29,IF(A30&lt;'Données projet'!$A$36,$K$205^A30,IF(A30='Données projet'!$A$36,'Données projet'!$B$36,N29+M30-V29)))</f>
        <v>190.5</v>
      </c>
      <c r="O30" s="13">
        <f>N30*VLOOKUP('Données projet'!$B$9,Paramètres!$A$1:$I$89,3,0)*VLOOKUP('Données projet'!$B$9,Paramètres!$A$1:$I$89,5,0)</f>
        <v>106.48949999999999</v>
      </c>
      <c r="P30" s="13">
        <f t="shared" si="33"/>
        <v>28.502328596874577</v>
      </c>
      <c r="Q30" s="20">
        <f t="shared" si="2"/>
        <v>235.11076813955651</v>
      </c>
      <c r="R30" s="59">
        <f t="shared" si="0"/>
        <v>528.44410147288977</v>
      </c>
      <c r="S30" s="59">
        <f ca="1">AVERAGE(OFFSET($R$3,0,0,'Données projet'!$E$9+1,1))-AVERAGE(OFFSET($H$3,0,0,'Données projet'!$E$9+1,1))</f>
        <v>235.10258076192054</v>
      </c>
      <c r="T30" s="59">
        <f t="shared" si="34"/>
        <v>233.47316052603765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</v>
      </c>
      <c r="AA30" s="21">
        <f>EXP(-LN(2)/25)*AA29+(1-EXP(-LN(2)/25))/(LN(2)/25)*Calculateur!V30*Calculateur!X30*VLOOKUP('Données projet'!$B$9,Paramètres!$A$1:$I$89,3,0)*0.475*44/12</f>
        <v>3.3458086289610773</v>
      </c>
      <c r="AB30" s="21">
        <f>EXP(-LN(2)/2)*AB29+(1-EXP(-LN(2)/2))/(LN(2)/2)*V30*Y30*VLOOKUP('Données projet'!$B$9,Paramètres!$A$1:$I$89,3,0)*0.475*44/12</f>
        <v>0.55942563340224793</v>
      </c>
      <c r="AC30" s="22">
        <f t="shared" si="3"/>
        <v>3.9052342623633254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10.199999999999999</v>
      </c>
      <c r="AI30" s="13">
        <f>IF('Données projet'!$A$62&gt;35,AI29+AH30-AQ29,IF(A30&lt;'Données projet'!$A$62,$AF$205^A30,IF(A30='Données projet'!$A$62,'Données projet'!$B$62,AI29+AH30-AQ29)))</f>
        <v>144.4</v>
      </c>
      <c r="AJ30" s="13">
        <f>AI30*VLOOKUP('Données projet'!$B$10,Paramètres!$A$1:$I$89,3,0)*VLOOKUP('Données projet'!$B$10,Paramètres!$A$1:$I$89,5,0)</f>
        <v>126.14784000000002</v>
      </c>
      <c r="AK30" s="13">
        <f t="shared" si="35"/>
        <v>33.10468597352537</v>
      </c>
      <c r="AL30" s="20">
        <f t="shared" si="4"/>
        <v>277.36481607055674</v>
      </c>
      <c r="AM30" s="59">
        <f t="shared" si="5"/>
        <v>570.69814940389006</v>
      </c>
      <c r="AN30" s="59">
        <f ca="1">AVERAGE(OFFSET($AM$3,0,0,'Données projet'!$E$10+1,1))-AVERAGE(OFFSET($H$3,0,0,'Données projet'!$E$10+1,1))</f>
        <v>191.94797389630673</v>
      </c>
      <c r="AO30" s="59">
        <f t="shared" si="36"/>
        <v>273.52540822767878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2.7253132104992046</v>
      </c>
      <c r="AW30" s="21">
        <f>EXP(-LN(2)/2)*AW29+(1-EXP(-LN(2)/2))/(LN(2)/2)*AQ30*AT30*VLOOKUP('Données projet'!$B$10,Paramètres!$A$1:$I$89,3,0)*0.475*44/12</f>
        <v>0.58284345061443543</v>
      </c>
      <c r="AX30" s="21">
        <f t="shared" si="6"/>
        <v>3.3081566611136402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4.8</v>
      </c>
      <c r="BD30" s="12">
        <f>IF('Données projet'!$A$88&gt;35,BD29+BC30-BL29,IF(A30&lt;'Données projet'!$A$88,$BA$205^A30,IF(A30='Données projet'!$A$88,'Données projet'!$B$88,BD29+BC30-BL29)))</f>
        <v>39.599999999999994</v>
      </c>
      <c r="BE30" s="13">
        <f>BD30*VLOOKUP('Données projet'!$B$11,Paramètres!$A$1:$I$89,3,0)*VLOOKUP('Données projet'!$B$11,Paramètres!$A$1:$I$89,5,0)</f>
        <v>35.830079999999995</v>
      </c>
      <c r="BF30" s="13">
        <f t="shared" si="37"/>
        <v>10.886427918882697</v>
      </c>
      <c r="BG30" s="20">
        <f t="shared" si="7"/>
        <v>81.364584625387351</v>
      </c>
      <c r="BH30" s="59">
        <f t="shared" si="8"/>
        <v>374.69791795872067</v>
      </c>
      <c r="BI30" s="59">
        <f ca="1">AVERAGE(OFFSET($BH$3,0,0,'Données projet'!$E$11+1,1))-AVERAGE(OFFSET($H$3,0,0,'Données projet'!$E$11+1,1))</f>
        <v>138.8931001150624</v>
      </c>
      <c r="BJ30" s="59">
        <f t="shared" si="38"/>
        <v>48.964659354096625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39.599999999999994</v>
      </c>
      <c r="BZ30" s="13">
        <f>BY30*VLOOKUP('Données projet'!$B$12,Paramètres!$A$1:$I$89,3,0)*VLOOKUP('Données projet'!$B$12,Paramètres!$A$1:$I$89,5,0)</f>
        <v>40.154399999999995</v>
      </c>
      <c r="CA30" s="13">
        <f t="shared" si="39"/>
        <v>12.039561463286329</v>
      </c>
      <c r="CB30" s="20">
        <f t="shared" si="10"/>
        <v>90.90448288189036</v>
      </c>
      <c r="CC30" s="59">
        <f t="shared" si="11"/>
        <v>384.23781621522369</v>
      </c>
      <c r="CD30" s="59">
        <f ca="1">AVERAGE(OFFSET($CC$3,0,0,'Données projet'!$E$12+1,1))-AVERAGE(OFFSET($H$3,0,0,'Données projet'!$E$12+1,1))</f>
        <v>169.2757878405003</v>
      </c>
      <c r="CE30" s="59">
        <f t="shared" si="40"/>
        <v>61.876502626609977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9.9</v>
      </c>
      <c r="CT30" s="12">
        <f>IF('Données projet'!$A$140&gt;35,CT29+CS30-DB29,IF(A30&lt;'Données projet'!$A$140,$CQ$205^A30,IF(A30='Données projet'!$A$140,'Données projet'!$B$140,CT29+CS30-DB29)))</f>
        <v>105.30000000000003</v>
      </c>
      <c r="CU30" s="17">
        <f>CT30*VLOOKUP('Données projet'!$B$13,Paramètres!$A$1:$I$89,3,0)*VLOOKUP('Données projet'!$B$13,Paramètres!$A$1:$I$89,5,0)</f>
        <v>83.776680000000027</v>
      </c>
      <c r="CV30" s="13">
        <f t="shared" si="41"/>
        <v>23.058108390010606</v>
      </c>
      <c r="CW30" s="20">
        <f t="shared" si="13"/>
        <v>186.07058977926849</v>
      </c>
      <c r="CX30" s="59">
        <f t="shared" si="14"/>
        <v>479.40392311260177</v>
      </c>
      <c r="CY30" s="59">
        <f ca="1">AVERAGE(OFFSET($CX$3,0,0,'Données projet'!$E$13+1,1))-AVERAGE(OFFSET($H$3,0,0,'Données projet'!$E$13+1,1))</f>
        <v>141.12810728817544</v>
      </c>
      <c r="CZ30" s="59">
        <f t="shared" si="42"/>
        <v>176.01405805137551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>
        <f>EXP(-LN(2)/35)*DF29+(1-EXP(-LN(2)/35))/(LN(2)/35)*DB30*DC30*VLOOKUP('Données projet'!$B$13,Paramètres!$A$1:$I$89,3,0)*0.475*44/12</f>
        <v>0</v>
      </c>
      <c r="DG30" s="21">
        <f>EXP(-LN(2)/25)*DG29+(1-EXP(-LN(2)/25))/(LN(2)/25)*Calculateur!DB30*Calculateur!DD30*VLOOKUP('Données projet'!$B$13,Paramètres!$A$1:$I$89,3,0)*0.475*44/12</f>
        <v>2.0075912812443719</v>
      </c>
      <c r="DH30" s="21">
        <f>EXP(-LN(2)/2)*DH29+(1-EXP(-LN(2)/2))/(LN(2)/2)*DB30*DE30*VLOOKUP('Données projet'!$B$13,Paramètres!$A$1:$I$89,3,0)*0.475*44/12</f>
        <v>0.34834003103128358</v>
      </c>
      <c r="DI30" s="22">
        <f t="shared" si="15"/>
        <v>2.3559313122756556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10.199999999999999</v>
      </c>
      <c r="DO30" s="12">
        <f>IF('Données projet'!$A$166&gt;35,DO29+DN30-DW29,IF(A30&lt;'Données projet'!$A$166,$DL$205^A30,IF(A30='Données projet'!$A$166,'Données projet'!$B$166,DO29+DN30-DW29)))</f>
        <v>133.4</v>
      </c>
      <c r="DP30" s="17">
        <f>DO30*VLOOKUP('Données projet'!$B$14,Paramètres!$A$1:$I$89,3,0)*VLOOKUP('Données projet'!$B$14,Paramètres!$A$1:$I$89,5,0)</f>
        <v>79.773200000000003</v>
      </c>
      <c r="DQ30" s="13">
        <f t="shared" si="43"/>
        <v>22.081721190221341</v>
      </c>
      <c r="DR30" s="20">
        <f t="shared" si="16"/>
        <v>177.39732107296882</v>
      </c>
      <c r="DS30" s="59">
        <f t="shared" si="17"/>
        <v>470.73065440630216</v>
      </c>
      <c r="DT30" s="59">
        <f ca="1">AVERAGE(OFFSET($DS$3,0,0,'Données projet'!$E$14+1,1))-AVERAGE(OFFSET($H$3,0,0,'Données projet'!$E$14+1,1))</f>
        <v>165.39579887388538</v>
      </c>
      <c r="DU30" s="59">
        <f t="shared" si="44"/>
        <v>155.89639262545802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>
        <f>EXP(-LN(2)/35)*EA29+(1-EXP(-LN(2)/35))/(LN(2)/35)*DW30*DX30*VLOOKUP('Données projet'!$B$14,Paramètres!$A$1:$I$89,3,0)*0.475*44/12</f>
        <v>0</v>
      </c>
      <c r="EB30" s="21">
        <f>EXP(-LN(2)/25)*EB29+(1-EXP(-LN(2)/25))/(LN(2)/25)*Calculateur!DW30*Calculateur!DY30*VLOOKUP('Données projet'!$B$14,Paramètres!$A$1:$I$89,3,0)*0.475*44/12</f>
        <v>0</v>
      </c>
      <c r="EC30" s="21">
        <f>EXP(-LN(2)/2)*EC29+(1-EXP(-LN(2)/2))/(LN(2)/2)*DW30*DZ30*VLOOKUP('Données projet'!$B$14,Paramètres!$A$1:$I$89,3,0)*0.475*44/12</f>
        <v>0</v>
      </c>
      <c r="ED30" s="22">
        <f t="shared" si="18"/>
        <v>0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4.8</v>
      </c>
      <c r="EJ30" s="12">
        <f>IF('Données projet'!$A$192&gt;35,EJ29+EI30-ER29,IF(A30&lt;'Données projet'!$A$192,$EG$205^A30,IF(A30='Données projet'!$A$192,'Données projet'!$B$192,EJ29+EI30-ER29)))</f>
        <v>39.599999999999994</v>
      </c>
      <c r="EK30" s="17">
        <f>EJ30*VLOOKUP('Données projet'!$B$15,Paramètres!$A$1:$I$89,3,0)*VLOOKUP('Données projet'!$B$15,Paramètres!$A$1:$I$89,5,0)</f>
        <v>30.887999999999998</v>
      </c>
      <c r="EL30" s="13">
        <f t="shared" si="45"/>
        <v>9.5483937995519046</v>
      </c>
      <c r="EM30" s="20">
        <f t="shared" si="19"/>
        <v>70.426719200886225</v>
      </c>
      <c r="EN30" s="59">
        <f t="shared" si="20"/>
        <v>363.76005253421954</v>
      </c>
      <c r="EO30" s="59">
        <f ca="1">AVERAGE(OFFSET($EN$3,0,0,'Données projet'!$E$15+1,1))-AVERAGE(OFFSET($H$3,0,0,'Données projet'!$E$15+1,1))</f>
        <v>104.07220236158577</v>
      </c>
      <c r="EP30" s="59">
        <f t="shared" si="46"/>
        <v>34.162068257911756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>
        <f>EXP(-LN(2)/35)*EV29+(1-EXP(-LN(2)/35))/(LN(2)/35)*ER30*ES30*VLOOKUP('Données projet'!$B$15,Paramètres!$A$1:$I$89,3,0)*0.475*44/12</f>
        <v>0</v>
      </c>
      <c r="EW30" s="21">
        <f>EXP(-LN(2)/25)*EW29+(1-EXP(-LN(2)/25))/(LN(2)/25)*Calculateur!ER30*Calculateur!ET30*VLOOKUP('Données projet'!$B$15,Paramètres!$A$1:$I$89,3,0)*0.475*44/12</f>
        <v>0</v>
      </c>
      <c r="EX30" s="21">
        <f>EXP(-LN(2)/2)*EX29+(1-EXP(-LN(2)/2))/(LN(2)/2)*ER30*EU30*VLOOKUP('Données projet'!$B$15,Paramètres!$A$1:$I$89,3,0)*0.475*44/12</f>
        <v>0</v>
      </c>
      <c r="EY30" s="22">
        <f t="shared" si="21"/>
        <v>0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5.8</v>
      </c>
      <c r="FE30" s="12">
        <f>IF('Données projet'!$A$218&gt;35,FE29+FD30-FM29,IF(A30&lt;'Données projet'!$A$218,$FB$205^A30,IF(A30='Données projet'!$A$218,'Données projet'!$B$218,FE29+FD30-FM29)))</f>
        <v>158.60000000000005</v>
      </c>
      <c r="FF30" s="17">
        <f>FE30*VLOOKUP('Données projet'!$B$16,Paramètres!$A$1:$I$89,3,0)*VLOOKUP('Données projet'!$B$16,Paramètres!$A$1:$I$89,5,0)</f>
        <v>143.50128000000004</v>
      </c>
      <c r="FG30" s="13">
        <f t="shared" si="47"/>
        <v>37.097942826522427</v>
      </c>
      <c r="FH30" s="20">
        <f t="shared" si="22"/>
        <v>314.54364642285992</v>
      </c>
      <c r="FI30" s="59">
        <f t="shared" si="23"/>
        <v>607.87697975619324</v>
      </c>
      <c r="FJ30" s="59">
        <f ca="1">AVERAGE(OFFSET($FI$3,0,0,'Données projet'!$E$16+1,1))-AVERAGE(OFFSET($H$3,0,0,'Données projet'!$E$16+1,1))</f>
        <v>179.50097986986123</v>
      </c>
      <c r="FK30" s="59">
        <f t="shared" si="48"/>
        <v>287.11838730637578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>
        <f>EXP(-LN(2)/35)*FQ29+(1-EXP(-LN(2)/35))/(LN(2)/35)*FM30*FN30*VLOOKUP('Données projet'!$B$16,Paramètres!$A$1:$I$89,3,0)*0.475*44/12</f>
        <v>0.37494070814401276</v>
      </c>
      <c r="FR30" s="21">
        <f>EXP(-LN(2)/25)*FR29+(1-EXP(-LN(2)/25))/(LN(2)/25)*Calculateur!FM30*Calculateur!FO30*VLOOKUP('Données projet'!$B$16,Paramètres!$A$1:$I$89,3,0)*0.475*44/12</f>
        <v>5.5240254000030777</v>
      </c>
      <c r="FS30" s="21">
        <f>EXP(-LN(2)/2)*FS29+(1-EXP(-LN(2)/2))/(LN(2)/2)*FM30*FP30*VLOOKUP('Données projet'!$B$16,Paramètres!$A$1:$I$89,3,0)*0.475*44/12</f>
        <v>3.0074616362318349</v>
      </c>
      <c r="FT30" s="22">
        <f t="shared" si="24"/>
        <v>8.9064277443789255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10.199999999999999</v>
      </c>
      <c r="FZ30" s="12">
        <f>IF('Données projet'!$A$244&gt;35,FZ29+FY30-GH29,IF(A30&lt;'Données projet'!$A$244,$FW$205^A30,IF(A30='Données projet'!$A$244,'Données projet'!$B$244,FZ29+FY30-GH29)))</f>
        <v>133.4</v>
      </c>
      <c r="GA30" s="17">
        <f>FZ30*VLOOKUP('Données projet'!$B$17,Paramètres!$A$1:$I$89,3,0)*VLOOKUP('Données projet'!$B$17,Paramètres!$A$1:$I$89,5,0)</f>
        <v>79.773200000000003</v>
      </c>
      <c r="GB30" s="13">
        <f t="shared" si="49"/>
        <v>22.081721190221341</v>
      </c>
      <c r="GC30" s="20">
        <f t="shared" si="25"/>
        <v>177.39732107296882</v>
      </c>
      <c r="GD30" s="59">
        <f t="shared" si="26"/>
        <v>470.73065440630216</v>
      </c>
      <c r="GE30" s="59">
        <f ca="1">AVERAGE(OFFSET($GD$3,0,0,'Données projet'!$E$17+1,1))-AVERAGE(OFFSET($H$3,0,0,'Données projet'!$E$17+1,1))</f>
        <v>165.39579887388538</v>
      </c>
      <c r="GF30" s="59">
        <f t="shared" si="50"/>
        <v>155.89639262545802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>
        <f>EXP(-LN(2)/35)*GL29+(1-EXP(-LN(2)/35))/(LN(2)/35)*GH30*GI30*VLOOKUP('Données projet'!$B$17,Paramètres!$A$1:$I$89,3,0)*0.475*44/12</f>
        <v>0</v>
      </c>
      <c r="GM30" s="21">
        <f>EXP(-LN(2)/25)*GM29+(1-EXP(-LN(2)/25))/(LN(2)/25)*Calculateur!GH30*Calculateur!GJ30*VLOOKUP('Données projet'!$B$17,Paramètres!$A$1:$I$89,3,0)*0.475*44/12</f>
        <v>0</v>
      </c>
      <c r="GN30" s="21">
        <f>EXP(-LN(2)/2)*GN29+(1-EXP(-LN(2)/2))/(LN(2)/2)*GH30*GK30*VLOOKUP('Données projet'!$B$17,Paramètres!$A$1:$I$89,3,0)*0.475*44/12</f>
        <v>0</v>
      </c>
      <c r="GO30" s="21">
        <f t="shared" si="27"/>
        <v>0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16.5</v>
      </c>
      <c r="N31" s="13">
        <f>IF('Données projet'!$A$36&gt;35,N30+M31-V30,IF(A31&lt;'Données projet'!$A$36,$K$205^A31,IF(A31='Données projet'!$A$36,'Données projet'!$B$36,N30+M31-V30)))</f>
        <v>207</v>
      </c>
      <c r="O31" s="13">
        <f>N31*VLOOKUP('Données projet'!$B$9,Paramètres!$A$1:$I$89,3,0)*VLOOKUP('Données projet'!$B$9,Paramètres!$A$1:$I$89,5,0)</f>
        <v>115.71300000000001</v>
      </c>
      <c r="P31" s="13">
        <f t="shared" si="33"/>
        <v>30.673019842466044</v>
      </c>
      <c r="Q31" s="20">
        <f t="shared" si="2"/>
        <v>254.95565122562834</v>
      </c>
      <c r="R31" s="59">
        <f t="shared" si="0"/>
        <v>548.2889845589616</v>
      </c>
      <c r="S31" s="59">
        <f ca="1">AVERAGE(OFFSET($R$3,0,0,'Données projet'!$E$9+1,1))-AVERAGE(OFFSET($H$3,0,0,'Données projet'!$E$9+1,1))</f>
        <v>235.10258076192054</v>
      </c>
      <c r="T31" s="59">
        <f t="shared" si="34"/>
        <v>233.47316052603765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0</v>
      </c>
      <c r="AA31" s="21">
        <f>EXP(-LN(2)/25)*AA30+(1-EXP(-LN(2)/25))/(LN(2)/25)*Calculateur!V31*Calculateur!X31*VLOOKUP('Données projet'!$B$9,Paramètres!$A$1:$I$89,3,0)*0.475*44/12</f>
        <v>3.254317316053708</v>
      </c>
      <c r="AB31" s="21">
        <f>EXP(-LN(2)/2)*AB30+(1-EXP(-LN(2)/2))/(LN(2)/2)*V31*Y31*VLOOKUP('Données projet'!$B$9,Paramètres!$A$1:$I$89,3,0)*0.475*44/12</f>
        <v>0.39557365894830909</v>
      </c>
      <c r="AC31" s="22">
        <f t="shared" si="3"/>
        <v>3.649890975002017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10.199999999999999</v>
      </c>
      <c r="AI31" s="13">
        <f>IF('Données projet'!$A$62&gt;35,AI30+AH31-AQ30,IF(A31&lt;'Données projet'!$A$62,$AF$205^A31,IF(A31='Données projet'!$A$62,'Données projet'!$B$62,AI30+AH31-AQ30)))</f>
        <v>154.6</v>
      </c>
      <c r="AJ31" s="13">
        <f>AI31*VLOOKUP('Données projet'!$B$10,Paramètres!$A$1:$I$89,3,0)*VLOOKUP('Données projet'!$B$10,Paramètres!$A$1:$I$89,5,0)</f>
        <v>135.05856000000003</v>
      </c>
      <c r="AK31" s="13">
        <f t="shared" si="35"/>
        <v>35.16263443880888</v>
      </c>
      <c r="AL31" s="20">
        <f t="shared" si="4"/>
        <v>296.46858031425882</v>
      </c>
      <c r="AM31" s="59">
        <f t="shared" si="5"/>
        <v>589.80191364759207</v>
      </c>
      <c r="AN31" s="59">
        <f ca="1">AVERAGE(OFFSET($AM$3,0,0,'Données projet'!$E$10+1,1))-AVERAGE(OFFSET($H$3,0,0,'Données projet'!$E$10+1,1))</f>
        <v>191.94797389630673</v>
      </c>
      <c r="AO31" s="59">
        <f t="shared" si="36"/>
        <v>273.52540822767878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2.6507893774401108</v>
      </c>
      <c r="AW31" s="21">
        <f>EXP(-LN(2)/2)*AW30+(1-EXP(-LN(2)/2))/(LN(2)/2)*AQ31*AT31*VLOOKUP('Données projet'!$B$10,Paramètres!$A$1:$I$89,3,0)*0.475*44/12</f>
        <v>0.41213255629963397</v>
      </c>
      <c r="AX31" s="21">
        <f t="shared" si="6"/>
        <v>3.0629219337397449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4.8</v>
      </c>
      <c r="BD31" s="12">
        <f>IF('Données projet'!$A$88&gt;35,BD30+BC31-BL30,IF(A31&lt;'Données projet'!$A$88,$BA$205^A31,IF(A31='Données projet'!$A$88,'Données projet'!$B$88,BD30+BC31-BL30)))</f>
        <v>44.399999999999991</v>
      </c>
      <c r="BE31" s="13">
        <f>BD31*VLOOKUP('Données projet'!$B$11,Paramètres!$A$1:$I$89,3,0)*VLOOKUP('Données projet'!$B$11,Paramètres!$A$1:$I$89,5,0)</f>
        <v>40.17311999999999</v>
      </c>
      <c r="BF31" s="13">
        <f t="shared" si="37"/>
        <v>12.044520842267836</v>
      </c>
      <c r="BG31" s="20">
        <f t="shared" si="7"/>
        <v>90.945724466949798</v>
      </c>
      <c r="BH31" s="59">
        <f t="shared" si="8"/>
        <v>384.27905780028311</v>
      </c>
      <c r="BI31" s="59">
        <f ca="1">AVERAGE(OFFSET($BH$3,0,0,'Données projet'!$E$11+1,1))-AVERAGE(OFFSET($H$3,0,0,'Données projet'!$E$11+1,1))</f>
        <v>138.8931001150624</v>
      </c>
      <c r="BJ31" s="59">
        <f t="shared" si="38"/>
        <v>48.964659354096625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44.399999999999991</v>
      </c>
      <c r="BZ31" s="13">
        <f>BY31*VLOOKUP('Données projet'!$B$12,Paramètres!$A$1:$I$89,3,0)*VLOOKUP('Données projet'!$B$12,Paramètres!$A$1:$I$89,5,0)</f>
        <v>45.021599999999992</v>
      </c>
      <c r="CA31" s="13">
        <f t="shared" si="39"/>
        <v>13.320324173992205</v>
      </c>
      <c r="CB31" s="20">
        <f t="shared" si="10"/>
        <v>101.6121846030364</v>
      </c>
      <c r="CC31" s="59">
        <f t="shared" si="11"/>
        <v>394.9455179363697</v>
      </c>
      <c r="CD31" s="59">
        <f ca="1">AVERAGE(OFFSET($CC$3,0,0,'Données projet'!$E$12+1,1))-AVERAGE(OFFSET($H$3,0,0,'Données projet'!$E$12+1,1))</f>
        <v>169.2757878405003</v>
      </c>
      <c r="CE31" s="59">
        <f t="shared" si="40"/>
        <v>61.876502626609977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9.9</v>
      </c>
      <c r="CT31" s="12">
        <f>IF('Données projet'!$A$140&gt;35,CT30+CS31-DB30,IF(A31&lt;'Données projet'!$A$140,$CQ$205^A31,IF(A31='Données projet'!$A$140,'Données projet'!$B$140,CT30+CS31-DB30)))</f>
        <v>115.20000000000003</v>
      </c>
      <c r="CU31" s="17">
        <f>CT31*VLOOKUP('Données projet'!$B$13,Paramètres!$A$1:$I$89,3,0)*VLOOKUP('Données projet'!$B$13,Paramètres!$A$1:$I$89,5,0)</f>
        <v>91.65312000000003</v>
      </c>
      <c r="CV31" s="13">
        <f t="shared" si="41"/>
        <v>24.963494406608529</v>
      </c>
      <c r="CW31" s="20">
        <f t="shared" si="13"/>
        <v>203.10727009150989</v>
      </c>
      <c r="CX31" s="59">
        <f t="shared" si="14"/>
        <v>496.44060342484318</v>
      </c>
      <c r="CY31" s="59">
        <f ca="1">AVERAGE(OFFSET($CX$3,0,0,'Données projet'!$E$13+1,1))-AVERAGE(OFFSET($H$3,0,0,'Données projet'!$E$13+1,1))</f>
        <v>141.12810728817544</v>
      </c>
      <c r="CZ31" s="59">
        <f t="shared" si="42"/>
        <v>176.01405805137551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>
        <f>EXP(-LN(2)/35)*DF30+(1-EXP(-LN(2)/35))/(LN(2)/35)*DB31*DC31*VLOOKUP('Données projet'!$B$13,Paramètres!$A$1:$I$89,3,0)*0.475*44/12</f>
        <v>0</v>
      </c>
      <c r="DG31" s="21">
        <f>EXP(-LN(2)/25)*DG30+(1-EXP(-LN(2)/25))/(LN(2)/25)*Calculateur!DB31*Calculateur!DD31*VLOOKUP('Données projet'!$B$13,Paramètres!$A$1:$I$89,3,0)*0.475*44/12</f>
        <v>1.9526935920841075</v>
      </c>
      <c r="DH31" s="21">
        <f>EXP(-LN(2)/2)*DH30+(1-EXP(-LN(2)/2))/(LN(2)/2)*DB31*DE31*VLOOKUP('Données projet'!$B$13,Paramètres!$A$1:$I$89,3,0)*0.475*44/12</f>
        <v>0.24631359810095302</v>
      </c>
      <c r="DI31" s="22">
        <f t="shared" si="15"/>
        <v>2.1990071901850605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10.199999999999999</v>
      </c>
      <c r="DO31" s="12">
        <f>IF('Données projet'!$A$166&gt;35,DO30+DN31-DW30,IF(A31&lt;'Données projet'!$A$166,$DL$205^A31,IF(A31='Données projet'!$A$166,'Données projet'!$B$166,DO30+DN31-DW30)))</f>
        <v>143.6</v>
      </c>
      <c r="DP31" s="17">
        <f>DO31*VLOOKUP('Données projet'!$B$14,Paramètres!$A$1:$I$89,3,0)*VLOOKUP('Données projet'!$B$14,Paramètres!$A$1:$I$89,5,0)</f>
        <v>85.872799999999998</v>
      </c>
      <c r="DQ31" s="13">
        <f t="shared" si="43"/>
        <v>23.567140673267303</v>
      </c>
      <c r="DR31" s="20">
        <f t="shared" si="16"/>
        <v>190.60789667260721</v>
      </c>
      <c r="DS31" s="59">
        <f t="shared" si="17"/>
        <v>483.9412300059405</v>
      </c>
      <c r="DT31" s="59">
        <f ca="1">AVERAGE(OFFSET($DS$3,0,0,'Données projet'!$E$14+1,1))-AVERAGE(OFFSET($H$3,0,0,'Données projet'!$E$14+1,1))</f>
        <v>165.39579887388538</v>
      </c>
      <c r="DU31" s="59">
        <f t="shared" si="44"/>
        <v>155.89639262545802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>
        <f>EXP(-LN(2)/35)*EA30+(1-EXP(-LN(2)/35))/(LN(2)/35)*DW31*DX31*VLOOKUP('Données projet'!$B$14,Paramètres!$A$1:$I$89,3,0)*0.475*44/12</f>
        <v>0</v>
      </c>
      <c r="EB31" s="21">
        <f>EXP(-LN(2)/25)*EB30+(1-EXP(-LN(2)/25))/(LN(2)/25)*Calculateur!DW31*Calculateur!DY31*VLOOKUP('Données projet'!$B$14,Paramètres!$A$1:$I$89,3,0)*0.475*44/12</f>
        <v>0</v>
      </c>
      <c r="EC31" s="21">
        <f>EXP(-LN(2)/2)*EC30+(1-EXP(-LN(2)/2))/(LN(2)/2)*DW31*DZ31*VLOOKUP('Données projet'!$B$14,Paramètres!$A$1:$I$89,3,0)*0.475*44/12</f>
        <v>0</v>
      </c>
      <c r="ED31" s="22">
        <f t="shared" si="18"/>
        <v>0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4.8</v>
      </c>
      <c r="EJ31" s="12">
        <f>IF('Données projet'!$A$192&gt;35,EJ30+EI31-ER30,IF(A31&lt;'Données projet'!$A$192,$EG$205^A31,IF(A31='Données projet'!$A$192,'Données projet'!$B$192,EJ30+EI31-ER30)))</f>
        <v>44.399999999999991</v>
      </c>
      <c r="EK31" s="17">
        <f>EJ31*VLOOKUP('Données projet'!$B$15,Paramètres!$A$1:$I$89,3,0)*VLOOKUP('Données projet'!$B$15,Paramètres!$A$1:$I$89,5,0)</f>
        <v>34.631999999999998</v>
      </c>
      <c r="EL31" s="13">
        <f t="shared" si="45"/>
        <v>10.564147302110392</v>
      </c>
      <c r="EM31" s="20">
        <f t="shared" si="19"/>
        <v>78.716623217842255</v>
      </c>
      <c r="EN31" s="59">
        <f t="shared" si="20"/>
        <v>372.04995655117557</v>
      </c>
      <c r="EO31" s="59">
        <f ca="1">AVERAGE(OFFSET($EN$3,0,0,'Données projet'!$E$15+1,1))-AVERAGE(OFFSET($H$3,0,0,'Données projet'!$E$15+1,1))</f>
        <v>104.07220236158577</v>
      </c>
      <c r="EP31" s="59">
        <f t="shared" si="46"/>
        <v>34.162068257911756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>
        <f>EXP(-LN(2)/35)*EV30+(1-EXP(-LN(2)/35))/(LN(2)/35)*ER31*ES31*VLOOKUP('Données projet'!$B$15,Paramètres!$A$1:$I$89,3,0)*0.475*44/12</f>
        <v>0</v>
      </c>
      <c r="EW31" s="21">
        <f>EXP(-LN(2)/25)*EW30+(1-EXP(-LN(2)/25))/(LN(2)/25)*Calculateur!ER31*Calculateur!ET31*VLOOKUP('Données projet'!$B$15,Paramètres!$A$1:$I$89,3,0)*0.475*44/12</f>
        <v>0</v>
      </c>
      <c r="EX31" s="21">
        <f>EXP(-LN(2)/2)*EX30+(1-EXP(-LN(2)/2))/(LN(2)/2)*ER31*EU31*VLOOKUP('Données projet'!$B$15,Paramètres!$A$1:$I$89,3,0)*0.475*44/12</f>
        <v>0</v>
      </c>
      <c r="EY31" s="22">
        <f t="shared" si="21"/>
        <v>0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5.8</v>
      </c>
      <c r="FE31" s="12">
        <f>IF('Données projet'!$A$218&gt;35,FE30+FD31-FM30,IF(A31&lt;'Données projet'!$A$218,$FB$205^A31,IF(A31='Données projet'!$A$218,'Données projet'!$B$218,FE30+FD31-FM30)))</f>
        <v>164.40000000000006</v>
      </c>
      <c r="FF31" s="17">
        <f>FE31*VLOOKUP('Données projet'!$B$16,Paramètres!$A$1:$I$89,3,0)*VLOOKUP('Données projet'!$B$16,Paramètres!$A$1:$I$89,5,0)</f>
        <v>148.74912000000006</v>
      </c>
      <c r="FG31" s="13">
        <f t="shared" si="47"/>
        <v>38.294180255651369</v>
      </c>
      <c r="FH31" s="20">
        <f t="shared" si="22"/>
        <v>325.76708127859291</v>
      </c>
      <c r="FI31" s="59">
        <f t="shared" si="23"/>
        <v>619.10041461192623</v>
      </c>
      <c r="FJ31" s="59">
        <f ca="1">AVERAGE(OFFSET($FI$3,0,0,'Données projet'!$E$16+1,1))-AVERAGE(OFFSET($H$3,0,0,'Données projet'!$E$16+1,1))</f>
        <v>179.50097986986123</v>
      </c>
      <c r="FK31" s="59">
        <f t="shared" si="48"/>
        <v>287.11838730637578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>
        <f>EXP(-LN(2)/35)*FQ30+(1-EXP(-LN(2)/35))/(LN(2)/35)*FM31*FN31*VLOOKUP('Données projet'!$B$16,Paramètres!$A$1:$I$89,3,0)*0.475*44/12</f>
        <v>0.36758834954855923</v>
      </c>
      <c r="FR31" s="21">
        <f>EXP(-LN(2)/25)*FR30+(1-EXP(-LN(2)/25))/(LN(2)/25)*Calculateur!FM31*Calculateur!FO31*VLOOKUP('Données projet'!$B$16,Paramètres!$A$1:$I$89,3,0)*0.475*44/12</f>
        <v>5.3729706349441235</v>
      </c>
      <c r="FS31" s="21">
        <f>EXP(-LN(2)/2)*FS30+(1-EXP(-LN(2)/2))/(LN(2)/2)*FM31*FP31*VLOOKUP('Données projet'!$B$16,Paramètres!$A$1:$I$89,3,0)*0.475*44/12</f>
        <v>2.1265965171379206</v>
      </c>
      <c r="FT31" s="22">
        <f t="shared" si="24"/>
        <v>7.8671555016306041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10.199999999999999</v>
      </c>
      <c r="FZ31" s="12">
        <f>IF('Données projet'!$A$244&gt;35,FZ30+FY31-GH30,IF(A31&lt;'Données projet'!$A$244,$FW$205^A31,IF(A31='Données projet'!$A$244,'Données projet'!$B$244,FZ30+FY31-GH30)))</f>
        <v>143.6</v>
      </c>
      <c r="GA31" s="17">
        <f>FZ31*VLOOKUP('Données projet'!$B$17,Paramètres!$A$1:$I$89,3,0)*VLOOKUP('Données projet'!$B$17,Paramètres!$A$1:$I$89,5,0)</f>
        <v>85.872799999999998</v>
      </c>
      <c r="GB31" s="13">
        <f t="shared" si="49"/>
        <v>23.567140673267303</v>
      </c>
      <c r="GC31" s="20">
        <f t="shared" si="25"/>
        <v>190.60789667260721</v>
      </c>
      <c r="GD31" s="59">
        <f t="shared" si="26"/>
        <v>483.9412300059405</v>
      </c>
      <c r="GE31" s="59">
        <f ca="1">AVERAGE(OFFSET($GD$3,0,0,'Données projet'!$E$17+1,1))-AVERAGE(OFFSET($H$3,0,0,'Données projet'!$E$17+1,1))</f>
        <v>165.39579887388538</v>
      </c>
      <c r="GF31" s="59">
        <f t="shared" si="50"/>
        <v>155.89639262545802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>
        <f>EXP(-LN(2)/35)*GL30+(1-EXP(-LN(2)/35))/(LN(2)/35)*GH31*GI31*VLOOKUP('Données projet'!$B$17,Paramètres!$A$1:$I$89,3,0)*0.475*44/12</f>
        <v>0</v>
      </c>
      <c r="GM31" s="21">
        <f>EXP(-LN(2)/25)*GM30+(1-EXP(-LN(2)/25))/(LN(2)/25)*Calculateur!GH31*Calculateur!GJ31*VLOOKUP('Données projet'!$B$17,Paramètres!$A$1:$I$89,3,0)*0.475*44/12</f>
        <v>0</v>
      </c>
      <c r="GN31" s="21">
        <f>EXP(-LN(2)/2)*GN30+(1-EXP(-LN(2)/2))/(LN(2)/2)*GH31*GK31*VLOOKUP('Données projet'!$B$17,Paramètres!$A$1:$I$89,3,0)*0.475*44/12</f>
        <v>0</v>
      </c>
      <c r="GO31" s="21">
        <f t="shared" si="27"/>
        <v>0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16.5</v>
      </c>
      <c r="N32" s="13">
        <f>IF('Données projet'!$A$36&gt;35,N31+M32-V31,IF(A32&lt;'Données projet'!$A$36,$K$205^A32,IF(A32='Données projet'!$A$36,'Données projet'!$B$36,N31+M32-V31)))</f>
        <v>223.5</v>
      </c>
      <c r="O32" s="13">
        <f>N32*VLOOKUP('Données projet'!$B$9,Paramètres!$A$1:$I$89,3,0)*VLOOKUP('Données projet'!$B$9,Paramètres!$A$1:$I$89,5,0)</f>
        <v>124.93650000000001</v>
      </c>
      <c r="P32" s="13">
        <f t="shared" si="33"/>
        <v>32.823641573367262</v>
      </c>
      <c r="Q32" s="20">
        <f t="shared" si="2"/>
        <v>274.76557990694795</v>
      </c>
      <c r="R32" s="59">
        <f t="shared" si="0"/>
        <v>568.09891324028126</v>
      </c>
      <c r="S32" s="59">
        <f ca="1">AVERAGE(OFFSET($R$3,0,0,'Données projet'!$E$9+1,1))-AVERAGE(OFFSET($H$3,0,0,'Données projet'!$E$9+1,1))</f>
        <v>235.10258076192054</v>
      </c>
      <c r="T32" s="59">
        <f t="shared" si="34"/>
        <v>233.47316052603765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0</v>
      </c>
      <c r="AA32" s="21">
        <f>EXP(-LN(2)/25)*AA31+(1-EXP(-LN(2)/25))/(LN(2)/25)*Calculateur!V32*Calculateur!X32*VLOOKUP('Données projet'!$B$9,Paramètres!$A$1:$I$89,3,0)*0.475*44/12</f>
        <v>3.1653278379091097</v>
      </c>
      <c r="AB32" s="21">
        <f>EXP(-LN(2)/2)*AB31+(1-EXP(-LN(2)/2))/(LN(2)/2)*V32*Y32*VLOOKUP('Données projet'!$B$9,Paramètres!$A$1:$I$89,3,0)*0.475*44/12</f>
        <v>0.27971281670112397</v>
      </c>
      <c r="AC32" s="22">
        <f t="shared" si="3"/>
        <v>3.4450406546102337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10.199999999999999</v>
      </c>
      <c r="AI32" s="13">
        <f>IF('Données projet'!$A$62&gt;35,AI31+AH32-AQ31,IF(A32&lt;'Données projet'!$A$62,$AF$205^A32,IF(A32='Données projet'!$A$62,'Données projet'!$B$62,AI31+AH32-AQ31)))</f>
        <v>164.79999999999998</v>
      </c>
      <c r="AJ32" s="13">
        <f>AI32*VLOOKUP('Données projet'!$B$10,Paramètres!$A$1:$I$89,3,0)*VLOOKUP('Données projet'!$B$10,Paramètres!$A$1:$I$89,5,0)</f>
        <v>143.96928</v>
      </c>
      <c r="AK32" s="13">
        <f t="shared" si="35"/>
        <v>37.20482696787677</v>
      </c>
      <c r="AL32" s="20">
        <f t="shared" si="4"/>
        <v>315.54490296905198</v>
      </c>
      <c r="AM32" s="59">
        <f t="shared" si="5"/>
        <v>608.87823630238529</v>
      </c>
      <c r="AN32" s="59">
        <f ca="1">AVERAGE(OFFSET($AM$3,0,0,'Données projet'!$E$10+1,1))-AVERAGE(OFFSET($H$3,0,0,'Données projet'!$E$10+1,1))</f>
        <v>191.94797389630673</v>
      </c>
      <c r="AO32" s="59">
        <f t="shared" si="36"/>
        <v>273.52540822767878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2.578303402515056</v>
      </c>
      <c r="AW32" s="21">
        <f>EXP(-LN(2)/2)*AW31+(1-EXP(-LN(2)/2))/(LN(2)/2)*AQ32*AT32*VLOOKUP('Données projet'!$B$10,Paramètres!$A$1:$I$89,3,0)*0.475*44/12</f>
        <v>0.29142172530721777</v>
      </c>
      <c r="AX32" s="21">
        <f t="shared" si="6"/>
        <v>2.8697251278222735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4.8</v>
      </c>
      <c r="BD32" s="12">
        <f>IF('Données projet'!$A$88&gt;35,BD31+BC32-BL31,IF(A32&lt;'Données projet'!$A$88,$BA$205^A32,IF(A32='Données projet'!$A$88,'Données projet'!$B$88,BD31+BC32-BL31)))</f>
        <v>49.199999999999989</v>
      </c>
      <c r="BE32" s="13">
        <f>BD32*VLOOKUP('Données projet'!$B$11,Paramètres!$A$1:$I$89,3,0)*VLOOKUP('Données projet'!$B$11,Paramètres!$A$1:$I$89,5,0)</f>
        <v>44.516159999999985</v>
      </c>
      <c r="BF32" s="13">
        <f t="shared" si="37"/>
        <v>13.188102074986608</v>
      </c>
      <c r="BG32" s="20">
        <f t="shared" si="7"/>
        <v>100.50158978060165</v>
      </c>
      <c r="BH32" s="59">
        <f t="shared" si="8"/>
        <v>393.83492311393496</v>
      </c>
      <c r="BI32" s="59">
        <f ca="1">AVERAGE(OFFSET($BH$3,0,0,'Données projet'!$E$11+1,1))-AVERAGE(OFFSET($H$3,0,0,'Données projet'!$E$11+1,1))</f>
        <v>138.8931001150624</v>
      </c>
      <c r="BJ32" s="59">
        <f t="shared" si="38"/>
        <v>48.964659354096625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49.199999999999989</v>
      </c>
      <c r="BZ32" s="13">
        <f>BY32*VLOOKUP('Données projet'!$B$12,Paramètres!$A$1:$I$89,3,0)*VLOOKUP('Données projet'!$B$12,Paramètres!$A$1:$I$89,5,0)</f>
        <v>49.888799999999989</v>
      </c>
      <c r="CA32" s="13">
        <f t="shared" si="39"/>
        <v>14.585038058304724</v>
      </c>
      <c r="CB32" s="20">
        <f t="shared" si="10"/>
        <v>112.29193461821403</v>
      </c>
      <c r="CC32" s="59">
        <f t="shared" si="11"/>
        <v>405.62526795154736</v>
      </c>
      <c r="CD32" s="59">
        <f ca="1">AVERAGE(OFFSET($CC$3,0,0,'Données projet'!$E$12+1,1))-AVERAGE(OFFSET($H$3,0,0,'Données projet'!$E$12+1,1))</f>
        <v>169.2757878405003</v>
      </c>
      <c r="CE32" s="59">
        <f t="shared" si="40"/>
        <v>61.876502626609977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9.9</v>
      </c>
      <c r="CT32" s="12">
        <f>IF('Données projet'!$A$140&gt;35,CT31+CS32-DB31,IF(A32&lt;'Données projet'!$A$140,$CQ$205^A32,IF(A32='Données projet'!$A$140,'Données projet'!$B$140,CT31+CS32-DB31)))</f>
        <v>125.10000000000004</v>
      </c>
      <c r="CU32" s="17">
        <f>CT32*VLOOKUP('Données projet'!$B$13,Paramètres!$A$1:$I$89,3,0)*VLOOKUP('Données projet'!$B$13,Paramètres!$A$1:$I$89,5,0)</f>
        <v>99.529560000000046</v>
      </c>
      <c r="CV32" s="13">
        <f t="shared" si="41"/>
        <v>26.849890965778673</v>
      </c>
      <c r="CW32" s="20">
        <f t="shared" si="13"/>
        <v>220.11087709873127</v>
      </c>
      <c r="CX32" s="59">
        <f t="shared" si="14"/>
        <v>513.44421043206455</v>
      </c>
      <c r="CY32" s="59">
        <f ca="1">AVERAGE(OFFSET($CX$3,0,0,'Données projet'!$E$13+1,1))-AVERAGE(OFFSET($H$3,0,0,'Données projet'!$E$13+1,1))</f>
        <v>141.12810728817544</v>
      </c>
      <c r="CZ32" s="59">
        <f t="shared" si="42"/>
        <v>176.01405805137551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>
        <f>EXP(-LN(2)/35)*DF31+(1-EXP(-LN(2)/35))/(LN(2)/35)*DB32*DC32*VLOOKUP('Données projet'!$B$13,Paramètres!$A$1:$I$89,3,0)*0.475*44/12</f>
        <v>0</v>
      </c>
      <c r="DG32" s="21">
        <f>EXP(-LN(2)/25)*DG31+(1-EXP(-LN(2)/25))/(LN(2)/25)*Calculateur!DB32*Calculateur!DD32*VLOOKUP('Données projet'!$B$13,Paramètres!$A$1:$I$89,3,0)*0.475*44/12</f>
        <v>1.8992970831208746</v>
      </c>
      <c r="DH32" s="21">
        <f>EXP(-LN(2)/2)*DH31+(1-EXP(-LN(2)/2))/(LN(2)/2)*DB32*DE32*VLOOKUP('Données projet'!$B$13,Paramètres!$A$1:$I$89,3,0)*0.475*44/12</f>
        <v>0.17417001551564182</v>
      </c>
      <c r="DI32" s="22">
        <f t="shared" si="15"/>
        <v>2.0734670986365167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10.199999999999999</v>
      </c>
      <c r="DO32" s="12">
        <f>IF('Données projet'!$A$166&gt;35,DO31+DN32-DW31,IF(A32&lt;'Données projet'!$A$166,$DL$205^A32,IF(A32='Données projet'!$A$166,'Données projet'!$B$166,DO31+DN32-DW31)))</f>
        <v>153.79999999999998</v>
      </c>
      <c r="DP32" s="17">
        <f>DO32*VLOOKUP('Données projet'!$B$14,Paramètres!$A$1:$I$89,3,0)*VLOOKUP('Données projet'!$B$14,Paramètres!$A$1:$I$89,5,0)</f>
        <v>91.972399999999993</v>
      </c>
      <c r="DQ32" s="13">
        <f t="shared" si="43"/>
        <v>25.040318527820091</v>
      </c>
      <c r="DR32" s="20">
        <f t="shared" si="16"/>
        <v>203.79715143595331</v>
      </c>
      <c r="DS32" s="59">
        <f t="shared" si="17"/>
        <v>497.13048476928662</v>
      </c>
      <c r="DT32" s="59">
        <f ca="1">AVERAGE(OFFSET($DS$3,0,0,'Données projet'!$E$14+1,1))-AVERAGE(OFFSET($H$3,0,0,'Données projet'!$E$14+1,1))</f>
        <v>165.39579887388538</v>
      </c>
      <c r="DU32" s="59">
        <f t="shared" si="44"/>
        <v>155.89639262545802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>
        <f>EXP(-LN(2)/35)*EA31+(1-EXP(-LN(2)/35))/(LN(2)/35)*DW32*DX32*VLOOKUP('Données projet'!$B$14,Paramètres!$A$1:$I$89,3,0)*0.475*44/12</f>
        <v>0</v>
      </c>
      <c r="EB32" s="21">
        <f>EXP(-LN(2)/25)*EB31+(1-EXP(-LN(2)/25))/(LN(2)/25)*Calculateur!DW32*Calculateur!DY32*VLOOKUP('Données projet'!$B$14,Paramètres!$A$1:$I$89,3,0)*0.475*44/12</f>
        <v>0</v>
      </c>
      <c r="EC32" s="21">
        <f>EXP(-LN(2)/2)*EC31+(1-EXP(-LN(2)/2))/(LN(2)/2)*DW32*DZ32*VLOOKUP('Données projet'!$B$14,Paramètres!$A$1:$I$89,3,0)*0.475*44/12</f>
        <v>0</v>
      </c>
      <c r="ED32" s="22">
        <f t="shared" si="18"/>
        <v>0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4.8</v>
      </c>
      <c r="EJ32" s="12">
        <f>IF('Données projet'!$A$192&gt;35,EJ31+EI32-ER31,IF(A32&lt;'Données projet'!$A$192,$EG$205^A32,IF(A32='Données projet'!$A$192,'Données projet'!$B$192,EJ31+EI32-ER31)))</f>
        <v>49.199999999999989</v>
      </c>
      <c r="EK32" s="17">
        <f>EJ32*VLOOKUP('Données projet'!$B$15,Paramètres!$A$1:$I$89,3,0)*VLOOKUP('Données projet'!$B$15,Paramètres!$A$1:$I$89,5,0)</f>
        <v>38.375999999999991</v>
      </c>
      <c r="EL32" s="13">
        <f t="shared" si="45"/>
        <v>11.56717272359286</v>
      </c>
      <c r="EM32" s="20">
        <f t="shared" si="19"/>
        <v>86.98435916025754</v>
      </c>
      <c r="EN32" s="59">
        <f t="shared" si="20"/>
        <v>380.31769249359087</v>
      </c>
      <c r="EO32" s="59">
        <f ca="1">AVERAGE(OFFSET($EN$3,0,0,'Données projet'!$E$15+1,1))-AVERAGE(OFFSET($H$3,0,0,'Données projet'!$E$15+1,1))</f>
        <v>104.07220236158577</v>
      </c>
      <c r="EP32" s="59">
        <f t="shared" si="46"/>
        <v>34.162068257911756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>
        <f>EXP(-LN(2)/35)*EV31+(1-EXP(-LN(2)/35))/(LN(2)/35)*ER32*ES32*VLOOKUP('Données projet'!$B$15,Paramètres!$A$1:$I$89,3,0)*0.475*44/12</f>
        <v>0</v>
      </c>
      <c r="EW32" s="21">
        <f>EXP(-LN(2)/25)*EW31+(1-EXP(-LN(2)/25))/(LN(2)/25)*Calculateur!ER32*Calculateur!ET32*VLOOKUP('Données projet'!$B$15,Paramètres!$A$1:$I$89,3,0)*0.475*44/12</f>
        <v>0</v>
      </c>
      <c r="EX32" s="21">
        <f>EXP(-LN(2)/2)*EX31+(1-EXP(-LN(2)/2))/(LN(2)/2)*ER32*EU32*VLOOKUP('Données projet'!$B$15,Paramètres!$A$1:$I$89,3,0)*0.475*44/12</f>
        <v>0</v>
      </c>
      <c r="EY32" s="22">
        <f t="shared" si="21"/>
        <v>0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5.8</v>
      </c>
      <c r="FE32" s="12">
        <f>IF('Données projet'!$A$218&gt;35,FE31+FD32-FM31,IF(A32&lt;'Données projet'!$A$218,$FB$205^A32,IF(A32='Données projet'!$A$218,'Données projet'!$B$218,FE31+FD32-FM31)))</f>
        <v>170.20000000000007</v>
      </c>
      <c r="FF32" s="17">
        <f>FE32*VLOOKUP('Données projet'!$B$16,Paramètres!$A$1:$I$89,3,0)*VLOOKUP('Données projet'!$B$16,Paramètres!$A$1:$I$89,5,0)</f>
        <v>153.99696000000006</v>
      </c>
      <c r="FG32" s="13">
        <f t="shared" si="47"/>
        <v>39.485514251150661</v>
      </c>
      <c r="FH32" s="20">
        <f t="shared" si="22"/>
        <v>336.98197598742081</v>
      </c>
      <c r="FI32" s="59">
        <f t="shared" si="23"/>
        <v>630.31530932075407</v>
      </c>
      <c r="FJ32" s="59">
        <f ca="1">AVERAGE(OFFSET($FI$3,0,0,'Données projet'!$E$16+1,1))-AVERAGE(OFFSET($H$3,0,0,'Données projet'!$E$16+1,1))</f>
        <v>179.50097986986123</v>
      </c>
      <c r="FK32" s="59">
        <f t="shared" si="48"/>
        <v>287.11838730637578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>
        <f>EXP(-LN(2)/35)*FQ31+(1-EXP(-LN(2)/35))/(LN(2)/35)*FM32*FN32*VLOOKUP('Données projet'!$B$16,Paramètres!$A$1:$I$89,3,0)*0.475*44/12</f>
        <v>0.36038016622066665</v>
      </c>
      <c r="FR32" s="21">
        <f>EXP(-LN(2)/25)*FR31+(1-EXP(-LN(2)/25))/(LN(2)/25)*Calculateur!FM32*Calculateur!FO32*VLOOKUP('Données projet'!$B$16,Paramètres!$A$1:$I$89,3,0)*0.475*44/12</f>
        <v>5.2260464703793312</v>
      </c>
      <c r="FS32" s="21">
        <f>EXP(-LN(2)/2)*FS31+(1-EXP(-LN(2)/2))/(LN(2)/2)*FM32*FP32*VLOOKUP('Données projet'!$B$16,Paramètres!$A$1:$I$89,3,0)*0.475*44/12</f>
        <v>1.5037308181159179</v>
      </c>
      <c r="FT32" s="22">
        <f t="shared" si="24"/>
        <v>7.0901574547159161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10.199999999999999</v>
      </c>
      <c r="FZ32" s="12">
        <f>IF('Données projet'!$A$244&gt;35,FZ31+FY32-GH31,IF(A32&lt;'Données projet'!$A$244,$FW$205^A32,IF(A32='Données projet'!$A$244,'Données projet'!$B$244,FZ31+FY32-GH31)))</f>
        <v>153.79999999999998</v>
      </c>
      <c r="GA32" s="17">
        <f>FZ32*VLOOKUP('Données projet'!$B$17,Paramètres!$A$1:$I$89,3,0)*VLOOKUP('Données projet'!$B$17,Paramètres!$A$1:$I$89,5,0)</f>
        <v>91.972399999999993</v>
      </c>
      <c r="GB32" s="13">
        <f t="shared" si="49"/>
        <v>25.040318527820091</v>
      </c>
      <c r="GC32" s="20">
        <f t="shared" si="25"/>
        <v>203.79715143595331</v>
      </c>
      <c r="GD32" s="59">
        <f t="shared" si="26"/>
        <v>497.13048476928662</v>
      </c>
      <c r="GE32" s="59">
        <f ca="1">AVERAGE(OFFSET($GD$3,0,0,'Données projet'!$E$17+1,1))-AVERAGE(OFFSET($H$3,0,0,'Données projet'!$E$17+1,1))</f>
        <v>165.39579887388538</v>
      </c>
      <c r="GF32" s="59">
        <f t="shared" si="50"/>
        <v>155.89639262545802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>
        <f>EXP(-LN(2)/35)*GL31+(1-EXP(-LN(2)/35))/(LN(2)/35)*GH32*GI32*VLOOKUP('Données projet'!$B$17,Paramètres!$A$1:$I$89,3,0)*0.475*44/12</f>
        <v>0</v>
      </c>
      <c r="GM32" s="21">
        <f>EXP(-LN(2)/25)*GM31+(1-EXP(-LN(2)/25))/(LN(2)/25)*Calculateur!GH32*Calculateur!GJ32*VLOOKUP('Données projet'!$B$17,Paramètres!$A$1:$I$89,3,0)*0.475*44/12</f>
        <v>0</v>
      </c>
      <c r="GN32" s="21">
        <f>EXP(-LN(2)/2)*GN31+(1-EXP(-LN(2)/2))/(LN(2)/2)*GH32*GK32*VLOOKUP('Données projet'!$B$17,Paramètres!$A$1:$I$89,3,0)*0.475*44/12</f>
        <v>0</v>
      </c>
      <c r="GO32" s="21">
        <f t="shared" si="27"/>
        <v>0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>
        <f>VLOOKUP(A33,'Données projet'!$A$35:$I$55,2,0)</f>
        <v>240</v>
      </c>
      <c r="L33" s="12">
        <f>VLOOKUP(A33,'Données projet'!$A$35:$I$55,9,0)</f>
        <v>16.5</v>
      </c>
      <c r="M33" s="12">
        <f t="array" ref="M33">INDEX(L:L,MIN(IF(ISNUMBER(L33:L229),ROW(L33:L229),"")))</f>
        <v>16.5</v>
      </c>
      <c r="N33" s="13">
        <f>IF('Données projet'!$A$36&gt;35,N32+M33-V32,IF(A33&lt;'Données projet'!$A$36,$K$205^A33,IF(A33='Données projet'!$A$36,'Données projet'!$B$36,N32+M33-V32)))</f>
        <v>240</v>
      </c>
      <c r="O33" s="13">
        <f>N33*VLOOKUP('Données projet'!$B$9,Paramètres!$A$1:$I$89,3,0)*VLOOKUP('Données projet'!$B$9,Paramètres!$A$1:$I$89,5,0)</f>
        <v>134.16</v>
      </c>
      <c r="P33" s="13">
        <f t="shared" si="33"/>
        <v>34.955843917296178</v>
      </c>
      <c r="Q33" s="20">
        <f t="shared" si="2"/>
        <v>294.54342815595749</v>
      </c>
      <c r="R33" s="59">
        <f t="shared" si="0"/>
        <v>587.87676148929086</v>
      </c>
      <c r="S33" s="59">
        <f ca="1">AVERAGE(OFFSET($R$3,0,0,'Données projet'!$E$9+1,1))-AVERAGE(OFFSET($H$3,0,0,'Données projet'!$E$9+1,1))</f>
        <v>235.10258076192054</v>
      </c>
      <c r="T33" s="59">
        <f t="shared" si="34"/>
        <v>233.47316052603765</v>
      </c>
      <c r="U33" s="15">
        <f>IF(ISNA(VLOOKUP(A33,'Données projet'!$A$35:$I$55,3,0)),0,VLOOKUP(A33,'Données projet'!$A$35:$I$55,3,0))</f>
        <v>2</v>
      </c>
      <c r="V33" s="15">
        <f>IF(ISNA(VLOOKUP(A33,'Données projet'!$A$35:$I$55,4,0)),0,VLOOKUP(A33,'Données projet'!$A$35:$I$55,4,0))</f>
        <v>84</v>
      </c>
      <c r="W33" s="16">
        <f>IF(ISNA(VLOOKUP(A33,'Données projet'!$A$35:$I$55,5,0)),0%,VLOOKUP(A33,'Données projet'!$A$35:$I$55,5,0)*VLOOKUP('Données projet'!$B$9,Paramètres!$A$1:$I$89,7,0))</f>
        <v>5.5000000000000007E-2</v>
      </c>
      <c r="X33" s="16">
        <f>IF(ISNA(VLOOKUP(A33,'Données projet'!$A$35:$I$55,6,0)),0%,VLOOKUP(A33,'Données projet'!$A$35:$I$55,6,0)*VLOOKUP('Données projet'!$B$9,Paramètres!$A$1:$I$89,7,0))</f>
        <v>0.24750000000000003</v>
      </c>
      <c r="Y33" s="16">
        <f>IF(ISNA(VLOOKUP(A33,'Données projet'!$A$35:$I$55,7,0)),0%,VLOOKUP(A33,'Données projet'!$A$35:$I$55,7,0))</f>
        <v>0.45</v>
      </c>
      <c r="Z33" s="21">
        <f>EXP(-LN(2)/35)*Z32+(1-EXP(-LN(2)/35))/(LN(2)/35)*V33*W33*VLOOKUP('Données projet'!$B$9,Paramètres!$A$1:$I$89,3,0)*0.475*44/12</f>
        <v>3.4259588313290479</v>
      </c>
      <c r="AA33" s="21">
        <f>EXP(-LN(2)/25)*AA32+(1-EXP(-LN(2)/25))/(LN(2)/25)*Calculateur!V33*Calculateur!X33*VLOOKUP('Données projet'!$B$9,Paramètres!$A$1:$I$89,3,0)*0.475*44/12</f>
        <v>18.434884648802651</v>
      </c>
      <c r="AB33" s="21">
        <f>EXP(-LN(2)/2)*AB32+(1-EXP(-LN(2)/2))/(LN(2)/2)*V33*Y33*VLOOKUP('Données projet'!$B$9,Paramètres!$A$1:$I$89,3,0)*0.475*44/12</f>
        <v>24.122081722667886</v>
      </c>
      <c r="AC33" s="22">
        <f t="shared" si="3"/>
        <v>45.982925202799585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175</v>
      </c>
      <c r="AG33" s="12">
        <f>VLOOKUP(A33,'Données projet'!$A$61:$I$81,9,0)</f>
        <v>10.199999999999999</v>
      </c>
      <c r="AH33" s="12">
        <f t="array" ref="AH33">INDEX(AG:AG,MIN(IF(ISNUMBER(AG33:AG229),ROW(AG33:AG229),"")))</f>
        <v>10.199999999999999</v>
      </c>
      <c r="AI33" s="13">
        <f>IF('Données projet'!$A$62&gt;35,AI32+AH33-AQ32,IF(A33&lt;'Données projet'!$A$62,$AF$205^A33,IF(A33='Données projet'!$A$62,'Données projet'!$B$62,AI32+AH33-AQ32)))</f>
        <v>174.99999999999997</v>
      </c>
      <c r="AJ33" s="13">
        <f>AI33*VLOOKUP('Données projet'!$B$10,Paramètres!$A$1:$I$89,3,0)*VLOOKUP('Données projet'!$B$10,Paramètres!$A$1:$I$89,5,0)</f>
        <v>152.88</v>
      </c>
      <c r="AK33" s="13">
        <f t="shared" si="35"/>
        <v>39.232349774697852</v>
      </c>
      <c r="AL33" s="20">
        <f t="shared" si="4"/>
        <v>334.59567585759874</v>
      </c>
      <c r="AM33" s="59">
        <f t="shared" si="5"/>
        <v>627.92900919093199</v>
      </c>
      <c r="AN33" s="59">
        <f ca="1">AVERAGE(OFFSET($AM$3,0,0,'Données projet'!$E$10+1,1))-AVERAGE(OFFSET($H$3,0,0,'Données projet'!$E$10+1,1))</f>
        <v>191.94797389630673</v>
      </c>
      <c r="AO33" s="59">
        <f t="shared" si="36"/>
        <v>273.52540822767878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62</v>
      </c>
      <c r="AR33" s="16">
        <f>IF(ISNA(VLOOKUP(A33,'Données projet'!$A$61:$I$81,5,0)),0%,VLOOKUP(A33,'Données projet'!$A$61:$I$81,5,0)*VLOOKUP('Données projet'!$B$10,Paramètres!$A$1:$I$89,7,0))</f>
        <v>4.3000000000000003E-2</v>
      </c>
      <c r="AS33" s="16">
        <f>IF(ISNA(VLOOKUP(A33,'Données projet'!$A$61:$I$81,6,0)),0%,VLOOKUP(A33,'Données projet'!$A$61:$I$81,6,0)*VLOOKUP('Données projet'!$B$10,Paramètres!$A$1:$I$89,7,0))</f>
        <v>0.19350000000000001</v>
      </c>
      <c r="AT33" s="16">
        <f>IF(ISNA(VLOOKUP(A33,'Données projet'!$A$61:$I$81,7,0)),0%,VLOOKUP(A33,'Données projet'!$A$61:$I$81,7,0))</f>
        <v>0.45</v>
      </c>
      <c r="AU33" s="21">
        <f>EXP(-LN(2)/35)*AU32+(1-EXP(-LN(2)/35))/(LN(2)/35)*AQ33*AR33*VLOOKUP('Données projet'!$B$10,Paramètres!$A$1:$I$89,3,0)*0.475*44/12</f>
        <v>2.5746599702109214</v>
      </c>
      <c r="AV33" s="21">
        <f>EXP(-LN(2)/25)*AV32+(1-EXP(-LN(2)/25))/(LN(2)/25)*Calculateur!AQ33*Calculateur!AS33*VLOOKUP('Données projet'!$B$10,Paramètres!$A$1:$I$89,3,0)*0.475*44/12</f>
        <v>14.048151048372484</v>
      </c>
      <c r="AW33" s="21">
        <f>EXP(-LN(2)/2)*AW32+(1-EXP(-LN(2)/2))/(LN(2)/2)*AQ33*AT33*VLOOKUP('Données projet'!$B$10,Paramètres!$A$1:$I$89,3,0)*0.475*44/12</f>
        <v>23.203062919669375</v>
      </c>
      <c r="AX33" s="21">
        <f t="shared" si="6"/>
        <v>39.825873938252784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54</v>
      </c>
      <c r="BB33" s="12">
        <f>VLOOKUP(A33,'Données projet'!$A$87:$I$107,9,0)</f>
        <v>4.8</v>
      </c>
      <c r="BC33" s="12">
        <f t="array" ref="BC33">INDEX(BB:BB,MIN(IF(ISNUMBER(BB33:BB229),ROW(BB33:BB229),"")))</f>
        <v>4.8</v>
      </c>
      <c r="BD33" s="12">
        <f>IF('Données projet'!$A$88&gt;35,BD32+BC33-BL32,IF(A33&lt;'Données projet'!$A$88,$BA$205^A33,IF(A33='Données projet'!$A$88,'Données projet'!$B$88,BD32+BC33-BL32)))</f>
        <v>53.999999999999986</v>
      </c>
      <c r="BE33" s="13">
        <f>BD33*VLOOKUP('Données projet'!$B$11,Paramètres!$A$1:$I$89,3,0)*VLOOKUP('Données projet'!$B$11,Paramètres!$A$1:$I$89,5,0)</f>
        <v>48.859199999999987</v>
      </c>
      <c r="BF33" s="13">
        <f t="shared" si="37"/>
        <v>14.318748507569309</v>
      </c>
      <c r="BG33" s="20">
        <f t="shared" si="7"/>
        <v>110.03492698401652</v>
      </c>
      <c r="BH33" s="59">
        <f t="shared" si="8"/>
        <v>403.36826031734984</v>
      </c>
      <c r="BI33" s="59">
        <f ca="1">AVERAGE(OFFSET($BH$3,0,0,'Données projet'!$E$11+1,1))-AVERAGE(OFFSET($H$3,0,0,'Données projet'!$E$11+1,1))</f>
        <v>138.8931001150624</v>
      </c>
      <c r="BJ33" s="59">
        <f t="shared" si="38"/>
        <v>48.964659354096625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53.999999999999986</v>
      </c>
      <c r="BZ33" s="13">
        <f>BY33*VLOOKUP('Données projet'!$B$12,Paramètres!$A$1:$I$89,3,0)*VLOOKUP('Données projet'!$B$12,Paramètres!$A$1:$I$89,5,0)</f>
        <v>54.755999999999993</v>
      </c>
      <c r="CA33" s="13">
        <f t="shared" si="39"/>
        <v>15.835447037242044</v>
      </c>
      <c r="CB33" s="20">
        <f t="shared" si="10"/>
        <v>122.94677025652987</v>
      </c>
      <c r="CC33" s="59">
        <f t="shared" si="11"/>
        <v>416.28010358986319</v>
      </c>
      <c r="CD33" s="59">
        <f ca="1">AVERAGE(OFFSET($CC$3,0,0,'Données projet'!$E$12+1,1))-AVERAGE(OFFSET($H$3,0,0,'Données projet'!$E$12+1,1))</f>
        <v>169.2757878405003</v>
      </c>
      <c r="CE33" s="59">
        <f t="shared" si="40"/>
        <v>61.876502626609977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>
        <f>VLOOKUP(A33,'Données projet'!$A$139:$I$159,2,0)</f>
        <v>135</v>
      </c>
      <c r="CR33" s="12">
        <f>VLOOKUP(A33,'Données projet'!$A$139:$I$159,9,0)</f>
        <v>9.9</v>
      </c>
      <c r="CS33" s="12">
        <f t="array" ref="CS33">INDEX(CR:CR,MIN(IF(ISNUMBER(CR33:CR229),ROW(CR33:CR229),"")))</f>
        <v>9.9</v>
      </c>
      <c r="CT33" s="12">
        <f>IF('Données projet'!$A$140&gt;35,CT32+CS33-DB32,IF(A33&lt;'Données projet'!$A$140,$CQ$205^A33,IF(A33='Données projet'!$A$140,'Données projet'!$B$140,CT32+CS33-DB32)))</f>
        <v>135.00000000000003</v>
      </c>
      <c r="CU33" s="17">
        <f>CT33*VLOOKUP('Données projet'!$B$13,Paramètres!$A$1:$I$89,3,0)*VLOOKUP('Données projet'!$B$13,Paramètres!$A$1:$I$89,5,0)</f>
        <v>107.40600000000003</v>
      </c>
      <c r="CV33" s="13">
        <f t="shared" si="41"/>
        <v>28.718971683040365</v>
      </c>
      <c r="CW33" s="20">
        <f t="shared" si="13"/>
        <v>237.08432568129535</v>
      </c>
      <c r="CX33" s="59">
        <f t="shared" si="14"/>
        <v>530.41765901462873</v>
      </c>
      <c r="CY33" s="59">
        <f ca="1">AVERAGE(OFFSET($CX$3,0,0,'Données projet'!$E$13+1,1))-AVERAGE(OFFSET($H$3,0,0,'Données projet'!$E$13+1,1))</f>
        <v>141.12810728817544</v>
      </c>
      <c r="CZ33" s="59">
        <f t="shared" si="42"/>
        <v>176.01405805137551</v>
      </c>
      <c r="DA33" s="15">
        <f>IF(ISNA(VLOOKUP(A33,'Données projet'!$A$139:$I$159,3,0)),0,VLOOKUP(A33,'Données projet'!$A$139:$I$159,3,0))</f>
        <v>2</v>
      </c>
      <c r="DB33" s="15">
        <f>IF(ISNA(VLOOKUP(A33,'Données projet'!$A$139:$I$159,4,0)),0,VLOOKUP(A33,'Données projet'!$A$139:$I$159,4,0))</f>
        <v>42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0.13250000000000001</v>
      </c>
      <c r="DE33" s="16">
        <f>IF(ISNA(VLOOKUP(A33,'Données projet'!$A$139:$I$159,7,0)),0%,VLOOKUP(A33,'Données projet'!$A$139:$I$159,7,0))</f>
        <v>0.25</v>
      </c>
      <c r="DF33" s="21">
        <f>EXP(-LN(2)/35)*DF32+(1-EXP(-LN(2)/35))/(LN(2)/35)*DB33*DC33*VLOOKUP('Données projet'!$B$13,Paramètres!$A$1:$I$89,3,0)*0.475*44/12</f>
        <v>0</v>
      </c>
      <c r="DG33" s="21">
        <f>EXP(-LN(2)/25)*DG32+(1-EXP(-LN(2)/25))/(LN(2)/25)*Calculateur!DB33*Calculateur!DD33*VLOOKUP('Données projet'!$B$13,Paramètres!$A$1:$I$89,3,0)*0.475*44/12</f>
        <v>6.7225748317892702</v>
      </c>
      <c r="DH33" s="21">
        <f>EXP(-LN(2)/2)*DH32+(1-EXP(-LN(2)/2))/(LN(2)/2)*DB33*DE33*VLOOKUP('Données projet'!$B$13,Paramètres!$A$1:$I$89,3,0)*0.475*44/12</f>
        <v>8.0051919382809693</v>
      </c>
      <c r="DI33" s="22">
        <f t="shared" si="15"/>
        <v>14.727766770070239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>
        <f>VLOOKUP(A33,'Données projet'!$A$165:$I$185,2,0)</f>
        <v>164</v>
      </c>
      <c r="DM33" s="12">
        <f>VLOOKUP(A33,'Données projet'!$A$165:$I$185,9,0)</f>
        <v>10.199999999999999</v>
      </c>
      <c r="DN33" s="12">
        <f t="array" ref="DN33">INDEX(DM:DM,MIN(IF(ISNUMBER(DM33:DM229),ROW(DM33:DM229),"")))</f>
        <v>10.199999999999999</v>
      </c>
      <c r="DO33" s="12">
        <f>IF('Données projet'!$A$166&gt;35,DO32+DN33-DW32,IF(A33&lt;'Données projet'!$A$166,$DL$205^A33,IF(A33='Données projet'!$A$166,'Données projet'!$B$166,DO32+DN33-DW32)))</f>
        <v>163.99999999999997</v>
      </c>
      <c r="DP33" s="17">
        <f>DO33*VLOOKUP('Données projet'!$B$14,Paramètres!$A$1:$I$89,3,0)*VLOOKUP('Données projet'!$B$14,Paramètres!$A$1:$I$89,5,0)</f>
        <v>98.071999999999989</v>
      </c>
      <c r="DQ33" s="13">
        <f t="shared" si="43"/>
        <v>26.50215899830313</v>
      </c>
      <c r="DR33" s="20">
        <f t="shared" si="16"/>
        <v>216.96666025537795</v>
      </c>
      <c r="DS33" s="59">
        <f t="shared" si="17"/>
        <v>510.29999358871123</v>
      </c>
      <c r="DT33" s="59">
        <f ca="1">AVERAGE(OFFSET($DS$3,0,0,'Données projet'!$E$14+1,1))-AVERAGE(OFFSET($H$3,0,0,'Données projet'!$E$14+1,1))</f>
        <v>165.39579887388538</v>
      </c>
      <c r="DU33" s="59">
        <f t="shared" si="44"/>
        <v>155.89639262545802</v>
      </c>
      <c r="DV33" s="15">
        <f>IF(ISNA(VLOOKUP(A33,'Données projet'!$A$165:$I$185,3,0)),0,VLOOKUP(A33,'Données projet'!$A$165:$I$185,3,0))</f>
        <v>1</v>
      </c>
      <c r="DW33" s="15">
        <f>IF(ISNA(VLOOKUP(A33,'Données projet'!$A$165:$I$185,4,0)),0,VLOOKUP(A33,'Données projet'!$A$165:$I$185,4,0))</f>
        <v>41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0.22500000000000001</v>
      </c>
      <c r="DZ33" s="16">
        <f>IF(ISNA(VLOOKUP(A33,'Données projet'!$A$165:$I$185,7,0)),0%,VLOOKUP(A33,'Données projet'!$A$165:$I$185,7,0))</f>
        <v>0.5</v>
      </c>
      <c r="EA33" s="21">
        <f>EXP(-LN(2)/35)*EA32+(1-EXP(-LN(2)/35))/(LN(2)/35)*DW33*DX33*VLOOKUP('Données projet'!$B$14,Paramètres!$A$1:$I$89,3,0)*0.475*44/12</f>
        <v>0</v>
      </c>
      <c r="EB33" s="21">
        <f>EXP(-LN(2)/25)*EB32+(1-EXP(-LN(2)/25))/(LN(2)/25)*Calculateur!DW33*Calculateur!DY33*VLOOKUP('Données projet'!$B$14,Paramètres!$A$1:$I$89,3,0)*0.475*44/12</f>
        <v>7.2892451593954739</v>
      </c>
      <c r="EC33" s="21">
        <f>EXP(-LN(2)/2)*EC32+(1-EXP(-LN(2)/2))/(LN(2)/2)*DW33*DZ33*VLOOKUP('Données projet'!$B$14,Paramètres!$A$1:$I$89,3,0)*0.475*44/12</f>
        <v>13.880035735376948</v>
      </c>
      <c r="ED33" s="22">
        <f t="shared" si="18"/>
        <v>21.16928089477242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>
        <f>VLOOKUP(A33,'Données projet'!$A$191:$I$211,2,0)</f>
        <v>54</v>
      </c>
      <c r="EH33" s="12">
        <f>VLOOKUP(A33,'Données projet'!$A$191:$I$211,9,0)</f>
        <v>4.8</v>
      </c>
      <c r="EI33" s="12">
        <f t="array" ref="EI33">INDEX(EH:EH,MIN(IF(ISNUMBER(EH33:EH229),ROW(EH33:EH229),"")))</f>
        <v>4.8</v>
      </c>
      <c r="EJ33" s="12">
        <f>IF('Données projet'!$A$192&gt;35,EJ32+EI33-ER32,IF(A33&lt;'Données projet'!$A$192,$EG$205^A33,IF(A33='Données projet'!$A$192,'Données projet'!$B$192,EJ32+EI33-ER32)))</f>
        <v>53.999999999999986</v>
      </c>
      <c r="EK33" s="17">
        <f>EJ33*VLOOKUP('Données projet'!$B$15,Paramètres!$A$1:$I$89,3,0)*VLOOKUP('Données projet'!$B$15,Paramètres!$A$1:$I$89,5,0)</f>
        <v>42.11999999999999</v>
      </c>
      <c r="EL33" s="13">
        <f t="shared" si="45"/>
        <v>12.558853141338753</v>
      </c>
      <c r="EM33" s="20">
        <f t="shared" si="19"/>
        <v>95.232335887831638</v>
      </c>
      <c r="EN33" s="59">
        <f t="shared" si="20"/>
        <v>388.56566922116497</v>
      </c>
      <c r="EO33" s="59">
        <f ca="1">AVERAGE(OFFSET($EN$3,0,0,'Données projet'!$E$15+1,1))-AVERAGE(OFFSET($H$3,0,0,'Données projet'!$E$15+1,1))</f>
        <v>104.07220236158577</v>
      </c>
      <c r="EP33" s="59">
        <f t="shared" si="46"/>
        <v>34.162068257911756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>
        <f>EXP(-LN(2)/35)*EV32+(1-EXP(-LN(2)/35))/(LN(2)/35)*ER33*ES33*VLOOKUP('Données projet'!$B$15,Paramètres!$A$1:$I$89,3,0)*0.475*44/12</f>
        <v>0</v>
      </c>
      <c r="EW33" s="21">
        <f>EXP(-LN(2)/25)*EW32+(1-EXP(-LN(2)/25))/(LN(2)/25)*Calculateur!ER33*Calculateur!ET33*VLOOKUP('Données projet'!$B$15,Paramètres!$A$1:$I$89,3,0)*0.475*44/12</f>
        <v>0</v>
      </c>
      <c r="EX33" s="21">
        <f>EXP(-LN(2)/2)*EX32+(1-EXP(-LN(2)/2))/(LN(2)/2)*ER33*EU33*VLOOKUP('Données projet'!$B$15,Paramètres!$A$1:$I$89,3,0)*0.475*44/12</f>
        <v>0</v>
      </c>
      <c r="EY33" s="22">
        <f t="shared" si="21"/>
        <v>0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>
        <f>VLOOKUP(A33,'Données projet'!$A$217:$I$237,2,0)</f>
        <v>176</v>
      </c>
      <c r="FC33" s="12">
        <f>VLOOKUP(A33,'Données projet'!$A$217:$I$237,9,0)</f>
        <v>5.8</v>
      </c>
      <c r="FD33" s="12">
        <f t="array" ref="FD33">INDEX(FC:FC,MIN(IF(ISNUMBER(FC33:FC229),ROW(FC33:FC229),"")))</f>
        <v>5.8</v>
      </c>
      <c r="FE33" s="12">
        <f>IF('Données projet'!$A$218&gt;35,FE32+FD33-FM32,IF(A33&lt;'Données projet'!$A$218,$FB$205^A33,IF(A33='Données projet'!$A$218,'Données projet'!$B$218,FE32+FD33-FM32)))</f>
        <v>176.00000000000009</v>
      </c>
      <c r="FF33" s="17">
        <f>FE33*VLOOKUP('Données projet'!$B$16,Paramètres!$A$1:$I$89,3,0)*VLOOKUP('Données projet'!$B$16,Paramètres!$A$1:$I$89,5,0)</f>
        <v>159.24480000000008</v>
      </c>
      <c r="FG33" s="13">
        <f t="shared" si="47"/>
        <v>40.672131063901752</v>
      </c>
      <c r="FH33" s="20">
        <f t="shared" si="22"/>
        <v>348.18865493629573</v>
      </c>
      <c r="FI33" s="59">
        <f t="shared" si="23"/>
        <v>641.52198826962899</v>
      </c>
      <c r="FJ33" s="59">
        <f ca="1">AVERAGE(OFFSET($FI$3,0,0,'Données projet'!$E$16+1,1))-AVERAGE(OFFSET($H$3,0,0,'Données projet'!$E$16+1,1))</f>
        <v>179.50097986986123</v>
      </c>
      <c r="FK33" s="59">
        <f t="shared" si="48"/>
        <v>287.11838730637578</v>
      </c>
      <c r="FL33" s="15">
        <f>IF(ISNA(VLOOKUP(A33,'Données projet'!$A$217:$I$237,3,0)),0,VLOOKUP(A33,'Données projet'!$A$217:$I$237,3,0))</f>
        <v>6</v>
      </c>
      <c r="FM33" s="15">
        <f>IF(ISNA(VLOOKUP(A33,'Données projet'!$A$217:$I$237,4,0)),0,VLOOKUP(A33,'Données projet'!$A$217:$I$237,4,0))</f>
        <v>9</v>
      </c>
      <c r="FN33" s="16">
        <f>IF(ISNA(VLOOKUP(A33,'Données projet'!$A$217:$I$237,5,0)),0%,VLOOKUP(A33,'Données projet'!$A$217:$I$237,5,0)*VLOOKUP('Données projet'!$B$16,Paramètres!$A$1:$I$89,7,0))</f>
        <v>0.03</v>
      </c>
      <c r="FO33" s="16">
        <f>IF(ISNA(VLOOKUP(A33,'Données projet'!$A$217:$I$237,6,0)),0%,VLOOKUP(A33,'Données projet'!$A$217:$I$237,6,0)*VLOOKUP('Données projet'!$B$16,Paramètres!$A$1:$I$89,7,0))</f>
        <v>0.13500000000000001</v>
      </c>
      <c r="FP33" s="16">
        <f>IF(ISNA(VLOOKUP(A33,'Données projet'!$A$217:$I$237,7,0)),0%,VLOOKUP(A33,'Données projet'!$A$217:$I$237,7,0))</f>
        <v>0.45</v>
      </c>
      <c r="FQ33" s="21">
        <f>EXP(-LN(2)/35)*FQ32+(1-EXP(-LN(2)/35))/(LN(2)/35)*FM33*FN33*VLOOKUP('Données projet'!$B$16,Paramètres!$A$1:$I$89,3,0)*0.475*44/12</f>
        <v>0.62337532280965791</v>
      </c>
      <c r="FR33" s="21">
        <f>EXP(-LN(2)/25)*FR32+(1-EXP(-LN(2)/25))/(LN(2)/25)*Calculateur!FM33*Calculateur!FO33*VLOOKUP('Données projet'!$B$16,Paramètres!$A$1:$I$89,3,0)*0.475*44/12</f>
        <v>6.2936339017576932</v>
      </c>
      <c r="FS33" s="21">
        <f>EXP(-LN(2)/2)*FS32+(1-EXP(-LN(2)/2))/(LN(2)/2)*FM33*FP33*VLOOKUP('Données projet'!$B$16,Paramètres!$A$1:$I$89,3,0)*0.475*44/12</f>
        <v>4.5207960255255291</v>
      </c>
      <c r="FT33" s="22">
        <f t="shared" si="24"/>
        <v>11.437805250092881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>
        <f>VLOOKUP(A33,'Données projet'!$A$243:$I$263,2,0)</f>
        <v>164</v>
      </c>
      <c r="FX33" s="12">
        <f>VLOOKUP(A33,'Données projet'!$A$243:$I$263,9,0)</f>
        <v>10.199999999999999</v>
      </c>
      <c r="FY33" s="12">
        <f t="array" ref="FY33">INDEX(FX:FX,MIN(IF(ISNUMBER(FX33:FX229),ROW(FX33:FX229),"")))</f>
        <v>10.199999999999999</v>
      </c>
      <c r="FZ33" s="12">
        <f>IF('Données projet'!$A$244&gt;35,FZ32+FY33-GH32,IF(A33&lt;'Données projet'!$A$244,$FW$205^A33,IF(A33='Données projet'!$A$244,'Données projet'!$B$244,FZ32+FY33-GH32)))</f>
        <v>163.99999999999997</v>
      </c>
      <c r="GA33" s="17">
        <f>FZ33*VLOOKUP('Données projet'!$B$17,Paramètres!$A$1:$I$89,3,0)*VLOOKUP('Données projet'!$B$17,Paramètres!$A$1:$I$89,5,0)</f>
        <v>98.071999999999989</v>
      </c>
      <c r="GB33" s="13">
        <f t="shared" si="49"/>
        <v>26.50215899830313</v>
      </c>
      <c r="GC33" s="20">
        <f t="shared" si="25"/>
        <v>216.96666025537795</v>
      </c>
      <c r="GD33" s="59">
        <f t="shared" si="26"/>
        <v>510.29999358871123</v>
      </c>
      <c r="GE33" s="59">
        <f ca="1">AVERAGE(OFFSET($GD$3,0,0,'Données projet'!$E$17+1,1))-AVERAGE(OFFSET($H$3,0,0,'Données projet'!$E$17+1,1))</f>
        <v>165.39579887388538</v>
      </c>
      <c r="GF33" s="59">
        <f t="shared" si="50"/>
        <v>155.89639262545802</v>
      </c>
      <c r="GG33" s="15">
        <f>IF(ISNA(VLOOKUP(A33,'Données projet'!$A$243:$I$263,3,0)),0,VLOOKUP(A33,'Données projet'!$A$243:$I$263,3,0))</f>
        <v>1</v>
      </c>
      <c r="GH33" s="15">
        <f>IF(ISNA(VLOOKUP(A33,'Données projet'!$A$243:$I$263,4,0)),0,VLOOKUP(A33,'Données projet'!$A$243:$I$263,4,0))</f>
        <v>41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0.22500000000000001</v>
      </c>
      <c r="GK33" s="16">
        <f>IF(ISNA(VLOOKUP(A33,'Données projet'!$A$243:$I$263,7,0)),0%,VLOOKUP(A33,'Données projet'!$A$243:$I$263,7,0))</f>
        <v>0.5</v>
      </c>
      <c r="GL33" s="21">
        <f>EXP(-LN(2)/35)*GL32+(1-EXP(-LN(2)/35))/(LN(2)/35)*GH33*GI33*VLOOKUP('Données projet'!$B$17,Paramètres!$A$1:$I$89,3,0)*0.475*44/12</f>
        <v>0</v>
      </c>
      <c r="GM33" s="21">
        <f>EXP(-LN(2)/25)*GM32+(1-EXP(-LN(2)/25))/(LN(2)/25)*Calculateur!GH33*Calculateur!GJ33*VLOOKUP('Données projet'!$B$17,Paramètres!$A$1:$I$89,3,0)*0.475*44/12</f>
        <v>7.2892451593954739</v>
      </c>
      <c r="GN33" s="21">
        <f>EXP(-LN(2)/2)*GN32+(1-EXP(-LN(2)/2))/(LN(2)/2)*GH33*GK33*VLOOKUP('Données projet'!$B$17,Paramètres!$A$1:$I$89,3,0)*0.475*44/12</f>
        <v>13.880035735376948</v>
      </c>
      <c r="GO33" s="21">
        <f t="shared" si="27"/>
        <v>21.16928089477242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17.3</v>
      </c>
      <c r="N34" s="13">
        <f>IF('Données projet'!$A$36&gt;35,N33+M34-V33,IF(A34&lt;'Données projet'!$A$36,$K$205^A34,IF(A34='Données projet'!$A$36,'Données projet'!$B$36,N33+M34-V33)))</f>
        <v>173.3</v>
      </c>
      <c r="O34" s="13">
        <f>N34*VLOOKUP('Données projet'!$B$9,Paramètres!$A$1:$I$89,3,0)*VLOOKUP('Données projet'!$B$9,Paramètres!$A$1:$I$89,5,0)</f>
        <v>96.874700000000004</v>
      </c>
      <c r="P34" s="13">
        <f t="shared" si="33"/>
        <v>26.216067605852569</v>
      </c>
      <c r="Q34" s="20">
        <f t="shared" si="2"/>
        <v>214.38308691352654</v>
      </c>
      <c r="R34" s="59">
        <f t="shared" si="0"/>
        <v>507.71642024685985</v>
      </c>
      <c r="S34" s="59">
        <f ca="1">AVERAGE(OFFSET($R$3,0,0,'Données projet'!$E$9+1,1))-AVERAGE(OFFSET($H$3,0,0,'Données projet'!$E$9+1,1))</f>
        <v>235.10258076192054</v>
      </c>
      <c r="T34" s="59">
        <f t="shared" si="34"/>
        <v>233.47316052603765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3.3587778682752387</v>
      </c>
      <c r="AA34" s="21">
        <f>EXP(-LN(2)/25)*AA33+(1-EXP(-LN(2)/25))/(LN(2)/25)*Calculateur!V34*Calculateur!X34*VLOOKUP('Données projet'!$B$9,Paramètres!$A$1:$I$89,3,0)*0.475*44/12</f>
        <v>17.930781758632694</v>
      </c>
      <c r="AB34" s="21">
        <f>EXP(-LN(2)/2)*AB33+(1-EXP(-LN(2)/2))/(LN(2)/2)*V34*Y34*VLOOKUP('Données projet'!$B$9,Paramètres!$A$1:$I$89,3,0)*0.475*44/12</f>
        <v>17.05688756243454</v>
      </c>
      <c r="AC34" s="22">
        <f t="shared" si="3"/>
        <v>38.34644718934247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8.6999999999999993</v>
      </c>
      <c r="AI34" s="13">
        <f>IF('Données projet'!$A$62&gt;35,AI33+AH34-AQ33,IF(A34&lt;'Données projet'!$A$62,$AF$205^A34,IF(A34='Données projet'!$A$62,'Données projet'!$B$62,AI33+AH34-AQ33)))</f>
        <v>121.69999999999996</v>
      </c>
      <c r="AJ34" s="13">
        <f>AI34*VLOOKUP('Données projet'!$B$10,Paramètres!$A$1:$I$89,3,0)*VLOOKUP('Données projet'!$B$10,Paramètres!$A$1:$I$89,5,0)</f>
        <v>106.31711999999999</v>
      </c>
      <c r="AK34" s="13">
        <f t="shared" si="35"/>
        <v>28.461557060551435</v>
      </c>
      <c r="AL34" s="20">
        <f t="shared" si="4"/>
        <v>234.7395292137937</v>
      </c>
      <c r="AM34" s="59">
        <f t="shared" si="5"/>
        <v>528.07286254712699</v>
      </c>
      <c r="AN34" s="59">
        <f ca="1">AVERAGE(OFFSET($AM$3,0,0,'Données projet'!$E$10+1,1))-AVERAGE(OFFSET($H$3,0,0,'Données projet'!$E$10+1,1))</f>
        <v>191.94797389630673</v>
      </c>
      <c r="AO34" s="59">
        <f t="shared" si="36"/>
        <v>273.52540822767878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2.524172458582604</v>
      </c>
      <c r="AV34" s="21">
        <f>EXP(-LN(2)/25)*AV33+(1-EXP(-LN(2)/25))/(LN(2)/25)*Calculateur!AQ34*Calculateur!AS34*VLOOKUP('Données projet'!$B$10,Paramètres!$A$1:$I$89,3,0)*0.475*44/12</f>
        <v>13.664003619194581</v>
      </c>
      <c r="AW34" s="21">
        <f>EXP(-LN(2)/2)*AW33+(1-EXP(-LN(2)/2))/(LN(2)/2)*AQ34*AT34*VLOOKUP('Données projet'!$B$10,Paramètres!$A$1:$I$89,3,0)*0.475*44/12</f>
        <v>16.407043134796346</v>
      </c>
      <c r="AX34" s="21">
        <f t="shared" si="6"/>
        <v>32.595219212573532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5.2</v>
      </c>
      <c r="BD34" s="12">
        <f>IF('Données projet'!$A$88&gt;35,BD33+BC34-BL33,IF(A34&lt;'Données projet'!$A$88,$BA$205^A34,IF(A34='Données projet'!$A$88,'Données projet'!$B$88,BD33+BC34-BL33)))</f>
        <v>59.199999999999989</v>
      </c>
      <c r="BE34" s="13">
        <f>BD34*VLOOKUP('Données projet'!$B$11,Paramètres!$A$1:$I$89,3,0)*VLOOKUP('Données projet'!$B$11,Paramètres!$A$1:$I$89,5,0)</f>
        <v>53.564159999999987</v>
      </c>
      <c r="BF34" s="13">
        <f t="shared" si="37"/>
        <v>15.530498469746302</v>
      </c>
      <c r="BG34" s="20">
        <f t="shared" si="7"/>
        <v>120.3398635014748</v>
      </c>
      <c r="BH34" s="59">
        <f t="shared" si="8"/>
        <v>413.6731968348081</v>
      </c>
      <c r="BI34" s="59">
        <f ca="1">AVERAGE(OFFSET($BH$3,0,0,'Données projet'!$E$11+1,1))-AVERAGE(OFFSET($H$3,0,0,'Données projet'!$E$11+1,1))</f>
        <v>138.8931001150624</v>
      </c>
      <c r="BJ34" s="59">
        <f t="shared" si="38"/>
        <v>48.964659354096625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5.2</v>
      </c>
      <c r="BY34" s="12">
        <f>IF('Données projet'!$A$114&gt;35,BY33+BX34-CG33,IF(A34&lt;'Données projet'!$A$114,$BV$205^A34,IF(A34='Données projet'!$A$114,'Données projet'!$B$114,BY33+BX34-CG33)))</f>
        <v>59.199999999999989</v>
      </c>
      <c r="BZ34" s="13">
        <f>BY34*VLOOKUP('Données projet'!$B$12,Paramètres!$A$1:$I$89,3,0)*VLOOKUP('Données projet'!$B$12,Paramètres!$A$1:$I$89,5,0)</f>
        <v>60.028799999999997</v>
      </c>
      <c r="CA34" s="13">
        <f t="shared" si="39"/>
        <v>17.175550352716172</v>
      </c>
      <c r="CB34" s="20">
        <f t="shared" si="10"/>
        <v>134.46424353098067</v>
      </c>
      <c r="CC34" s="59">
        <f t="shared" si="11"/>
        <v>427.79757686431401</v>
      </c>
      <c r="CD34" s="59">
        <f ca="1">AVERAGE(OFFSET($CC$3,0,0,'Données projet'!$E$12+1,1))-AVERAGE(OFFSET($H$3,0,0,'Données projet'!$E$12+1,1))</f>
        <v>169.2757878405003</v>
      </c>
      <c r="CE34" s="59">
        <f t="shared" si="40"/>
        <v>61.876502626609977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8.1</v>
      </c>
      <c r="CT34" s="12">
        <f>IF('Données projet'!$A$140&gt;35,CT33+CS34-DB33,IF(A34&lt;'Données projet'!$A$140,$CQ$205^A34,IF(A34='Données projet'!$A$140,'Données projet'!$B$140,CT33+CS34-DB33)))</f>
        <v>101.10000000000002</v>
      </c>
      <c r="CU34" s="17">
        <f>CT34*VLOOKUP('Données projet'!$B$13,Paramètres!$A$1:$I$89,3,0)*VLOOKUP('Données projet'!$B$13,Paramètres!$A$1:$I$89,5,0)</f>
        <v>80.435160000000025</v>
      </c>
      <c r="CV34" s="13">
        <f t="shared" si="41"/>
        <v>22.243549395274499</v>
      </c>
      <c r="CW34" s="20">
        <f t="shared" si="13"/>
        <v>178.83208553010311</v>
      </c>
      <c r="CX34" s="59">
        <f t="shared" si="14"/>
        <v>472.16541886343646</v>
      </c>
      <c r="CY34" s="59">
        <f ca="1">AVERAGE(OFFSET($CX$3,0,0,'Données projet'!$E$13+1,1))-AVERAGE(OFFSET($H$3,0,0,'Données projet'!$E$13+1,1))</f>
        <v>141.12810728817544</v>
      </c>
      <c r="CZ34" s="59">
        <f t="shared" si="42"/>
        <v>176.01405805137551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>
        <f>EXP(-LN(2)/35)*DF33+(1-EXP(-LN(2)/35))/(LN(2)/35)*DB34*DC34*VLOOKUP('Données projet'!$B$13,Paramètres!$A$1:$I$89,3,0)*0.475*44/12</f>
        <v>0</v>
      </c>
      <c r="DG34" s="21">
        <f>EXP(-LN(2)/25)*DG33+(1-EXP(-LN(2)/25))/(LN(2)/25)*Calculateur!DB34*Calculateur!DD34*VLOOKUP('Données projet'!$B$13,Paramètres!$A$1:$I$89,3,0)*0.475*44/12</f>
        <v>6.5387456694891473</v>
      </c>
      <c r="DH34" s="21">
        <f>EXP(-LN(2)/2)*DH33+(1-EXP(-LN(2)/2))/(LN(2)/2)*DB34*DE34*VLOOKUP('Données projet'!$B$13,Paramètres!$A$1:$I$89,3,0)*0.475*44/12</f>
        <v>5.6605255042583558</v>
      </c>
      <c r="DI34" s="22">
        <f t="shared" si="15"/>
        <v>12.199271173747503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11</v>
      </c>
      <c r="DO34" s="12">
        <f>IF('Données projet'!$A$166&gt;35,DO33+DN34-DW33,IF(A34&lt;'Données projet'!$A$166,$DL$205^A34,IF(A34='Données projet'!$A$166,'Données projet'!$B$166,DO33+DN34-DW33)))</f>
        <v>133.99999999999997</v>
      </c>
      <c r="DP34" s="17">
        <f>DO34*VLOOKUP('Données projet'!$B$14,Paramètres!$A$1:$I$89,3,0)*VLOOKUP('Données projet'!$B$14,Paramètres!$A$1:$I$89,5,0)</f>
        <v>80.131999999999991</v>
      </c>
      <c r="DQ34" s="13">
        <f t="shared" si="43"/>
        <v>22.169455717453161</v>
      </c>
      <c r="DR34" s="20">
        <f t="shared" si="16"/>
        <v>178.17503537456423</v>
      </c>
      <c r="DS34" s="59">
        <f t="shared" si="17"/>
        <v>471.50836870789755</v>
      </c>
      <c r="DT34" s="59">
        <f ca="1">AVERAGE(OFFSET($DS$3,0,0,'Données projet'!$E$14+1,1))-AVERAGE(OFFSET($H$3,0,0,'Données projet'!$E$14+1,1))</f>
        <v>165.39579887388538</v>
      </c>
      <c r="DU34" s="59">
        <f t="shared" si="44"/>
        <v>155.89639262545802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>
        <f>EXP(-LN(2)/35)*EA33+(1-EXP(-LN(2)/35))/(LN(2)/35)*DW34*DX34*VLOOKUP('Données projet'!$B$14,Paramètres!$A$1:$I$89,3,0)*0.475*44/12</f>
        <v>0</v>
      </c>
      <c r="EB34" s="21">
        <f>EXP(-LN(2)/25)*EB33+(1-EXP(-LN(2)/25))/(LN(2)/25)*Calculateur!DW34*Calculateur!DY34*VLOOKUP('Données projet'!$B$14,Paramètres!$A$1:$I$89,3,0)*0.475*44/12</f>
        <v>7.0899203671870614</v>
      </c>
      <c r="EC34" s="21">
        <f>EXP(-LN(2)/2)*EC33+(1-EXP(-LN(2)/2))/(LN(2)/2)*DW34*DZ34*VLOOKUP('Données projet'!$B$14,Paramètres!$A$1:$I$89,3,0)*0.475*44/12</f>
        <v>9.8146673915966485</v>
      </c>
      <c r="ED34" s="22">
        <f t="shared" si="18"/>
        <v>16.904587758783709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5.2</v>
      </c>
      <c r="EJ34" s="12">
        <f>IF('Données projet'!$A$192&gt;35,EJ33+EI34-ER33,IF(A34&lt;'Données projet'!$A$192,$EG$205^A34,IF(A34='Données projet'!$A$192,'Données projet'!$B$192,EJ33+EI34-ER33)))</f>
        <v>59.199999999999989</v>
      </c>
      <c r="EK34" s="17">
        <f>EJ34*VLOOKUP('Données projet'!$B$15,Paramètres!$A$1:$I$89,3,0)*VLOOKUP('Données projet'!$B$15,Paramètres!$A$1:$I$89,5,0)</f>
        <v>46.175999999999995</v>
      </c>
      <c r="EL34" s="13">
        <f t="shared" si="45"/>
        <v>13.621668778540489</v>
      </c>
      <c r="EM34" s="20">
        <f t="shared" si="19"/>
        <v>104.14760645595801</v>
      </c>
      <c r="EN34" s="59">
        <f t="shared" si="20"/>
        <v>397.48093978929131</v>
      </c>
      <c r="EO34" s="59">
        <f ca="1">AVERAGE(OFFSET($EN$3,0,0,'Données projet'!$E$15+1,1))-AVERAGE(OFFSET($H$3,0,0,'Données projet'!$E$15+1,1))</f>
        <v>104.07220236158577</v>
      </c>
      <c r="EP34" s="59">
        <f t="shared" si="46"/>
        <v>34.162068257911756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>
        <f>EXP(-LN(2)/35)*EV33+(1-EXP(-LN(2)/35))/(LN(2)/35)*ER34*ES34*VLOOKUP('Données projet'!$B$15,Paramètres!$A$1:$I$89,3,0)*0.475*44/12</f>
        <v>0</v>
      </c>
      <c r="EW34" s="21">
        <f>EXP(-LN(2)/25)*EW33+(1-EXP(-LN(2)/25))/(LN(2)/25)*Calculateur!ER34*Calculateur!ET34*VLOOKUP('Données projet'!$B$15,Paramètres!$A$1:$I$89,3,0)*0.475*44/12</f>
        <v>0</v>
      </c>
      <c r="EX34" s="21">
        <f>EXP(-LN(2)/2)*EX33+(1-EXP(-LN(2)/2))/(LN(2)/2)*ER34*EU34*VLOOKUP('Données projet'!$B$15,Paramètres!$A$1:$I$89,3,0)*0.475*44/12</f>
        <v>0</v>
      </c>
      <c r="EY34" s="22">
        <f t="shared" si="21"/>
        <v>0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3.6</v>
      </c>
      <c r="FE34" s="12">
        <f>IF('Données projet'!$A$218&gt;35,FE33+FD34-FM33,IF(A34&lt;'Données projet'!$A$218,$FB$205^A34,IF(A34='Données projet'!$A$218,'Données projet'!$B$218,FE33+FD34-FM33)))</f>
        <v>170.60000000000008</v>
      </c>
      <c r="FF34" s="17">
        <f>FE34*VLOOKUP('Données projet'!$B$16,Paramètres!$A$1:$I$89,3,0)*VLOOKUP('Données projet'!$B$16,Paramètres!$A$1:$I$89,5,0)</f>
        <v>154.35888000000006</v>
      </c>
      <c r="FG34" s="13">
        <f t="shared" si="47"/>
        <v>39.567499286120309</v>
      </c>
      <c r="FH34" s="20">
        <f t="shared" si="22"/>
        <v>337.75511058999297</v>
      </c>
      <c r="FI34" s="59">
        <f t="shared" si="23"/>
        <v>631.08844392332628</v>
      </c>
      <c r="FJ34" s="59">
        <f ca="1">AVERAGE(OFFSET($FI$3,0,0,'Données projet'!$E$16+1,1))-AVERAGE(OFFSET($H$3,0,0,'Données projet'!$E$16+1,1))</f>
        <v>179.50097986986123</v>
      </c>
      <c r="FK34" s="59">
        <f t="shared" si="48"/>
        <v>287.11838730637578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>
        <f>EXP(-LN(2)/35)*FQ33+(1-EXP(-LN(2)/35))/(LN(2)/35)*FM34*FN34*VLOOKUP('Données projet'!$B$16,Paramètres!$A$1:$I$89,3,0)*0.475*44/12</f>
        <v>0.61115131295076364</v>
      </c>
      <c r="FR34" s="21">
        <f>EXP(-LN(2)/25)*FR33+(1-EXP(-LN(2)/25))/(LN(2)/25)*Calculateur!FM34*Calculateur!FO34*VLOOKUP('Données projet'!$B$16,Paramètres!$A$1:$I$89,3,0)*0.475*44/12</f>
        <v>6.1215341517463067</v>
      </c>
      <c r="FS34" s="21">
        <f>EXP(-LN(2)/2)*FS33+(1-EXP(-LN(2)/2))/(LN(2)/2)*FM34*FP34*VLOOKUP('Données projet'!$B$16,Paramètres!$A$1:$I$89,3,0)*0.475*44/12</f>
        <v>3.1966855260102944</v>
      </c>
      <c r="FT34" s="22">
        <f t="shared" si="24"/>
        <v>9.9293709907073655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11</v>
      </c>
      <c r="FZ34" s="12">
        <f>IF('Données projet'!$A$244&gt;35,FZ33+FY34-GH33,IF(A34&lt;'Données projet'!$A$244,$FW$205^A34,IF(A34='Données projet'!$A$244,'Données projet'!$B$244,FZ33+FY34-GH33)))</f>
        <v>133.99999999999997</v>
      </c>
      <c r="GA34" s="17">
        <f>FZ34*VLOOKUP('Données projet'!$B$17,Paramètres!$A$1:$I$89,3,0)*VLOOKUP('Données projet'!$B$17,Paramètres!$A$1:$I$89,5,0)</f>
        <v>80.131999999999991</v>
      </c>
      <c r="GB34" s="13">
        <f t="shared" si="49"/>
        <v>22.169455717453161</v>
      </c>
      <c r="GC34" s="20">
        <f t="shared" si="25"/>
        <v>178.17503537456423</v>
      </c>
      <c r="GD34" s="59">
        <f t="shared" si="26"/>
        <v>471.50836870789755</v>
      </c>
      <c r="GE34" s="59">
        <f ca="1">AVERAGE(OFFSET($GD$3,0,0,'Données projet'!$E$17+1,1))-AVERAGE(OFFSET($H$3,0,0,'Données projet'!$E$17+1,1))</f>
        <v>165.39579887388538</v>
      </c>
      <c r="GF34" s="59">
        <f t="shared" si="50"/>
        <v>155.89639262545802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>
        <f>EXP(-LN(2)/35)*GL33+(1-EXP(-LN(2)/35))/(LN(2)/35)*GH34*GI34*VLOOKUP('Données projet'!$B$17,Paramètres!$A$1:$I$89,3,0)*0.475*44/12</f>
        <v>0</v>
      </c>
      <c r="GM34" s="21">
        <f>EXP(-LN(2)/25)*GM33+(1-EXP(-LN(2)/25))/(LN(2)/25)*Calculateur!GH34*Calculateur!GJ34*VLOOKUP('Données projet'!$B$17,Paramètres!$A$1:$I$89,3,0)*0.475*44/12</f>
        <v>7.0899203671870614</v>
      </c>
      <c r="GN34" s="21">
        <f>EXP(-LN(2)/2)*GN33+(1-EXP(-LN(2)/2))/(LN(2)/2)*GH34*GK34*VLOOKUP('Données projet'!$B$17,Paramètres!$A$1:$I$89,3,0)*0.475*44/12</f>
        <v>9.8146673915966485</v>
      </c>
      <c r="GO34" s="21">
        <f t="shared" si="27"/>
        <v>16.904587758783709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17.3</v>
      </c>
      <c r="N35" s="13">
        <f>IF('Données projet'!$A$36&gt;35,N34+M35-V34,IF(A35&lt;'Données projet'!$A$36,$K$205^A35,IF(A35='Données projet'!$A$36,'Données projet'!$B$36,N34+M35-V34)))</f>
        <v>190.60000000000002</v>
      </c>
      <c r="O35" s="13">
        <f>N35*VLOOKUP('Données projet'!$B$9,Paramètres!$A$1:$I$89,3,0)*VLOOKUP('Données projet'!$B$9,Paramètres!$A$1:$I$89,5,0)</f>
        <v>106.54540000000001</v>
      </c>
      <c r="P35" s="13">
        <f t="shared" si="33"/>
        <v>28.515548485734111</v>
      </c>
      <c r="Q35" s="20">
        <f t="shared" ref="Q35:Q66" si="53">(O35+P35)*0.475*44/12</f>
        <v>235.23115194598691</v>
      </c>
      <c r="R35" s="59">
        <f t="shared" si="0"/>
        <v>528.56448527932025</v>
      </c>
      <c r="S35" s="59">
        <f ca="1">AVERAGE(OFFSET($R$3,0,0,'Données projet'!$E$9+1,1))-AVERAGE(OFFSET($H$3,0,0,'Données projet'!$E$9+1,1))</f>
        <v>235.10258076192054</v>
      </c>
      <c r="T35" s="59">
        <f t="shared" si="34"/>
        <v>233.47316052603765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3.2929142829305733</v>
      </c>
      <c r="AA35" s="21">
        <f>EXP(-LN(2)/25)*AA34+(1-EXP(-LN(2)/25))/(LN(2)/25)*Calculateur!V35*Calculateur!X35*VLOOKUP('Données projet'!$B$9,Paramètres!$A$1:$I$89,3,0)*0.475*44/12</f>
        <v>17.440463588504052</v>
      </c>
      <c r="AB35" s="21">
        <f>EXP(-LN(2)/2)*AB34+(1-EXP(-LN(2)/2))/(LN(2)/2)*V35*Y35*VLOOKUP('Données projet'!$B$9,Paramètres!$A$1:$I$89,3,0)*0.475*44/12</f>
        <v>12.061040861333945</v>
      </c>
      <c r="AC35" s="22">
        <f t="shared" si="3"/>
        <v>32.79441873276857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8.6999999999999993</v>
      </c>
      <c r="AI35" s="13">
        <f>IF('Données projet'!$A$62&gt;35,AI34+AH35-AQ34,IF(A35&lt;'Données projet'!$A$62,$AF$205^A35,IF(A35='Données projet'!$A$62,'Données projet'!$B$62,AI34+AH35-AQ34)))</f>
        <v>130.39999999999995</v>
      </c>
      <c r="AJ35" s="13">
        <f>AI35*VLOOKUP('Données projet'!$B$10,Paramètres!$A$1:$I$89,3,0)*VLOOKUP('Données projet'!$B$10,Paramètres!$A$1:$I$89,5,0)</f>
        <v>113.91743999999996</v>
      </c>
      <c r="AK35" s="13">
        <f t="shared" si="35"/>
        <v>30.252075834566813</v>
      </c>
      <c r="AL35" s="20">
        <f t="shared" si="4"/>
        <v>251.0952400785371</v>
      </c>
      <c r="AM35" s="59">
        <f t="shared" si="5"/>
        <v>544.42857341187039</v>
      </c>
      <c r="AN35" s="59">
        <f ca="1">AVERAGE(OFFSET($AM$3,0,0,'Données projet'!$E$10+1,1))-AVERAGE(OFFSET($H$3,0,0,'Données projet'!$E$10+1,1))</f>
        <v>191.94797389630673</v>
      </c>
      <c r="AO35" s="59">
        <f t="shared" si="36"/>
        <v>273.52540822767878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2.4746749762629765</v>
      </c>
      <c r="AV35" s="21">
        <f>EXP(-LN(2)/25)*AV34+(1-EXP(-LN(2)/25))/(LN(2)/25)*Calculateur!AQ35*Calculateur!AS35*VLOOKUP('Données projet'!$B$10,Paramètres!$A$1:$I$89,3,0)*0.475*44/12</f>
        <v>13.290360721668984</v>
      </c>
      <c r="AW35" s="21">
        <f>EXP(-LN(2)/2)*AW34+(1-EXP(-LN(2)/2))/(LN(2)/2)*AQ35*AT35*VLOOKUP('Données projet'!$B$10,Paramètres!$A$1:$I$89,3,0)*0.475*44/12</f>
        <v>11.601531459834687</v>
      </c>
      <c r="AX35" s="21">
        <f t="shared" si="6"/>
        <v>27.366567157766646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5.2</v>
      </c>
      <c r="BD35" s="12">
        <f>IF('Données projet'!$A$88&gt;35,BD34+BC35-BL34,IF(A35&lt;'Données projet'!$A$88,$BA$205^A35,IF(A35='Données projet'!$A$88,'Données projet'!$B$88,BD34+BC35-BL34)))</f>
        <v>64.399999999999991</v>
      </c>
      <c r="BE35" s="13">
        <f>BD35*VLOOKUP('Données projet'!$B$11,Paramètres!$A$1:$I$89,3,0)*VLOOKUP('Données projet'!$B$11,Paramètres!$A$1:$I$89,5,0)</f>
        <v>58.269119999999987</v>
      </c>
      <c r="BF35" s="13">
        <f t="shared" si="37"/>
        <v>16.729905486873804</v>
      </c>
      <c r="BG35" s="20">
        <f t="shared" si="7"/>
        <v>130.62330272297186</v>
      </c>
      <c r="BH35" s="59">
        <f t="shared" si="8"/>
        <v>423.95663605630517</v>
      </c>
      <c r="BI35" s="59">
        <f ca="1">AVERAGE(OFFSET($BH$3,0,0,'Données projet'!$E$11+1,1))-AVERAGE(OFFSET($H$3,0,0,'Données projet'!$E$11+1,1))</f>
        <v>138.8931001150624</v>
      </c>
      <c r="BJ35" s="59">
        <f t="shared" si="38"/>
        <v>48.964659354096625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5.2</v>
      </c>
      <c r="BY35" s="12">
        <f>IF('Données projet'!$A$114&gt;35,BY34+BX35-CG34,IF(A35&lt;'Données projet'!$A$114,$BV$205^A35,IF(A35='Données projet'!$A$114,'Données projet'!$B$114,BY34+BX35-CG34)))</f>
        <v>64.399999999999991</v>
      </c>
      <c r="BZ35" s="13">
        <f>BY35*VLOOKUP('Données projet'!$B$12,Paramètres!$A$1:$I$89,3,0)*VLOOKUP('Données projet'!$B$12,Paramètres!$A$1:$I$89,5,0)</f>
        <v>65.301600000000008</v>
      </c>
      <c r="CA35" s="13">
        <f t="shared" si="39"/>
        <v>18.502003309535596</v>
      </c>
      <c r="CB35" s="20">
        <f t="shared" si="10"/>
        <v>145.95794243077449</v>
      </c>
      <c r="CC35" s="59">
        <f t="shared" si="11"/>
        <v>439.29127576410781</v>
      </c>
      <c r="CD35" s="59">
        <f ca="1">AVERAGE(OFFSET($CC$3,0,0,'Données projet'!$E$12+1,1))-AVERAGE(OFFSET($H$3,0,0,'Données projet'!$E$12+1,1))</f>
        <v>169.2757878405003</v>
      </c>
      <c r="CE35" s="59">
        <f t="shared" si="40"/>
        <v>61.876502626609977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8.1</v>
      </c>
      <c r="CT35" s="12">
        <f>IF('Données projet'!$A$140&gt;35,CT34+CS35-DB34,IF(A35&lt;'Données projet'!$A$140,$CQ$205^A35,IF(A35='Données projet'!$A$140,'Données projet'!$B$140,CT34+CS35-DB34)))</f>
        <v>109.20000000000002</v>
      </c>
      <c r="CU35" s="17">
        <f>CT35*VLOOKUP('Données projet'!$B$13,Paramètres!$A$1:$I$89,3,0)*VLOOKUP('Données projet'!$B$13,Paramètres!$A$1:$I$89,5,0)</f>
        <v>86.879520000000014</v>
      </c>
      <c r="CV35" s="13">
        <f t="shared" si="41"/>
        <v>23.811101748604674</v>
      </c>
      <c r="CW35" s="20">
        <f t="shared" si="13"/>
        <v>192.78616621215315</v>
      </c>
      <c r="CX35" s="59">
        <f t="shared" si="14"/>
        <v>486.11949954548646</v>
      </c>
      <c r="CY35" s="59">
        <f ca="1">AVERAGE(OFFSET($CX$3,0,0,'Données projet'!$E$13+1,1))-AVERAGE(OFFSET($H$3,0,0,'Données projet'!$E$13+1,1))</f>
        <v>141.12810728817544</v>
      </c>
      <c r="CZ35" s="59">
        <f t="shared" si="42"/>
        <v>176.01405805137551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>
        <f>EXP(-LN(2)/35)*DF34+(1-EXP(-LN(2)/35))/(LN(2)/35)*DB35*DC35*VLOOKUP('Données projet'!$B$13,Paramètres!$A$1:$I$89,3,0)*0.475*44/12</f>
        <v>0</v>
      </c>
      <c r="DG35" s="21">
        <f>EXP(-LN(2)/25)*DG34+(1-EXP(-LN(2)/25))/(LN(2)/25)*Calculateur!DB35*Calculateur!DD35*VLOOKUP('Données projet'!$B$13,Paramètres!$A$1:$I$89,3,0)*0.475*44/12</f>
        <v>6.3599433252992759</v>
      </c>
      <c r="DH35" s="21">
        <f>EXP(-LN(2)/2)*DH34+(1-EXP(-LN(2)/2))/(LN(2)/2)*DB35*DE35*VLOOKUP('Données projet'!$B$13,Paramètres!$A$1:$I$89,3,0)*0.475*44/12</f>
        <v>4.0025959691404847</v>
      </c>
      <c r="DI35" s="22">
        <f t="shared" si="15"/>
        <v>10.36253929443976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11</v>
      </c>
      <c r="DO35" s="12">
        <f>IF('Données projet'!$A$166&gt;35,DO34+DN35-DW34,IF(A35&lt;'Données projet'!$A$166,$DL$205^A35,IF(A35='Données projet'!$A$166,'Données projet'!$B$166,DO34+DN35-DW34)))</f>
        <v>144.99999999999997</v>
      </c>
      <c r="DP35" s="17">
        <f>DO35*VLOOKUP('Données projet'!$B$14,Paramètres!$A$1:$I$89,3,0)*VLOOKUP('Données projet'!$B$14,Paramètres!$A$1:$I$89,5,0)</f>
        <v>86.71</v>
      </c>
      <c r="DQ35" s="13">
        <f t="shared" si="43"/>
        <v>23.770044666555087</v>
      </c>
      <c r="DR35" s="20">
        <f t="shared" si="16"/>
        <v>192.4194111275834</v>
      </c>
      <c r="DS35" s="59">
        <f t="shared" si="17"/>
        <v>485.75274446091669</v>
      </c>
      <c r="DT35" s="59">
        <f ca="1">AVERAGE(OFFSET($DS$3,0,0,'Données projet'!$E$14+1,1))-AVERAGE(OFFSET($H$3,0,0,'Données projet'!$E$14+1,1))</f>
        <v>165.39579887388538</v>
      </c>
      <c r="DU35" s="59">
        <f t="shared" si="44"/>
        <v>155.89639262545802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>
        <f>EXP(-LN(2)/35)*EA34+(1-EXP(-LN(2)/35))/(LN(2)/35)*DW35*DX35*VLOOKUP('Données projet'!$B$14,Paramètres!$A$1:$I$89,3,0)*0.475*44/12</f>
        <v>0</v>
      </c>
      <c r="EB35" s="21">
        <f>EXP(-LN(2)/25)*EB34+(1-EXP(-LN(2)/25))/(LN(2)/25)*Calculateur!DW35*Calculateur!DY35*VLOOKUP('Données projet'!$B$14,Paramètres!$A$1:$I$89,3,0)*0.475*44/12</f>
        <v>6.8960461219036233</v>
      </c>
      <c r="EC35" s="21">
        <f>EXP(-LN(2)/2)*EC34+(1-EXP(-LN(2)/2))/(LN(2)/2)*DW35*DZ35*VLOOKUP('Données projet'!$B$14,Paramètres!$A$1:$I$89,3,0)*0.475*44/12</f>
        <v>6.940017867688475</v>
      </c>
      <c r="ED35" s="22">
        <f t="shared" si="18"/>
        <v>13.836063989592098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5.2</v>
      </c>
      <c r="EJ35" s="12">
        <f>IF('Données projet'!$A$192&gt;35,EJ34+EI35-ER34,IF(A35&lt;'Données projet'!$A$192,$EG$205^A35,IF(A35='Données projet'!$A$192,'Données projet'!$B$192,EJ34+EI35-ER34)))</f>
        <v>64.399999999999991</v>
      </c>
      <c r="EK35" s="17">
        <f>EJ35*VLOOKUP('Données projet'!$B$15,Paramètres!$A$1:$I$89,3,0)*VLOOKUP('Données projet'!$B$15,Paramètres!$A$1:$I$89,5,0)</f>
        <v>50.231999999999992</v>
      </c>
      <c r="EL35" s="13">
        <f t="shared" si="45"/>
        <v>14.673658523093417</v>
      </c>
      <c r="EM35" s="20">
        <f t="shared" si="19"/>
        <v>113.04402192772102</v>
      </c>
      <c r="EN35" s="59">
        <f t="shared" si="20"/>
        <v>406.37735526105433</v>
      </c>
      <c r="EO35" s="59">
        <f ca="1">AVERAGE(OFFSET($EN$3,0,0,'Données projet'!$E$15+1,1))-AVERAGE(OFFSET($H$3,0,0,'Données projet'!$E$15+1,1))</f>
        <v>104.07220236158577</v>
      </c>
      <c r="EP35" s="59">
        <f t="shared" si="46"/>
        <v>34.162068257911756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>
        <f>EXP(-LN(2)/35)*EV34+(1-EXP(-LN(2)/35))/(LN(2)/35)*ER35*ES35*VLOOKUP('Données projet'!$B$15,Paramètres!$A$1:$I$89,3,0)*0.475*44/12</f>
        <v>0</v>
      </c>
      <c r="EW35" s="21">
        <f>EXP(-LN(2)/25)*EW34+(1-EXP(-LN(2)/25))/(LN(2)/25)*Calculateur!ER35*Calculateur!ET35*VLOOKUP('Données projet'!$B$15,Paramètres!$A$1:$I$89,3,0)*0.475*44/12</f>
        <v>0</v>
      </c>
      <c r="EX35" s="21">
        <f>EXP(-LN(2)/2)*EX34+(1-EXP(-LN(2)/2))/(LN(2)/2)*ER35*EU35*VLOOKUP('Données projet'!$B$15,Paramètres!$A$1:$I$89,3,0)*0.475*44/12</f>
        <v>0</v>
      </c>
      <c r="EY35" s="22">
        <f t="shared" si="21"/>
        <v>0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3.6</v>
      </c>
      <c r="FE35" s="12">
        <f>IF('Données projet'!$A$218&gt;35,FE34+FD35-FM34,IF(A35&lt;'Données projet'!$A$218,$FB$205^A35,IF(A35='Données projet'!$A$218,'Données projet'!$B$218,FE34+FD35-FM34)))</f>
        <v>174.20000000000007</v>
      </c>
      <c r="FF35" s="17">
        <f>FE35*VLOOKUP('Données projet'!$B$16,Paramètres!$A$1:$I$89,3,0)*VLOOKUP('Données projet'!$B$16,Paramètres!$A$1:$I$89,5,0)</f>
        <v>157.61616000000006</v>
      </c>
      <c r="FG35" s="13">
        <f t="shared" si="47"/>
        <v>40.304364799450369</v>
      </c>
      <c r="FH35" s="20">
        <f t="shared" si="22"/>
        <v>344.71158069237617</v>
      </c>
      <c r="FI35" s="59">
        <f t="shared" si="23"/>
        <v>638.04491402570943</v>
      </c>
      <c r="FJ35" s="59">
        <f ca="1">AVERAGE(OFFSET($FI$3,0,0,'Données projet'!$E$16+1,1))-AVERAGE(OFFSET($H$3,0,0,'Données projet'!$E$16+1,1))</f>
        <v>179.50097986986123</v>
      </c>
      <c r="FK35" s="59">
        <f t="shared" si="48"/>
        <v>287.11838730637578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>
        <f>EXP(-LN(2)/35)*FQ34+(1-EXP(-LN(2)/35))/(LN(2)/35)*FM35*FN35*VLOOKUP('Données projet'!$B$16,Paramètres!$A$1:$I$89,3,0)*0.475*44/12</f>
        <v>0.59916700846929249</v>
      </c>
      <c r="FR35" s="21">
        <f>EXP(-LN(2)/25)*FR34+(1-EXP(-LN(2)/25))/(LN(2)/25)*Calculateur!FM35*Calculateur!FO35*VLOOKUP('Données projet'!$B$16,Paramètres!$A$1:$I$89,3,0)*0.475*44/12</f>
        <v>5.9541404784493137</v>
      </c>
      <c r="FS35" s="21">
        <f>EXP(-LN(2)/2)*FS34+(1-EXP(-LN(2)/2))/(LN(2)/2)*FM35*FP35*VLOOKUP('Données projet'!$B$16,Paramètres!$A$1:$I$89,3,0)*0.475*44/12</f>
        <v>2.260398012762765</v>
      </c>
      <c r="FT35" s="22">
        <f t="shared" si="24"/>
        <v>8.8137054996813706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11</v>
      </c>
      <c r="FZ35" s="12">
        <f>IF('Données projet'!$A$244&gt;35,FZ34+FY35-GH34,IF(A35&lt;'Données projet'!$A$244,$FW$205^A35,IF(A35='Données projet'!$A$244,'Données projet'!$B$244,FZ34+FY35-GH34)))</f>
        <v>144.99999999999997</v>
      </c>
      <c r="GA35" s="17">
        <f>FZ35*VLOOKUP('Données projet'!$B$17,Paramètres!$A$1:$I$89,3,0)*VLOOKUP('Données projet'!$B$17,Paramètres!$A$1:$I$89,5,0)</f>
        <v>86.71</v>
      </c>
      <c r="GB35" s="13">
        <f t="shared" si="49"/>
        <v>23.770044666555087</v>
      </c>
      <c r="GC35" s="20">
        <f t="shared" si="25"/>
        <v>192.4194111275834</v>
      </c>
      <c r="GD35" s="59">
        <f t="shared" si="26"/>
        <v>485.75274446091669</v>
      </c>
      <c r="GE35" s="59">
        <f ca="1">AVERAGE(OFFSET($GD$3,0,0,'Données projet'!$E$17+1,1))-AVERAGE(OFFSET($H$3,0,0,'Données projet'!$E$17+1,1))</f>
        <v>165.39579887388538</v>
      </c>
      <c r="GF35" s="59">
        <f t="shared" si="50"/>
        <v>155.89639262545802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>
        <f>EXP(-LN(2)/35)*GL34+(1-EXP(-LN(2)/35))/(LN(2)/35)*GH35*GI35*VLOOKUP('Données projet'!$B$17,Paramètres!$A$1:$I$89,3,0)*0.475*44/12</f>
        <v>0</v>
      </c>
      <c r="GM35" s="21">
        <f>EXP(-LN(2)/25)*GM34+(1-EXP(-LN(2)/25))/(LN(2)/25)*Calculateur!GH35*Calculateur!GJ35*VLOOKUP('Données projet'!$B$17,Paramètres!$A$1:$I$89,3,0)*0.475*44/12</f>
        <v>6.8960461219036233</v>
      </c>
      <c r="GN35" s="21">
        <f>EXP(-LN(2)/2)*GN34+(1-EXP(-LN(2)/2))/(LN(2)/2)*GH35*GK35*VLOOKUP('Données projet'!$B$17,Paramètres!$A$1:$I$89,3,0)*0.475*44/12</f>
        <v>6.940017867688475</v>
      </c>
      <c r="GO35" s="21">
        <f t="shared" si="27"/>
        <v>13.836063989592098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17.3</v>
      </c>
      <c r="N36" s="13">
        <f>IF('Données projet'!$A$36&gt;35,N35+M36-V35,IF(A36&lt;'Données projet'!$A$36,$K$205^A36,IF(A36='Données projet'!$A$36,'Données projet'!$B$36,N35+M36-V35)))</f>
        <v>207.90000000000003</v>
      </c>
      <c r="O36" s="13">
        <f>N36*VLOOKUP('Données projet'!$B$9,Paramètres!$A$1:$I$89,3,0)*VLOOKUP('Données projet'!$B$9,Paramètres!$A$1:$I$89,5,0)</f>
        <v>116.21610000000003</v>
      </c>
      <c r="P36" s="13">
        <f t="shared" si="33"/>
        <v>30.790827813105789</v>
      </c>
      <c r="Q36" s="20">
        <f t="shared" si="53"/>
        <v>256.03706594115931</v>
      </c>
      <c r="R36" s="59">
        <f t="shared" si="0"/>
        <v>549.37039927449268</v>
      </c>
      <c r="S36" s="59">
        <f ca="1">AVERAGE(OFFSET($R$3,0,0,'Données projet'!$E$9+1,1))-AVERAGE(OFFSET($H$3,0,0,'Données projet'!$E$9+1,1))</f>
        <v>235.10258076192054</v>
      </c>
      <c r="T36" s="59">
        <f t="shared" si="34"/>
        <v>233.47316052603765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3.2283422423216965</v>
      </c>
      <c r="AA36" s="21">
        <f>EXP(-LN(2)/25)*AA35+(1-EXP(-LN(2)/25))/(LN(2)/25)*Calculateur!V36*Calculateur!X36*VLOOKUP('Données projet'!$B$9,Paramètres!$A$1:$I$89,3,0)*0.475*44/12</f>
        <v>16.963553194522291</v>
      </c>
      <c r="AB36" s="21">
        <f>EXP(-LN(2)/2)*AB35+(1-EXP(-LN(2)/2))/(LN(2)/2)*V36*Y36*VLOOKUP('Données projet'!$B$9,Paramètres!$A$1:$I$89,3,0)*0.475*44/12</f>
        <v>8.5284437812172715</v>
      </c>
      <c r="AC36" s="22">
        <f t="shared" si="3"/>
        <v>28.720339218061255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8.6999999999999993</v>
      </c>
      <c r="AI36" s="13">
        <f>IF('Données projet'!$A$62&gt;35,AI35+AH36-AQ35,IF(A36&lt;'Données projet'!$A$62,$AF$205^A36,IF(A36='Données projet'!$A$62,'Données projet'!$B$62,AI35+AH36-AQ35)))</f>
        <v>139.09999999999994</v>
      </c>
      <c r="AJ36" s="13">
        <f>AI36*VLOOKUP('Données projet'!$B$10,Paramètres!$A$1:$I$89,3,0)*VLOOKUP('Données projet'!$B$10,Paramètres!$A$1:$I$89,5,0)</f>
        <v>121.51775999999997</v>
      </c>
      <c r="AK36" s="13">
        <f t="shared" si="35"/>
        <v>32.028732529244031</v>
      </c>
      <c r="AL36" s="20">
        <f t="shared" si="4"/>
        <v>267.42680782176666</v>
      </c>
      <c r="AM36" s="59">
        <f t="shared" si="5"/>
        <v>560.76014115509997</v>
      </c>
      <c r="AN36" s="59">
        <f ca="1">AVERAGE(OFFSET($AM$3,0,0,'Données projet'!$E$10+1,1))-AVERAGE(OFFSET($H$3,0,0,'Données projet'!$E$10+1,1))</f>
        <v>191.94797389630673</v>
      </c>
      <c r="AO36" s="59">
        <f t="shared" si="36"/>
        <v>273.52540822767878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2.4261481093811539</v>
      </c>
      <c r="AV36" s="21">
        <f>EXP(-LN(2)/25)*AV35+(1-EXP(-LN(2)/25))/(LN(2)/25)*Calculateur!AQ36*Calculateur!AS36*VLOOKUP('Données projet'!$B$10,Paramètres!$A$1:$I$89,3,0)*0.475*44/12</f>
        <v>12.926935108825251</v>
      </c>
      <c r="AW36" s="21">
        <f>EXP(-LN(2)/2)*AW35+(1-EXP(-LN(2)/2))/(LN(2)/2)*AQ36*AT36*VLOOKUP('Données projet'!$B$10,Paramètres!$A$1:$I$89,3,0)*0.475*44/12</f>
        <v>8.2035215673981732</v>
      </c>
      <c r="AX36" s="21">
        <f t="shared" si="6"/>
        <v>23.556604785604577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5.2</v>
      </c>
      <c r="BD36" s="12">
        <f>IF('Données projet'!$A$88&gt;35,BD35+BC36-BL35,IF(A36&lt;'Données projet'!$A$88,$BA$205^A36,IF(A36='Données projet'!$A$88,'Données projet'!$B$88,BD35+BC36-BL35)))</f>
        <v>69.599999999999994</v>
      </c>
      <c r="BE36" s="13">
        <f>BD36*VLOOKUP('Données projet'!$B$11,Paramètres!$A$1:$I$89,3,0)*VLOOKUP('Données projet'!$B$11,Paramètres!$A$1:$I$89,5,0)</f>
        <v>62.974079999999994</v>
      </c>
      <c r="BF36" s="13">
        <f t="shared" si="37"/>
        <v>17.91807950185715</v>
      </c>
      <c r="BG36" s="20">
        <f t="shared" si="7"/>
        <v>140.88717779906787</v>
      </c>
      <c r="BH36" s="59">
        <f t="shared" si="8"/>
        <v>434.22051113240116</v>
      </c>
      <c r="BI36" s="59">
        <f ca="1">AVERAGE(OFFSET($BH$3,0,0,'Données projet'!$E$11+1,1))-AVERAGE(OFFSET($H$3,0,0,'Données projet'!$E$11+1,1))</f>
        <v>138.8931001150624</v>
      </c>
      <c r="BJ36" s="59">
        <f t="shared" si="38"/>
        <v>48.964659354096625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5.2</v>
      </c>
      <c r="BY36" s="12">
        <f>IF('Données projet'!$A$114&gt;35,BY35+BX36-CG35,IF(A36&lt;'Données projet'!$A$114,$BV$205^A36,IF(A36='Données projet'!$A$114,'Données projet'!$B$114,BY35+BX36-CG35)))</f>
        <v>69.599999999999994</v>
      </c>
      <c r="BZ36" s="13">
        <f>BY36*VLOOKUP('Données projet'!$B$12,Paramètres!$A$1:$I$89,3,0)*VLOOKUP('Données projet'!$B$12,Paramètres!$A$1:$I$89,5,0)</f>
        <v>70.574399999999997</v>
      </c>
      <c r="CA36" s="13">
        <f t="shared" si="39"/>
        <v>19.816033420152426</v>
      </c>
      <c r="CB36" s="20">
        <f t="shared" si="10"/>
        <v>157.43000487343213</v>
      </c>
      <c r="CC36" s="59">
        <f t="shared" si="11"/>
        <v>450.76333820676541</v>
      </c>
      <c r="CD36" s="59">
        <f ca="1">AVERAGE(OFFSET($CC$3,0,0,'Données projet'!$E$12+1,1))-AVERAGE(OFFSET($H$3,0,0,'Données projet'!$E$12+1,1))</f>
        <v>169.2757878405003</v>
      </c>
      <c r="CE36" s="59">
        <f t="shared" si="40"/>
        <v>61.876502626609977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8.1</v>
      </c>
      <c r="CT36" s="12">
        <f>IF('Données projet'!$A$140&gt;35,CT35+CS36-DB35,IF(A36&lt;'Données projet'!$A$140,$CQ$205^A36,IF(A36='Données projet'!$A$140,'Données projet'!$B$140,CT35+CS36-DB35)))</f>
        <v>117.30000000000001</v>
      </c>
      <c r="CU36" s="17">
        <f>CT36*VLOOKUP('Données projet'!$B$13,Paramètres!$A$1:$I$89,3,0)*VLOOKUP('Données projet'!$B$13,Paramètres!$A$1:$I$89,5,0)</f>
        <v>93.323880000000017</v>
      </c>
      <c r="CV36" s="13">
        <f t="shared" si="41"/>
        <v>25.36516496142757</v>
      </c>
      <c r="CW36" s="20">
        <f t="shared" si="13"/>
        <v>206.71675330781969</v>
      </c>
      <c r="CX36" s="59">
        <f t="shared" si="14"/>
        <v>500.05008664115303</v>
      </c>
      <c r="CY36" s="59">
        <f ca="1">AVERAGE(OFFSET($CX$3,0,0,'Données projet'!$E$13+1,1))-AVERAGE(OFFSET($H$3,0,0,'Données projet'!$E$13+1,1))</f>
        <v>141.12810728817544</v>
      </c>
      <c r="CZ36" s="59">
        <f t="shared" si="42"/>
        <v>176.01405805137551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>
        <f>EXP(-LN(2)/35)*DF35+(1-EXP(-LN(2)/35))/(LN(2)/35)*DB36*DC36*VLOOKUP('Données projet'!$B$13,Paramètres!$A$1:$I$89,3,0)*0.475*44/12</f>
        <v>0</v>
      </c>
      <c r="DG36" s="21">
        <f>EXP(-LN(2)/25)*DG35+(1-EXP(-LN(2)/25))/(LN(2)/25)*Calculateur!DB36*Calculateur!DD36*VLOOKUP('Données projet'!$B$13,Paramètres!$A$1:$I$89,3,0)*0.475*44/12</f>
        <v>6.1860303406140833</v>
      </c>
      <c r="DH36" s="21">
        <f>EXP(-LN(2)/2)*DH35+(1-EXP(-LN(2)/2))/(LN(2)/2)*DB36*DE36*VLOOKUP('Données projet'!$B$13,Paramètres!$A$1:$I$89,3,0)*0.475*44/12</f>
        <v>2.8302627521291779</v>
      </c>
      <c r="DI36" s="22">
        <f t="shared" si="15"/>
        <v>9.0162930927432612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11</v>
      </c>
      <c r="DO36" s="12">
        <f>IF('Données projet'!$A$166&gt;35,DO35+DN36-DW35,IF(A36&lt;'Données projet'!$A$166,$DL$205^A36,IF(A36='Données projet'!$A$166,'Données projet'!$B$166,DO35+DN36-DW35)))</f>
        <v>155.99999999999997</v>
      </c>
      <c r="DP36" s="17">
        <f>DO36*VLOOKUP('Données projet'!$B$14,Paramètres!$A$1:$I$89,3,0)*VLOOKUP('Données projet'!$B$14,Paramètres!$A$1:$I$89,5,0)</f>
        <v>93.287999999999997</v>
      </c>
      <c r="DQ36" s="13">
        <f t="shared" si="43"/>
        <v>25.356547829040977</v>
      </c>
      <c r="DR36" s="20">
        <f t="shared" si="16"/>
        <v>206.63925413557968</v>
      </c>
      <c r="DS36" s="59">
        <f t="shared" si="17"/>
        <v>499.97258746891299</v>
      </c>
      <c r="DT36" s="59">
        <f ca="1">AVERAGE(OFFSET($DS$3,0,0,'Données projet'!$E$14+1,1))-AVERAGE(OFFSET($H$3,0,0,'Données projet'!$E$14+1,1))</f>
        <v>165.39579887388538</v>
      </c>
      <c r="DU36" s="59">
        <f t="shared" si="44"/>
        <v>155.89639262545802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>
        <f>EXP(-LN(2)/35)*EA35+(1-EXP(-LN(2)/35))/(LN(2)/35)*DW36*DX36*VLOOKUP('Données projet'!$B$14,Paramètres!$A$1:$I$89,3,0)*0.475*44/12</f>
        <v>0</v>
      </c>
      <c r="EB36" s="21">
        <f>EXP(-LN(2)/25)*EB35+(1-EXP(-LN(2)/25))/(LN(2)/25)*Calculateur!DW36*Calculateur!DY36*VLOOKUP('Données projet'!$B$14,Paramètres!$A$1:$I$89,3,0)*0.475*44/12</f>
        <v>6.7074733780528639</v>
      </c>
      <c r="EC36" s="21">
        <f>EXP(-LN(2)/2)*EC35+(1-EXP(-LN(2)/2))/(LN(2)/2)*DW36*DZ36*VLOOKUP('Données projet'!$B$14,Paramètres!$A$1:$I$89,3,0)*0.475*44/12</f>
        <v>4.9073336957983251</v>
      </c>
      <c r="ED36" s="22">
        <f t="shared" si="18"/>
        <v>11.614807073851189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5.2</v>
      </c>
      <c r="EJ36" s="12">
        <f>IF('Données projet'!$A$192&gt;35,EJ35+EI36-ER35,IF(A36&lt;'Données projet'!$A$192,$EG$205^A36,IF(A36='Données projet'!$A$192,'Données projet'!$B$192,EJ35+EI36-ER35)))</f>
        <v>69.599999999999994</v>
      </c>
      <c r="EK36" s="17">
        <f>EJ36*VLOOKUP('Données projet'!$B$15,Paramètres!$A$1:$I$89,3,0)*VLOOKUP('Données projet'!$B$15,Paramètres!$A$1:$I$89,5,0)</f>
        <v>54.287999999999997</v>
      </c>
      <c r="EL36" s="13">
        <f t="shared" si="45"/>
        <v>15.715795896526746</v>
      </c>
      <c r="EM36" s="20">
        <f t="shared" si="19"/>
        <v>121.9232778531174</v>
      </c>
      <c r="EN36" s="59">
        <f t="shared" si="20"/>
        <v>415.2566111864507</v>
      </c>
      <c r="EO36" s="59">
        <f ca="1">AVERAGE(OFFSET($EN$3,0,0,'Données projet'!$E$15+1,1))-AVERAGE(OFFSET($H$3,0,0,'Données projet'!$E$15+1,1))</f>
        <v>104.07220236158577</v>
      </c>
      <c r="EP36" s="59">
        <f t="shared" si="46"/>
        <v>34.162068257911756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>
        <f>EXP(-LN(2)/35)*EV35+(1-EXP(-LN(2)/35))/(LN(2)/35)*ER36*ES36*VLOOKUP('Données projet'!$B$15,Paramètres!$A$1:$I$89,3,0)*0.475*44/12</f>
        <v>0</v>
      </c>
      <c r="EW36" s="21">
        <f>EXP(-LN(2)/25)*EW35+(1-EXP(-LN(2)/25))/(LN(2)/25)*Calculateur!ER36*Calculateur!ET36*VLOOKUP('Données projet'!$B$15,Paramètres!$A$1:$I$89,3,0)*0.475*44/12</f>
        <v>0</v>
      </c>
      <c r="EX36" s="21">
        <f>EXP(-LN(2)/2)*EX35+(1-EXP(-LN(2)/2))/(LN(2)/2)*ER36*EU36*VLOOKUP('Données projet'!$B$15,Paramètres!$A$1:$I$89,3,0)*0.475*44/12</f>
        <v>0</v>
      </c>
      <c r="EY36" s="22">
        <f t="shared" si="21"/>
        <v>0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3.6</v>
      </c>
      <c r="FE36" s="12">
        <f>IF('Données projet'!$A$218&gt;35,FE35+FD36-FM35,IF(A36&lt;'Données projet'!$A$218,$FB$205^A36,IF(A36='Données projet'!$A$218,'Données projet'!$B$218,FE35+FD36-FM35)))</f>
        <v>177.80000000000007</v>
      </c>
      <c r="FF36" s="17">
        <f>FE36*VLOOKUP('Données projet'!$B$16,Paramètres!$A$1:$I$89,3,0)*VLOOKUP('Données projet'!$B$16,Paramètres!$A$1:$I$89,5,0)</f>
        <v>160.87344000000007</v>
      </c>
      <c r="FG36" s="13">
        <f t="shared" si="47"/>
        <v>41.039459771757258</v>
      </c>
      <c r="FH36" s="20">
        <f t="shared" si="22"/>
        <v>351.66496710247731</v>
      </c>
      <c r="FI36" s="59">
        <f t="shared" si="23"/>
        <v>644.99830043581062</v>
      </c>
      <c r="FJ36" s="59">
        <f ca="1">AVERAGE(OFFSET($FI$3,0,0,'Données projet'!$E$16+1,1))-AVERAGE(OFFSET($H$3,0,0,'Données projet'!$E$16+1,1))</f>
        <v>179.50097986986123</v>
      </c>
      <c r="FK36" s="59">
        <f t="shared" si="48"/>
        <v>287.11838730637578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>
        <f>EXP(-LN(2)/35)*FQ35+(1-EXP(-LN(2)/35))/(LN(2)/35)*FM36*FN36*VLOOKUP('Données projet'!$B$16,Paramètres!$A$1:$I$89,3,0)*0.475*44/12</f>
        <v>0.58741770888899902</v>
      </c>
      <c r="FR36" s="21">
        <f>EXP(-LN(2)/25)*FR35+(1-EXP(-LN(2)/25))/(LN(2)/25)*Calculateur!FM36*Calculateur!FO36*VLOOKUP('Données projet'!$B$16,Paramètres!$A$1:$I$89,3,0)*0.475*44/12</f>
        <v>5.7913241939514775</v>
      </c>
      <c r="FS36" s="21">
        <f>EXP(-LN(2)/2)*FS35+(1-EXP(-LN(2)/2))/(LN(2)/2)*FM36*FP36*VLOOKUP('Données projet'!$B$16,Paramètres!$A$1:$I$89,3,0)*0.475*44/12</f>
        <v>1.5983427630051474</v>
      </c>
      <c r="FT36" s="22">
        <f t="shared" si="24"/>
        <v>7.9770846658456245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11</v>
      </c>
      <c r="FZ36" s="12">
        <f>IF('Données projet'!$A$244&gt;35,FZ35+FY36-GH35,IF(A36&lt;'Données projet'!$A$244,$FW$205^A36,IF(A36='Données projet'!$A$244,'Données projet'!$B$244,FZ35+FY36-GH35)))</f>
        <v>155.99999999999997</v>
      </c>
      <c r="GA36" s="17">
        <f>FZ36*VLOOKUP('Données projet'!$B$17,Paramètres!$A$1:$I$89,3,0)*VLOOKUP('Données projet'!$B$17,Paramètres!$A$1:$I$89,5,0)</f>
        <v>93.287999999999997</v>
      </c>
      <c r="GB36" s="13">
        <f t="shared" si="49"/>
        <v>25.356547829040977</v>
      </c>
      <c r="GC36" s="20">
        <f t="shared" si="25"/>
        <v>206.63925413557968</v>
      </c>
      <c r="GD36" s="59">
        <f t="shared" si="26"/>
        <v>499.97258746891299</v>
      </c>
      <c r="GE36" s="59">
        <f ca="1">AVERAGE(OFFSET($GD$3,0,0,'Données projet'!$E$17+1,1))-AVERAGE(OFFSET($H$3,0,0,'Données projet'!$E$17+1,1))</f>
        <v>165.39579887388538</v>
      </c>
      <c r="GF36" s="59">
        <f t="shared" si="50"/>
        <v>155.89639262545802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>
        <f>EXP(-LN(2)/35)*GL35+(1-EXP(-LN(2)/35))/(LN(2)/35)*GH36*GI36*VLOOKUP('Données projet'!$B$17,Paramètres!$A$1:$I$89,3,0)*0.475*44/12</f>
        <v>0</v>
      </c>
      <c r="GM36" s="21">
        <f>EXP(-LN(2)/25)*GM35+(1-EXP(-LN(2)/25))/(LN(2)/25)*Calculateur!GH36*Calculateur!GJ36*VLOOKUP('Données projet'!$B$17,Paramètres!$A$1:$I$89,3,0)*0.475*44/12</f>
        <v>6.7074733780528639</v>
      </c>
      <c r="GN36" s="21">
        <f>EXP(-LN(2)/2)*GN35+(1-EXP(-LN(2)/2))/(LN(2)/2)*GH36*GK36*VLOOKUP('Données projet'!$B$17,Paramètres!$A$1:$I$89,3,0)*0.475*44/12</f>
        <v>4.9073336957983251</v>
      </c>
      <c r="GO36" s="21">
        <f t="shared" si="27"/>
        <v>11.614807073851189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17.3</v>
      </c>
      <c r="N37" s="13">
        <f>IF('Données projet'!$A$36&gt;35,N36+M37-V36,IF(A37&lt;'Données projet'!$A$36,$K$205^A37,IF(A37='Données projet'!$A$36,'Données projet'!$B$36,N36+M37-V36)))</f>
        <v>225.20000000000005</v>
      </c>
      <c r="O37" s="13">
        <f>N37*VLOOKUP('Données projet'!$B$9,Paramètres!$A$1:$I$89,3,0)*VLOOKUP('Données projet'!$B$9,Paramètres!$A$1:$I$89,5,0)</f>
        <v>125.88680000000002</v>
      </c>
      <c r="P37" s="13">
        <f t="shared" si="33"/>
        <v>33.044148434351406</v>
      </c>
      <c r="Q37" s="20">
        <f t="shared" si="53"/>
        <v>276.8047351898287</v>
      </c>
      <c r="R37" s="59">
        <f t="shared" si="0"/>
        <v>570.13806852316202</v>
      </c>
      <c r="S37" s="59">
        <f ca="1">AVERAGE(OFFSET($R$3,0,0,'Données projet'!$E$9+1,1))-AVERAGE(OFFSET($H$3,0,0,'Données projet'!$E$9+1,1))</f>
        <v>235.10258076192054</v>
      </c>
      <c r="T37" s="59">
        <f t="shared" si="34"/>
        <v>233.47316052603765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3.1650364200441041</v>
      </c>
      <c r="AA37" s="21">
        <f>EXP(-LN(2)/25)*AA36+(1-EXP(-LN(2)/25))/(LN(2)/25)*Calculateur!V37*Calculateur!X37*VLOOKUP('Données projet'!$B$9,Paramètres!$A$1:$I$89,3,0)*0.475*44/12</f>
        <v>16.499683940343587</v>
      </c>
      <c r="AB37" s="21">
        <f>EXP(-LN(2)/2)*AB36+(1-EXP(-LN(2)/2))/(LN(2)/2)*V37*Y37*VLOOKUP('Données projet'!$B$9,Paramètres!$A$1:$I$89,3,0)*0.475*44/12</f>
        <v>6.0305204306669733</v>
      </c>
      <c r="AC37" s="22">
        <f t="shared" si="3"/>
        <v>25.695240791054665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8.6999999999999993</v>
      </c>
      <c r="AI37" s="13">
        <f>IF('Données projet'!$A$62&gt;35,AI36+AH37-AQ36,IF(A37&lt;'Données projet'!$A$62,$AF$205^A37,IF(A37='Données projet'!$A$62,'Données projet'!$B$62,AI36+AH37-AQ36)))</f>
        <v>147.79999999999993</v>
      </c>
      <c r="AJ37" s="13">
        <f>AI37*VLOOKUP('Données projet'!$B$10,Paramètres!$A$1:$I$89,3,0)*VLOOKUP('Données projet'!$B$10,Paramètres!$A$1:$I$89,5,0)</f>
        <v>129.11807999999996</v>
      </c>
      <c r="AK37" s="13">
        <f t="shared" si="35"/>
        <v>33.792492849789191</v>
      </c>
      <c r="AL37" s="20">
        <f t="shared" si="4"/>
        <v>283.73591438004945</v>
      </c>
      <c r="AM37" s="59">
        <f t="shared" si="5"/>
        <v>577.06924771338277</v>
      </c>
      <c r="AN37" s="59">
        <f ca="1">AVERAGE(OFFSET($AM$3,0,0,'Données projet'!$E$10+1,1))-AVERAGE(OFFSET($H$3,0,0,'Données projet'!$E$10+1,1))</f>
        <v>191.94797389630673</v>
      </c>
      <c r="AO37" s="59">
        <f t="shared" si="36"/>
        <v>273.52540822767878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2.3785728247604174</v>
      </c>
      <c r="AV37" s="21">
        <f>EXP(-LN(2)/25)*AV36+(1-EXP(-LN(2)/25))/(LN(2)/25)*Calculateur!AQ37*Calculateur!AS37*VLOOKUP('Données projet'!$B$10,Paramètres!$A$1:$I$89,3,0)*0.475*44/12</f>
        <v>12.573447388476453</v>
      </c>
      <c r="AW37" s="21">
        <f>EXP(-LN(2)/2)*AW36+(1-EXP(-LN(2)/2))/(LN(2)/2)*AQ37*AT37*VLOOKUP('Données projet'!$B$10,Paramètres!$A$1:$I$89,3,0)*0.475*44/12</f>
        <v>5.8007657299173436</v>
      </c>
      <c r="AX37" s="21">
        <f t="shared" si="6"/>
        <v>20.752785943154215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5.2</v>
      </c>
      <c r="BD37" s="12">
        <f>IF('Données projet'!$A$88&gt;35,BD36+BC37-BL36,IF(A37&lt;'Données projet'!$A$88,$BA$205^A37,IF(A37='Données projet'!$A$88,'Données projet'!$B$88,BD36+BC37-BL36)))</f>
        <v>74.8</v>
      </c>
      <c r="BE37" s="13">
        <f>BD37*VLOOKUP('Données projet'!$B$11,Paramètres!$A$1:$I$89,3,0)*VLOOKUP('Données projet'!$B$11,Paramètres!$A$1:$I$89,5,0)</f>
        <v>67.679039999999986</v>
      </c>
      <c r="BF37" s="13">
        <f t="shared" si="37"/>
        <v>19.095955192788225</v>
      </c>
      <c r="BG37" s="20">
        <f t="shared" si="7"/>
        <v>151.13311662743948</v>
      </c>
      <c r="BH37" s="59">
        <f t="shared" si="8"/>
        <v>444.46644996077282</v>
      </c>
      <c r="BI37" s="59">
        <f ca="1">AVERAGE(OFFSET($BH$3,0,0,'Données projet'!$E$11+1,1))-AVERAGE(OFFSET($H$3,0,0,'Données projet'!$E$11+1,1))</f>
        <v>138.8931001150624</v>
      </c>
      <c r="BJ37" s="59">
        <f t="shared" si="38"/>
        <v>48.964659354096625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5.2</v>
      </c>
      <c r="BY37" s="12">
        <f>IF('Données projet'!$A$114&gt;35,BY36+BX37-CG36,IF(A37&lt;'Données projet'!$A$114,$BV$205^A37,IF(A37='Données projet'!$A$114,'Données projet'!$B$114,BY36+BX37-CG36)))</f>
        <v>74.8</v>
      </c>
      <c r="BZ37" s="13">
        <f>BY37*VLOOKUP('Données projet'!$B$12,Paramètres!$A$1:$I$89,3,0)*VLOOKUP('Données projet'!$B$12,Paramètres!$A$1:$I$89,5,0)</f>
        <v>75.847200000000001</v>
      </c>
      <c r="CA37" s="13">
        <f t="shared" si="39"/>
        <v>21.11867436746244</v>
      </c>
      <c r="CB37" s="20">
        <f t="shared" si="10"/>
        <v>168.8822311899971</v>
      </c>
      <c r="CC37" s="59">
        <f t="shared" si="11"/>
        <v>462.21556452333039</v>
      </c>
      <c r="CD37" s="59">
        <f ca="1">AVERAGE(OFFSET($CC$3,0,0,'Données projet'!$E$12+1,1))-AVERAGE(OFFSET($H$3,0,0,'Données projet'!$E$12+1,1))</f>
        <v>169.2757878405003</v>
      </c>
      <c r="CE37" s="59">
        <f t="shared" si="40"/>
        <v>61.876502626609977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8.1</v>
      </c>
      <c r="CT37" s="12">
        <f>IF('Données projet'!$A$140&gt;35,CT36+CS37-DB36,IF(A37&lt;'Données projet'!$A$140,$CQ$205^A37,IF(A37='Données projet'!$A$140,'Données projet'!$B$140,CT36+CS37-DB36)))</f>
        <v>125.4</v>
      </c>
      <c r="CU37" s="17">
        <f>CT37*VLOOKUP('Données projet'!$B$13,Paramètres!$A$1:$I$89,3,0)*VLOOKUP('Données projet'!$B$13,Paramètres!$A$1:$I$89,5,0)</f>
        <v>99.768240000000006</v>
      </c>
      <c r="CV37" s="13">
        <f t="shared" si="41"/>
        <v>26.906776470360082</v>
      </c>
      <c r="CW37" s="20">
        <f t="shared" si="13"/>
        <v>220.62565368587715</v>
      </c>
      <c r="CX37" s="59">
        <f t="shared" si="14"/>
        <v>513.95898701921044</v>
      </c>
      <c r="CY37" s="59">
        <f ca="1">AVERAGE(OFFSET($CX$3,0,0,'Données projet'!$E$13+1,1))-AVERAGE(OFFSET($H$3,0,0,'Données projet'!$E$13+1,1))</f>
        <v>141.12810728817544</v>
      </c>
      <c r="CZ37" s="59">
        <f t="shared" si="42"/>
        <v>176.01405805137551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>
        <f>EXP(-LN(2)/35)*DF36+(1-EXP(-LN(2)/35))/(LN(2)/35)*DB37*DC37*VLOOKUP('Données projet'!$B$13,Paramètres!$A$1:$I$89,3,0)*0.475*44/12</f>
        <v>0</v>
      </c>
      <c r="DG37" s="21">
        <f>EXP(-LN(2)/25)*DG36+(1-EXP(-LN(2)/25))/(LN(2)/25)*Calculateur!DB37*Calculateur!DD37*VLOOKUP('Données projet'!$B$13,Paramètres!$A$1:$I$89,3,0)*0.475*44/12</f>
        <v>6.0168730156407939</v>
      </c>
      <c r="DH37" s="21">
        <f>EXP(-LN(2)/2)*DH36+(1-EXP(-LN(2)/2))/(LN(2)/2)*DB37*DE37*VLOOKUP('Données projet'!$B$13,Paramètres!$A$1:$I$89,3,0)*0.475*44/12</f>
        <v>2.0012979845702423</v>
      </c>
      <c r="DI37" s="22">
        <f t="shared" si="15"/>
        <v>8.0181710002110371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11</v>
      </c>
      <c r="DO37" s="12">
        <f>IF('Données projet'!$A$166&gt;35,DO36+DN37-DW36,IF(A37&lt;'Données projet'!$A$166,$DL$205^A37,IF(A37='Données projet'!$A$166,'Données projet'!$B$166,DO36+DN37-DW36)))</f>
        <v>166.99999999999997</v>
      </c>
      <c r="DP37" s="17">
        <f>DO37*VLOOKUP('Données projet'!$B$14,Paramètres!$A$1:$I$89,3,0)*VLOOKUP('Données projet'!$B$14,Paramètres!$A$1:$I$89,5,0)</f>
        <v>99.866</v>
      </c>
      <c r="DQ37" s="13">
        <f t="shared" si="43"/>
        <v>26.93007140526165</v>
      </c>
      <c r="DR37" s="20">
        <f t="shared" si="16"/>
        <v>220.83649103083067</v>
      </c>
      <c r="DS37" s="59">
        <f t="shared" si="17"/>
        <v>514.16982436416401</v>
      </c>
      <c r="DT37" s="59">
        <f ca="1">AVERAGE(OFFSET($DS$3,0,0,'Données projet'!$E$14+1,1))-AVERAGE(OFFSET($H$3,0,0,'Données projet'!$E$14+1,1))</f>
        <v>165.39579887388538</v>
      </c>
      <c r="DU37" s="59">
        <f t="shared" si="44"/>
        <v>155.89639262545802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>
        <f>EXP(-LN(2)/35)*EA36+(1-EXP(-LN(2)/35))/(LN(2)/35)*DW37*DX37*VLOOKUP('Données projet'!$B$14,Paramètres!$A$1:$I$89,3,0)*0.475*44/12</f>
        <v>0</v>
      </c>
      <c r="EB37" s="21">
        <f>EXP(-LN(2)/25)*EB36+(1-EXP(-LN(2)/25))/(LN(2)/25)*Calculateur!DW37*Calculateur!DY37*VLOOKUP('Données projet'!$B$14,Paramètres!$A$1:$I$89,3,0)*0.475*44/12</f>
        <v>6.5240571657993138</v>
      </c>
      <c r="EC37" s="21">
        <f>EXP(-LN(2)/2)*EC36+(1-EXP(-LN(2)/2))/(LN(2)/2)*DW37*DZ37*VLOOKUP('Données projet'!$B$14,Paramètres!$A$1:$I$89,3,0)*0.475*44/12</f>
        <v>3.4700089338442379</v>
      </c>
      <c r="ED37" s="22">
        <f t="shared" si="18"/>
        <v>9.9940660996435522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5.2</v>
      </c>
      <c r="EJ37" s="12">
        <f>IF('Données projet'!$A$192&gt;35,EJ36+EI37-ER36,IF(A37&lt;'Données projet'!$A$192,$EG$205^A37,IF(A37='Données projet'!$A$192,'Données projet'!$B$192,EJ36+EI37-ER36)))</f>
        <v>74.8</v>
      </c>
      <c r="EK37" s="17">
        <f>EJ37*VLOOKUP('Données projet'!$B$15,Paramètres!$A$1:$I$89,3,0)*VLOOKUP('Données projet'!$B$15,Paramètres!$A$1:$I$89,5,0)</f>
        <v>58.344000000000001</v>
      </c>
      <c r="EL37" s="13">
        <f t="shared" si="45"/>
        <v>16.748900697084999</v>
      </c>
      <c r="EM37" s="20">
        <f t="shared" si="19"/>
        <v>130.78680204742304</v>
      </c>
      <c r="EN37" s="59">
        <f t="shared" si="20"/>
        <v>424.12013538075632</v>
      </c>
      <c r="EO37" s="59">
        <f ca="1">AVERAGE(OFFSET($EN$3,0,0,'Données projet'!$E$15+1,1))-AVERAGE(OFFSET($H$3,0,0,'Données projet'!$E$15+1,1))</f>
        <v>104.07220236158577</v>
      </c>
      <c r="EP37" s="59">
        <f t="shared" si="46"/>
        <v>34.162068257911756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>
        <f>EXP(-LN(2)/35)*EV36+(1-EXP(-LN(2)/35))/(LN(2)/35)*ER37*ES37*VLOOKUP('Données projet'!$B$15,Paramètres!$A$1:$I$89,3,0)*0.475*44/12</f>
        <v>0</v>
      </c>
      <c r="EW37" s="21">
        <f>EXP(-LN(2)/25)*EW36+(1-EXP(-LN(2)/25))/(LN(2)/25)*Calculateur!ER37*Calculateur!ET37*VLOOKUP('Données projet'!$B$15,Paramètres!$A$1:$I$89,3,0)*0.475*44/12</f>
        <v>0</v>
      </c>
      <c r="EX37" s="21">
        <f>EXP(-LN(2)/2)*EX36+(1-EXP(-LN(2)/2))/(LN(2)/2)*ER37*EU37*VLOOKUP('Données projet'!$B$15,Paramètres!$A$1:$I$89,3,0)*0.475*44/12</f>
        <v>0</v>
      </c>
      <c r="EY37" s="22">
        <f t="shared" si="21"/>
        <v>0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3.6</v>
      </c>
      <c r="FE37" s="12">
        <f>IF('Données projet'!$A$218&gt;35,FE36+FD37-FM36,IF(A37&lt;'Données projet'!$A$218,$FB$205^A37,IF(A37='Données projet'!$A$218,'Données projet'!$B$218,FE36+FD37-FM36)))</f>
        <v>181.40000000000006</v>
      </c>
      <c r="FF37" s="17">
        <f>FE37*VLOOKUP('Données projet'!$B$16,Paramètres!$A$1:$I$89,3,0)*VLOOKUP('Données projet'!$B$16,Paramètres!$A$1:$I$89,5,0)</f>
        <v>164.13072000000005</v>
      </c>
      <c r="FG37" s="13">
        <f t="shared" si="47"/>
        <v>41.772824183225389</v>
      </c>
      <c r="FH37" s="20">
        <f t="shared" si="22"/>
        <v>358.615339452451</v>
      </c>
      <c r="FI37" s="59">
        <f t="shared" si="23"/>
        <v>651.94867278578431</v>
      </c>
      <c r="FJ37" s="59">
        <f ca="1">AVERAGE(OFFSET($FI$3,0,0,'Données projet'!$E$16+1,1))-AVERAGE(OFFSET($H$3,0,0,'Données projet'!$E$16+1,1))</f>
        <v>179.50097986986123</v>
      </c>
      <c r="FK37" s="59">
        <f t="shared" si="48"/>
        <v>287.11838730637578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>
        <f>EXP(-LN(2)/35)*FQ36+(1-EXP(-LN(2)/35))/(LN(2)/35)*FM37*FN37*VLOOKUP('Données projet'!$B$16,Paramètres!$A$1:$I$89,3,0)*0.475*44/12</f>
        <v>0.57589880590711007</v>
      </c>
      <c r="FR37" s="21">
        <f>EXP(-LN(2)/25)*FR36+(1-EXP(-LN(2)/25))/(LN(2)/25)*Calculateur!FM37*Calculateur!FO37*VLOOKUP('Données projet'!$B$16,Paramètres!$A$1:$I$89,3,0)*0.475*44/12</f>
        <v>5.6329601293153715</v>
      </c>
      <c r="FS37" s="21">
        <f>EXP(-LN(2)/2)*FS36+(1-EXP(-LN(2)/2))/(LN(2)/2)*FM37*FP37*VLOOKUP('Données projet'!$B$16,Paramètres!$A$1:$I$89,3,0)*0.475*44/12</f>
        <v>1.1301990063813827</v>
      </c>
      <c r="FT37" s="22">
        <f t="shared" si="24"/>
        <v>7.3390579416038646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11</v>
      </c>
      <c r="FZ37" s="12">
        <f>IF('Données projet'!$A$244&gt;35,FZ36+FY37-GH36,IF(A37&lt;'Données projet'!$A$244,$FW$205^A37,IF(A37='Données projet'!$A$244,'Données projet'!$B$244,FZ36+FY37-GH36)))</f>
        <v>166.99999999999997</v>
      </c>
      <c r="GA37" s="17">
        <f>FZ37*VLOOKUP('Données projet'!$B$17,Paramètres!$A$1:$I$89,3,0)*VLOOKUP('Données projet'!$B$17,Paramètres!$A$1:$I$89,5,0)</f>
        <v>99.866</v>
      </c>
      <c r="GB37" s="13">
        <f t="shared" si="49"/>
        <v>26.93007140526165</v>
      </c>
      <c r="GC37" s="20">
        <f t="shared" si="25"/>
        <v>220.83649103083067</v>
      </c>
      <c r="GD37" s="59">
        <f t="shared" si="26"/>
        <v>514.16982436416401</v>
      </c>
      <c r="GE37" s="59">
        <f ca="1">AVERAGE(OFFSET($GD$3,0,0,'Données projet'!$E$17+1,1))-AVERAGE(OFFSET($H$3,0,0,'Données projet'!$E$17+1,1))</f>
        <v>165.39579887388538</v>
      </c>
      <c r="GF37" s="59">
        <f t="shared" si="50"/>
        <v>155.89639262545802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>
        <f>EXP(-LN(2)/35)*GL36+(1-EXP(-LN(2)/35))/(LN(2)/35)*GH37*GI37*VLOOKUP('Données projet'!$B$17,Paramètres!$A$1:$I$89,3,0)*0.475*44/12</f>
        <v>0</v>
      </c>
      <c r="GM37" s="21">
        <f>EXP(-LN(2)/25)*GM36+(1-EXP(-LN(2)/25))/(LN(2)/25)*Calculateur!GH37*Calculateur!GJ37*VLOOKUP('Données projet'!$B$17,Paramètres!$A$1:$I$89,3,0)*0.475*44/12</f>
        <v>6.5240571657993138</v>
      </c>
      <c r="GN37" s="21">
        <f>EXP(-LN(2)/2)*GN36+(1-EXP(-LN(2)/2))/(LN(2)/2)*GH37*GK37*VLOOKUP('Données projet'!$B$17,Paramètres!$A$1:$I$89,3,0)*0.475*44/12</f>
        <v>3.4700089338442379</v>
      </c>
      <c r="GO37" s="21">
        <f t="shared" si="27"/>
        <v>9.9940660996435522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17.3</v>
      </c>
      <c r="N38" s="13">
        <f>IF('Données projet'!$A$36&gt;35,N37+M38-V37,IF(A38&lt;'Données projet'!$A$36,$K$205^A38,IF(A38='Données projet'!$A$36,'Données projet'!$B$36,N37+M38-V37)))</f>
        <v>242.50000000000006</v>
      </c>
      <c r="O38" s="13">
        <f>N38*VLOOKUP('Données projet'!$B$9,Paramètres!$A$1:$I$89,3,0)*VLOOKUP('Données projet'!$B$9,Paramètres!$A$1:$I$89,5,0)</f>
        <v>135.55750000000003</v>
      </c>
      <c r="P38" s="13">
        <f t="shared" si="33"/>
        <v>35.277389028132369</v>
      </c>
      <c r="Q38" s="20">
        <f t="shared" si="53"/>
        <v>297.53743172399726</v>
      </c>
      <c r="R38" s="59">
        <f t="shared" si="0"/>
        <v>590.87076505733057</v>
      </c>
      <c r="S38" s="59">
        <f ca="1">AVERAGE(OFFSET($R$3,0,0,'Données projet'!$E$9+1,1))-AVERAGE(OFFSET($H$3,0,0,'Données projet'!$E$9+1,1))</f>
        <v>235.10258076192054</v>
      </c>
      <c r="T38" s="59">
        <f t="shared" si="34"/>
        <v>233.47316052603765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3.1029719863286362</v>
      </c>
      <c r="AA38" s="21">
        <f>EXP(-LN(2)/25)*AA37+(1-EXP(-LN(2)/25))/(LN(2)/25)*Calculateur!V38*Calculateur!X38*VLOOKUP('Données projet'!$B$9,Paramètres!$A$1:$I$89,3,0)*0.475*44/12</f>
        <v>16.048499215314223</v>
      </c>
      <c r="AB38" s="21">
        <f>EXP(-LN(2)/2)*AB37+(1-EXP(-LN(2)/2))/(LN(2)/2)*V38*Y38*VLOOKUP('Données projet'!$B$9,Paramètres!$A$1:$I$89,3,0)*0.475*44/12</f>
        <v>4.2642218906086358</v>
      </c>
      <c r="AC38" s="22">
        <f t="shared" si="3"/>
        <v>23.415693092251495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8.6999999999999993</v>
      </c>
      <c r="AI38" s="13">
        <f>IF('Données projet'!$A$62&gt;35,AI37+AH38-AQ37,IF(A38&lt;'Données projet'!$A$62,$AF$205^A38,IF(A38='Données projet'!$A$62,'Données projet'!$B$62,AI37+AH38-AQ37)))</f>
        <v>156.49999999999991</v>
      </c>
      <c r="AJ38" s="13">
        <f>AI38*VLOOKUP('Données projet'!$B$10,Paramètres!$A$1:$I$89,3,0)*VLOOKUP('Données projet'!$B$10,Paramètres!$A$1:$I$89,5,0)</f>
        <v>136.71839999999995</v>
      </c>
      <c r="AK38" s="13">
        <f t="shared" si="35"/>
        <v>35.544202389747838</v>
      </c>
      <c r="AL38" s="20">
        <f t="shared" si="4"/>
        <v>300.02403249547734</v>
      </c>
      <c r="AM38" s="59">
        <f t="shared" si="5"/>
        <v>593.35736582881066</v>
      </c>
      <c r="AN38" s="59">
        <f ca="1">AVERAGE(OFFSET($AM$3,0,0,'Données projet'!$E$10+1,1))-AVERAGE(OFFSET($H$3,0,0,'Données projet'!$E$10+1,1))</f>
        <v>191.94797389630673</v>
      </c>
      <c r="AO38" s="59">
        <f t="shared" si="36"/>
        <v>273.52540822767878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2.3319304624530357</v>
      </c>
      <c r="AV38" s="21">
        <f>EXP(-LN(2)/25)*AV37+(1-EXP(-LN(2)/25))/(LN(2)/25)*Calculateur!AQ38*Calculateur!AS38*VLOOKUP('Données projet'!$B$10,Paramètres!$A$1:$I$89,3,0)*0.475*44/12</f>
        <v>12.229625808429702</v>
      </c>
      <c r="AW38" s="21">
        <f>EXP(-LN(2)/2)*AW37+(1-EXP(-LN(2)/2))/(LN(2)/2)*AQ38*AT38*VLOOKUP('Données projet'!$B$10,Paramètres!$A$1:$I$89,3,0)*0.475*44/12</f>
        <v>4.1017607836990866</v>
      </c>
      <c r="AX38" s="21">
        <f t="shared" si="6"/>
        <v>18.663317054581825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5.2</v>
      </c>
      <c r="BD38" s="12">
        <f>IF('Données projet'!$A$88&gt;35,BD37+BC38-BL37,IF(A38&lt;'Données projet'!$A$88,$BA$205^A38,IF(A38='Données projet'!$A$88,'Données projet'!$B$88,BD37+BC38-BL37)))</f>
        <v>80</v>
      </c>
      <c r="BE38" s="13">
        <f>BD38*VLOOKUP('Données projet'!$B$11,Paramètres!$A$1:$I$89,3,0)*VLOOKUP('Données projet'!$B$11,Paramètres!$A$1:$I$89,5,0)</f>
        <v>72.384</v>
      </c>
      <c r="BF38" s="13">
        <f t="shared" si="37"/>
        <v>20.264329923804397</v>
      </c>
      <c r="BG38" s="20">
        <f t="shared" si="7"/>
        <v>161.362507950626</v>
      </c>
      <c r="BH38" s="59">
        <f t="shared" si="8"/>
        <v>454.69584128395934</v>
      </c>
      <c r="BI38" s="59">
        <f ca="1">AVERAGE(OFFSET($BH$3,0,0,'Données projet'!$E$11+1,1))-AVERAGE(OFFSET($H$3,0,0,'Données projet'!$E$11+1,1))</f>
        <v>138.8931001150624</v>
      </c>
      <c r="BJ38" s="59">
        <f t="shared" si="38"/>
        <v>48.964659354096625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5.2</v>
      </c>
      <c r="BY38" s="12">
        <f>IF('Données projet'!$A$114&gt;35,BY37+BX38-CG37,IF(A38&lt;'Données projet'!$A$114,$BV$205^A38,IF(A38='Données projet'!$A$114,'Données projet'!$B$114,BY37+BX38-CG37)))</f>
        <v>80</v>
      </c>
      <c r="BZ38" s="13">
        <f>BY38*VLOOKUP('Données projet'!$B$12,Paramètres!$A$1:$I$89,3,0)*VLOOKUP('Données projet'!$B$12,Paramètres!$A$1:$I$89,5,0)</f>
        <v>81.12</v>
      </c>
      <c r="CA38" s="13">
        <f t="shared" si="39"/>
        <v>22.410807975569174</v>
      </c>
      <c r="CB38" s="20">
        <f t="shared" si="10"/>
        <v>180.31615722411632</v>
      </c>
      <c r="CC38" s="59">
        <f t="shared" si="11"/>
        <v>473.64949055744967</v>
      </c>
      <c r="CD38" s="59">
        <f ca="1">AVERAGE(OFFSET($CC$3,0,0,'Données projet'!$E$12+1,1))-AVERAGE(OFFSET($H$3,0,0,'Données projet'!$E$12+1,1))</f>
        <v>169.2757878405003</v>
      </c>
      <c r="CE38" s="59">
        <f t="shared" si="40"/>
        <v>61.876502626609977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8.1</v>
      </c>
      <c r="CT38" s="12">
        <f>IF('Données projet'!$A$140&gt;35,CT37+CS38-DB37,IF(A38&lt;'Données projet'!$A$140,$CQ$205^A38,IF(A38='Données projet'!$A$140,'Données projet'!$B$140,CT37+CS38-DB37)))</f>
        <v>133.5</v>
      </c>
      <c r="CU38" s="17">
        <f>CT38*VLOOKUP('Données projet'!$B$13,Paramètres!$A$1:$I$89,3,0)*VLOOKUP('Données projet'!$B$13,Paramètres!$A$1:$I$89,5,0)</f>
        <v>106.21260000000001</v>
      </c>
      <c r="CV38" s="13">
        <f t="shared" si="41"/>
        <v>28.436832110820074</v>
      </c>
      <c r="CW38" s="20">
        <f t="shared" si="13"/>
        <v>234.51442759301162</v>
      </c>
      <c r="CX38" s="59">
        <f t="shared" si="14"/>
        <v>527.8477609263449</v>
      </c>
      <c r="CY38" s="59">
        <f ca="1">AVERAGE(OFFSET($CX$3,0,0,'Données projet'!$E$13+1,1))-AVERAGE(OFFSET($H$3,0,0,'Données projet'!$E$13+1,1))</f>
        <v>141.12810728817544</v>
      </c>
      <c r="CZ38" s="59">
        <f t="shared" si="42"/>
        <v>176.01405805137551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>
        <f>EXP(-LN(2)/35)*DF37+(1-EXP(-LN(2)/35))/(LN(2)/35)*DB38*DC38*VLOOKUP('Données projet'!$B$13,Paramètres!$A$1:$I$89,3,0)*0.475*44/12</f>
        <v>0</v>
      </c>
      <c r="DG38" s="21">
        <f>EXP(-LN(2)/25)*DG37+(1-EXP(-LN(2)/25))/(LN(2)/25)*Calculateur!DB38*Calculateur!DD38*VLOOKUP('Données projet'!$B$13,Paramètres!$A$1:$I$89,3,0)*0.475*44/12</f>
        <v>5.8523413066144965</v>
      </c>
      <c r="DH38" s="21">
        <f>EXP(-LN(2)/2)*DH37+(1-EXP(-LN(2)/2))/(LN(2)/2)*DB38*DE38*VLOOKUP('Données projet'!$B$13,Paramètres!$A$1:$I$89,3,0)*0.475*44/12</f>
        <v>1.4151313760645889</v>
      </c>
      <c r="DI38" s="22">
        <f t="shared" si="15"/>
        <v>7.2674726826790854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11</v>
      </c>
      <c r="DO38" s="12">
        <f>IF('Données projet'!$A$166&gt;35,DO37+DN38-DW37,IF(A38&lt;'Données projet'!$A$166,$DL$205^A38,IF(A38='Données projet'!$A$166,'Données projet'!$B$166,DO37+DN38-DW37)))</f>
        <v>177.99999999999997</v>
      </c>
      <c r="DP38" s="17">
        <f>DO38*VLOOKUP('Données projet'!$B$14,Paramètres!$A$1:$I$89,3,0)*VLOOKUP('Données projet'!$B$14,Paramètres!$A$1:$I$89,5,0)</f>
        <v>106.444</v>
      </c>
      <c r="DQ38" s="13">
        <f t="shared" si="43"/>
        <v>28.491567625901922</v>
      </c>
      <c r="DR38" s="20">
        <f t="shared" si="16"/>
        <v>235.01278028177913</v>
      </c>
      <c r="DS38" s="59">
        <f t="shared" si="17"/>
        <v>528.34611361511247</v>
      </c>
      <c r="DT38" s="59">
        <f ca="1">AVERAGE(OFFSET($DS$3,0,0,'Données projet'!$E$14+1,1))-AVERAGE(OFFSET($H$3,0,0,'Données projet'!$E$14+1,1))</f>
        <v>165.39579887388538</v>
      </c>
      <c r="DU38" s="59">
        <f t="shared" si="44"/>
        <v>155.89639262545802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>
        <f>EXP(-LN(2)/35)*EA37+(1-EXP(-LN(2)/35))/(LN(2)/35)*DW38*DX38*VLOOKUP('Données projet'!$B$14,Paramètres!$A$1:$I$89,3,0)*0.475*44/12</f>
        <v>0</v>
      </c>
      <c r="EB38" s="21">
        <f>EXP(-LN(2)/25)*EB37+(1-EXP(-LN(2)/25))/(LN(2)/25)*Calculateur!DW38*Calculateur!DY38*VLOOKUP('Données projet'!$B$14,Paramètres!$A$1:$I$89,3,0)*0.475*44/12</f>
        <v>6.3456564795152763</v>
      </c>
      <c r="EC38" s="21">
        <f>EXP(-LN(2)/2)*EC37+(1-EXP(-LN(2)/2))/(LN(2)/2)*DW38*DZ38*VLOOKUP('Données projet'!$B$14,Paramètres!$A$1:$I$89,3,0)*0.475*44/12</f>
        <v>2.4536668478991626</v>
      </c>
      <c r="ED38" s="22">
        <f t="shared" si="18"/>
        <v>8.799323327414438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5.2</v>
      </c>
      <c r="EJ38" s="12">
        <f>IF('Données projet'!$A$192&gt;35,EJ37+EI38-ER37,IF(A38&lt;'Données projet'!$A$192,$EG$205^A38,IF(A38='Données projet'!$A$192,'Données projet'!$B$192,EJ37+EI38-ER37)))</f>
        <v>80</v>
      </c>
      <c r="EK38" s="17">
        <f>EJ38*VLOOKUP('Données projet'!$B$15,Paramètres!$A$1:$I$89,3,0)*VLOOKUP('Données projet'!$B$15,Paramètres!$A$1:$I$89,5,0)</f>
        <v>62.400000000000006</v>
      </c>
      <c r="EL38" s="13">
        <f t="shared" si="45"/>
        <v>17.773672286105256</v>
      </c>
      <c r="EM38" s="20">
        <f t="shared" si="19"/>
        <v>139.63581256496664</v>
      </c>
      <c r="EN38" s="59">
        <f t="shared" si="20"/>
        <v>432.96914589829998</v>
      </c>
      <c r="EO38" s="59">
        <f ca="1">AVERAGE(OFFSET($EN$3,0,0,'Données projet'!$E$15+1,1))-AVERAGE(OFFSET($H$3,0,0,'Données projet'!$E$15+1,1))</f>
        <v>104.07220236158577</v>
      </c>
      <c r="EP38" s="59">
        <f t="shared" si="46"/>
        <v>34.162068257911756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>
        <f>EXP(-LN(2)/35)*EV37+(1-EXP(-LN(2)/35))/(LN(2)/35)*ER38*ES38*VLOOKUP('Données projet'!$B$15,Paramètres!$A$1:$I$89,3,0)*0.475*44/12</f>
        <v>0</v>
      </c>
      <c r="EW38" s="21">
        <f>EXP(-LN(2)/25)*EW37+(1-EXP(-LN(2)/25))/(LN(2)/25)*Calculateur!ER38*Calculateur!ET38*VLOOKUP('Données projet'!$B$15,Paramètres!$A$1:$I$89,3,0)*0.475*44/12</f>
        <v>0</v>
      </c>
      <c r="EX38" s="21">
        <f>EXP(-LN(2)/2)*EX37+(1-EXP(-LN(2)/2))/(LN(2)/2)*ER38*EU38*VLOOKUP('Données projet'!$B$15,Paramètres!$A$1:$I$89,3,0)*0.475*44/12</f>
        <v>0</v>
      </c>
      <c r="EY38" s="22">
        <f t="shared" si="21"/>
        <v>0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>
        <f>VLOOKUP(A38,'Données projet'!$A$217:$I$237,2,0)</f>
        <v>185</v>
      </c>
      <c r="FC38" s="12">
        <f>VLOOKUP(A38,'Données projet'!$A$217:$I$237,9,0)</f>
        <v>3.6</v>
      </c>
      <c r="FD38" s="12">
        <f t="array" ref="FD38">INDEX(FC:FC,MIN(IF(ISNUMBER(FC38:FC234),ROW(FC38:FC234),"")))</f>
        <v>3.6</v>
      </c>
      <c r="FE38" s="12">
        <f>IF('Données projet'!$A$218&gt;35,FE37+FD38-FM37,IF(A38&lt;'Données projet'!$A$218,$FB$205^A38,IF(A38='Données projet'!$A$218,'Données projet'!$B$218,FE37+FD38-FM37)))</f>
        <v>185.00000000000006</v>
      </c>
      <c r="FF38" s="17">
        <f>FE38*VLOOKUP('Données projet'!$B$16,Paramètres!$A$1:$I$89,3,0)*VLOOKUP('Données projet'!$B$16,Paramètres!$A$1:$I$89,5,0)</f>
        <v>167.38800000000003</v>
      </c>
      <c r="FG38" s="13">
        <f t="shared" si="47"/>
        <v>42.5044963364263</v>
      </c>
      <c r="FH38" s="20">
        <f t="shared" si="22"/>
        <v>365.5627644526092</v>
      </c>
      <c r="FI38" s="59">
        <f t="shared" si="23"/>
        <v>658.89609778594252</v>
      </c>
      <c r="FJ38" s="59">
        <f ca="1">AVERAGE(OFFSET($FI$3,0,0,'Données projet'!$E$16+1,1))-AVERAGE(OFFSET($H$3,0,0,'Données projet'!$E$16+1,1))</f>
        <v>179.50097986986123</v>
      </c>
      <c r="FK38" s="59">
        <f t="shared" si="48"/>
        <v>287.11838730637578</v>
      </c>
      <c r="FL38" s="15">
        <f>IF(ISNA(VLOOKUP(A38,'Données projet'!$A$217:$I$237,3,0)),0,VLOOKUP(A38,'Données projet'!$A$217:$I$237,3,0))</f>
        <v>7</v>
      </c>
      <c r="FM38" s="15">
        <f>IF(ISNA(VLOOKUP(A38,'Données projet'!$A$217:$I$237,4,0)),0,VLOOKUP(A38,'Données projet'!$A$217:$I$237,4,0))</f>
        <v>185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>
        <f>EXP(-LN(2)/35)*FQ37+(1-EXP(-LN(2)/35))/(LN(2)/35)*FM38*FN38*VLOOKUP('Données projet'!$B$16,Paramètres!$A$1:$I$89,3,0)*0.475*44/12</f>
        <v>0.56460578158685881</v>
      </c>
      <c r="FR38" s="21">
        <f>EXP(-LN(2)/25)*FR37+(1-EXP(-LN(2)/25))/(LN(2)/25)*Calculateur!FM38*Calculateur!FO38*VLOOKUP('Données projet'!$B$16,Paramètres!$A$1:$I$89,3,0)*0.475*44/12</f>
        <v>5.4789265383547434</v>
      </c>
      <c r="FS38" s="21">
        <f>EXP(-LN(2)/2)*FS37+(1-EXP(-LN(2)/2))/(LN(2)/2)*FM38*FP38*VLOOKUP('Données projet'!$B$16,Paramètres!$A$1:$I$89,3,0)*0.475*44/12</f>
        <v>0.79917138150257383</v>
      </c>
      <c r="FT38" s="22">
        <f t="shared" si="24"/>
        <v>6.8427037014441758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11</v>
      </c>
      <c r="FZ38" s="12">
        <f>IF('Données projet'!$A$244&gt;35,FZ37+FY38-GH37,IF(A38&lt;'Données projet'!$A$244,$FW$205^A38,IF(A38='Données projet'!$A$244,'Données projet'!$B$244,FZ37+FY38-GH37)))</f>
        <v>177.99999999999997</v>
      </c>
      <c r="GA38" s="17">
        <f>FZ38*VLOOKUP('Données projet'!$B$17,Paramètres!$A$1:$I$89,3,0)*VLOOKUP('Données projet'!$B$17,Paramètres!$A$1:$I$89,5,0)</f>
        <v>106.444</v>
      </c>
      <c r="GB38" s="13">
        <f t="shared" si="49"/>
        <v>28.491567625901922</v>
      </c>
      <c r="GC38" s="20">
        <f t="shared" si="25"/>
        <v>235.01278028177913</v>
      </c>
      <c r="GD38" s="59">
        <f t="shared" si="26"/>
        <v>528.34611361511247</v>
      </c>
      <c r="GE38" s="59">
        <f ca="1">AVERAGE(OFFSET($GD$3,0,0,'Données projet'!$E$17+1,1))-AVERAGE(OFFSET($H$3,0,0,'Données projet'!$E$17+1,1))</f>
        <v>165.39579887388538</v>
      </c>
      <c r="GF38" s="59">
        <f t="shared" si="50"/>
        <v>155.89639262545802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>
        <f>EXP(-LN(2)/35)*GL37+(1-EXP(-LN(2)/35))/(LN(2)/35)*GH38*GI38*VLOOKUP('Données projet'!$B$17,Paramètres!$A$1:$I$89,3,0)*0.475*44/12</f>
        <v>0</v>
      </c>
      <c r="GM38" s="21">
        <f>EXP(-LN(2)/25)*GM37+(1-EXP(-LN(2)/25))/(LN(2)/25)*Calculateur!GH38*Calculateur!GJ38*VLOOKUP('Données projet'!$B$17,Paramètres!$A$1:$I$89,3,0)*0.475*44/12</f>
        <v>6.3456564795152763</v>
      </c>
      <c r="GN38" s="21">
        <f>EXP(-LN(2)/2)*GN37+(1-EXP(-LN(2)/2))/(LN(2)/2)*GH38*GK38*VLOOKUP('Données projet'!$B$17,Paramètres!$A$1:$I$89,3,0)*0.475*44/12</f>
        <v>2.4536668478991626</v>
      </c>
      <c r="GO38" s="21">
        <f t="shared" si="27"/>
        <v>8.799323327414438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17.3</v>
      </c>
      <c r="N39" s="13">
        <f>IF('Données projet'!$A$36&gt;35,N38+M39-V38,IF(A39&lt;'Données projet'!$A$36,$K$205^A39,IF(A39='Données projet'!$A$36,'Données projet'!$B$36,N38+M39-V38)))</f>
        <v>259.80000000000007</v>
      </c>
      <c r="O39" s="13">
        <f>N39*VLOOKUP('Données projet'!$B$9,Paramètres!$A$1:$I$89,3,0)*VLOOKUP('Données projet'!$B$9,Paramètres!$A$1:$I$89,5,0)</f>
        <v>145.22820000000004</v>
      </c>
      <c r="P39" s="13">
        <f t="shared" si="33"/>
        <v>37.492145033971944</v>
      </c>
      <c r="Q39" s="20">
        <f t="shared" si="53"/>
        <v>318.2379342675012</v>
      </c>
      <c r="R39" s="59">
        <f t="shared" si="0"/>
        <v>611.57126760083452</v>
      </c>
      <c r="S39" s="59">
        <f ca="1">AVERAGE(OFFSET($R$3,0,0,'Données projet'!$E$9+1,1))-AVERAGE(OFFSET($H$3,0,0,'Données projet'!$E$9+1,1))</f>
        <v>235.10258076192054</v>
      </c>
      <c r="T39" s="59">
        <f t="shared" si="34"/>
        <v>233.47316052603765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3.0421245983027618</v>
      </c>
      <c r="AA39" s="21">
        <f>EXP(-LN(2)/25)*AA38+(1-EXP(-LN(2)/25))/(LN(2)/25)*Calculateur!V39*Calculateur!X39*VLOOKUP('Données projet'!$B$9,Paramètres!$A$1:$I$89,3,0)*0.475*44/12</f>
        <v>15.609652160317561</v>
      </c>
      <c r="AB39" s="21">
        <f>EXP(-LN(2)/2)*AB38+(1-EXP(-LN(2)/2))/(LN(2)/2)*V39*Y39*VLOOKUP('Données projet'!$B$9,Paramètres!$A$1:$I$89,3,0)*0.475*44/12</f>
        <v>3.0152602153334866</v>
      </c>
      <c r="AC39" s="22">
        <f t="shared" si="3"/>
        <v>21.66703697395381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8.6999999999999993</v>
      </c>
      <c r="AI39" s="13">
        <f>IF('Données projet'!$A$62&gt;35,AI38+AH39-AQ38,IF(A39&lt;'Données projet'!$A$62,$AF$205^A39,IF(A39='Données projet'!$A$62,'Données projet'!$B$62,AI38+AH39-AQ38)))</f>
        <v>165.1999999999999</v>
      </c>
      <c r="AJ39" s="13">
        <f>AI39*VLOOKUP('Données projet'!$B$10,Paramètres!$A$1:$I$89,3,0)*VLOOKUP('Données projet'!$B$10,Paramètres!$A$1:$I$89,5,0)</f>
        <v>144.31871999999993</v>
      </c>
      <c r="AK39" s="13">
        <f t="shared" si="35"/>
        <v>37.284607417926146</v>
      </c>
      <c r="AL39" s="20">
        <f t="shared" si="4"/>
        <v>316.29246191955457</v>
      </c>
      <c r="AM39" s="59">
        <f t="shared" si="5"/>
        <v>609.62579525288788</v>
      </c>
      <c r="AN39" s="59">
        <f ca="1">AVERAGE(OFFSET($AM$3,0,0,'Données projet'!$E$10+1,1))-AVERAGE(OFFSET($H$3,0,0,'Données projet'!$E$10+1,1))</f>
        <v>191.94797389630673</v>
      </c>
      <c r="AO39" s="59">
        <f t="shared" si="36"/>
        <v>273.52540822767878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2.2862027284214697</v>
      </c>
      <c r="AV39" s="21">
        <f>EXP(-LN(2)/25)*AV38+(1-EXP(-LN(2)/25))/(LN(2)/25)*Calculateur!AQ39*Calculateur!AS39*VLOOKUP('Données projet'!$B$10,Paramètres!$A$1:$I$89,3,0)*0.475*44/12</f>
        <v>11.895206047570122</v>
      </c>
      <c r="AW39" s="21">
        <f>EXP(-LN(2)/2)*AW38+(1-EXP(-LN(2)/2))/(LN(2)/2)*AQ39*AT39*VLOOKUP('Données projet'!$B$10,Paramètres!$A$1:$I$89,3,0)*0.475*44/12</f>
        <v>2.9003828649586718</v>
      </c>
      <c r="AX39" s="21">
        <f t="shared" si="6"/>
        <v>17.081791640950264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5.2</v>
      </c>
      <c r="BD39" s="12">
        <f>IF('Données projet'!$A$88&gt;35,BD38+BC39-BL38,IF(A39&lt;'Données projet'!$A$88,$BA$205^A39,IF(A39='Données projet'!$A$88,'Données projet'!$B$88,BD38+BC39-BL38)))</f>
        <v>85.2</v>
      </c>
      <c r="BE39" s="13">
        <f>BD39*VLOOKUP('Données projet'!$B$11,Paramètres!$A$1:$I$89,3,0)*VLOOKUP('Données projet'!$B$11,Paramètres!$A$1:$I$89,5,0)</f>
        <v>77.08896</v>
      </c>
      <c r="BF39" s="13">
        <f t="shared" si="37"/>
        <v>21.423891539868706</v>
      </c>
      <c r="BG39" s="20">
        <f t="shared" si="7"/>
        <v>171.57654976527132</v>
      </c>
      <c r="BH39" s="59">
        <f t="shared" si="8"/>
        <v>464.90988309860461</v>
      </c>
      <c r="BI39" s="59">
        <f ca="1">AVERAGE(OFFSET($BH$3,0,0,'Données projet'!$E$11+1,1))-AVERAGE(OFFSET($H$3,0,0,'Données projet'!$E$11+1,1))</f>
        <v>138.8931001150624</v>
      </c>
      <c r="BJ39" s="59">
        <f t="shared" si="38"/>
        <v>48.964659354096625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5.2</v>
      </c>
      <c r="BY39" s="12">
        <f>IF('Données projet'!$A$114&gt;35,BY38+BX39-CG38,IF(A39&lt;'Données projet'!$A$114,$BV$205^A39,IF(A39='Données projet'!$A$114,'Données projet'!$B$114,BY38+BX39-CG38)))</f>
        <v>85.2</v>
      </c>
      <c r="BZ39" s="13">
        <f>BY39*VLOOKUP('Données projet'!$B$12,Paramètres!$A$1:$I$89,3,0)*VLOOKUP('Données projet'!$B$12,Paramètres!$A$1:$I$89,5,0)</f>
        <v>86.392800000000008</v>
      </c>
      <c r="CA39" s="13">
        <f t="shared" si="39"/>
        <v>23.693194948697332</v>
      </c>
      <c r="CB39" s="20">
        <f t="shared" si="10"/>
        <v>191.73310786898116</v>
      </c>
      <c r="CC39" s="59">
        <f t="shared" si="11"/>
        <v>485.06644120231448</v>
      </c>
      <c r="CD39" s="59">
        <f ca="1">AVERAGE(OFFSET($CC$3,0,0,'Données projet'!$E$12+1,1))-AVERAGE(OFFSET($H$3,0,0,'Données projet'!$E$12+1,1))</f>
        <v>169.2757878405003</v>
      </c>
      <c r="CE39" s="59">
        <f t="shared" si="40"/>
        <v>61.876502626609977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8.1</v>
      </c>
      <c r="CT39" s="12">
        <f>IF('Données projet'!$A$140&gt;35,CT38+CS39-DB38,IF(A39&lt;'Données projet'!$A$140,$CQ$205^A39,IF(A39='Données projet'!$A$140,'Données projet'!$B$140,CT38+CS39-DB38)))</f>
        <v>141.6</v>
      </c>
      <c r="CU39" s="17">
        <f>CT39*VLOOKUP('Données projet'!$B$13,Paramètres!$A$1:$I$89,3,0)*VLOOKUP('Données projet'!$B$13,Paramètres!$A$1:$I$89,5,0)</f>
        <v>112.65696</v>
      </c>
      <c r="CV39" s="13">
        <f t="shared" si="41"/>
        <v>29.956112867729342</v>
      </c>
      <c r="CW39" s="20">
        <f t="shared" si="13"/>
        <v>248.38443524462858</v>
      </c>
      <c r="CX39" s="59">
        <f t="shared" si="14"/>
        <v>541.71776857796192</v>
      </c>
      <c r="CY39" s="59">
        <f ca="1">AVERAGE(OFFSET($CX$3,0,0,'Données projet'!$E$13+1,1))-AVERAGE(OFFSET($H$3,0,0,'Données projet'!$E$13+1,1))</f>
        <v>141.12810728817544</v>
      </c>
      <c r="CZ39" s="59">
        <f t="shared" si="42"/>
        <v>176.01405805137551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>
        <f>EXP(-LN(2)/35)*DF38+(1-EXP(-LN(2)/35))/(LN(2)/35)*DB39*DC39*VLOOKUP('Données projet'!$B$13,Paramètres!$A$1:$I$89,3,0)*0.475*44/12</f>
        <v>0</v>
      </c>
      <c r="DG39" s="21">
        <f>EXP(-LN(2)/25)*DG38+(1-EXP(-LN(2)/25))/(LN(2)/25)*Calculateur!DB39*Calculateur!DD39*VLOOKUP('Données projet'!$B$13,Paramètres!$A$1:$I$89,3,0)*0.475*44/12</f>
        <v>5.6923087258238692</v>
      </c>
      <c r="DH39" s="21">
        <f>EXP(-LN(2)/2)*DH38+(1-EXP(-LN(2)/2))/(LN(2)/2)*DB39*DE39*VLOOKUP('Données projet'!$B$13,Paramètres!$A$1:$I$89,3,0)*0.475*44/12</f>
        <v>1.0006489922851212</v>
      </c>
      <c r="DI39" s="22">
        <f t="shared" si="15"/>
        <v>6.6929577181089908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11</v>
      </c>
      <c r="DO39" s="12">
        <f>IF('Données projet'!$A$166&gt;35,DO38+DN39-DW38,IF(A39&lt;'Données projet'!$A$166,$DL$205^A39,IF(A39='Données projet'!$A$166,'Données projet'!$B$166,DO38+DN39-DW38)))</f>
        <v>188.99999999999997</v>
      </c>
      <c r="DP39" s="17">
        <f>DO39*VLOOKUP('Données projet'!$B$14,Paramètres!$A$1:$I$89,3,0)*VLOOKUP('Données projet'!$B$14,Paramètres!$A$1:$I$89,5,0)</f>
        <v>113.02200000000001</v>
      </c>
      <c r="DQ39" s="13">
        <f t="shared" si="43"/>
        <v>30.041864379091852</v>
      </c>
      <c r="DR39" s="20">
        <f t="shared" si="16"/>
        <v>249.16956379358496</v>
      </c>
      <c r="DS39" s="59">
        <f t="shared" si="17"/>
        <v>542.50289712691824</v>
      </c>
      <c r="DT39" s="59">
        <f ca="1">AVERAGE(OFFSET($DS$3,0,0,'Données projet'!$E$14+1,1))-AVERAGE(OFFSET($H$3,0,0,'Données projet'!$E$14+1,1))</f>
        <v>165.39579887388538</v>
      </c>
      <c r="DU39" s="59">
        <f t="shared" si="44"/>
        <v>155.89639262545802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>
        <f>EXP(-LN(2)/35)*EA38+(1-EXP(-LN(2)/35))/(LN(2)/35)*DW39*DX39*VLOOKUP('Données projet'!$B$14,Paramètres!$A$1:$I$89,3,0)*0.475*44/12</f>
        <v>0</v>
      </c>
      <c r="EB39" s="21">
        <f>EXP(-LN(2)/25)*EB38+(1-EXP(-LN(2)/25))/(LN(2)/25)*Calculateur!DW39*Calculateur!DY39*VLOOKUP('Données projet'!$B$14,Paramètres!$A$1:$I$89,3,0)*0.475*44/12</f>
        <v>6.1721341693793601</v>
      </c>
      <c r="EC39" s="21">
        <f>EXP(-LN(2)/2)*EC38+(1-EXP(-LN(2)/2))/(LN(2)/2)*DW39*DZ39*VLOOKUP('Données projet'!$B$14,Paramètres!$A$1:$I$89,3,0)*0.475*44/12</f>
        <v>1.735004466922119</v>
      </c>
      <c r="ED39" s="22">
        <f t="shared" si="18"/>
        <v>7.9071386363014788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5.2</v>
      </c>
      <c r="EJ39" s="12">
        <f>IF('Données projet'!$A$192&gt;35,EJ38+EI39-ER38,IF(A39&lt;'Données projet'!$A$192,$EG$205^A39,IF(A39='Données projet'!$A$192,'Données projet'!$B$192,EJ38+EI39-ER38)))</f>
        <v>85.2</v>
      </c>
      <c r="EK39" s="17">
        <f>EJ39*VLOOKUP('Données projet'!$B$15,Paramètres!$A$1:$I$89,3,0)*VLOOKUP('Données projet'!$B$15,Paramètres!$A$1:$I$89,5,0)</f>
        <v>66.456000000000003</v>
      </c>
      <c r="EL39" s="13">
        <f t="shared" si="45"/>
        <v>18.790713966583603</v>
      </c>
      <c r="EM39" s="20">
        <f t="shared" si="19"/>
        <v>148.47136015846644</v>
      </c>
      <c r="EN39" s="59">
        <f t="shared" si="20"/>
        <v>441.80469349179975</v>
      </c>
      <c r="EO39" s="59">
        <f ca="1">AVERAGE(OFFSET($EN$3,0,0,'Données projet'!$E$15+1,1))-AVERAGE(OFFSET($H$3,0,0,'Données projet'!$E$15+1,1))</f>
        <v>104.07220236158577</v>
      </c>
      <c r="EP39" s="59">
        <f t="shared" si="46"/>
        <v>34.162068257911756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>
        <f>EXP(-LN(2)/35)*EV38+(1-EXP(-LN(2)/35))/(LN(2)/35)*ER39*ES39*VLOOKUP('Données projet'!$B$15,Paramètres!$A$1:$I$89,3,0)*0.475*44/12</f>
        <v>0</v>
      </c>
      <c r="EW39" s="21">
        <f>EXP(-LN(2)/25)*EW38+(1-EXP(-LN(2)/25))/(LN(2)/25)*Calculateur!ER39*Calculateur!ET39*VLOOKUP('Données projet'!$B$15,Paramètres!$A$1:$I$89,3,0)*0.475*44/12</f>
        <v>0</v>
      </c>
      <c r="EX39" s="21">
        <f>EXP(-LN(2)/2)*EX38+(1-EXP(-LN(2)/2))/(LN(2)/2)*ER39*EU39*VLOOKUP('Données projet'!$B$15,Paramètres!$A$1:$I$89,3,0)*0.475*44/12</f>
        <v>0</v>
      </c>
      <c r="EY39" s="22">
        <f t="shared" si="21"/>
        <v>0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5.6843418860808015E-14</v>
      </c>
      <c r="FF39" s="17">
        <f>FE39*VLOOKUP('Données projet'!$B$16,Paramètres!$A$1:$I$89,3,0)*VLOOKUP('Données projet'!$B$16,Paramètres!$A$1:$I$89,5,0)</f>
        <v>5.1431925385259088E-14</v>
      </c>
      <c r="FG39" s="13">
        <f t="shared" si="47"/>
        <v>8.3482866290946129E-13</v>
      </c>
      <c r="FH39" s="20">
        <f t="shared" si="22"/>
        <v>1.5435705246133045E-12</v>
      </c>
      <c r="FI39" s="59">
        <f t="shared" si="23"/>
        <v>293.33333333333485</v>
      </c>
      <c r="FJ39" s="59">
        <f ca="1">AVERAGE(OFFSET($FI$3,0,0,'Données projet'!$E$16+1,1))-AVERAGE(OFFSET($H$3,0,0,'Données projet'!$E$16+1,1))</f>
        <v>179.50097986986123</v>
      </c>
      <c r="FK39" s="59">
        <f t="shared" si="48"/>
        <v>287.11838730637578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>
        <f>EXP(-LN(2)/35)*FQ38+(1-EXP(-LN(2)/35))/(LN(2)/35)*FM39*FN39*VLOOKUP('Données projet'!$B$16,Paramètres!$A$1:$I$89,3,0)*0.475*44/12</f>
        <v>0.55353420658546304</v>
      </c>
      <c r="FR39" s="21">
        <f>EXP(-LN(2)/25)*FR38+(1-EXP(-LN(2)/25))/(LN(2)/25)*Calculateur!FM39*Calculateur!FO39*VLOOKUP('Données projet'!$B$16,Paramètres!$A$1:$I$89,3,0)*0.475*44/12</f>
        <v>5.3291050040392083</v>
      </c>
      <c r="FS39" s="21">
        <f>EXP(-LN(2)/2)*FS38+(1-EXP(-LN(2)/2))/(LN(2)/2)*FM39*FP39*VLOOKUP('Données projet'!$B$16,Paramètres!$A$1:$I$89,3,0)*0.475*44/12</f>
        <v>0.56509950319069135</v>
      </c>
      <c r="FT39" s="22">
        <f t="shared" si="24"/>
        <v>6.4477387138153635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11</v>
      </c>
      <c r="FZ39" s="12">
        <f>IF('Données projet'!$A$244&gt;35,FZ38+FY39-GH38,IF(A39&lt;'Données projet'!$A$244,$FW$205^A39,IF(A39='Données projet'!$A$244,'Données projet'!$B$244,FZ38+FY39-GH38)))</f>
        <v>188.99999999999997</v>
      </c>
      <c r="GA39" s="17">
        <f>FZ39*VLOOKUP('Données projet'!$B$17,Paramètres!$A$1:$I$89,3,0)*VLOOKUP('Données projet'!$B$17,Paramètres!$A$1:$I$89,5,0)</f>
        <v>113.02200000000001</v>
      </c>
      <c r="GB39" s="13">
        <f t="shared" si="49"/>
        <v>30.041864379091852</v>
      </c>
      <c r="GC39" s="20">
        <f t="shared" si="25"/>
        <v>249.16956379358496</v>
      </c>
      <c r="GD39" s="59">
        <f t="shared" si="26"/>
        <v>542.50289712691824</v>
      </c>
      <c r="GE39" s="59">
        <f ca="1">AVERAGE(OFFSET($GD$3,0,0,'Données projet'!$E$17+1,1))-AVERAGE(OFFSET($H$3,0,0,'Données projet'!$E$17+1,1))</f>
        <v>165.39579887388538</v>
      </c>
      <c r="GF39" s="59">
        <f t="shared" si="50"/>
        <v>155.89639262545802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>
        <f>EXP(-LN(2)/35)*GL38+(1-EXP(-LN(2)/35))/(LN(2)/35)*GH39*GI39*VLOOKUP('Données projet'!$B$17,Paramètres!$A$1:$I$89,3,0)*0.475*44/12</f>
        <v>0</v>
      </c>
      <c r="GM39" s="21">
        <f>EXP(-LN(2)/25)*GM38+(1-EXP(-LN(2)/25))/(LN(2)/25)*Calculateur!GH39*Calculateur!GJ39*VLOOKUP('Données projet'!$B$17,Paramètres!$A$1:$I$89,3,0)*0.475*44/12</f>
        <v>6.1721341693793601</v>
      </c>
      <c r="GN39" s="21">
        <f>EXP(-LN(2)/2)*GN38+(1-EXP(-LN(2)/2))/(LN(2)/2)*GH39*GK39*VLOOKUP('Données projet'!$B$17,Paramètres!$A$1:$I$89,3,0)*0.475*44/12</f>
        <v>1.735004466922119</v>
      </c>
      <c r="GO39" s="21">
        <f t="shared" si="27"/>
        <v>7.9071386363014788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17.3</v>
      </c>
      <c r="N40" s="13">
        <f>IF('Données projet'!$A$36&gt;35,N39+M40-V39,IF(A40&lt;'Données projet'!$A$36,$K$205^A40,IF(A40='Données projet'!$A$36,'Données projet'!$B$36,N39+M40-V39)))</f>
        <v>277.10000000000008</v>
      </c>
      <c r="O40" s="13">
        <f>N40*VLOOKUP('Données projet'!$B$9,Paramètres!$A$1:$I$89,3,0)*VLOOKUP('Données projet'!$B$9,Paramètres!$A$1:$I$89,5,0)</f>
        <v>154.89890000000005</v>
      </c>
      <c r="P40" s="13">
        <f t="shared" si="33"/>
        <v>39.689787391068471</v>
      </c>
      <c r="Q40" s="20">
        <f t="shared" si="53"/>
        <v>338.90863053944435</v>
      </c>
      <c r="R40" s="59">
        <f t="shared" si="0"/>
        <v>632.24196387277766</v>
      </c>
      <c r="S40" s="59">
        <f ca="1">AVERAGE(OFFSET($R$3,0,0,'Données projet'!$E$9+1,1))-AVERAGE(OFFSET($H$3,0,0,'Données projet'!$E$9+1,1))</f>
        <v>235.10258076192054</v>
      </c>
      <c r="T40" s="59">
        <f t="shared" si="34"/>
        <v>233.47316052603765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2.9824703904428329</v>
      </c>
      <c r="AA40" s="21">
        <f>EXP(-LN(2)/25)*AA39+(1-EXP(-LN(2)/25))/(LN(2)/25)*Calculateur!V40*Calculateur!X40*VLOOKUP('Données projet'!$B$9,Paramètres!$A$1:$I$89,3,0)*0.475*44/12</f>
        <v>15.182805401117745</v>
      </c>
      <c r="AB40" s="21">
        <f>EXP(-LN(2)/2)*AB39+(1-EXP(-LN(2)/2))/(LN(2)/2)*V40*Y40*VLOOKUP('Données projet'!$B$9,Paramètres!$A$1:$I$89,3,0)*0.475*44/12</f>
        <v>2.1321109453043179</v>
      </c>
      <c r="AC40" s="22">
        <f t="shared" si="3"/>
        <v>20.297386736864897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8.6999999999999993</v>
      </c>
      <c r="AI40" s="13">
        <f>IF('Données projet'!$A$62&gt;35,AI39+AH40-AQ39,IF(A40&lt;'Données projet'!$A$62,$AF$205^A40,IF(A40='Données projet'!$A$62,'Données projet'!$B$62,AI39+AH40-AQ39)))</f>
        <v>173.89999999999989</v>
      </c>
      <c r="AJ40" s="13">
        <f>AI40*VLOOKUP('Données projet'!$B$10,Paramètres!$A$1:$I$89,3,0)*VLOOKUP('Données projet'!$B$10,Paramètres!$A$1:$I$89,5,0)</f>
        <v>151.91903999999991</v>
      </c>
      <c r="AK40" s="13">
        <f t="shared" si="35"/>
        <v>39.014371161543409</v>
      </c>
      <c r="AL40" s="20">
        <f t="shared" si="4"/>
        <v>332.54235777302125</v>
      </c>
      <c r="AM40" s="59">
        <f t="shared" si="5"/>
        <v>625.87569110635457</v>
      </c>
      <c r="AN40" s="59">
        <f ca="1">AVERAGE(OFFSET($AM$3,0,0,'Données projet'!$E$10+1,1))-AVERAGE(OFFSET($H$3,0,0,'Données projet'!$E$10+1,1))</f>
        <v>191.94797389630673</v>
      </c>
      <c r="AO40" s="59">
        <f t="shared" si="36"/>
        <v>273.52540822767878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2.2413716873630989</v>
      </c>
      <c r="AV40" s="21">
        <f>EXP(-LN(2)/25)*AV39+(1-EXP(-LN(2)/25))/(LN(2)/25)*Calculateur!AQ40*Calculateur!AS40*VLOOKUP('Données projet'!$B$10,Paramètres!$A$1:$I$89,3,0)*0.475*44/12</f>
        <v>11.569931012657618</v>
      </c>
      <c r="AW40" s="21">
        <f>EXP(-LN(2)/2)*AW39+(1-EXP(-LN(2)/2))/(LN(2)/2)*AQ40*AT40*VLOOKUP('Données projet'!$B$10,Paramètres!$A$1:$I$89,3,0)*0.475*44/12</f>
        <v>2.0508803918495433</v>
      </c>
      <c r="AX40" s="21">
        <f t="shared" si="6"/>
        <v>15.862183091870261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5.2</v>
      </c>
      <c r="BD40" s="12">
        <f>IF('Données projet'!$A$88&gt;35,BD39+BC40-BL39,IF(A40&lt;'Données projet'!$A$88,$BA$205^A40,IF(A40='Données projet'!$A$88,'Données projet'!$B$88,BD39+BC40-BL39)))</f>
        <v>90.4</v>
      </c>
      <c r="BE40" s="13">
        <f>BD40*VLOOKUP('Données projet'!$B$11,Paramètres!$A$1:$I$89,3,0)*VLOOKUP('Données projet'!$B$11,Paramètres!$A$1:$I$89,5,0)</f>
        <v>81.79392</v>
      </c>
      <c r="BF40" s="13">
        <f t="shared" si="37"/>
        <v>22.575239179244807</v>
      </c>
      <c r="BG40" s="20">
        <f t="shared" si="7"/>
        <v>181.77628557051801</v>
      </c>
      <c r="BH40" s="59">
        <f t="shared" si="8"/>
        <v>475.10961890385136</v>
      </c>
      <c r="BI40" s="59">
        <f ca="1">AVERAGE(OFFSET($BH$3,0,0,'Données projet'!$E$11+1,1))-AVERAGE(OFFSET($H$3,0,0,'Données projet'!$E$11+1,1))</f>
        <v>138.8931001150624</v>
      </c>
      <c r="BJ40" s="59">
        <f t="shared" si="38"/>
        <v>48.964659354096625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5.2</v>
      </c>
      <c r="BY40" s="12">
        <f>IF('Données projet'!$A$114&gt;35,BY39+BX40-CG39,IF(A40&lt;'Données projet'!$A$114,$BV$205^A40,IF(A40='Données projet'!$A$114,'Données projet'!$B$114,BY39+BX40-CG39)))</f>
        <v>90.4</v>
      </c>
      <c r="BZ40" s="13">
        <f>BY40*VLOOKUP('Données projet'!$B$12,Paramètres!$A$1:$I$89,3,0)*VLOOKUP('Données projet'!$B$12,Paramètres!$A$1:$I$89,5,0)</f>
        <v>91.665600000000012</v>
      </c>
      <c r="CA40" s="13">
        <f t="shared" si="39"/>
        <v>24.966497888207439</v>
      </c>
      <c r="CB40" s="20">
        <f t="shared" si="10"/>
        <v>203.13423715529464</v>
      </c>
      <c r="CC40" s="59">
        <f t="shared" si="11"/>
        <v>496.46757048862798</v>
      </c>
      <c r="CD40" s="59">
        <f ca="1">AVERAGE(OFFSET($CC$3,0,0,'Données projet'!$E$12+1,1))-AVERAGE(OFFSET($H$3,0,0,'Données projet'!$E$12+1,1))</f>
        <v>169.2757878405003</v>
      </c>
      <c r="CE40" s="59">
        <f t="shared" si="40"/>
        <v>61.876502626609977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8.1</v>
      </c>
      <c r="CT40" s="12">
        <f>IF('Données projet'!$A$140&gt;35,CT39+CS40-DB39,IF(A40&lt;'Données projet'!$A$140,$CQ$205^A40,IF(A40='Données projet'!$A$140,'Données projet'!$B$140,CT39+CS40-DB39)))</f>
        <v>149.69999999999999</v>
      </c>
      <c r="CU40" s="17">
        <f>CT40*VLOOKUP('Données projet'!$B$13,Paramètres!$A$1:$I$89,3,0)*VLOOKUP('Données projet'!$B$13,Paramètres!$A$1:$I$89,5,0)</f>
        <v>119.10132</v>
      </c>
      <c r="CV40" s="13">
        <f t="shared" si="41"/>
        <v>31.465305329267146</v>
      </c>
      <c r="CW40" s="20">
        <f t="shared" si="13"/>
        <v>262.23687244847355</v>
      </c>
      <c r="CX40" s="59">
        <f t="shared" si="14"/>
        <v>555.57020578180686</v>
      </c>
      <c r="CY40" s="59">
        <f ca="1">AVERAGE(OFFSET($CX$3,0,0,'Données projet'!$E$13+1,1))-AVERAGE(OFFSET($H$3,0,0,'Données projet'!$E$13+1,1))</f>
        <v>141.12810728817544</v>
      </c>
      <c r="CZ40" s="59">
        <f t="shared" si="42"/>
        <v>176.01405805137551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>
        <f>EXP(-LN(2)/35)*DF39+(1-EXP(-LN(2)/35))/(LN(2)/35)*DB40*DC40*VLOOKUP('Données projet'!$B$13,Paramètres!$A$1:$I$89,3,0)*0.475*44/12</f>
        <v>0</v>
      </c>
      <c r="DG40" s="21">
        <f>EXP(-LN(2)/25)*DG39+(1-EXP(-LN(2)/25))/(LN(2)/25)*Calculateur!DB40*Calculateur!DD40*VLOOKUP('Données projet'!$B$13,Paramètres!$A$1:$I$89,3,0)*0.475*44/12</f>
        <v>5.5366522443707096</v>
      </c>
      <c r="DH40" s="21">
        <f>EXP(-LN(2)/2)*DH39+(1-EXP(-LN(2)/2))/(LN(2)/2)*DB40*DE40*VLOOKUP('Données projet'!$B$13,Paramètres!$A$1:$I$89,3,0)*0.475*44/12</f>
        <v>0.70756568803229447</v>
      </c>
      <c r="DI40" s="22">
        <f t="shared" si="15"/>
        <v>6.2442179324030036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11</v>
      </c>
      <c r="DO40" s="12">
        <f>IF('Données projet'!$A$166&gt;35,DO39+DN40-DW39,IF(A40&lt;'Données projet'!$A$166,$DL$205^A40,IF(A40='Données projet'!$A$166,'Données projet'!$B$166,DO39+DN40-DW39)))</f>
        <v>199.99999999999997</v>
      </c>
      <c r="DP40" s="17">
        <f>DO40*VLOOKUP('Données projet'!$B$14,Paramètres!$A$1:$I$89,3,0)*VLOOKUP('Données projet'!$B$14,Paramètres!$A$1:$I$89,5,0)</f>
        <v>119.59999999999998</v>
      </c>
      <c r="DQ40" s="13">
        <f t="shared" si="43"/>
        <v>31.581687741452679</v>
      </c>
      <c r="DR40" s="20">
        <f t="shared" si="16"/>
        <v>263.3081061496967</v>
      </c>
      <c r="DS40" s="59">
        <f t="shared" si="17"/>
        <v>556.64143948303001</v>
      </c>
      <c r="DT40" s="59">
        <f ca="1">AVERAGE(OFFSET($DS$3,0,0,'Données projet'!$E$14+1,1))-AVERAGE(OFFSET($H$3,0,0,'Données projet'!$E$14+1,1))</f>
        <v>165.39579887388538</v>
      </c>
      <c r="DU40" s="59">
        <f t="shared" si="44"/>
        <v>155.89639262545802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>
        <f>EXP(-LN(2)/35)*EA39+(1-EXP(-LN(2)/35))/(LN(2)/35)*DW40*DX40*VLOOKUP('Données projet'!$B$14,Paramètres!$A$1:$I$89,3,0)*0.475*44/12</f>
        <v>0</v>
      </c>
      <c r="EB40" s="21">
        <f>EXP(-LN(2)/25)*EB39+(1-EXP(-LN(2)/25))/(LN(2)/25)*Calculateur!DW40*Calculateur!DY40*VLOOKUP('Données projet'!$B$14,Paramètres!$A$1:$I$89,3,0)*0.475*44/12</f>
        <v>6.0033568359392522</v>
      </c>
      <c r="EC40" s="21">
        <f>EXP(-LN(2)/2)*EC39+(1-EXP(-LN(2)/2))/(LN(2)/2)*DW40*DZ40*VLOOKUP('Données projet'!$B$14,Paramètres!$A$1:$I$89,3,0)*0.475*44/12</f>
        <v>1.2268334239495813</v>
      </c>
      <c r="ED40" s="22">
        <f t="shared" si="18"/>
        <v>7.2301902598888335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5.2</v>
      </c>
      <c r="EJ40" s="12">
        <f>IF('Données projet'!$A$192&gt;35,EJ39+EI40-ER39,IF(A40&lt;'Données projet'!$A$192,$EG$205^A40,IF(A40='Données projet'!$A$192,'Données projet'!$B$192,EJ39+EI40-ER39)))</f>
        <v>90.4</v>
      </c>
      <c r="EK40" s="17">
        <f>EJ40*VLOOKUP('Données projet'!$B$15,Paramètres!$A$1:$I$89,3,0)*VLOOKUP('Données projet'!$B$15,Paramètres!$A$1:$I$89,5,0)</f>
        <v>70.512</v>
      </c>
      <c r="EL40" s="13">
        <f t="shared" si="45"/>
        <v>19.800551237620784</v>
      </c>
      <c r="EM40" s="20">
        <f t="shared" si="19"/>
        <v>157.29436007218951</v>
      </c>
      <c r="EN40" s="59">
        <f t="shared" si="20"/>
        <v>450.62769340552279</v>
      </c>
      <c r="EO40" s="59">
        <f ca="1">AVERAGE(OFFSET($EN$3,0,0,'Données projet'!$E$15+1,1))-AVERAGE(OFFSET($H$3,0,0,'Données projet'!$E$15+1,1))</f>
        <v>104.07220236158577</v>
      </c>
      <c r="EP40" s="59">
        <f t="shared" si="46"/>
        <v>34.162068257911756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>
        <f>EXP(-LN(2)/35)*EV39+(1-EXP(-LN(2)/35))/(LN(2)/35)*ER40*ES40*VLOOKUP('Données projet'!$B$15,Paramètres!$A$1:$I$89,3,0)*0.475*44/12</f>
        <v>0</v>
      </c>
      <c r="EW40" s="21">
        <f>EXP(-LN(2)/25)*EW39+(1-EXP(-LN(2)/25))/(LN(2)/25)*Calculateur!ER40*Calculateur!ET40*VLOOKUP('Données projet'!$B$15,Paramètres!$A$1:$I$89,3,0)*0.475*44/12</f>
        <v>0</v>
      </c>
      <c r="EX40" s="21">
        <f>EXP(-LN(2)/2)*EX39+(1-EXP(-LN(2)/2))/(LN(2)/2)*ER40*EU40*VLOOKUP('Données projet'!$B$15,Paramètres!$A$1:$I$89,3,0)*0.475*44/12</f>
        <v>0</v>
      </c>
      <c r="EY40" s="22">
        <f t="shared" si="21"/>
        <v>0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5.6843418860808015E-14</v>
      </c>
      <c r="FF40" s="17">
        <f>FE40*VLOOKUP('Données projet'!$B$16,Paramètres!$A$1:$I$89,3,0)*VLOOKUP('Données projet'!$B$16,Paramètres!$A$1:$I$89,5,0)</f>
        <v>5.1431925385259088E-14</v>
      </c>
      <c r="FG40" s="13">
        <f t="shared" si="47"/>
        <v>8.3482866290946129E-13</v>
      </c>
      <c r="FH40" s="20">
        <f t="shared" si="22"/>
        <v>1.5435705246133045E-12</v>
      </c>
      <c r="FI40" s="59">
        <f t="shared" si="23"/>
        <v>293.33333333333485</v>
      </c>
      <c r="FJ40" s="59">
        <f ca="1">AVERAGE(OFFSET($FI$3,0,0,'Données projet'!$E$16+1,1))-AVERAGE(OFFSET($H$3,0,0,'Données projet'!$E$16+1,1))</f>
        <v>179.50097986986123</v>
      </c>
      <c r="FK40" s="59">
        <f t="shared" si="48"/>
        <v>287.11838730637578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>
        <f>EXP(-LN(2)/35)*FQ39+(1-EXP(-LN(2)/35))/(LN(2)/35)*FM40*FN40*VLOOKUP('Données projet'!$B$16,Paramètres!$A$1:$I$89,3,0)*0.475*44/12</f>
        <v>0.54267973841685069</v>
      </c>
      <c r="FR40" s="21">
        <f>EXP(-LN(2)/25)*FR39+(1-EXP(-LN(2)/25))/(LN(2)/25)*Calculateur!FM40*Calculateur!FO40*VLOOKUP('Données projet'!$B$16,Paramètres!$A$1:$I$89,3,0)*0.475*44/12</f>
        <v>5.1833803474583036</v>
      </c>
      <c r="FS40" s="21">
        <f>EXP(-LN(2)/2)*FS39+(1-EXP(-LN(2)/2))/(LN(2)/2)*FM40*FP40*VLOOKUP('Données projet'!$B$16,Paramètres!$A$1:$I$89,3,0)*0.475*44/12</f>
        <v>0.39958569075128691</v>
      </c>
      <c r="FT40" s="22">
        <f t="shared" si="24"/>
        <v>6.1256457766264418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11</v>
      </c>
      <c r="FZ40" s="12">
        <f>IF('Données projet'!$A$244&gt;35,FZ39+FY40-GH39,IF(A40&lt;'Données projet'!$A$244,$FW$205^A40,IF(A40='Données projet'!$A$244,'Données projet'!$B$244,FZ39+FY40-GH39)))</f>
        <v>199.99999999999997</v>
      </c>
      <c r="GA40" s="17">
        <f>FZ40*VLOOKUP('Données projet'!$B$17,Paramètres!$A$1:$I$89,3,0)*VLOOKUP('Données projet'!$B$17,Paramètres!$A$1:$I$89,5,0)</f>
        <v>119.59999999999998</v>
      </c>
      <c r="GB40" s="13">
        <f t="shared" si="49"/>
        <v>31.581687741452679</v>
      </c>
      <c r="GC40" s="20">
        <f t="shared" si="25"/>
        <v>263.3081061496967</v>
      </c>
      <c r="GD40" s="59">
        <f t="shared" si="26"/>
        <v>556.64143948303001</v>
      </c>
      <c r="GE40" s="59">
        <f ca="1">AVERAGE(OFFSET($GD$3,0,0,'Données projet'!$E$17+1,1))-AVERAGE(OFFSET($H$3,0,0,'Données projet'!$E$17+1,1))</f>
        <v>165.39579887388538</v>
      </c>
      <c r="GF40" s="59">
        <f t="shared" si="50"/>
        <v>155.89639262545802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>
        <f>EXP(-LN(2)/35)*GL39+(1-EXP(-LN(2)/35))/(LN(2)/35)*GH40*GI40*VLOOKUP('Données projet'!$B$17,Paramètres!$A$1:$I$89,3,0)*0.475*44/12</f>
        <v>0</v>
      </c>
      <c r="GM40" s="21">
        <f>EXP(-LN(2)/25)*GM39+(1-EXP(-LN(2)/25))/(LN(2)/25)*Calculateur!GH40*Calculateur!GJ40*VLOOKUP('Données projet'!$B$17,Paramètres!$A$1:$I$89,3,0)*0.475*44/12</f>
        <v>6.0033568359392522</v>
      </c>
      <c r="GN40" s="21">
        <f>EXP(-LN(2)/2)*GN39+(1-EXP(-LN(2)/2))/(LN(2)/2)*GH40*GK40*VLOOKUP('Données projet'!$B$17,Paramètres!$A$1:$I$89,3,0)*0.475*44/12</f>
        <v>1.2268334239495813</v>
      </c>
      <c r="GO40" s="21">
        <f t="shared" si="27"/>
        <v>7.2301902598888335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17.3</v>
      </c>
      <c r="N41" s="13">
        <f>IF('Données projet'!$A$36&gt;35,N40+M41-V40,IF(A41&lt;'Données projet'!$A$36,$K$205^A41,IF(A41='Données projet'!$A$36,'Données projet'!$B$36,N40+M41-V40)))</f>
        <v>294.40000000000009</v>
      </c>
      <c r="O41" s="13">
        <f>N41*VLOOKUP('Données projet'!$B$9,Paramètres!$A$1:$I$89,3,0)*VLOOKUP('Données projet'!$B$9,Paramètres!$A$1:$I$89,5,0)</f>
        <v>164.56960000000007</v>
      </c>
      <c r="P41" s="13">
        <f t="shared" si="33"/>
        <v>41.871506181639091</v>
      </c>
      <c r="Q41" s="20">
        <f t="shared" si="53"/>
        <v>359.55159326635481</v>
      </c>
      <c r="R41" s="59">
        <f t="shared" si="0"/>
        <v>652.88492659968813</v>
      </c>
      <c r="S41" s="59">
        <f ca="1">AVERAGE(OFFSET($R$3,0,0,'Données projet'!$E$9+1,1))-AVERAGE(OFFSET($H$3,0,0,'Données projet'!$E$9+1,1))</f>
        <v>235.10258076192054</v>
      </c>
      <c r="T41" s="59">
        <f t="shared" si="34"/>
        <v>233.47316052603765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2.9239859652135634</v>
      </c>
      <c r="AA41" s="21">
        <f>EXP(-LN(2)/25)*AA40+(1-EXP(-LN(2)/25))/(LN(2)/25)*Calculateur!V41*Calculateur!X41*VLOOKUP('Données projet'!$B$9,Paramètres!$A$1:$I$89,3,0)*0.475*44/12</f>
        <v>14.767630788995145</v>
      </c>
      <c r="AB41" s="21">
        <f>EXP(-LN(2)/2)*AB40+(1-EXP(-LN(2)/2))/(LN(2)/2)*V41*Y41*VLOOKUP('Données projet'!$B$9,Paramètres!$A$1:$I$89,3,0)*0.475*44/12</f>
        <v>1.5076301076667433</v>
      </c>
      <c r="AC41" s="22">
        <f t="shared" si="3"/>
        <v>19.199246861875451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8.6999999999999993</v>
      </c>
      <c r="AI41" s="13">
        <f>IF('Données projet'!$A$62&gt;35,AI40+AH41-AQ40,IF(A41&lt;'Données projet'!$A$62,$AF$205^A41,IF(A41='Données projet'!$A$62,'Données projet'!$B$62,AI40+AH41-AQ40)))</f>
        <v>182.59999999999988</v>
      </c>
      <c r="AJ41" s="13">
        <f>AI41*VLOOKUP('Données projet'!$B$10,Paramètres!$A$1:$I$89,3,0)*VLOOKUP('Données projet'!$B$10,Paramètres!$A$1:$I$89,5,0)</f>
        <v>159.51935999999992</v>
      </c>
      <c r="AK41" s="13">
        <f t="shared" si="35"/>
        <v>40.734086738277284</v>
      </c>
      <c r="AL41" s="20">
        <f t="shared" si="4"/>
        <v>348.77475306916608</v>
      </c>
      <c r="AM41" s="59">
        <f t="shared" si="5"/>
        <v>642.10808640249934</v>
      </c>
      <c r="AN41" s="59">
        <f ca="1">AVERAGE(OFFSET($AM$3,0,0,'Données projet'!$E$10+1,1))-AVERAGE(OFFSET($H$3,0,0,'Données projet'!$E$10+1,1))</f>
        <v>191.94797389630673</v>
      </c>
      <c r="AO41" s="59">
        <f t="shared" si="36"/>
        <v>273.52540822767878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2.1974197556756478</v>
      </c>
      <c r="AV41" s="21">
        <f>EXP(-LN(2)/25)*AV40+(1-EXP(-LN(2)/25))/(LN(2)/25)*Calculateur!AQ41*Calculateur!AS41*VLOOKUP('Données projet'!$B$10,Paramètres!$A$1:$I$89,3,0)*0.475*44/12</f>
        <v>11.253550640680267</v>
      </c>
      <c r="AW41" s="21">
        <f>EXP(-LN(2)/2)*AW40+(1-EXP(-LN(2)/2))/(LN(2)/2)*AQ41*AT41*VLOOKUP('Données projet'!$B$10,Paramètres!$A$1:$I$89,3,0)*0.475*44/12</f>
        <v>1.4501914324793359</v>
      </c>
      <c r="AX41" s="21">
        <f t="shared" si="6"/>
        <v>14.901161828835251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5.2</v>
      </c>
      <c r="BD41" s="12">
        <f>IF('Données projet'!$A$88&gt;35,BD40+BC41-BL40,IF(A41&lt;'Données projet'!$A$88,$BA$205^A41,IF(A41='Données projet'!$A$88,'Données projet'!$B$88,BD40+BC41-BL40)))</f>
        <v>95.600000000000009</v>
      </c>
      <c r="BE41" s="13">
        <f>BD41*VLOOKUP('Données projet'!$B$11,Paramètres!$A$1:$I$89,3,0)*VLOOKUP('Données projet'!$B$11,Paramètres!$A$1:$I$89,5,0)</f>
        <v>86.49888</v>
      </c>
      <c r="BF41" s="13">
        <f t="shared" si="37"/>
        <v>23.718899159460385</v>
      </c>
      <c r="BG41" s="20">
        <f t="shared" si="7"/>
        <v>191.96263203606017</v>
      </c>
      <c r="BH41" s="59">
        <f t="shared" si="8"/>
        <v>485.29596536939346</v>
      </c>
      <c r="BI41" s="59">
        <f ca="1">AVERAGE(OFFSET($BH$3,0,0,'Données projet'!$E$11+1,1))-AVERAGE(OFFSET($H$3,0,0,'Données projet'!$E$11+1,1))</f>
        <v>138.8931001150624</v>
      </c>
      <c r="BJ41" s="59">
        <f t="shared" si="38"/>
        <v>48.964659354096625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5.2</v>
      </c>
      <c r="BY41" s="12">
        <f>IF('Données projet'!$A$114&gt;35,BY40+BX41-CG40,IF(A41&lt;'Données projet'!$A$114,$BV$205^A41,IF(A41='Données projet'!$A$114,'Données projet'!$B$114,BY40+BX41-CG40)))</f>
        <v>95.600000000000009</v>
      </c>
      <c r="BZ41" s="13">
        <f>BY41*VLOOKUP('Données projet'!$B$12,Paramètres!$A$1:$I$89,3,0)*VLOOKUP('Données projet'!$B$12,Paramètres!$A$1:$I$89,5,0)</f>
        <v>96.938400000000016</v>
      </c>
      <c r="CA41" s="13">
        <f t="shared" si="39"/>
        <v>26.231298861263387</v>
      </c>
      <c r="CB41" s="20">
        <f t="shared" si="10"/>
        <v>214.52055885003372</v>
      </c>
      <c r="CC41" s="59">
        <f t="shared" si="11"/>
        <v>507.85389218336707</v>
      </c>
      <c r="CD41" s="59">
        <f ca="1">AVERAGE(OFFSET($CC$3,0,0,'Données projet'!$E$12+1,1))-AVERAGE(OFFSET($H$3,0,0,'Données projet'!$E$12+1,1))</f>
        <v>169.2757878405003</v>
      </c>
      <c r="CE41" s="59">
        <f t="shared" si="40"/>
        <v>61.876502626609977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8.1</v>
      </c>
      <c r="CT41" s="12">
        <f>IF('Données projet'!$A$140&gt;35,CT40+CS41-DB40,IF(A41&lt;'Données projet'!$A$140,$CQ$205^A41,IF(A41='Données projet'!$A$140,'Données projet'!$B$140,CT40+CS41-DB40)))</f>
        <v>157.79999999999998</v>
      </c>
      <c r="CU41" s="17">
        <f>CT41*VLOOKUP('Données projet'!$B$13,Paramètres!$A$1:$I$89,3,0)*VLOOKUP('Données projet'!$B$13,Paramètres!$A$1:$I$89,5,0)</f>
        <v>125.54567999999999</v>
      </c>
      <c r="CV41" s="13">
        <f t="shared" si="41"/>
        <v>32.965017587166145</v>
      </c>
      <c r="CW41" s="20">
        <f t="shared" si="13"/>
        <v>276.07279829764769</v>
      </c>
      <c r="CX41" s="59">
        <f t="shared" si="14"/>
        <v>569.40613163098101</v>
      </c>
      <c r="CY41" s="59">
        <f ca="1">AVERAGE(OFFSET($CX$3,0,0,'Données projet'!$E$13+1,1))-AVERAGE(OFFSET($H$3,0,0,'Données projet'!$E$13+1,1))</f>
        <v>141.12810728817544</v>
      </c>
      <c r="CZ41" s="59">
        <f t="shared" si="42"/>
        <v>176.01405805137551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>
        <f>EXP(-LN(2)/35)*DF40+(1-EXP(-LN(2)/35))/(LN(2)/35)*DB41*DC41*VLOOKUP('Données projet'!$B$13,Paramètres!$A$1:$I$89,3,0)*0.475*44/12</f>
        <v>0</v>
      </c>
      <c r="DG41" s="21">
        <f>EXP(-LN(2)/25)*DG40+(1-EXP(-LN(2)/25))/(LN(2)/25)*Calculateur!DB41*Calculateur!DD41*VLOOKUP('Données projet'!$B$13,Paramètres!$A$1:$I$89,3,0)*0.475*44/12</f>
        <v>5.385252197588505</v>
      </c>
      <c r="DH41" s="21">
        <f>EXP(-LN(2)/2)*DH40+(1-EXP(-LN(2)/2))/(LN(2)/2)*DB41*DE41*VLOOKUP('Données projet'!$B$13,Paramètres!$A$1:$I$89,3,0)*0.475*44/12</f>
        <v>0.50032449614256058</v>
      </c>
      <c r="DI41" s="22">
        <f t="shared" si="15"/>
        <v>5.8855766937310658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11</v>
      </c>
      <c r="DO41" s="12">
        <f>IF('Données projet'!$A$166&gt;35,DO40+DN41-DW40,IF(A41&lt;'Données projet'!$A$166,$DL$205^A41,IF(A41='Données projet'!$A$166,'Données projet'!$B$166,DO40+DN41-DW40)))</f>
        <v>210.99999999999997</v>
      </c>
      <c r="DP41" s="17">
        <f>DO41*VLOOKUP('Données projet'!$B$14,Paramètres!$A$1:$I$89,3,0)*VLOOKUP('Données projet'!$B$14,Paramètres!$A$1:$I$89,5,0)</f>
        <v>126.17799999999998</v>
      </c>
      <c r="DQ41" s="13">
        <f t="shared" si="43"/>
        <v>33.111679410346248</v>
      </c>
      <c r="DR41" s="20">
        <f t="shared" si="16"/>
        <v>277.42952497301968</v>
      </c>
      <c r="DS41" s="59">
        <f t="shared" si="17"/>
        <v>570.762858306353</v>
      </c>
      <c r="DT41" s="59">
        <f ca="1">AVERAGE(OFFSET($DS$3,0,0,'Données projet'!$E$14+1,1))-AVERAGE(OFFSET($H$3,0,0,'Données projet'!$E$14+1,1))</f>
        <v>165.39579887388538</v>
      </c>
      <c r="DU41" s="59">
        <f t="shared" si="44"/>
        <v>155.89639262545802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>
        <f>EXP(-LN(2)/35)*EA40+(1-EXP(-LN(2)/35))/(LN(2)/35)*DW41*DX41*VLOOKUP('Données projet'!$B$14,Paramètres!$A$1:$I$89,3,0)*0.475*44/12</f>
        <v>0</v>
      </c>
      <c r="EB41" s="21">
        <f>EXP(-LN(2)/25)*EB40+(1-EXP(-LN(2)/25))/(LN(2)/25)*Calculateur!DW41*Calculateur!DY41*VLOOKUP('Données projet'!$B$14,Paramètres!$A$1:$I$89,3,0)*0.475*44/12</f>
        <v>5.8391947275576781</v>
      </c>
      <c r="EC41" s="21">
        <f>EXP(-LN(2)/2)*EC40+(1-EXP(-LN(2)/2))/(LN(2)/2)*DW41*DZ41*VLOOKUP('Données projet'!$B$14,Paramètres!$A$1:$I$89,3,0)*0.475*44/12</f>
        <v>0.86750223346105948</v>
      </c>
      <c r="ED41" s="22">
        <f t="shared" si="18"/>
        <v>6.7066969610187375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5.2</v>
      </c>
      <c r="EJ41" s="12">
        <f>IF('Données projet'!$A$192&gt;35,EJ40+EI41-ER40,IF(A41&lt;'Données projet'!$A$192,$EG$205^A41,IF(A41='Données projet'!$A$192,'Données projet'!$B$192,EJ40+EI41-ER40)))</f>
        <v>95.600000000000009</v>
      </c>
      <c r="EK41" s="17">
        <f>EJ41*VLOOKUP('Données projet'!$B$15,Paramètres!$A$1:$I$89,3,0)*VLOOKUP('Données projet'!$B$15,Paramètres!$A$1:$I$89,5,0)</f>
        <v>74.568000000000012</v>
      </c>
      <c r="EL41" s="13">
        <f t="shared" si="45"/>
        <v>20.803645727866297</v>
      </c>
      <c r="EM41" s="20">
        <f t="shared" si="19"/>
        <v>166.10561630936715</v>
      </c>
      <c r="EN41" s="59">
        <f t="shared" si="20"/>
        <v>459.43894964270044</v>
      </c>
      <c r="EO41" s="59">
        <f ca="1">AVERAGE(OFFSET($EN$3,0,0,'Données projet'!$E$15+1,1))-AVERAGE(OFFSET($H$3,0,0,'Données projet'!$E$15+1,1))</f>
        <v>104.07220236158577</v>
      </c>
      <c r="EP41" s="59">
        <f t="shared" si="46"/>
        <v>34.162068257911756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>
        <f>EXP(-LN(2)/35)*EV40+(1-EXP(-LN(2)/35))/(LN(2)/35)*ER41*ES41*VLOOKUP('Données projet'!$B$15,Paramètres!$A$1:$I$89,3,0)*0.475*44/12</f>
        <v>0</v>
      </c>
      <c r="EW41" s="21">
        <f>EXP(-LN(2)/25)*EW40+(1-EXP(-LN(2)/25))/(LN(2)/25)*Calculateur!ER41*Calculateur!ET41*VLOOKUP('Données projet'!$B$15,Paramètres!$A$1:$I$89,3,0)*0.475*44/12</f>
        <v>0</v>
      </c>
      <c r="EX41" s="21">
        <f>EXP(-LN(2)/2)*EX40+(1-EXP(-LN(2)/2))/(LN(2)/2)*ER41*EU41*VLOOKUP('Données projet'!$B$15,Paramètres!$A$1:$I$89,3,0)*0.475*44/12</f>
        <v>0</v>
      </c>
      <c r="EY41" s="22">
        <f t="shared" si="21"/>
        <v>0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5.6843418860808015E-14</v>
      </c>
      <c r="FF41" s="17">
        <f>FE41*VLOOKUP('Données projet'!$B$16,Paramètres!$A$1:$I$89,3,0)*VLOOKUP('Données projet'!$B$16,Paramètres!$A$1:$I$89,5,0)</f>
        <v>5.1431925385259088E-14</v>
      </c>
      <c r="FG41" s="13">
        <f t="shared" si="47"/>
        <v>8.3482866290946129E-13</v>
      </c>
      <c r="FH41" s="20">
        <f t="shared" si="22"/>
        <v>1.5435705246133045E-12</v>
      </c>
      <c r="FI41" s="59">
        <f t="shared" si="23"/>
        <v>293.33333333333485</v>
      </c>
      <c r="FJ41" s="59">
        <f ca="1">AVERAGE(OFFSET($FI$3,0,0,'Données projet'!$E$16+1,1))-AVERAGE(OFFSET($H$3,0,0,'Données projet'!$E$16+1,1))</f>
        <v>179.50097986986123</v>
      </c>
      <c r="FK41" s="59">
        <f t="shared" si="48"/>
        <v>287.11838730637578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>
        <f>EXP(-LN(2)/35)*FQ40+(1-EXP(-LN(2)/35))/(LN(2)/35)*FM41*FN41*VLOOKUP('Données projet'!$B$16,Paramètres!$A$1:$I$89,3,0)*0.475*44/12</f>
        <v>0.53203811974845294</v>
      </c>
      <c r="FR41" s="21">
        <f>EXP(-LN(2)/25)*FR40+(1-EXP(-LN(2)/25))/(LN(2)/25)*Calculateur!FM41*Calculateur!FO41*VLOOKUP('Données projet'!$B$16,Paramètres!$A$1:$I$89,3,0)*0.475*44/12</f>
        <v>5.0416405392749306</v>
      </c>
      <c r="FS41" s="21">
        <f>EXP(-LN(2)/2)*FS40+(1-EXP(-LN(2)/2))/(LN(2)/2)*FM41*FP41*VLOOKUP('Données projet'!$B$16,Paramètres!$A$1:$I$89,3,0)*0.475*44/12</f>
        <v>0.28254975159534568</v>
      </c>
      <c r="FT41" s="22">
        <f t="shared" si="24"/>
        <v>5.856228410618729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11</v>
      </c>
      <c r="FZ41" s="12">
        <f>IF('Données projet'!$A$244&gt;35,FZ40+FY41-GH40,IF(A41&lt;'Données projet'!$A$244,$FW$205^A41,IF(A41='Données projet'!$A$244,'Données projet'!$B$244,FZ40+FY41-GH40)))</f>
        <v>210.99999999999997</v>
      </c>
      <c r="GA41" s="17">
        <f>FZ41*VLOOKUP('Données projet'!$B$17,Paramètres!$A$1:$I$89,3,0)*VLOOKUP('Données projet'!$B$17,Paramètres!$A$1:$I$89,5,0)</f>
        <v>126.17799999999998</v>
      </c>
      <c r="GB41" s="13">
        <f t="shared" si="49"/>
        <v>33.111679410346248</v>
      </c>
      <c r="GC41" s="20">
        <f t="shared" si="25"/>
        <v>277.42952497301968</v>
      </c>
      <c r="GD41" s="59">
        <f t="shared" si="26"/>
        <v>570.762858306353</v>
      </c>
      <c r="GE41" s="59">
        <f ca="1">AVERAGE(OFFSET($GD$3,0,0,'Données projet'!$E$17+1,1))-AVERAGE(OFFSET($H$3,0,0,'Données projet'!$E$17+1,1))</f>
        <v>165.39579887388538</v>
      </c>
      <c r="GF41" s="59">
        <f t="shared" si="50"/>
        <v>155.89639262545802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>
        <f>EXP(-LN(2)/35)*GL40+(1-EXP(-LN(2)/35))/(LN(2)/35)*GH41*GI41*VLOOKUP('Données projet'!$B$17,Paramètres!$A$1:$I$89,3,0)*0.475*44/12</f>
        <v>0</v>
      </c>
      <c r="GM41" s="21">
        <f>EXP(-LN(2)/25)*GM40+(1-EXP(-LN(2)/25))/(LN(2)/25)*Calculateur!GH41*Calculateur!GJ41*VLOOKUP('Données projet'!$B$17,Paramètres!$A$1:$I$89,3,0)*0.475*44/12</f>
        <v>5.8391947275576781</v>
      </c>
      <c r="GN41" s="21">
        <f>EXP(-LN(2)/2)*GN40+(1-EXP(-LN(2)/2))/(LN(2)/2)*GH41*GK41*VLOOKUP('Données projet'!$B$17,Paramètres!$A$1:$I$89,3,0)*0.475*44/12</f>
        <v>0.86750223346105948</v>
      </c>
      <c r="GO41" s="21">
        <f t="shared" si="27"/>
        <v>6.7066969610187375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17.3</v>
      </c>
      <c r="N42" s="13">
        <f>IF('Données projet'!$A$36&gt;35,N41+M42-V41,IF(A42&lt;'Données projet'!$A$36,$K$205^A42,IF(A42='Données projet'!$A$36,'Données projet'!$B$36,N41+M42-V41)))</f>
        <v>311.7000000000001</v>
      </c>
      <c r="O42" s="13">
        <f>N42*VLOOKUP('Données projet'!$B$9,Paramètres!$A$1:$I$89,3,0)*VLOOKUP('Données projet'!$B$9,Paramètres!$A$1:$I$89,5,0)</f>
        <v>174.24030000000005</v>
      </c>
      <c r="P42" s="13">
        <f t="shared" si="33"/>
        <v>44.038343719759652</v>
      </c>
      <c r="Q42" s="20">
        <f t="shared" si="53"/>
        <v>380.16863781191483</v>
      </c>
      <c r="R42" s="59">
        <f t="shared" si="0"/>
        <v>673.50197114524815</v>
      </c>
      <c r="S42" s="59">
        <f ca="1">AVERAGE(OFFSET($R$3,0,0,'Données projet'!$E$9+1,1))-AVERAGE(OFFSET($H$3,0,0,'Données projet'!$E$9+1,1))</f>
        <v>235.10258076192054</v>
      </c>
      <c r="T42" s="59">
        <f t="shared" si="34"/>
        <v>233.47316052603765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2.8666483838910626</v>
      </c>
      <c r="AA42" s="21">
        <f>EXP(-LN(2)/25)*AA41+(1-EXP(-LN(2)/25))/(LN(2)/25)*Calculateur!V42*Calculateur!X42*VLOOKUP('Données projet'!$B$9,Paramètres!$A$1:$I$89,3,0)*0.475*44/12</f>
        <v>14.363809148474122</v>
      </c>
      <c r="AB42" s="21">
        <f>EXP(-LN(2)/2)*AB41+(1-EXP(-LN(2)/2))/(LN(2)/2)*V42*Y42*VLOOKUP('Données projet'!$B$9,Paramètres!$A$1:$I$89,3,0)*0.475*44/12</f>
        <v>1.0660554726521589</v>
      </c>
      <c r="AC42" s="22">
        <f t="shared" si="3"/>
        <v>18.296513005017346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8.6999999999999993</v>
      </c>
      <c r="AI42" s="13">
        <f>IF('Données projet'!$A$62&gt;35,AI41+AH42-AQ41,IF(A42&lt;'Données projet'!$A$62,$AF$205^A42,IF(A42='Données projet'!$A$62,'Données projet'!$B$62,AI41+AH42-AQ41)))</f>
        <v>191.29999999999987</v>
      </c>
      <c r="AJ42" s="13">
        <f>AI42*VLOOKUP('Données projet'!$B$10,Paramètres!$A$1:$I$89,3,0)*VLOOKUP('Données projet'!$B$10,Paramètres!$A$1:$I$89,5,0)</f>
        <v>167.11967999999993</v>
      </c>
      <c r="AK42" s="13">
        <f t="shared" si="35"/>
        <v>42.444287553880535</v>
      </c>
      <c r="AL42" s="20">
        <f t="shared" si="4"/>
        <v>364.99057682300844</v>
      </c>
      <c r="AM42" s="59">
        <f t="shared" si="5"/>
        <v>658.32391015634175</v>
      </c>
      <c r="AN42" s="59">
        <f ca="1">AVERAGE(OFFSET($AM$3,0,0,'Données projet'!$E$10+1,1))-AVERAGE(OFFSET($H$3,0,0,'Données projet'!$E$10+1,1))</f>
        <v>191.94797389630673</v>
      </c>
      <c r="AO42" s="59">
        <f t="shared" si="36"/>
        <v>273.52540822767878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2.1543296945605563</v>
      </c>
      <c r="AV42" s="21">
        <f>EXP(-LN(2)/25)*AV41+(1-EXP(-LN(2)/25))/(LN(2)/25)*Calculateur!AQ42*Calculateur!AS42*VLOOKUP('Données projet'!$B$10,Paramètres!$A$1:$I$89,3,0)*0.475*44/12</f>
        <v>10.945821706612357</v>
      </c>
      <c r="AW42" s="21">
        <f>EXP(-LN(2)/2)*AW41+(1-EXP(-LN(2)/2))/(LN(2)/2)*AQ42*AT42*VLOOKUP('Données projet'!$B$10,Paramètres!$A$1:$I$89,3,0)*0.475*44/12</f>
        <v>1.0254401959247716</v>
      </c>
      <c r="AX42" s="21">
        <f t="shared" si="6"/>
        <v>14.125591597097683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5.2</v>
      </c>
      <c r="BD42" s="12">
        <f>IF('Données projet'!$A$88&gt;35,BD41+BC42-BL41,IF(A42&lt;'Données projet'!$A$88,$BA$205^A42,IF(A42='Données projet'!$A$88,'Données projet'!$B$88,BD41+BC42-BL41)))</f>
        <v>100.80000000000001</v>
      </c>
      <c r="BE42" s="13">
        <f>BD42*VLOOKUP('Données projet'!$B$11,Paramètres!$A$1:$I$89,3,0)*VLOOKUP('Données projet'!$B$11,Paramètres!$A$1:$I$89,5,0)</f>
        <v>91.203840000000014</v>
      </c>
      <c r="BF42" s="13">
        <f t="shared" si="37"/>
        <v>24.855337308022524</v>
      </c>
      <c r="BG42" s="20">
        <f t="shared" si="7"/>
        <v>202.13640047813922</v>
      </c>
      <c r="BH42" s="59">
        <f t="shared" si="8"/>
        <v>495.46973381147257</v>
      </c>
      <c r="BI42" s="59">
        <f ca="1">AVERAGE(OFFSET($BH$3,0,0,'Données projet'!$E$11+1,1))-AVERAGE(OFFSET($H$3,0,0,'Données projet'!$E$11+1,1))</f>
        <v>138.8931001150624</v>
      </c>
      <c r="BJ42" s="59">
        <f t="shared" si="38"/>
        <v>48.964659354096625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5.2</v>
      </c>
      <c r="BY42" s="12">
        <f>IF('Données projet'!$A$114&gt;35,BY41+BX42-CG41,IF(A42&lt;'Données projet'!$A$114,$BV$205^A42,IF(A42='Données projet'!$A$114,'Données projet'!$B$114,BY41+BX42-CG41)))</f>
        <v>100.80000000000001</v>
      </c>
      <c r="BZ42" s="13">
        <f>BY42*VLOOKUP('Données projet'!$B$12,Paramètres!$A$1:$I$89,3,0)*VLOOKUP('Données projet'!$B$12,Paramètres!$A$1:$I$89,5,0)</f>
        <v>102.21120000000002</v>
      </c>
      <c r="CA42" s="13">
        <f t="shared" si="39"/>
        <v>27.488113037666018</v>
      </c>
      <c r="CB42" s="20">
        <f t="shared" si="10"/>
        <v>225.89297020726829</v>
      </c>
      <c r="CC42" s="59">
        <f t="shared" si="11"/>
        <v>519.22630354060163</v>
      </c>
      <c r="CD42" s="59">
        <f ca="1">AVERAGE(OFFSET($CC$3,0,0,'Données projet'!$E$12+1,1))-AVERAGE(OFFSET($H$3,0,0,'Données projet'!$E$12+1,1))</f>
        <v>169.2757878405003</v>
      </c>
      <c r="CE42" s="59">
        <f t="shared" si="40"/>
        <v>61.876502626609977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8.1</v>
      </c>
      <c r="CT42" s="12">
        <f>IF('Données projet'!$A$140&gt;35,CT41+CS42-DB41,IF(A42&lt;'Données projet'!$A$140,$CQ$205^A42,IF(A42='Données projet'!$A$140,'Données projet'!$B$140,CT41+CS42-DB41)))</f>
        <v>165.89999999999998</v>
      </c>
      <c r="CU42" s="17">
        <f>CT42*VLOOKUP('Données projet'!$B$13,Paramètres!$A$1:$I$89,3,0)*VLOOKUP('Données projet'!$B$13,Paramètres!$A$1:$I$89,5,0)</f>
        <v>131.99003999999999</v>
      </c>
      <c r="CV42" s="13">
        <f t="shared" si="41"/>
        <v>34.455791779357739</v>
      </c>
      <c r="CW42" s="20">
        <f t="shared" si="13"/>
        <v>289.89315701571468</v>
      </c>
      <c r="CX42" s="59">
        <f t="shared" si="14"/>
        <v>583.22649034904794</v>
      </c>
      <c r="CY42" s="59">
        <f ca="1">AVERAGE(OFFSET($CX$3,0,0,'Données projet'!$E$13+1,1))-AVERAGE(OFFSET($H$3,0,0,'Données projet'!$E$13+1,1))</f>
        <v>141.12810728817544</v>
      </c>
      <c r="CZ42" s="59">
        <f t="shared" si="42"/>
        <v>176.01405805137551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>
        <f>EXP(-LN(2)/35)*DF41+(1-EXP(-LN(2)/35))/(LN(2)/35)*DB42*DC42*VLOOKUP('Données projet'!$B$13,Paramètres!$A$1:$I$89,3,0)*0.475*44/12</f>
        <v>0</v>
      </c>
      <c r="DG42" s="21">
        <f>EXP(-LN(2)/25)*DG41+(1-EXP(-LN(2)/25))/(LN(2)/25)*Calculateur!DB42*Calculateur!DD42*VLOOKUP('Données projet'!$B$13,Paramètres!$A$1:$I$89,3,0)*0.475*44/12</f>
        <v>5.2379921930473428</v>
      </c>
      <c r="DH42" s="21">
        <f>EXP(-LN(2)/2)*DH41+(1-EXP(-LN(2)/2))/(LN(2)/2)*DB42*DE42*VLOOKUP('Données projet'!$B$13,Paramètres!$A$1:$I$89,3,0)*0.475*44/12</f>
        <v>0.35378284401614724</v>
      </c>
      <c r="DI42" s="22">
        <f t="shared" si="15"/>
        <v>5.5917750370634902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11</v>
      </c>
      <c r="DO42" s="12">
        <f>IF('Données projet'!$A$166&gt;35,DO41+DN42-DW41,IF(A42&lt;'Données projet'!$A$166,$DL$205^A42,IF(A42='Données projet'!$A$166,'Données projet'!$B$166,DO41+DN42-DW41)))</f>
        <v>221.99999999999997</v>
      </c>
      <c r="DP42" s="17">
        <f>DO42*VLOOKUP('Données projet'!$B$14,Paramètres!$A$1:$I$89,3,0)*VLOOKUP('Données projet'!$B$14,Paramètres!$A$1:$I$89,5,0)</f>
        <v>132.756</v>
      </c>
      <c r="DQ42" s="13">
        <f t="shared" si="43"/>
        <v>34.632410397339967</v>
      </c>
      <c r="DR42" s="20">
        <f t="shared" si="16"/>
        <v>291.53481477536712</v>
      </c>
      <c r="DS42" s="59">
        <f t="shared" si="17"/>
        <v>584.86814810870044</v>
      </c>
      <c r="DT42" s="59">
        <f ca="1">AVERAGE(OFFSET($DS$3,0,0,'Données projet'!$E$14+1,1))-AVERAGE(OFFSET($H$3,0,0,'Données projet'!$E$14+1,1))</f>
        <v>165.39579887388538</v>
      </c>
      <c r="DU42" s="59">
        <f t="shared" si="44"/>
        <v>155.89639262545802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>
        <f>EXP(-LN(2)/35)*EA41+(1-EXP(-LN(2)/35))/(LN(2)/35)*DW42*DX42*VLOOKUP('Données projet'!$B$14,Paramètres!$A$1:$I$89,3,0)*0.475*44/12</f>
        <v>0</v>
      </c>
      <c r="EB42" s="21">
        <f>EXP(-LN(2)/25)*EB41+(1-EXP(-LN(2)/25))/(LN(2)/25)*Calculateur!DW42*Calculateur!DY42*VLOOKUP('Données projet'!$B$14,Paramètres!$A$1:$I$89,3,0)*0.475*44/12</f>
        <v>5.679521640662708</v>
      </c>
      <c r="EC42" s="21">
        <f>EXP(-LN(2)/2)*EC41+(1-EXP(-LN(2)/2))/(LN(2)/2)*DW42*DZ42*VLOOKUP('Données projet'!$B$14,Paramètres!$A$1:$I$89,3,0)*0.475*44/12</f>
        <v>0.61341671197479064</v>
      </c>
      <c r="ED42" s="22">
        <f t="shared" si="18"/>
        <v>6.2929383526374991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5.2</v>
      </c>
      <c r="EJ42" s="12">
        <f>IF('Données projet'!$A$192&gt;35,EJ41+EI42-ER41,IF(A42&lt;'Données projet'!$A$192,$EG$205^A42,IF(A42='Données projet'!$A$192,'Données projet'!$B$192,EJ41+EI42-ER41)))</f>
        <v>100.80000000000001</v>
      </c>
      <c r="EK42" s="17">
        <f>EJ42*VLOOKUP('Données projet'!$B$15,Paramètres!$A$1:$I$89,3,0)*VLOOKUP('Données projet'!$B$15,Paramètres!$A$1:$I$89,5,0)</f>
        <v>78.624000000000009</v>
      </c>
      <c r="EL42" s="13">
        <f t="shared" si="45"/>
        <v>21.800406010684462</v>
      </c>
      <c r="EM42" s="20">
        <f t="shared" si="19"/>
        <v>174.90584046860877</v>
      </c>
      <c r="EN42" s="59">
        <f t="shared" si="20"/>
        <v>468.23917380194212</v>
      </c>
      <c r="EO42" s="59">
        <f ca="1">AVERAGE(OFFSET($EN$3,0,0,'Données projet'!$E$15+1,1))-AVERAGE(OFFSET($H$3,0,0,'Données projet'!$E$15+1,1))</f>
        <v>104.07220236158577</v>
      </c>
      <c r="EP42" s="59">
        <f t="shared" si="46"/>
        <v>34.162068257911756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>
        <f>EXP(-LN(2)/35)*EV41+(1-EXP(-LN(2)/35))/(LN(2)/35)*ER42*ES42*VLOOKUP('Données projet'!$B$15,Paramètres!$A$1:$I$89,3,0)*0.475*44/12</f>
        <v>0</v>
      </c>
      <c r="EW42" s="21">
        <f>EXP(-LN(2)/25)*EW41+(1-EXP(-LN(2)/25))/(LN(2)/25)*Calculateur!ER42*Calculateur!ET42*VLOOKUP('Données projet'!$B$15,Paramètres!$A$1:$I$89,3,0)*0.475*44/12</f>
        <v>0</v>
      </c>
      <c r="EX42" s="21">
        <f>EXP(-LN(2)/2)*EX41+(1-EXP(-LN(2)/2))/(LN(2)/2)*ER42*EU42*VLOOKUP('Données projet'!$B$15,Paramètres!$A$1:$I$89,3,0)*0.475*44/12</f>
        <v>0</v>
      </c>
      <c r="EY42" s="22">
        <f t="shared" si="21"/>
        <v>0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5.6843418860808015E-14</v>
      </c>
      <c r="FF42" s="17">
        <f>FE42*VLOOKUP('Données projet'!$B$16,Paramètres!$A$1:$I$89,3,0)*VLOOKUP('Données projet'!$B$16,Paramètres!$A$1:$I$89,5,0)</f>
        <v>5.1431925385259088E-14</v>
      </c>
      <c r="FG42" s="13">
        <f t="shared" si="47"/>
        <v>8.3482866290946129E-13</v>
      </c>
      <c r="FH42" s="20">
        <f t="shared" si="22"/>
        <v>1.5435705246133045E-12</v>
      </c>
      <c r="FI42" s="59">
        <f t="shared" si="23"/>
        <v>293.33333333333485</v>
      </c>
      <c r="FJ42" s="59">
        <f ca="1">AVERAGE(OFFSET($FI$3,0,0,'Données projet'!$E$16+1,1))-AVERAGE(OFFSET($H$3,0,0,'Données projet'!$E$16+1,1))</f>
        <v>179.50097986986123</v>
      </c>
      <c r="FK42" s="59">
        <f t="shared" si="48"/>
        <v>287.11838730637578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>
        <f>EXP(-LN(2)/35)*FQ41+(1-EXP(-LN(2)/35))/(LN(2)/35)*FM42*FN42*VLOOKUP('Données projet'!$B$16,Paramètres!$A$1:$I$89,3,0)*0.475*44/12</f>
        <v>0.52160517673139606</v>
      </c>
      <c r="FR42" s="21">
        <f>EXP(-LN(2)/25)*FR41+(1-EXP(-LN(2)/25))/(LN(2)/25)*Calculateur!FM42*Calculateur!FO42*VLOOKUP('Données projet'!$B$16,Paramètres!$A$1:$I$89,3,0)*0.475*44/12</f>
        <v>4.9037766136001046</v>
      </c>
      <c r="FS42" s="21">
        <f>EXP(-LN(2)/2)*FS41+(1-EXP(-LN(2)/2))/(LN(2)/2)*FM42*FP42*VLOOKUP('Données projet'!$B$16,Paramètres!$A$1:$I$89,3,0)*0.475*44/12</f>
        <v>0.19979284537564346</v>
      </c>
      <c r="FT42" s="22">
        <f t="shared" si="24"/>
        <v>5.6251746357071442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11</v>
      </c>
      <c r="FZ42" s="12">
        <f>IF('Données projet'!$A$244&gt;35,FZ41+FY42-GH41,IF(A42&lt;'Données projet'!$A$244,$FW$205^A42,IF(A42='Données projet'!$A$244,'Données projet'!$B$244,FZ41+FY42-GH41)))</f>
        <v>221.99999999999997</v>
      </c>
      <c r="GA42" s="17">
        <f>FZ42*VLOOKUP('Données projet'!$B$17,Paramètres!$A$1:$I$89,3,0)*VLOOKUP('Données projet'!$B$17,Paramètres!$A$1:$I$89,5,0)</f>
        <v>132.756</v>
      </c>
      <c r="GB42" s="13">
        <f t="shared" si="49"/>
        <v>34.632410397339967</v>
      </c>
      <c r="GC42" s="20">
        <f t="shared" si="25"/>
        <v>291.53481477536712</v>
      </c>
      <c r="GD42" s="59">
        <f t="shared" si="26"/>
        <v>584.86814810870044</v>
      </c>
      <c r="GE42" s="59">
        <f ca="1">AVERAGE(OFFSET($GD$3,0,0,'Données projet'!$E$17+1,1))-AVERAGE(OFFSET($H$3,0,0,'Données projet'!$E$17+1,1))</f>
        <v>165.39579887388538</v>
      </c>
      <c r="GF42" s="59">
        <f t="shared" si="50"/>
        <v>155.89639262545802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>
        <f>EXP(-LN(2)/35)*GL41+(1-EXP(-LN(2)/35))/(LN(2)/35)*GH42*GI42*VLOOKUP('Données projet'!$B$17,Paramètres!$A$1:$I$89,3,0)*0.475*44/12</f>
        <v>0</v>
      </c>
      <c r="GM42" s="21">
        <f>EXP(-LN(2)/25)*GM41+(1-EXP(-LN(2)/25))/(LN(2)/25)*Calculateur!GH42*Calculateur!GJ42*VLOOKUP('Données projet'!$B$17,Paramètres!$A$1:$I$89,3,0)*0.475*44/12</f>
        <v>5.679521640662708</v>
      </c>
      <c r="GN42" s="21">
        <f>EXP(-LN(2)/2)*GN41+(1-EXP(-LN(2)/2))/(LN(2)/2)*GH42*GK42*VLOOKUP('Données projet'!$B$17,Paramètres!$A$1:$I$89,3,0)*0.475*44/12</f>
        <v>0.61341671197479064</v>
      </c>
      <c r="GO42" s="21">
        <f t="shared" si="27"/>
        <v>6.2929383526374991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329</v>
      </c>
      <c r="L43" s="12">
        <f>VLOOKUP(A43,'Données projet'!$A$35:$I$55,9,0)</f>
        <v>17.3</v>
      </c>
      <c r="M43" s="12">
        <f t="array" ref="M43">INDEX(L:L,MIN(IF(ISNUMBER(L43:L239),ROW(L43:L239),"")))</f>
        <v>17.3</v>
      </c>
      <c r="N43" s="13">
        <f>IF('Données projet'!$A$36&gt;35,N42+M43-V42,IF(A43&lt;'Données projet'!$A$36,$K$205^A43,IF(A43='Données projet'!$A$36,'Données projet'!$B$36,N42+M43-V42)))</f>
        <v>329.00000000000011</v>
      </c>
      <c r="O43" s="13">
        <f>N43*VLOOKUP('Données projet'!$B$9,Paramètres!$A$1:$I$89,3,0)*VLOOKUP('Données projet'!$B$9,Paramètres!$A$1:$I$89,5,0)</f>
        <v>183.91100000000009</v>
      </c>
      <c r="P43" s="13">
        <f t="shared" si="33"/>
        <v>46.191220083623499</v>
      </c>
      <c r="Q43" s="20">
        <f t="shared" si="53"/>
        <v>400.76136664564439</v>
      </c>
      <c r="R43" s="59">
        <f t="shared" si="0"/>
        <v>694.0946999789777</v>
      </c>
      <c r="S43" s="59">
        <f ca="1">AVERAGE(OFFSET($R$3,0,0,'Données projet'!$E$9+1,1))-AVERAGE(OFFSET($H$3,0,0,'Données projet'!$E$9+1,1))</f>
        <v>235.10258076192054</v>
      </c>
      <c r="T43" s="59">
        <f t="shared" si="34"/>
        <v>233.47316052603765</v>
      </c>
      <c r="U43" s="15">
        <f>IF(ISNA(VLOOKUP(A43,'Données projet'!$A$35:$I$55,3,0)),0,VLOOKUP(A43,'Données projet'!$A$35:$I$55,3,0))</f>
        <v>3</v>
      </c>
      <c r="V43" s="15">
        <f>IF(ISNA(VLOOKUP(A43,'Données projet'!$A$35:$I$55,4,0)),0,VLOOKUP(A43,'Données projet'!$A$35:$I$55,4,0))</f>
        <v>84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2.8104351575658248</v>
      </c>
      <c r="AA43" s="21">
        <f>EXP(-LN(2)/25)*AA42+(1-EXP(-LN(2)/25))/(LN(2)/25)*Calculateur!V43*Calculateur!X43*VLOOKUP('Données projet'!$B$9,Paramètres!$A$1:$I$89,3,0)*0.475*44/12</f>
        <v>13.971030031949203</v>
      </c>
      <c r="AB43" s="21">
        <f>EXP(-LN(2)/2)*AB42+(1-EXP(-LN(2)/2))/(LN(2)/2)*V43*Y43*VLOOKUP('Données projet'!$B$9,Paramètres!$A$1:$I$89,3,0)*0.475*44/12</f>
        <v>0.75381505383337166</v>
      </c>
      <c r="AC43" s="22">
        <f t="shared" si="3"/>
        <v>17.535280243348399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200</v>
      </c>
      <c r="AG43" s="12">
        <f>VLOOKUP(A43,'Données projet'!$A$61:$I$81,9,0)</f>
        <v>8.6999999999999993</v>
      </c>
      <c r="AH43" s="12">
        <f t="array" ref="AH43">INDEX(AG:AG,MIN(IF(ISNUMBER(AG43:AG239),ROW(AG43:AG239),"")))</f>
        <v>8.6999999999999993</v>
      </c>
      <c r="AI43" s="13">
        <f>IF('Données projet'!$A$62&gt;35,AI42+AH43-AQ42,IF(A43&lt;'Données projet'!$A$62,$AF$205^A43,IF(A43='Données projet'!$A$62,'Données projet'!$B$62,AI42+AH43-AQ42)))</f>
        <v>199.99999999999986</v>
      </c>
      <c r="AJ43" s="13">
        <f>AI43*VLOOKUP('Données projet'!$B$10,Paramètres!$A$1:$I$89,3,0)*VLOOKUP('Données projet'!$B$10,Paramètres!$A$1:$I$89,5,0)</f>
        <v>174.71999999999989</v>
      </c>
      <c r="AK43" s="13">
        <f t="shared" si="35"/>
        <v>44.145455754865203</v>
      </c>
      <c r="AL43" s="20">
        <f t="shared" si="4"/>
        <v>381.19066877305664</v>
      </c>
      <c r="AM43" s="59">
        <f t="shared" si="5"/>
        <v>674.52400210638996</v>
      </c>
      <c r="AN43" s="59">
        <f ca="1">AVERAGE(OFFSET($AM$3,0,0,'Données projet'!$E$10+1,1))-AVERAGE(OFFSET($H$3,0,0,'Données projet'!$E$10+1,1))</f>
        <v>191.94797389630673</v>
      </c>
      <c r="AO43" s="59">
        <f t="shared" si="36"/>
        <v>273.52540822767878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58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2.1120846032615899</v>
      </c>
      <c r="AV43" s="21">
        <f>EXP(-LN(2)/25)*AV42+(1-EXP(-LN(2)/25))/(LN(2)/25)*Calculateur!AQ43*Calculateur!AS43*VLOOKUP('Données projet'!$B$10,Paramètres!$A$1:$I$89,3,0)*0.475*44/12</f>
        <v>10.646507636429295</v>
      </c>
      <c r="AW43" s="21">
        <f>EXP(-LN(2)/2)*AW42+(1-EXP(-LN(2)/2))/(LN(2)/2)*AQ43*AT43*VLOOKUP('Données projet'!$B$10,Paramètres!$A$1:$I$89,3,0)*0.475*44/12</f>
        <v>0.72509571623966795</v>
      </c>
      <c r="AX43" s="21">
        <f t="shared" si="6"/>
        <v>13.483687955930552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106</v>
      </c>
      <c r="BB43" s="12">
        <f>VLOOKUP(A43,'Données projet'!$A$87:$I$107,9,0)</f>
        <v>5.2</v>
      </c>
      <c r="BC43" s="12">
        <f t="array" ref="BC43">INDEX(BB:BB,MIN(IF(ISNUMBER(BB43:BB239),ROW(BB43:BB239),"")))</f>
        <v>5.2</v>
      </c>
      <c r="BD43" s="12">
        <f>IF('Données projet'!$A$88&gt;35,BD42+BC43-BL42,IF(A43&lt;'Données projet'!$A$88,$BA$205^A43,IF(A43='Données projet'!$A$88,'Données projet'!$B$88,BD42+BC43-BL42)))</f>
        <v>106.00000000000001</v>
      </c>
      <c r="BE43" s="13">
        <f>BD43*VLOOKUP('Données projet'!$B$11,Paramètres!$A$1:$I$89,3,0)*VLOOKUP('Données projet'!$B$11,Paramètres!$A$1:$I$89,5,0)</f>
        <v>95.908800000000014</v>
      </c>
      <c r="BF43" s="13">
        <f t="shared" si="37"/>
        <v>25.984968676228355</v>
      </c>
      <c r="BG43" s="20">
        <f t="shared" si="7"/>
        <v>212.29831377776441</v>
      </c>
      <c r="BH43" s="59">
        <f t="shared" si="8"/>
        <v>505.63164711109772</v>
      </c>
      <c r="BI43" s="59">
        <f ca="1">AVERAGE(OFFSET($BH$3,0,0,'Données projet'!$E$11+1,1))-AVERAGE(OFFSET($H$3,0,0,'Données projet'!$E$11+1,1))</f>
        <v>138.8931001150624</v>
      </c>
      <c r="BJ43" s="59">
        <f t="shared" si="38"/>
        <v>48.964659354096625</v>
      </c>
      <c r="BK43" s="15">
        <f>IF(ISNA(VLOOKUP(A43,'Données projet'!$A$87:$I$107,3,0)),0,VLOOKUP(A43,'Données projet'!$A$87:$I$107,3,0))</f>
        <v>1</v>
      </c>
      <c r="BL43" s="15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106</v>
      </c>
      <c r="BW43" s="12">
        <f>VLOOKUP(A43,'Données projet'!$A$113:$I$133,9,0)</f>
        <v>5.2</v>
      </c>
      <c r="BX43" s="12">
        <f t="array" ref="BX43">INDEX(BW:BW,MIN(IF(ISNUMBER(BW43:BW239),ROW(BW43:BW239),"")))</f>
        <v>5.2</v>
      </c>
      <c r="BY43" s="12">
        <f>IF('Données projet'!$A$114&gt;35,BY42+BX43-CG42,IF(A43&lt;'Données projet'!$A$114,$BV$205^A43,IF(A43='Données projet'!$A$114,'Données projet'!$B$114,BY42+BX43-CG42)))</f>
        <v>106.00000000000001</v>
      </c>
      <c r="BZ43" s="13">
        <f>BY43*VLOOKUP('Données projet'!$B$12,Paramètres!$A$1:$I$89,3,0)*VLOOKUP('Données projet'!$B$12,Paramètres!$A$1:$I$89,5,0)</f>
        <v>107.48400000000001</v>
      </c>
      <c r="CA43" s="13">
        <f t="shared" si="39"/>
        <v>28.737399432589044</v>
      </c>
      <c r="CB43" s="20">
        <f t="shared" si="10"/>
        <v>237.25227067842596</v>
      </c>
      <c r="CC43" s="59">
        <f t="shared" si="11"/>
        <v>530.5856040117593</v>
      </c>
      <c r="CD43" s="59">
        <f ca="1">AVERAGE(OFFSET($CC$3,0,0,'Données projet'!$E$12+1,1))-AVERAGE(OFFSET($H$3,0,0,'Données projet'!$E$12+1,1))</f>
        <v>169.2757878405003</v>
      </c>
      <c r="CE43" s="59">
        <f t="shared" si="40"/>
        <v>61.876502626609977</v>
      </c>
      <c r="CF43" s="15">
        <f>IF(ISNA(VLOOKUP(A43,'Données projet'!$A$113:$I$133,3,0)),0,VLOOKUP(A43,'Données projet'!$A$113:$I$133,3,0))</f>
        <v>1</v>
      </c>
      <c r="CG43" s="15">
        <f>IF(ISNA(VLOOKUP(A43,'Données projet'!$A$113:$I$133,4,0)),0,VLOOKUP(A43,'Données projet'!$A$113:$I$133,4,0))</f>
        <v>27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>
        <f>VLOOKUP(A43,'Données projet'!$A$139:$I$159,2,0)</f>
        <v>174</v>
      </c>
      <c r="CR43" s="12">
        <f>VLOOKUP(A43,'Données projet'!$A$139:$I$159,9,0)</f>
        <v>8.1</v>
      </c>
      <c r="CS43" s="12">
        <f t="array" ref="CS43">INDEX(CR:CR,MIN(IF(ISNUMBER(CR43:CR239),ROW(CR43:CR239),"")))</f>
        <v>8.1</v>
      </c>
      <c r="CT43" s="12">
        <f>IF('Données projet'!$A$140&gt;35,CT42+CS43-DB42,IF(A43&lt;'Données projet'!$A$140,$CQ$205^A43,IF(A43='Données projet'!$A$140,'Données projet'!$B$140,CT42+CS43-DB42)))</f>
        <v>173.99999999999997</v>
      </c>
      <c r="CU43" s="17">
        <f>CT43*VLOOKUP('Données projet'!$B$13,Paramètres!$A$1:$I$89,3,0)*VLOOKUP('Données projet'!$B$13,Paramètres!$A$1:$I$89,5,0)</f>
        <v>138.43439999999998</v>
      </c>
      <c r="CV43" s="13">
        <f t="shared" si="41"/>
        <v>35.938114113553581</v>
      </c>
      <c r="CW43" s="20">
        <f t="shared" si="13"/>
        <v>303.69879541443913</v>
      </c>
      <c r="CX43" s="59">
        <f t="shared" si="14"/>
        <v>597.0321287477725</v>
      </c>
      <c r="CY43" s="59">
        <f ca="1">AVERAGE(OFFSET($CX$3,0,0,'Données projet'!$E$13+1,1))-AVERAGE(OFFSET($H$3,0,0,'Données projet'!$E$13+1,1))</f>
        <v>141.12810728817544</v>
      </c>
      <c r="CZ43" s="59">
        <f t="shared" si="42"/>
        <v>176.01405805137551</v>
      </c>
      <c r="DA43" s="15">
        <f>IF(ISNA(VLOOKUP(A43,'Données projet'!$A$139:$I$159,3,0)),0,VLOOKUP(A43,'Données projet'!$A$139:$I$159,3,0))</f>
        <v>3</v>
      </c>
      <c r="DB43" s="15">
        <f>IF(ISNA(VLOOKUP(A43,'Données projet'!$A$139:$I$159,4,0)),0,VLOOKUP(A43,'Données projet'!$A$139:$I$159,4,0))</f>
        <v>42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>
        <f>EXP(-LN(2)/35)*DF42+(1-EXP(-LN(2)/35))/(LN(2)/35)*DB43*DC43*VLOOKUP('Données projet'!$B$13,Paramètres!$A$1:$I$89,3,0)*0.475*44/12</f>
        <v>0</v>
      </c>
      <c r="DG43" s="21">
        <f>EXP(-LN(2)/25)*DG42+(1-EXP(-LN(2)/25))/(LN(2)/25)*Calculateur!DB43*Calculateur!DD43*VLOOKUP('Données projet'!$B$13,Paramètres!$A$1:$I$89,3,0)*0.475*44/12</f>
        <v>5.0947590210744256</v>
      </c>
      <c r="DH43" s="21">
        <f>EXP(-LN(2)/2)*DH42+(1-EXP(-LN(2)/2))/(LN(2)/2)*DB43*DE43*VLOOKUP('Données projet'!$B$13,Paramètres!$A$1:$I$89,3,0)*0.475*44/12</f>
        <v>0.25016224807128029</v>
      </c>
      <c r="DI43" s="22">
        <f t="shared" si="15"/>
        <v>5.344921269145706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>
        <f>VLOOKUP(A43,'Données projet'!$A$165:$I$185,2,0)</f>
        <v>233</v>
      </c>
      <c r="DM43" s="12">
        <f>VLOOKUP(A43,'Données projet'!$A$165:$I$185,9,0)</f>
        <v>11</v>
      </c>
      <c r="DN43" s="12">
        <f t="array" ref="DN43">INDEX(DM:DM,MIN(IF(ISNUMBER(DM43:DM239),ROW(DM43:DM239),"")))</f>
        <v>11</v>
      </c>
      <c r="DO43" s="12">
        <f>IF('Données projet'!$A$166&gt;35,DO42+DN43-DW42,IF(A43&lt;'Données projet'!$A$166,$DL$205^A43,IF(A43='Données projet'!$A$166,'Données projet'!$B$166,DO42+DN43-DW42)))</f>
        <v>232.99999999999997</v>
      </c>
      <c r="DP43" s="17">
        <f>DO43*VLOOKUP('Données projet'!$B$14,Paramètres!$A$1:$I$89,3,0)*VLOOKUP('Données projet'!$B$14,Paramètres!$A$1:$I$89,5,0)</f>
        <v>139.334</v>
      </c>
      <c r="DQ43" s="13">
        <f t="shared" si="43"/>
        <v>36.144391930570897</v>
      </c>
      <c r="DR43" s="20">
        <f t="shared" si="16"/>
        <v>305.62486594574432</v>
      </c>
      <c r="DS43" s="59">
        <f t="shared" si="17"/>
        <v>598.95819927907769</v>
      </c>
      <c r="DT43" s="59">
        <f ca="1">AVERAGE(OFFSET($DS$3,0,0,'Données projet'!$E$14+1,1))-AVERAGE(OFFSET($H$3,0,0,'Données projet'!$E$14+1,1))</f>
        <v>165.39579887388538</v>
      </c>
      <c r="DU43" s="59">
        <f t="shared" si="44"/>
        <v>155.89639262545802</v>
      </c>
      <c r="DV43" s="15">
        <f>IF(ISNA(VLOOKUP(A43,'Données projet'!$A$165:$I$185,3,0)),0,VLOOKUP(A43,'Données projet'!$A$165:$I$185,3,0))</f>
        <v>2</v>
      </c>
      <c r="DW43" s="15">
        <f>IF(ISNA(VLOOKUP(A43,'Données projet'!$A$165:$I$185,4,0)),0,VLOOKUP(A43,'Données projet'!$A$165:$I$185,4,0))</f>
        <v>56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>
        <f>EXP(-LN(2)/35)*EA42+(1-EXP(-LN(2)/35))/(LN(2)/35)*DW43*DX43*VLOOKUP('Données projet'!$B$14,Paramètres!$A$1:$I$89,3,0)*0.475*44/12</f>
        <v>0</v>
      </c>
      <c r="EB43" s="21">
        <f>EXP(-LN(2)/25)*EB42+(1-EXP(-LN(2)/25))/(LN(2)/25)*Calculateur!DW43*Calculateur!DY43*VLOOKUP('Données projet'!$B$14,Paramètres!$A$1:$I$89,3,0)*0.475*44/12</f>
        <v>5.5242148227257237</v>
      </c>
      <c r="EC43" s="21">
        <f>EXP(-LN(2)/2)*EC42+(1-EXP(-LN(2)/2))/(LN(2)/2)*DW43*DZ43*VLOOKUP('Données projet'!$B$14,Paramètres!$A$1:$I$89,3,0)*0.475*44/12</f>
        <v>0.43375111673052974</v>
      </c>
      <c r="ED43" s="22">
        <f t="shared" si="18"/>
        <v>5.9579659394562539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>
        <f>VLOOKUP(A43,'Données projet'!$A$191:$I$211,2,0)</f>
        <v>106</v>
      </c>
      <c r="EH43" s="12">
        <f>VLOOKUP(A43,'Données projet'!$A$191:$I$211,9,0)</f>
        <v>5.2</v>
      </c>
      <c r="EI43" s="12">
        <f t="array" ref="EI43">INDEX(EH:EH,MIN(IF(ISNUMBER(EH43:EH239),ROW(EH43:EH239),"")))</f>
        <v>5.2</v>
      </c>
      <c r="EJ43" s="12">
        <f>IF('Données projet'!$A$192&gt;35,EJ42+EI43-ER42,IF(A43&lt;'Données projet'!$A$192,$EG$205^A43,IF(A43='Données projet'!$A$192,'Données projet'!$B$192,EJ42+EI43-ER42)))</f>
        <v>106.00000000000001</v>
      </c>
      <c r="EK43" s="17">
        <f>EJ43*VLOOKUP('Données projet'!$B$15,Paramètres!$A$1:$I$89,3,0)*VLOOKUP('Données projet'!$B$15,Paramètres!$A$1:$I$89,5,0)</f>
        <v>82.68</v>
      </c>
      <c r="EL43" s="13">
        <f t="shared" si="45"/>
        <v>22.791196124055514</v>
      </c>
      <c r="EM43" s="20">
        <f t="shared" si="19"/>
        <v>183.69566658273004</v>
      </c>
      <c r="EN43" s="59">
        <f t="shared" si="20"/>
        <v>477.02899991606336</v>
      </c>
      <c r="EO43" s="59">
        <f ca="1">AVERAGE(OFFSET($EN$3,0,0,'Données projet'!$E$15+1,1))-AVERAGE(OFFSET($H$3,0,0,'Données projet'!$E$15+1,1))</f>
        <v>104.07220236158577</v>
      </c>
      <c r="EP43" s="59">
        <f t="shared" si="46"/>
        <v>34.162068257911756</v>
      </c>
      <c r="EQ43" s="15">
        <f>IF(ISNA(VLOOKUP(A43,'Données projet'!$A$191:$I$211,3,0)),0,VLOOKUP(A43,'Données projet'!$A$191:$I$211,3,0))</f>
        <v>1</v>
      </c>
      <c r="ER43" s="15">
        <f>IF(ISNA(VLOOKUP(A43,'Données projet'!$A$191:$I$211,4,0)),0,VLOOKUP(A43,'Données projet'!$A$191:$I$211,4,0))</f>
        <v>27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>
        <f>EXP(-LN(2)/35)*EV42+(1-EXP(-LN(2)/35))/(LN(2)/35)*ER43*ES43*VLOOKUP('Données projet'!$B$15,Paramètres!$A$1:$I$89,3,0)*0.475*44/12</f>
        <v>0</v>
      </c>
      <c r="EW43" s="21">
        <f>EXP(-LN(2)/25)*EW42+(1-EXP(-LN(2)/25))/(LN(2)/25)*Calculateur!ER43*Calculateur!ET43*VLOOKUP('Données projet'!$B$15,Paramètres!$A$1:$I$89,3,0)*0.475*44/12</f>
        <v>0</v>
      </c>
      <c r="EX43" s="21">
        <f>EXP(-LN(2)/2)*EX42+(1-EXP(-LN(2)/2))/(LN(2)/2)*ER43*EU43*VLOOKUP('Données projet'!$B$15,Paramètres!$A$1:$I$89,3,0)*0.475*44/12</f>
        <v>0</v>
      </c>
      <c r="EY43" s="22">
        <f t="shared" si="21"/>
        <v>0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5.6843418860808015E-14</v>
      </c>
      <c r="FF43" s="17">
        <f>FE43*VLOOKUP('Données projet'!$B$16,Paramètres!$A$1:$I$89,3,0)*VLOOKUP('Données projet'!$B$16,Paramètres!$A$1:$I$89,5,0)</f>
        <v>5.1431925385259088E-14</v>
      </c>
      <c r="FG43" s="13">
        <f t="shared" si="47"/>
        <v>8.3482866290946129E-13</v>
      </c>
      <c r="FH43" s="20">
        <f t="shared" si="22"/>
        <v>1.5435705246133045E-12</v>
      </c>
      <c r="FI43" s="59">
        <f t="shared" si="23"/>
        <v>293.33333333333485</v>
      </c>
      <c r="FJ43" s="59">
        <f ca="1">AVERAGE(OFFSET($FI$3,0,0,'Données projet'!$E$16+1,1))-AVERAGE(OFFSET($H$3,0,0,'Données projet'!$E$16+1,1))</f>
        <v>179.50097986986123</v>
      </c>
      <c r="FK43" s="59">
        <f t="shared" si="48"/>
        <v>287.11838730637578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>
        <f>EXP(-LN(2)/35)*FQ42+(1-EXP(-LN(2)/35))/(LN(2)/35)*FM43*FN43*VLOOKUP('Données projet'!$B$16,Paramètres!$A$1:$I$89,3,0)*0.475*44/12</f>
        <v>0.51137681736343665</v>
      </c>
      <c r="FR43" s="21">
        <f>EXP(-LN(2)/25)*FR42+(1-EXP(-LN(2)/25))/(LN(2)/25)*Calculateur!FM43*Calculateur!FO43*VLOOKUP('Données projet'!$B$16,Paramètres!$A$1:$I$89,3,0)*0.475*44/12</f>
        <v>4.7696825842228057</v>
      </c>
      <c r="FS43" s="21">
        <f>EXP(-LN(2)/2)*FS42+(1-EXP(-LN(2)/2))/(LN(2)/2)*FM43*FP43*VLOOKUP('Données projet'!$B$16,Paramètres!$A$1:$I$89,3,0)*0.475*44/12</f>
        <v>0.14127487579767284</v>
      </c>
      <c r="FT43" s="22">
        <f t="shared" si="24"/>
        <v>5.4223342773839152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>
        <f>VLOOKUP(A43,'Données projet'!$A$243:$I$263,2,0)</f>
        <v>233</v>
      </c>
      <c r="FX43" s="12">
        <f>VLOOKUP(A43,'Données projet'!$A$243:$I$263,9,0)</f>
        <v>11</v>
      </c>
      <c r="FY43" s="12">
        <f t="array" ref="FY43">INDEX(FX:FX,MIN(IF(ISNUMBER(FX43:FX239),ROW(FX43:FX239),"")))</f>
        <v>11</v>
      </c>
      <c r="FZ43" s="12">
        <f>IF('Données projet'!$A$244&gt;35,FZ42+FY43-GH42,IF(A43&lt;'Données projet'!$A$244,$FW$205^A43,IF(A43='Données projet'!$A$244,'Données projet'!$B$244,FZ42+FY43-GH42)))</f>
        <v>232.99999999999997</v>
      </c>
      <c r="GA43" s="17">
        <f>FZ43*VLOOKUP('Données projet'!$B$17,Paramètres!$A$1:$I$89,3,0)*VLOOKUP('Données projet'!$B$17,Paramètres!$A$1:$I$89,5,0)</f>
        <v>139.334</v>
      </c>
      <c r="GB43" s="13">
        <f t="shared" si="49"/>
        <v>36.144391930570897</v>
      </c>
      <c r="GC43" s="20">
        <f t="shared" si="25"/>
        <v>305.62486594574432</v>
      </c>
      <c r="GD43" s="59">
        <f t="shared" si="26"/>
        <v>598.95819927907769</v>
      </c>
      <c r="GE43" s="59">
        <f ca="1">AVERAGE(OFFSET($GD$3,0,0,'Données projet'!$E$17+1,1))-AVERAGE(OFFSET($H$3,0,0,'Données projet'!$E$17+1,1))</f>
        <v>165.39579887388538</v>
      </c>
      <c r="GF43" s="59">
        <f t="shared" si="50"/>
        <v>155.89639262545802</v>
      </c>
      <c r="GG43" s="15">
        <f>IF(ISNA(VLOOKUP(A43,'Données projet'!$A$243:$I$263,3,0)),0,VLOOKUP(A43,'Données projet'!$A$243:$I$263,3,0))</f>
        <v>2</v>
      </c>
      <c r="GH43" s="15">
        <f>IF(ISNA(VLOOKUP(A43,'Données projet'!$A$243:$I$263,4,0)),0,VLOOKUP(A43,'Données projet'!$A$243:$I$263,4,0))</f>
        <v>56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>
        <f>EXP(-LN(2)/35)*GL42+(1-EXP(-LN(2)/35))/(LN(2)/35)*GH43*GI43*VLOOKUP('Données projet'!$B$17,Paramètres!$A$1:$I$89,3,0)*0.475*44/12</f>
        <v>0</v>
      </c>
      <c r="GM43" s="21">
        <f>EXP(-LN(2)/25)*GM42+(1-EXP(-LN(2)/25))/(LN(2)/25)*Calculateur!GH43*Calculateur!GJ43*VLOOKUP('Données projet'!$B$17,Paramètres!$A$1:$I$89,3,0)*0.475*44/12</f>
        <v>5.5242148227257237</v>
      </c>
      <c r="GN43" s="21">
        <f>EXP(-LN(2)/2)*GN42+(1-EXP(-LN(2)/2))/(LN(2)/2)*GH43*GK43*VLOOKUP('Données projet'!$B$17,Paramètres!$A$1:$I$89,3,0)*0.475*44/12</f>
        <v>0.43375111673052974</v>
      </c>
      <c r="GO43" s="21">
        <f t="shared" si="27"/>
        <v>5.9579659394562539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15.5</v>
      </c>
      <c r="N44" s="13">
        <f>IF('Données projet'!$A$36&gt;35,N43+M44-V43,IF(A44&lt;'Données projet'!$A$36,$K$205^A44,IF(A44='Données projet'!$A$36,'Données projet'!$B$36,N43+M44-V43)))</f>
        <v>260.50000000000011</v>
      </c>
      <c r="O44" s="13">
        <f>N44*VLOOKUP('Données projet'!$B$9,Paramètres!$A$1:$I$89,3,0)*VLOOKUP('Données projet'!$B$9,Paramètres!$A$1:$I$89,5,0)</f>
        <v>145.61950000000007</v>
      </c>
      <c r="P44" s="13">
        <f t="shared" si="33"/>
        <v>37.581390641176142</v>
      </c>
      <c r="Q44" s="20">
        <f t="shared" si="53"/>
        <v>319.07488453338192</v>
      </c>
      <c r="R44" s="59">
        <f t="shared" si="0"/>
        <v>612.40821786671518</v>
      </c>
      <c r="S44" s="59">
        <f ca="1">AVERAGE(OFFSET($R$3,0,0,'Données projet'!$E$9+1,1))-AVERAGE(OFFSET($H$3,0,0,'Données projet'!$E$9+1,1))</f>
        <v>235.10258076192054</v>
      </c>
      <c r="T44" s="59">
        <f t="shared" si="34"/>
        <v>233.47316052603765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2.7553242383221423</v>
      </c>
      <c r="AA44" s="21">
        <f>EXP(-LN(2)/25)*AA43+(1-EXP(-LN(2)/25))/(LN(2)/25)*Calculateur!V44*Calculateur!X44*VLOOKUP('Données projet'!$B$9,Paramètres!$A$1:$I$89,3,0)*0.475*44/12</f>
        <v>13.588991481021013</v>
      </c>
      <c r="AB44" s="21">
        <f>EXP(-LN(2)/2)*AB43+(1-EXP(-LN(2)/2))/(LN(2)/2)*V44*Y44*VLOOKUP('Données projet'!$B$9,Paramètres!$A$1:$I$89,3,0)*0.475*44/12</f>
        <v>0.53302773632607947</v>
      </c>
      <c r="AC44" s="22">
        <f t="shared" si="3"/>
        <v>16.877343455669237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7.2</v>
      </c>
      <c r="AI44" s="13">
        <f>IF('Données projet'!$A$62&gt;35,AI43+AH44-AQ43,IF(A44&lt;'Données projet'!$A$62,$AF$205^A44,IF(A44='Données projet'!$A$62,'Données projet'!$B$62,AI43+AH44-AQ43)))</f>
        <v>149.19999999999985</v>
      </c>
      <c r="AJ44" s="13">
        <f>AI44*VLOOKUP('Données projet'!$B$10,Paramètres!$A$1:$I$89,3,0)*VLOOKUP('Données projet'!$B$10,Paramètres!$A$1:$I$89,5,0)</f>
        <v>130.34111999999988</v>
      </c>
      <c r="AK44" s="13">
        <f t="shared" si="35"/>
        <v>34.075170122989881</v>
      </c>
      <c r="AL44" s="20">
        <f t="shared" si="4"/>
        <v>286.35837196420709</v>
      </c>
      <c r="AM44" s="59">
        <f t="shared" si="5"/>
        <v>579.69170529754047</v>
      </c>
      <c r="AN44" s="59">
        <f ca="1">AVERAGE(OFFSET($AM$3,0,0,'Données projet'!$E$10+1,1))-AVERAGE(OFFSET($H$3,0,0,'Données projet'!$E$10+1,1))</f>
        <v>191.94797389630673</v>
      </c>
      <c r="AO44" s="59">
        <f t="shared" si="36"/>
        <v>273.52540822767878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2.0706679124360345</v>
      </c>
      <c r="AV44" s="21">
        <f>EXP(-LN(2)/25)*AV43+(1-EXP(-LN(2)/25))/(LN(2)/25)*Calculateur!AQ44*Calculateur!AS44*VLOOKUP('Données projet'!$B$10,Paramètres!$A$1:$I$89,3,0)*0.475*44/12</f>
        <v>10.355378325235632</v>
      </c>
      <c r="AW44" s="21">
        <f>EXP(-LN(2)/2)*AW43+(1-EXP(-LN(2)/2))/(LN(2)/2)*AQ44*AT44*VLOOKUP('Données projet'!$B$10,Paramètres!$A$1:$I$89,3,0)*0.475*44/12</f>
        <v>0.51272009796238582</v>
      </c>
      <c r="AX44" s="21">
        <f t="shared" si="6"/>
        <v>12.938766335634053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</v>
      </c>
      <c r="BD44" s="12">
        <f>IF('Données projet'!$A$88&gt;35,BD43+BC44-BL43,IF(A44&lt;'Données projet'!$A$88,$BA$205^A44,IF(A44='Données projet'!$A$88,'Données projet'!$B$88,BD43+BC44-BL43)))</f>
        <v>84.600000000000009</v>
      </c>
      <c r="BE44" s="13">
        <f>BD44*VLOOKUP('Données projet'!$B$11,Paramètres!$A$1:$I$89,3,0)*VLOOKUP('Données projet'!$B$11,Paramètres!$A$1:$I$89,5,0)</f>
        <v>76.546080000000003</v>
      </c>
      <c r="BF44" s="13">
        <f t="shared" si="37"/>
        <v>21.290525837973497</v>
      </c>
      <c r="BG44" s="20">
        <f t="shared" si="7"/>
        <v>170.39875516780384</v>
      </c>
      <c r="BH44" s="59">
        <f t="shared" si="8"/>
        <v>463.73208850113713</v>
      </c>
      <c r="BI44" s="59">
        <f ca="1">AVERAGE(OFFSET($BH$3,0,0,'Données projet'!$E$11+1,1))-AVERAGE(OFFSET($H$3,0,0,'Données projet'!$E$11+1,1))</f>
        <v>138.8931001150624</v>
      </c>
      <c r="BJ44" s="59">
        <f t="shared" si="38"/>
        <v>48.964659354096625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5.6</v>
      </c>
      <c r="BY44" s="12">
        <f>IF('Données projet'!$A$114&gt;35,BY43+BX44-CG43,IF(A44&lt;'Données projet'!$A$114,$BV$205^A44,IF(A44='Données projet'!$A$114,'Données projet'!$B$114,BY43+BX44-CG43)))</f>
        <v>84.600000000000009</v>
      </c>
      <c r="BZ44" s="13">
        <f>BY44*VLOOKUP('Données projet'!$B$12,Paramètres!$A$1:$I$89,3,0)*VLOOKUP('Données projet'!$B$12,Paramètres!$A$1:$I$89,5,0)</f>
        <v>85.784400000000019</v>
      </c>
      <c r="CA44" s="13">
        <f t="shared" si="39"/>
        <v>23.545702623664209</v>
      </c>
      <c r="CB44" s="20">
        <f t="shared" si="10"/>
        <v>190.41659540288185</v>
      </c>
      <c r="CC44" s="59">
        <f t="shared" si="11"/>
        <v>483.74992873621517</v>
      </c>
      <c r="CD44" s="59">
        <f ca="1">AVERAGE(OFFSET($CC$3,0,0,'Données projet'!$E$12+1,1))-AVERAGE(OFFSET($H$3,0,0,'Données projet'!$E$12+1,1))</f>
        <v>169.2757878405003</v>
      </c>
      <c r="CE44" s="59">
        <f t="shared" si="40"/>
        <v>61.876502626609977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6</v>
      </c>
      <c r="CT44" s="12">
        <f>IF('Données projet'!$A$140&gt;35,CT43+CS44-DB43,IF(A44&lt;'Données projet'!$A$140,$CQ$205^A44,IF(A44='Données projet'!$A$140,'Données projet'!$B$140,CT43+CS44-DB43)))</f>
        <v>137.99999999999997</v>
      </c>
      <c r="CU44" s="17">
        <f>CT44*VLOOKUP('Données projet'!$B$13,Paramètres!$A$1:$I$89,3,0)*VLOOKUP('Données projet'!$B$13,Paramètres!$A$1:$I$89,5,0)</f>
        <v>109.79279999999997</v>
      </c>
      <c r="CV44" s="13">
        <f t="shared" si="41"/>
        <v>29.28216128090861</v>
      </c>
      <c r="CW44" s="20">
        <f t="shared" si="13"/>
        <v>242.22222423091577</v>
      </c>
      <c r="CX44" s="59">
        <f t="shared" si="14"/>
        <v>535.55555756424906</v>
      </c>
      <c r="CY44" s="59">
        <f ca="1">AVERAGE(OFFSET($CX$3,0,0,'Données projet'!$E$13+1,1))-AVERAGE(OFFSET($H$3,0,0,'Données projet'!$E$13+1,1))</f>
        <v>141.12810728817544</v>
      </c>
      <c r="CZ44" s="59">
        <f t="shared" si="42"/>
        <v>176.01405805137551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>
        <f>EXP(-LN(2)/35)*DF43+(1-EXP(-LN(2)/35))/(LN(2)/35)*DB44*DC44*VLOOKUP('Données projet'!$B$13,Paramètres!$A$1:$I$89,3,0)*0.475*44/12</f>
        <v>0</v>
      </c>
      <c r="DG44" s="21">
        <f>EXP(-LN(2)/25)*DG43+(1-EXP(-LN(2)/25))/(LN(2)/25)*Calculateur!DB44*Calculateur!DD44*VLOOKUP('Données projet'!$B$13,Paramètres!$A$1:$I$89,3,0)*0.475*44/12</f>
        <v>4.9554425677214127</v>
      </c>
      <c r="DH44" s="21">
        <f>EXP(-LN(2)/2)*DH43+(1-EXP(-LN(2)/2))/(LN(2)/2)*DB44*DE44*VLOOKUP('Données projet'!$B$13,Paramètres!$A$1:$I$89,3,0)*0.475*44/12</f>
        <v>0.17689142200807362</v>
      </c>
      <c r="DI44" s="22">
        <f t="shared" si="15"/>
        <v>5.132333989729486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10.7</v>
      </c>
      <c r="DO44" s="12">
        <f>IF('Données projet'!$A$166&gt;35,DO43+DN44-DW43,IF(A44&lt;'Données projet'!$A$166,$DL$205^A44,IF(A44='Données projet'!$A$166,'Données projet'!$B$166,DO43+DN44-DW43)))</f>
        <v>187.69999999999996</v>
      </c>
      <c r="DP44" s="17">
        <f>DO44*VLOOKUP('Données projet'!$B$14,Paramètres!$A$1:$I$89,3,0)*VLOOKUP('Données projet'!$B$14,Paramètres!$A$1:$I$89,5,0)</f>
        <v>112.24459999999998</v>
      </c>
      <c r="DQ44" s="13">
        <f t="shared" si="43"/>
        <v>29.859206502823753</v>
      </c>
      <c r="DR44" s="20">
        <f t="shared" si="16"/>
        <v>247.49746299241795</v>
      </c>
      <c r="DS44" s="59">
        <f t="shared" si="17"/>
        <v>540.83079632575129</v>
      </c>
      <c r="DT44" s="59">
        <f ca="1">AVERAGE(OFFSET($DS$3,0,0,'Données projet'!$E$14+1,1))-AVERAGE(OFFSET($H$3,0,0,'Données projet'!$E$14+1,1))</f>
        <v>165.39579887388538</v>
      </c>
      <c r="DU44" s="59">
        <f t="shared" si="44"/>
        <v>155.89639262545802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>
        <f>EXP(-LN(2)/35)*EA43+(1-EXP(-LN(2)/35))/(LN(2)/35)*DW44*DX44*VLOOKUP('Données projet'!$B$14,Paramètres!$A$1:$I$89,3,0)*0.475*44/12</f>
        <v>0</v>
      </c>
      <c r="EB44" s="21">
        <f>EXP(-LN(2)/25)*EB43+(1-EXP(-LN(2)/25))/(LN(2)/25)*Calculateur!DW44*Calculateur!DY44*VLOOKUP('Données projet'!$B$14,Paramètres!$A$1:$I$89,3,0)*0.475*44/12</f>
        <v>5.3731548778924569</v>
      </c>
      <c r="EC44" s="21">
        <f>EXP(-LN(2)/2)*EC43+(1-EXP(-LN(2)/2))/(LN(2)/2)*DW44*DZ44*VLOOKUP('Données projet'!$B$14,Paramètres!$A$1:$I$89,3,0)*0.475*44/12</f>
        <v>0.30670835598739532</v>
      </c>
      <c r="ED44" s="22">
        <f t="shared" si="18"/>
        <v>5.6798632338798525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5.6</v>
      </c>
      <c r="EJ44" s="12">
        <f>IF('Données projet'!$A$192&gt;35,EJ43+EI44-ER43,IF(A44&lt;'Données projet'!$A$192,$EG$205^A44,IF(A44='Données projet'!$A$192,'Données projet'!$B$192,EJ43+EI44-ER43)))</f>
        <v>84.600000000000009</v>
      </c>
      <c r="EK44" s="17">
        <f>EJ44*VLOOKUP('Données projet'!$B$15,Paramètres!$A$1:$I$89,3,0)*VLOOKUP('Données projet'!$B$15,Paramètres!$A$1:$I$89,5,0)</f>
        <v>65.988000000000014</v>
      </c>
      <c r="EL44" s="13">
        <f t="shared" si="45"/>
        <v>18.67374003807944</v>
      </c>
      <c r="EM44" s="20">
        <f t="shared" si="19"/>
        <v>147.45253056632171</v>
      </c>
      <c r="EN44" s="59">
        <f t="shared" si="20"/>
        <v>440.78586389965506</v>
      </c>
      <c r="EO44" s="59">
        <f ca="1">AVERAGE(OFFSET($EN$3,0,0,'Données projet'!$E$15+1,1))-AVERAGE(OFFSET($H$3,0,0,'Données projet'!$E$15+1,1))</f>
        <v>104.07220236158577</v>
      </c>
      <c r="EP44" s="59">
        <f t="shared" si="46"/>
        <v>34.162068257911756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>
        <f>EXP(-LN(2)/35)*EV43+(1-EXP(-LN(2)/35))/(LN(2)/35)*ER44*ES44*VLOOKUP('Données projet'!$B$15,Paramètres!$A$1:$I$89,3,0)*0.475*44/12</f>
        <v>0</v>
      </c>
      <c r="EW44" s="21">
        <f>EXP(-LN(2)/25)*EW43+(1-EXP(-LN(2)/25))/(LN(2)/25)*Calculateur!ER44*Calculateur!ET44*VLOOKUP('Données projet'!$B$15,Paramètres!$A$1:$I$89,3,0)*0.475*44/12</f>
        <v>0</v>
      </c>
      <c r="EX44" s="21">
        <f>EXP(-LN(2)/2)*EX43+(1-EXP(-LN(2)/2))/(LN(2)/2)*ER44*EU44*VLOOKUP('Données projet'!$B$15,Paramètres!$A$1:$I$89,3,0)*0.475*44/12</f>
        <v>0</v>
      </c>
      <c r="EY44" s="22">
        <f t="shared" si="21"/>
        <v>0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5.6843418860808015E-14</v>
      </c>
      <c r="FF44" s="17">
        <f>FE44*VLOOKUP('Données projet'!$B$16,Paramètres!$A$1:$I$89,3,0)*VLOOKUP('Données projet'!$B$16,Paramètres!$A$1:$I$89,5,0)</f>
        <v>5.1431925385259088E-14</v>
      </c>
      <c r="FG44" s="13">
        <f t="shared" si="47"/>
        <v>8.3482866290946129E-13</v>
      </c>
      <c r="FH44" s="20">
        <f t="shared" si="22"/>
        <v>1.5435705246133045E-12</v>
      </c>
      <c r="FI44" s="59">
        <f t="shared" si="23"/>
        <v>293.33333333333485</v>
      </c>
      <c r="FJ44" s="59">
        <f ca="1">AVERAGE(OFFSET($FI$3,0,0,'Données projet'!$E$16+1,1))-AVERAGE(OFFSET($H$3,0,0,'Données projet'!$E$16+1,1))</f>
        <v>179.50097986986123</v>
      </c>
      <c r="FK44" s="59">
        <f t="shared" si="48"/>
        <v>287.11838730637578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>
        <f>EXP(-LN(2)/35)*FQ43+(1-EXP(-LN(2)/35))/(LN(2)/35)*FM44*FN44*VLOOKUP('Données projet'!$B$16,Paramètres!$A$1:$I$89,3,0)*0.475*44/12</f>
        <v>0.50134902988399976</v>
      </c>
      <c r="FR44" s="21">
        <f>EXP(-LN(2)/25)*FR43+(1-EXP(-LN(2)/25))/(LN(2)/25)*Calculateur!FM44*Calculateur!FO44*VLOOKUP('Données projet'!$B$16,Paramètres!$A$1:$I$89,3,0)*0.475*44/12</f>
        <v>4.6392553631305269</v>
      </c>
      <c r="FS44" s="21">
        <f>EXP(-LN(2)/2)*FS43+(1-EXP(-LN(2)/2))/(LN(2)/2)*FM44*FP44*VLOOKUP('Données projet'!$B$16,Paramètres!$A$1:$I$89,3,0)*0.475*44/12</f>
        <v>9.9896422687821729E-2</v>
      </c>
      <c r="FT44" s="22">
        <f t="shared" si="24"/>
        <v>5.2405008157023483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10.7</v>
      </c>
      <c r="FZ44" s="12">
        <f>IF('Données projet'!$A$244&gt;35,FZ43+FY44-GH43,IF(A44&lt;'Données projet'!$A$244,$FW$205^A44,IF(A44='Données projet'!$A$244,'Données projet'!$B$244,FZ43+FY44-GH43)))</f>
        <v>187.69999999999996</v>
      </c>
      <c r="GA44" s="17">
        <f>FZ44*VLOOKUP('Données projet'!$B$17,Paramètres!$A$1:$I$89,3,0)*VLOOKUP('Données projet'!$B$17,Paramètres!$A$1:$I$89,5,0)</f>
        <v>112.24459999999998</v>
      </c>
      <c r="GB44" s="13">
        <f t="shared" si="49"/>
        <v>29.859206502823753</v>
      </c>
      <c r="GC44" s="20">
        <f t="shared" si="25"/>
        <v>247.49746299241795</v>
      </c>
      <c r="GD44" s="59">
        <f t="shared" si="26"/>
        <v>540.83079632575129</v>
      </c>
      <c r="GE44" s="59">
        <f ca="1">AVERAGE(OFFSET($GD$3,0,0,'Données projet'!$E$17+1,1))-AVERAGE(OFFSET($H$3,0,0,'Données projet'!$E$17+1,1))</f>
        <v>165.39579887388538</v>
      </c>
      <c r="GF44" s="59">
        <f t="shared" si="50"/>
        <v>155.89639262545802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>
        <f>EXP(-LN(2)/35)*GL43+(1-EXP(-LN(2)/35))/(LN(2)/35)*GH44*GI44*VLOOKUP('Données projet'!$B$17,Paramètres!$A$1:$I$89,3,0)*0.475*44/12</f>
        <v>0</v>
      </c>
      <c r="GM44" s="21">
        <f>EXP(-LN(2)/25)*GM43+(1-EXP(-LN(2)/25))/(LN(2)/25)*Calculateur!GH44*Calculateur!GJ44*VLOOKUP('Données projet'!$B$17,Paramètres!$A$1:$I$89,3,0)*0.475*44/12</f>
        <v>5.3731548778924569</v>
      </c>
      <c r="GN44" s="21">
        <f>EXP(-LN(2)/2)*GN43+(1-EXP(-LN(2)/2))/(LN(2)/2)*GH44*GK44*VLOOKUP('Données projet'!$B$17,Paramètres!$A$1:$I$89,3,0)*0.475*44/12</f>
        <v>0.30670835598739532</v>
      </c>
      <c r="GO44" s="21">
        <f t="shared" si="27"/>
        <v>5.6798632338798525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15.5</v>
      </c>
      <c r="N45" s="13">
        <f>IF('Données projet'!$A$36&gt;35,N44+M45-V44,IF(A45&lt;'Données projet'!$A$36,$K$205^A45,IF(A45='Données projet'!$A$36,'Données projet'!$B$36,N44+M45-V44)))</f>
        <v>276.00000000000011</v>
      </c>
      <c r="O45" s="13">
        <f>N45*VLOOKUP('Données projet'!$B$9,Paramètres!$A$1:$I$89,3,0)*VLOOKUP('Données projet'!$B$9,Paramètres!$A$1:$I$89,5,0)</f>
        <v>154.28400000000008</v>
      </c>
      <c r="P45" s="13">
        <f t="shared" si="33"/>
        <v>39.550538702561035</v>
      </c>
      <c r="Q45" s="20">
        <f t="shared" si="53"/>
        <v>337.59515490696054</v>
      </c>
      <c r="R45" s="59">
        <f t="shared" si="0"/>
        <v>630.92848824029386</v>
      </c>
      <c r="S45" s="59">
        <f ca="1">AVERAGE(OFFSET($R$3,0,0,'Données projet'!$E$9+1,1))-AVERAGE(OFFSET($H$3,0,0,'Données projet'!$E$9+1,1))</f>
        <v>235.10258076192054</v>
      </c>
      <c r="T45" s="59">
        <f t="shared" si="34"/>
        <v>233.47316052603765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2.701294010590487</v>
      </c>
      <c r="AA45" s="21">
        <f>EXP(-LN(2)/25)*AA44+(1-EXP(-LN(2)/25))/(LN(2)/25)*Calculateur!V45*Calculateur!X45*VLOOKUP('Données projet'!$B$9,Paramètres!$A$1:$I$89,3,0)*0.475*44/12</f>
        <v>13.21739979435849</v>
      </c>
      <c r="AB45" s="21">
        <f>EXP(-LN(2)/2)*AB44+(1-EXP(-LN(2)/2))/(LN(2)/2)*V45*Y45*VLOOKUP('Données projet'!$B$9,Paramètres!$A$1:$I$89,3,0)*0.475*44/12</f>
        <v>0.37690752691668583</v>
      </c>
      <c r="AC45" s="22">
        <f t="shared" si="3"/>
        <v>16.295601331865665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7.2</v>
      </c>
      <c r="AI45" s="13">
        <f>IF('Données projet'!$A$62&gt;35,AI44+AH45-AQ44,IF(A45&lt;'Données projet'!$A$62,$AF$205^A45,IF(A45='Données projet'!$A$62,'Données projet'!$B$62,AI44+AH45-AQ44)))</f>
        <v>156.39999999999984</v>
      </c>
      <c r="AJ45" s="13">
        <f>AI45*VLOOKUP('Données projet'!$B$10,Paramètres!$A$1:$I$89,3,0)*VLOOKUP('Données projet'!$B$10,Paramètres!$A$1:$I$89,5,0)</f>
        <v>136.63103999999987</v>
      </c>
      <c r="AK45" s="13">
        <f t="shared" si="35"/>
        <v>35.524133363879926</v>
      </c>
      <c r="AL45" s="20">
        <f t="shared" si="4"/>
        <v>299.8369269420906</v>
      </c>
      <c r="AM45" s="59">
        <f t="shared" si="5"/>
        <v>593.17026027542397</v>
      </c>
      <c r="AN45" s="59">
        <f ca="1">AVERAGE(OFFSET($AM$3,0,0,'Données projet'!$E$10+1,1))-AVERAGE(OFFSET($H$3,0,0,'Données projet'!$E$10+1,1))</f>
        <v>191.94797389630673</v>
      </c>
      <c r="AO45" s="59">
        <f t="shared" si="36"/>
        <v>273.52540822767878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2.0300633776558814</v>
      </c>
      <c r="AV45" s="21">
        <f>EXP(-LN(2)/25)*AV44+(1-EXP(-LN(2)/25))/(LN(2)/25)*Calculateur!AQ45*Calculateur!AS45*VLOOKUP('Données projet'!$B$10,Paramètres!$A$1:$I$89,3,0)*0.475*44/12</f>
        <v>10.072209960366385</v>
      </c>
      <c r="AW45" s="21">
        <f>EXP(-LN(2)/2)*AW44+(1-EXP(-LN(2)/2))/(LN(2)/2)*AQ45*AT45*VLOOKUP('Données projet'!$B$10,Paramètres!$A$1:$I$89,3,0)*0.475*44/12</f>
        <v>0.36254785811983398</v>
      </c>
      <c r="AX45" s="21">
        <f t="shared" si="6"/>
        <v>12.4648211961421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</v>
      </c>
      <c r="BD45" s="12">
        <f>IF('Données projet'!$A$88&gt;35,BD44+BC45-BL44,IF(A45&lt;'Données projet'!$A$88,$BA$205^A45,IF(A45='Données projet'!$A$88,'Données projet'!$B$88,BD44+BC45-BL44)))</f>
        <v>90.2</v>
      </c>
      <c r="BE45" s="13">
        <f>BD45*VLOOKUP('Données projet'!$B$11,Paramètres!$A$1:$I$89,3,0)*VLOOKUP('Données projet'!$B$11,Paramètres!$A$1:$I$89,5,0)</f>
        <v>81.612960000000001</v>
      </c>
      <c r="BF45" s="13">
        <f t="shared" si="37"/>
        <v>22.531101896247538</v>
      </c>
      <c r="BG45" s="20">
        <f t="shared" si="7"/>
        <v>181.38424113596443</v>
      </c>
      <c r="BH45" s="59">
        <f t="shared" si="8"/>
        <v>474.71757446929774</v>
      </c>
      <c r="BI45" s="59">
        <f ca="1">AVERAGE(OFFSET($BH$3,0,0,'Données projet'!$E$11+1,1))-AVERAGE(OFFSET($H$3,0,0,'Données projet'!$E$11+1,1))</f>
        <v>138.8931001150624</v>
      </c>
      <c r="BJ45" s="59">
        <f t="shared" si="38"/>
        <v>48.964659354096625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5.6</v>
      </c>
      <c r="BY45" s="12">
        <f>IF('Données projet'!$A$114&gt;35,BY44+BX45-CG44,IF(A45&lt;'Données projet'!$A$114,$BV$205^A45,IF(A45='Données projet'!$A$114,'Données projet'!$B$114,BY44+BX45-CG44)))</f>
        <v>90.2</v>
      </c>
      <c r="BZ45" s="13">
        <f>BY45*VLOOKUP('Données projet'!$B$12,Paramètres!$A$1:$I$89,3,0)*VLOOKUP('Données projet'!$B$12,Paramètres!$A$1:$I$89,5,0)</f>
        <v>91.462800000000001</v>
      </c>
      <c r="CA45" s="13">
        <f t="shared" si="39"/>
        <v>24.917685409456144</v>
      </c>
      <c r="CB45" s="20">
        <f t="shared" si="10"/>
        <v>202.69601208813609</v>
      </c>
      <c r="CC45" s="59">
        <f t="shared" si="11"/>
        <v>496.02934542146943</v>
      </c>
      <c r="CD45" s="59">
        <f ca="1">AVERAGE(OFFSET($CC$3,0,0,'Données projet'!$E$12+1,1))-AVERAGE(OFFSET($H$3,0,0,'Données projet'!$E$12+1,1))</f>
        <v>169.2757878405003</v>
      </c>
      <c r="CE45" s="59">
        <f t="shared" si="40"/>
        <v>61.876502626609977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6</v>
      </c>
      <c r="CT45" s="12">
        <f>IF('Données projet'!$A$140&gt;35,CT44+CS45-DB44,IF(A45&lt;'Données projet'!$A$140,$CQ$205^A45,IF(A45='Données projet'!$A$140,'Données projet'!$B$140,CT44+CS45-DB44)))</f>
        <v>143.99999999999997</v>
      </c>
      <c r="CU45" s="17">
        <f>CT45*VLOOKUP('Données projet'!$B$13,Paramètres!$A$1:$I$89,3,0)*VLOOKUP('Données projet'!$B$13,Paramètres!$A$1:$I$89,5,0)</f>
        <v>114.56639999999997</v>
      </c>
      <c r="CV45" s="13">
        <f t="shared" si="41"/>
        <v>30.404303956519186</v>
      </c>
      <c r="CW45" s="20">
        <f t="shared" si="13"/>
        <v>252.49064272427088</v>
      </c>
      <c r="CX45" s="59">
        <f t="shared" si="14"/>
        <v>545.82397605760423</v>
      </c>
      <c r="CY45" s="59">
        <f ca="1">AVERAGE(OFFSET($CX$3,0,0,'Données projet'!$E$13+1,1))-AVERAGE(OFFSET($H$3,0,0,'Données projet'!$E$13+1,1))</f>
        <v>141.12810728817544</v>
      </c>
      <c r="CZ45" s="59">
        <f t="shared" si="42"/>
        <v>176.01405805137551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>
        <f>EXP(-LN(2)/35)*DF44+(1-EXP(-LN(2)/35))/(LN(2)/35)*DB45*DC45*VLOOKUP('Données projet'!$B$13,Paramètres!$A$1:$I$89,3,0)*0.475*44/12</f>
        <v>0</v>
      </c>
      <c r="DG45" s="21">
        <f>EXP(-LN(2)/25)*DG44+(1-EXP(-LN(2)/25))/(LN(2)/25)*Calculateur!DB45*Calculateur!DD45*VLOOKUP('Données projet'!$B$13,Paramètres!$A$1:$I$89,3,0)*0.475*44/12</f>
        <v>4.8199357301116716</v>
      </c>
      <c r="DH45" s="21">
        <f>EXP(-LN(2)/2)*DH44+(1-EXP(-LN(2)/2))/(LN(2)/2)*DB45*DE45*VLOOKUP('Données projet'!$B$13,Paramètres!$A$1:$I$89,3,0)*0.475*44/12</f>
        <v>0.12508112403564015</v>
      </c>
      <c r="DI45" s="22">
        <f t="shared" si="15"/>
        <v>4.9450168541473118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10.7</v>
      </c>
      <c r="DO45" s="12">
        <f>IF('Données projet'!$A$166&gt;35,DO44+DN45-DW44,IF(A45&lt;'Données projet'!$A$166,$DL$205^A45,IF(A45='Données projet'!$A$166,'Données projet'!$B$166,DO44+DN45-DW44)))</f>
        <v>198.39999999999995</v>
      </c>
      <c r="DP45" s="17">
        <f>DO45*VLOOKUP('Données projet'!$B$14,Paramètres!$A$1:$I$89,3,0)*VLOOKUP('Données projet'!$B$14,Paramètres!$A$1:$I$89,5,0)</f>
        <v>118.64319999999998</v>
      </c>
      <c r="DQ45" s="13">
        <f t="shared" si="43"/>
        <v>31.35833885368346</v>
      </c>
      <c r="DR45" s="20">
        <f t="shared" si="16"/>
        <v>261.25268017016526</v>
      </c>
      <c r="DS45" s="59">
        <f t="shared" si="17"/>
        <v>554.58601350349863</v>
      </c>
      <c r="DT45" s="59">
        <f ca="1">AVERAGE(OFFSET($DS$3,0,0,'Données projet'!$E$14+1,1))-AVERAGE(OFFSET($H$3,0,0,'Données projet'!$E$14+1,1))</f>
        <v>165.39579887388538</v>
      </c>
      <c r="DU45" s="59">
        <f t="shared" si="44"/>
        <v>155.89639262545802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>
        <f>EXP(-LN(2)/35)*EA44+(1-EXP(-LN(2)/35))/(LN(2)/35)*DW45*DX45*VLOOKUP('Données projet'!$B$14,Paramètres!$A$1:$I$89,3,0)*0.475*44/12</f>
        <v>0</v>
      </c>
      <c r="EB45" s="21">
        <f>EXP(-LN(2)/25)*EB44+(1-EXP(-LN(2)/25))/(LN(2)/25)*Calculateur!DW45*Calculateur!DY45*VLOOKUP('Données projet'!$B$14,Paramètres!$A$1:$I$89,3,0)*0.475*44/12</f>
        <v>5.2262256751945531</v>
      </c>
      <c r="EC45" s="21">
        <f>EXP(-LN(2)/2)*EC44+(1-EXP(-LN(2)/2))/(LN(2)/2)*DW45*DZ45*VLOOKUP('Données projet'!$B$14,Paramètres!$A$1:$I$89,3,0)*0.475*44/12</f>
        <v>0.21687555836526487</v>
      </c>
      <c r="ED45" s="22">
        <f t="shared" si="18"/>
        <v>5.4431012335598181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5.6</v>
      </c>
      <c r="EJ45" s="12">
        <f>IF('Données projet'!$A$192&gt;35,EJ44+EI45-ER44,IF(A45&lt;'Données projet'!$A$192,$EG$205^A45,IF(A45='Données projet'!$A$192,'Données projet'!$B$192,EJ44+EI45-ER44)))</f>
        <v>90.2</v>
      </c>
      <c r="EK45" s="17">
        <f>EJ45*VLOOKUP('Données projet'!$B$15,Paramètres!$A$1:$I$89,3,0)*VLOOKUP('Données projet'!$B$15,Paramètres!$A$1:$I$89,5,0)</f>
        <v>70.356000000000009</v>
      </c>
      <c r="EL45" s="13">
        <f t="shared" si="45"/>
        <v>19.761838800222563</v>
      </c>
      <c r="EM45" s="20">
        <f t="shared" si="19"/>
        <v>156.95523591038764</v>
      </c>
      <c r="EN45" s="59">
        <f t="shared" si="20"/>
        <v>450.28856924372099</v>
      </c>
      <c r="EO45" s="59">
        <f ca="1">AVERAGE(OFFSET($EN$3,0,0,'Données projet'!$E$15+1,1))-AVERAGE(OFFSET($H$3,0,0,'Données projet'!$E$15+1,1))</f>
        <v>104.07220236158577</v>
      </c>
      <c r="EP45" s="59">
        <f t="shared" si="46"/>
        <v>34.162068257911756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>
        <f>EXP(-LN(2)/35)*EV44+(1-EXP(-LN(2)/35))/(LN(2)/35)*ER45*ES45*VLOOKUP('Données projet'!$B$15,Paramètres!$A$1:$I$89,3,0)*0.475*44/12</f>
        <v>0</v>
      </c>
      <c r="EW45" s="21">
        <f>EXP(-LN(2)/25)*EW44+(1-EXP(-LN(2)/25))/(LN(2)/25)*Calculateur!ER45*Calculateur!ET45*VLOOKUP('Données projet'!$B$15,Paramètres!$A$1:$I$89,3,0)*0.475*44/12</f>
        <v>0</v>
      </c>
      <c r="EX45" s="21">
        <f>EXP(-LN(2)/2)*EX44+(1-EXP(-LN(2)/2))/(LN(2)/2)*ER45*EU45*VLOOKUP('Données projet'!$B$15,Paramètres!$A$1:$I$89,3,0)*0.475*44/12</f>
        <v>0</v>
      </c>
      <c r="EY45" s="22">
        <f t="shared" si="21"/>
        <v>0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5.6843418860808015E-14</v>
      </c>
      <c r="FF45" s="17">
        <f>FE45*VLOOKUP('Données projet'!$B$16,Paramètres!$A$1:$I$89,3,0)*VLOOKUP('Données projet'!$B$16,Paramètres!$A$1:$I$89,5,0)</f>
        <v>5.1431925385259088E-14</v>
      </c>
      <c r="FG45" s="13">
        <f t="shared" si="47"/>
        <v>8.3482866290946129E-13</v>
      </c>
      <c r="FH45" s="20">
        <f t="shared" si="22"/>
        <v>1.5435705246133045E-12</v>
      </c>
      <c r="FI45" s="59">
        <f t="shared" si="23"/>
        <v>293.33333333333485</v>
      </c>
      <c r="FJ45" s="59">
        <f ca="1">AVERAGE(OFFSET($FI$3,0,0,'Données projet'!$E$16+1,1))-AVERAGE(OFFSET($H$3,0,0,'Données projet'!$E$16+1,1))</f>
        <v>179.50097986986123</v>
      </c>
      <c r="FK45" s="59">
        <f t="shared" si="48"/>
        <v>287.11838730637578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>
        <f>EXP(-LN(2)/35)*FQ44+(1-EXP(-LN(2)/35))/(LN(2)/35)*FM45*FN45*VLOOKUP('Données projet'!$B$16,Paramètres!$A$1:$I$89,3,0)*0.475*44/12</f>
        <v>0.49151788120068823</v>
      </c>
      <c r="FR45" s="21">
        <f>EXP(-LN(2)/25)*FR44+(1-EXP(-LN(2)/25))/(LN(2)/25)*Calculateur!FM45*Calculateur!FO45*VLOOKUP('Données projet'!$B$16,Paramètres!$A$1:$I$89,3,0)*0.475*44/12</f>
        <v>4.5123946812578861</v>
      </c>
      <c r="FS45" s="21">
        <f>EXP(-LN(2)/2)*FS44+(1-EXP(-LN(2)/2))/(LN(2)/2)*FM45*FP45*VLOOKUP('Données projet'!$B$16,Paramètres!$A$1:$I$89,3,0)*0.475*44/12</f>
        <v>7.0637437898836419E-2</v>
      </c>
      <c r="FT45" s="22">
        <f t="shared" si="24"/>
        <v>5.0745500003574113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10.7</v>
      </c>
      <c r="FZ45" s="12">
        <f>IF('Données projet'!$A$244&gt;35,FZ44+FY45-GH44,IF(A45&lt;'Données projet'!$A$244,$FW$205^A45,IF(A45='Données projet'!$A$244,'Données projet'!$B$244,FZ44+FY45-GH44)))</f>
        <v>198.39999999999995</v>
      </c>
      <c r="GA45" s="17">
        <f>FZ45*VLOOKUP('Données projet'!$B$17,Paramètres!$A$1:$I$89,3,0)*VLOOKUP('Données projet'!$B$17,Paramètres!$A$1:$I$89,5,0)</f>
        <v>118.64319999999998</v>
      </c>
      <c r="GB45" s="13">
        <f t="shared" si="49"/>
        <v>31.35833885368346</v>
      </c>
      <c r="GC45" s="20">
        <f t="shared" si="25"/>
        <v>261.25268017016526</v>
      </c>
      <c r="GD45" s="59">
        <f t="shared" si="26"/>
        <v>554.58601350349863</v>
      </c>
      <c r="GE45" s="59">
        <f ca="1">AVERAGE(OFFSET($GD$3,0,0,'Données projet'!$E$17+1,1))-AVERAGE(OFFSET($H$3,0,0,'Données projet'!$E$17+1,1))</f>
        <v>165.39579887388538</v>
      </c>
      <c r="GF45" s="59">
        <f t="shared" si="50"/>
        <v>155.89639262545802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>
        <f>EXP(-LN(2)/35)*GL44+(1-EXP(-LN(2)/35))/(LN(2)/35)*GH45*GI45*VLOOKUP('Données projet'!$B$17,Paramètres!$A$1:$I$89,3,0)*0.475*44/12</f>
        <v>0</v>
      </c>
      <c r="GM45" s="21">
        <f>EXP(-LN(2)/25)*GM44+(1-EXP(-LN(2)/25))/(LN(2)/25)*Calculateur!GH45*Calculateur!GJ45*VLOOKUP('Données projet'!$B$17,Paramètres!$A$1:$I$89,3,0)*0.475*44/12</f>
        <v>5.2262256751945531</v>
      </c>
      <c r="GN45" s="21">
        <f>EXP(-LN(2)/2)*GN44+(1-EXP(-LN(2)/2))/(LN(2)/2)*GH45*GK45*VLOOKUP('Données projet'!$B$17,Paramètres!$A$1:$I$89,3,0)*0.475*44/12</f>
        <v>0.21687555836526487</v>
      </c>
      <c r="GO45" s="21">
        <f t="shared" si="27"/>
        <v>5.4431012335598181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15.5</v>
      </c>
      <c r="N46" s="13">
        <f>IF('Données projet'!$A$36&gt;35,N45+M46-V45,IF(A46&lt;'Données projet'!$A$36,$K$205^A46,IF(A46='Données projet'!$A$36,'Données projet'!$B$36,N45+M46-V45)))</f>
        <v>291.50000000000011</v>
      </c>
      <c r="O46" s="13">
        <f>N46*VLOOKUP('Données projet'!$B$9,Paramètres!$A$1:$I$89,3,0)*VLOOKUP('Données projet'!$B$9,Paramètres!$A$1:$I$89,5,0)</f>
        <v>162.94850000000005</v>
      </c>
      <c r="P46" s="13">
        <f t="shared" si="33"/>
        <v>41.506849386988783</v>
      </c>
      <c r="Q46" s="20">
        <f t="shared" si="53"/>
        <v>356.09306684900554</v>
      </c>
      <c r="R46" s="59">
        <f t="shared" si="0"/>
        <v>649.42640018233885</v>
      </c>
      <c r="S46" s="59">
        <f ca="1">AVERAGE(OFFSET($R$3,0,0,'Données projet'!$E$9+1,1))-AVERAGE(OFFSET($H$3,0,0,'Données projet'!$E$9+1,1))</f>
        <v>235.10258076192054</v>
      </c>
      <c r="T46" s="59">
        <f t="shared" si="34"/>
        <v>233.47316052603765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2.6483232826694643</v>
      </c>
      <c r="AA46" s="21">
        <f>EXP(-LN(2)/25)*AA45+(1-EXP(-LN(2)/25))/(LN(2)/25)*Calculateur!V46*Calculateur!X46*VLOOKUP('Données projet'!$B$9,Paramètres!$A$1:$I$89,3,0)*0.475*44/12</f>
        <v>12.85596930190891</v>
      </c>
      <c r="AB46" s="21">
        <f>EXP(-LN(2)/2)*AB45+(1-EXP(-LN(2)/2))/(LN(2)/2)*V46*Y46*VLOOKUP('Données projet'!$B$9,Paramètres!$A$1:$I$89,3,0)*0.475*44/12</f>
        <v>0.26651386816303974</v>
      </c>
      <c r="AC46" s="22">
        <f t="shared" si="3"/>
        <v>15.770806452741414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7.2</v>
      </c>
      <c r="AI46" s="13">
        <f>IF('Données projet'!$A$62&gt;35,AI45+AH46-AQ45,IF(A46&lt;'Données projet'!$A$62,$AF$205^A46,IF(A46='Données projet'!$A$62,'Données projet'!$B$62,AI45+AH46-AQ45)))</f>
        <v>163.59999999999982</v>
      </c>
      <c r="AJ46" s="13">
        <f>AI46*VLOOKUP('Données projet'!$B$10,Paramètres!$A$1:$I$89,3,0)*VLOOKUP('Données projet'!$B$10,Paramètres!$A$1:$I$89,5,0)</f>
        <v>142.92095999999987</v>
      </c>
      <c r="AK46" s="13">
        <f t="shared" si="35"/>
        <v>36.965350113713619</v>
      </c>
      <c r="AL46" s="20">
        <f t="shared" si="4"/>
        <v>313.30199011471763</v>
      </c>
      <c r="AM46" s="59">
        <f t="shared" si="5"/>
        <v>606.63532344805094</v>
      </c>
      <c r="AN46" s="59">
        <f ca="1">AVERAGE(OFFSET($AM$3,0,0,'Données projet'!$E$10+1,1))-AVERAGE(OFFSET($H$3,0,0,'Données projet'!$E$10+1,1))</f>
        <v>191.94797389630673</v>
      </c>
      <c r="AO46" s="59">
        <f t="shared" si="36"/>
        <v>273.52540822767878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1.9902550730364463</v>
      </c>
      <c r="AV46" s="21">
        <f>EXP(-LN(2)/25)*AV45+(1-EXP(-LN(2)/25))/(LN(2)/25)*Calculateur!AQ46*Calculateur!AS46*VLOOKUP('Données projet'!$B$10,Paramètres!$A$1:$I$89,3,0)*0.475*44/12</f>
        <v>9.7967848493256646</v>
      </c>
      <c r="AW46" s="21">
        <f>EXP(-LN(2)/2)*AW45+(1-EXP(-LN(2)/2))/(LN(2)/2)*AQ46*AT46*VLOOKUP('Données projet'!$B$10,Paramètres!$A$1:$I$89,3,0)*0.475*44/12</f>
        <v>0.25636004898119291</v>
      </c>
      <c r="AX46" s="21">
        <f t="shared" si="6"/>
        <v>12.043399971343304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</v>
      </c>
      <c r="BD46" s="12">
        <f>IF('Données projet'!$A$88&gt;35,BD45+BC46-BL45,IF(A46&lt;'Données projet'!$A$88,$BA$205^A46,IF(A46='Données projet'!$A$88,'Données projet'!$B$88,BD45+BC46-BL45)))</f>
        <v>95.8</v>
      </c>
      <c r="BE46" s="13">
        <f>BD46*VLOOKUP('Données projet'!$B$11,Paramètres!$A$1:$I$89,3,0)*VLOOKUP('Données projet'!$B$11,Paramètres!$A$1:$I$89,5,0)</f>
        <v>86.679839999999999</v>
      </c>
      <c r="BF46" s="13">
        <f t="shared" si="37"/>
        <v>23.762739053789723</v>
      </c>
      <c r="BG46" s="20">
        <f t="shared" si="7"/>
        <v>192.35415851868379</v>
      </c>
      <c r="BH46" s="59">
        <f t="shared" si="8"/>
        <v>485.6874918520171</v>
      </c>
      <c r="BI46" s="59">
        <f ca="1">AVERAGE(OFFSET($BH$3,0,0,'Données projet'!$E$11+1,1))-AVERAGE(OFFSET($H$3,0,0,'Données projet'!$E$11+1,1))</f>
        <v>138.8931001150624</v>
      </c>
      <c r="BJ46" s="59">
        <f t="shared" si="38"/>
        <v>48.964659354096625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5.6</v>
      </c>
      <c r="BY46" s="12">
        <f>IF('Données projet'!$A$114&gt;35,BY45+BX46-CG45,IF(A46&lt;'Données projet'!$A$114,$BV$205^A46,IF(A46='Données projet'!$A$114,'Données projet'!$B$114,BY45+BX46-CG45)))</f>
        <v>95.8</v>
      </c>
      <c r="BZ46" s="13">
        <f>BY46*VLOOKUP('Données projet'!$B$12,Paramètres!$A$1:$I$89,3,0)*VLOOKUP('Données projet'!$B$12,Paramètres!$A$1:$I$89,5,0)</f>
        <v>97.141200000000012</v>
      </c>
      <c r="CA46" s="13">
        <f t="shared" si="39"/>
        <v>26.279782450761708</v>
      </c>
      <c r="CB46" s="20">
        <f t="shared" si="10"/>
        <v>214.95821110174333</v>
      </c>
      <c r="CC46" s="59">
        <f t="shared" si="11"/>
        <v>508.29154443507662</v>
      </c>
      <c r="CD46" s="59">
        <f ca="1">AVERAGE(OFFSET($CC$3,0,0,'Données projet'!$E$12+1,1))-AVERAGE(OFFSET($H$3,0,0,'Données projet'!$E$12+1,1))</f>
        <v>169.2757878405003</v>
      </c>
      <c r="CE46" s="59">
        <f t="shared" si="40"/>
        <v>61.876502626609977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6</v>
      </c>
      <c r="CT46" s="12">
        <f>IF('Données projet'!$A$140&gt;35,CT45+CS46-DB45,IF(A46&lt;'Données projet'!$A$140,$CQ$205^A46,IF(A46='Données projet'!$A$140,'Données projet'!$B$140,CT45+CS46-DB45)))</f>
        <v>149.99999999999997</v>
      </c>
      <c r="CU46" s="17">
        <f>CT46*VLOOKUP('Données projet'!$B$13,Paramètres!$A$1:$I$89,3,0)*VLOOKUP('Données projet'!$B$13,Paramètres!$A$1:$I$89,5,0)</f>
        <v>119.33999999999997</v>
      </c>
      <c r="CV46" s="13">
        <f t="shared" si="41"/>
        <v>31.521015757082434</v>
      </c>
      <c r="CW46" s="20">
        <f t="shared" si="13"/>
        <v>262.74960244358516</v>
      </c>
      <c r="CX46" s="59">
        <f t="shared" si="14"/>
        <v>556.08293577691848</v>
      </c>
      <c r="CY46" s="59">
        <f ca="1">AVERAGE(OFFSET($CX$3,0,0,'Données projet'!$E$13+1,1))-AVERAGE(OFFSET($H$3,0,0,'Données projet'!$E$13+1,1))</f>
        <v>141.12810728817544</v>
      </c>
      <c r="CZ46" s="59">
        <f t="shared" si="42"/>
        <v>176.01405805137551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>
        <f>EXP(-LN(2)/35)*DF45+(1-EXP(-LN(2)/35))/(LN(2)/35)*DB46*DC46*VLOOKUP('Données projet'!$B$13,Paramètres!$A$1:$I$89,3,0)*0.475*44/12</f>
        <v>0</v>
      </c>
      <c r="DG46" s="21">
        <f>EXP(-LN(2)/25)*DG45+(1-EXP(-LN(2)/25))/(LN(2)/25)*Calculateur!DB46*Calculateur!DD46*VLOOKUP('Données projet'!$B$13,Paramètres!$A$1:$I$89,3,0)*0.475*44/12</f>
        <v>4.6881343341023642</v>
      </c>
      <c r="DH46" s="21">
        <f>EXP(-LN(2)/2)*DH45+(1-EXP(-LN(2)/2))/(LN(2)/2)*DB46*DE46*VLOOKUP('Données projet'!$B$13,Paramètres!$A$1:$I$89,3,0)*0.475*44/12</f>
        <v>8.8445711004036809E-2</v>
      </c>
      <c r="DI46" s="22">
        <f t="shared" si="15"/>
        <v>4.7765800451064013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10.7</v>
      </c>
      <c r="DO46" s="12">
        <f>IF('Données projet'!$A$166&gt;35,DO45+DN46-DW45,IF(A46&lt;'Données projet'!$A$166,$DL$205^A46,IF(A46='Données projet'!$A$166,'Données projet'!$B$166,DO45+DN46-DW45)))</f>
        <v>209.09999999999994</v>
      </c>
      <c r="DP46" s="17">
        <f>DO46*VLOOKUP('Données projet'!$B$14,Paramètres!$A$1:$I$89,3,0)*VLOOKUP('Données projet'!$B$14,Paramètres!$A$1:$I$89,5,0)</f>
        <v>125.04179999999998</v>
      </c>
      <c r="DQ46" s="13">
        <f t="shared" si="43"/>
        <v>32.84808489416227</v>
      </c>
      <c r="DR46" s="20">
        <f t="shared" si="16"/>
        <v>274.99154952399925</v>
      </c>
      <c r="DS46" s="59">
        <f t="shared" si="17"/>
        <v>568.32488285733257</v>
      </c>
      <c r="DT46" s="59">
        <f ca="1">AVERAGE(OFFSET($DS$3,0,0,'Données projet'!$E$14+1,1))-AVERAGE(OFFSET($H$3,0,0,'Données projet'!$E$14+1,1))</f>
        <v>165.39579887388538</v>
      </c>
      <c r="DU46" s="59">
        <f t="shared" si="44"/>
        <v>155.89639262545802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>
        <f>EXP(-LN(2)/35)*EA45+(1-EXP(-LN(2)/35))/(LN(2)/35)*DW46*DX46*VLOOKUP('Données projet'!$B$14,Paramètres!$A$1:$I$89,3,0)*0.475*44/12</f>
        <v>0</v>
      </c>
      <c r="EB46" s="21">
        <f>EXP(-LN(2)/25)*EB45+(1-EXP(-LN(2)/25))/(LN(2)/25)*Calculateur!DW46*Calculateur!DY46*VLOOKUP('Données projet'!$B$14,Paramètres!$A$1:$I$89,3,0)*0.475*44/12</f>
        <v>5.083314259271094</v>
      </c>
      <c r="EC46" s="21">
        <f>EXP(-LN(2)/2)*EC45+(1-EXP(-LN(2)/2))/(LN(2)/2)*DW46*DZ46*VLOOKUP('Données projet'!$B$14,Paramètres!$A$1:$I$89,3,0)*0.475*44/12</f>
        <v>0.15335417799369766</v>
      </c>
      <c r="ED46" s="22">
        <f t="shared" si="18"/>
        <v>5.2366684372647914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5.6</v>
      </c>
      <c r="EJ46" s="12">
        <f>IF('Données projet'!$A$192&gt;35,EJ45+EI46-ER45,IF(A46&lt;'Données projet'!$A$192,$EG$205^A46,IF(A46='Données projet'!$A$192,'Données projet'!$B$192,EJ45+EI46-ER45)))</f>
        <v>95.8</v>
      </c>
      <c r="EK46" s="17">
        <f>EJ46*VLOOKUP('Données projet'!$B$15,Paramètres!$A$1:$I$89,3,0)*VLOOKUP('Données projet'!$B$15,Paramètres!$A$1:$I$89,5,0)</f>
        <v>74.724000000000004</v>
      </c>
      <c r="EL46" s="13">
        <f t="shared" si="45"/>
        <v>20.842097328180586</v>
      </c>
      <c r="EM46" s="20">
        <f t="shared" si="19"/>
        <v>166.44428617991454</v>
      </c>
      <c r="EN46" s="59">
        <f t="shared" si="20"/>
        <v>459.77761951324783</v>
      </c>
      <c r="EO46" s="59">
        <f ca="1">AVERAGE(OFFSET($EN$3,0,0,'Données projet'!$E$15+1,1))-AVERAGE(OFFSET($H$3,0,0,'Données projet'!$E$15+1,1))</f>
        <v>104.07220236158577</v>
      </c>
      <c r="EP46" s="59">
        <f t="shared" si="46"/>
        <v>34.162068257911756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>
        <f>EXP(-LN(2)/35)*EV45+(1-EXP(-LN(2)/35))/(LN(2)/35)*ER46*ES46*VLOOKUP('Données projet'!$B$15,Paramètres!$A$1:$I$89,3,0)*0.475*44/12</f>
        <v>0</v>
      </c>
      <c r="EW46" s="21">
        <f>EXP(-LN(2)/25)*EW45+(1-EXP(-LN(2)/25))/(LN(2)/25)*Calculateur!ER46*Calculateur!ET46*VLOOKUP('Données projet'!$B$15,Paramètres!$A$1:$I$89,3,0)*0.475*44/12</f>
        <v>0</v>
      </c>
      <c r="EX46" s="21">
        <f>EXP(-LN(2)/2)*EX45+(1-EXP(-LN(2)/2))/(LN(2)/2)*ER46*EU46*VLOOKUP('Données projet'!$B$15,Paramètres!$A$1:$I$89,3,0)*0.475*44/12</f>
        <v>0</v>
      </c>
      <c r="EY46" s="22">
        <f t="shared" si="21"/>
        <v>0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5.6843418860808015E-14</v>
      </c>
      <c r="FF46" s="17">
        <f>FE46*VLOOKUP('Données projet'!$B$16,Paramètres!$A$1:$I$89,3,0)*VLOOKUP('Données projet'!$B$16,Paramètres!$A$1:$I$89,5,0)</f>
        <v>5.1431925385259088E-14</v>
      </c>
      <c r="FG46" s="13">
        <f t="shared" si="47"/>
        <v>8.3482866290946129E-13</v>
      </c>
      <c r="FH46" s="20">
        <f t="shared" si="22"/>
        <v>1.5435705246133045E-12</v>
      </c>
      <c r="FI46" s="59">
        <f t="shared" si="23"/>
        <v>293.33333333333485</v>
      </c>
      <c r="FJ46" s="59">
        <f ca="1">AVERAGE(OFFSET($FI$3,0,0,'Données projet'!$E$16+1,1))-AVERAGE(OFFSET($H$3,0,0,'Données projet'!$E$16+1,1))</f>
        <v>179.50097986986123</v>
      </c>
      <c r="FK46" s="59">
        <f t="shared" si="48"/>
        <v>287.11838730637578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>
        <f>EXP(-LN(2)/35)*FQ45+(1-EXP(-LN(2)/35))/(LN(2)/35)*FM46*FN46*VLOOKUP('Données projet'!$B$16,Paramètres!$A$1:$I$89,3,0)*0.475*44/12</f>
        <v>0.48187951534664786</v>
      </c>
      <c r="FR46" s="21">
        <f>EXP(-LN(2)/25)*FR45+(1-EXP(-LN(2)/25))/(LN(2)/25)*Calculateur!FM46*Calculateur!FO46*VLOOKUP('Données projet'!$B$16,Paramètres!$A$1:$I$89,3,0)*0.475*44/12</f>
        <v>4.3890030114023659</v>
      </c>
      <c r="FS46" s="21">
        <f>EXP(-LN(2)/2)*FS45+(1-EXP(-LN(2)/2))/(LN(2)/2)*FM46*FP46*VLOOKUP('Données projet'!$B$16,Paramètres!$A$1:$I$89,3,0)*0.475*44/12</f>
        <v>4.9948211343910864E-2</v>
      </c>
      <c r="FT46" s="22">
        <f t="shared" si="24"/>
        <v>4.920830738092925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10.7</v>
      </c>
      <c r="FZ46" s="12">
        <f>IF('Données projet'!$A$244&gt;35,FZ45+FY46-GH45,IF(A46&lt;'Données projet'!$A$244,$FW$205^A46,IF(A46='Données projet'!$A$244,'Données projet'!$B$244,FZ45+FY46-GH45)))</f>
        <v>209.09999999999994</v>
      </c>
      <c r="GA46" s="17">
        <f>FZ46*VLOOKUP('Données projet'!$B$17,Paramètres!$A$1:$I$89,3,0)*VLOOKUP('Données projet'!$B$17,Paramètres!$A$1:$I$89,5,0)</f>
        <v>125.04179999999998</v>
      </c>
      <c r="GB46" s="13">
        <f t="shared" si="49"/>
        <v>32.84808489416227</v>
      </c>
      <c r="GC46" s="20">
        <f t="shared" si="25"/>
        <v>274.99154952399925</v>
      </c>
      <c r="GD46" s="59">
        <f t="shared" si="26"/>
        <v>568.32488285733257</v>
      </c>
      <c r="GE46" s="59">
        <f ca="1">AVERAGE(OFFSET($GD$3,0,0,'Données projet'!$E$17+1,1))-AVERAGE(OFFSET($H$3,0,0,'Données projet'!$E$17+1,1))</f>
        <v>165.39579887388538</v>
      </c>
      <c r="GF46" s="59">
        <f t="shared" si="50"/>
        <v>155.89639262545802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>
        <f>EXP(-LN(2)/35)*GL45+(1-EXP(-LN(2)/35))/(LN(2)/35)*GH46*GI46*VLOOKUP('Données projet'!$B$17,Paramètres!$A$1:$I$89,3,0)*0.475*44/12</f>
        <v>0</v>
      </c>
      <c r="GM46" s="21">
        <f>EXP(-LN(2)/25)*GM45+(1-EXP(-LN(2)/25))/(LN(2)/25)*Calculateur!GH46*Calculateur!GJ46*VLOOKUP('Données projet'!$B$17,Paramètres!$A$1:$I$89,3,0)*0.475*44/12</f>
        <v>5.083314259271094</v>
      </c>
      <c r="GN46" s="21">
        <f>EXP(-LN(2)/2)*GN45+(1-EXP(-LN(2)/2))/(LN(2)/2)*GH46*GK46*VLOOKUP('Données projet'!$B$17,Paramètres!$A$1:$I$89,3,0)*0.475*44/12</f>
        <v>0.15335417799369766</v>
      </c>
      <c r="GO46" s="21">
        <f t="shared" si="27"/>
        <v>5.2366684372647914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15.5</v>
      </c>
      <c r="N47" s="13">
        <f>IF('Données projet'!$A$36&gt;35,N46+M47-V46,IF(A47&lt;'Données projet'!$A$36,$K$205^A47,IF(A47='Données projet'!$A$36,'Données projet'!$B$36,N46+M47-V46)))</f>
        <v>307.00000000000011</v>
      </c>
      <c r="O47" s="13">
        <f>N47*VLOOKUP('Données projet'!$B$9,Paramètres!$A$1:$I$89,3,0)*VLOOKUP('Données projet'!$B$9,Paramètres!$A$1:$I$89,5,0)</f>
        <v>171.61300000000006</v>
      </c>
      <c r="P47" s="13">
        <f t="shared" si="33"/>
        <v>43.451083136311397</v>
      </c>
      <c r="Q47" s="20">
        <f t="shared" si="53"/>
        <v>374.56994479574246</v>
      </c>
      <c r="R47" s="59">
        <f t="shared" si="0"/>
        <v>667.90327812907572</v>
      </c>
      <c r="S47" s="59">
        <f ca="1">AVERAGE(OFFSET($R$3,0,0,'Données projet'!$E$9+1,1))-AVERAGE(OFFSET($H$3,0,0,'Données projet'!$E$9+1,1))</f>
        <v>235.10258076192054</v>
      </c>
      <c r="T47" s="59">
        <f t="shared" si="34"/>
        <v>233.47316052603765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2.5963912784140191</v>
      </c>
      <c r="AA47" s="21">
        <f>EXP(-LN(2)/25)*AA46+(1-EXP(-LN(2)/25))/(LN(2)/25)*Calculateur!V47*Calculateur!X47*VLOOKUP('Données projet'!$B$9,Paramètres!$A$1:$I$89,3,0)*0.475*44/12</f>
        <v>12.504422145282168</v>
      </c>
      <c r="AB47" s="21">
        <f>EXP(-LN(2)/2)*AB46+(1-EXP(-LN(2)/2))/(LN(2)/2)*V47*Y47*VLOOKUP('Données projet'!$B$9,Paramètres!$A$1:$I$89,3,0)*0.475*44/12</f>
        <v>0.18845376345834292</v>
      </c>
      <c r="AC47" s="22">
        <f t="shared" si="3"/>
        <v>15.289267187154531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7.2</v>
      </c>
      <c r="AI47" s="13">
        <f>IF('Données projet'!$A$62&gt;35,AI46+AH47-AQ46,IF(A47&lt;'Données projet'!$A$62,$AF$205^A47,IF(A47='Données projet'!$A$62,'Données projet'!$B$62,AI46+AH47-AQ46)))</f>
        <v>170.79999999999981</v>
      </c>
      <c r="AJ47" s="13">
        <f>AI47*VLOOKUP('Données projet'!$B$10,Paramètres!$A$1:$I$89,3,0)*VLOOKUP('Données projet'!$B$10,Paramètres!$A$1:$I$89,5,0)</f>
        <v>149.21087999999986</v>
      </c>
      <c r="AK47" s="13">
        <f t="shared" si="35"/>
        <v>38.399200254302187</v>
      </c>
      <c r="AL47" s="20">
        <f t="shared" si="4"/>
        <v>326.754223109576</v>
      </c>
      <c r="AM47" s="59">
        <f t="shared" si="5"/>
        <v>620.08755644290932</v>
      </c>
      <c r="AN47" s="59">
        <f ca="1">AVERAGE(OFFSET($AM$3,0,0,'Données projet'!$E$10+1,1))-AVERAGE(OFFSET($H$3,0,0,'Données projet'!$E$10+1,1))</f>
        <v>191.94797389630673</v>
      </c>
      <c r="AO47" s="59">
        <f t="shared" si="36"/>
        <v>273.52540822767878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1.95122738498993</v>
      </c>
      <c r="AV47" s="21">
        <f>EXP(-LN(2)/25)*AV46+(1-EXP(-LN(2)/25))/(LN(2)/25)*Calculateur!AQ47*Calculateur!AS47*VLOOKUP('Données projet'!$B$10,Paramètres!$A$1:$I$89,3,0)*0.475*44/12</f>
        <v>9.5288912524303306</v>
      </c>
      <c r="AW47" s="21">
        <f>EXP(-LN(2)/2)*AW46+(1-EXP(-LN(2)/2))/(LN(2)/2)*AQ47*AT47*VLOOKUP('Données projet'!$B$10,Paramètres!$A$1:$I$89,3,0)*0.475*44/12</f>
        <v>0.18127392905991699</v>
      </c>
      <c r="AX47" s="21">
        <f t="shared" si="6"/>
        <v>11.661392566480178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</v>
      </c>
      <c r="BD47" s="12">
        <f>IF('Données projet'!$A$88&gt;35,BD46+BC47-BL46,IF(A47&lt;'Données projet'!$A$88,$BA$205^A47,IF(A47='Données projet'!$A$88,'Données projet'!$B$88,BD46+BC47-BL46)))</f>
        <v>101.39999999999999</v>
      </c>
      <c r="BE47" s="13">
        <f>BD47*VLOOKUP('Données projet'!$B$11,Paramètres!$A$1:$I$89,3,0)*VLOOKUP('Données projet'!$B$11,Paramètres!$A$1:$I$89,5,0)</f>
        <v>91.746719999999982</v>
      </c>
      <c r="BF47" s="13">
        <f t="shared" si="37"/>
        <v>24.986019358738364</v>
      </c>
      <c r="BG47" s="20">
        <f t="shared" si="7"/>
        <v>203.30952104980258</v>
      </c>
      <c r="BH47" s="59">
        <f t="shared" si="8"/>
        <v>496.6428543831359</v>
      </c>
      <c r="BI47" s="59">
        <f ca="1">AVERAGE(OFFSET($BH$3,0,0,'Données projet'!$E$11+1,1))-AVERAGE(OFFSET($H$3,0,0,'Données projet'!$E$11+1,1))</f>
        <v>138.8931001150624</v>
      </c>
      <c r="BJ47" s="59">
        <f t="shared" si="38"/>
        <v>48.964659354096625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5.6</v>
      </c>
      <c r="BY47" s="12">
        <f>IF('Données projet'!$A$114&gt;35,BY46+BX47-CG46,IF(A47&lt;'Données projet'!$A$114,$BV$205^A47,IF(A47='Données projet'!$A$114,'Données projet'!$B$114,BY46+BX47-CG46)))</f>
        <v>101.39999999999999</v>
      </c>
      <c r="BZ47" s="13">
        <f>BY47*VLOOKUP('Données projet'!$B$12,Paramètres!$A$1:$I$89,3,0)*VLOOKUP('Données projet'!$B$12,Paramètres!$A$1:$I$89,5,0)</f>
        <v>102.81959999999999</v>
      </c>
      <c r="CA47" s="13">
        <f t="shared" si="39"/>
        <v>27.632637448562328</v>
      </c>
      <c r="CB47" s="20">
        <f t="shared" si="10"/>
        <v>227.20431355624603</v>
      </c>
      <c r="CC47" s="59">
        <f t="shared" si="11"/>
        <v>520.53764688957938</v>
      </c>
      <c r="CD47" s="59">
        <f ca="1">AVERAGE(OFFSET($CC$3,0,0,'Données projet'!$E$12+1,1))-AVERAGE(OFFSET($H$3,0,0,'Données projet'!$E$12+1,1))</f>
        <v>169.2757878405003</v>
      </c>
      <c r="CE47" s="59">
        <f t="shared" si="40"/>
        <v>61.876502626609977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6</v>
      </c>
      <c r="CT47" s="12">
        <f>IF('Données projet'!$A$140&gt;35,CT46+CS47-DB46,IF(A47&lt;'Données projet'!$A$140,$CQ$205^A47,IF(A47='Données projet'!$A$140,'Données projet'!$B$140,CT46+CS47-DB46)))</f>
        <v>155.99999999999997</v>
      </c>
      <c r="CU47" s="17">
        <f>CT47*VLOOKUP('Données projet'!$B$13,Paramètres!$A$1:$I$89,3,0)*VLOOKUP('Données projet'!$B$13,Paramètres!$A$1:$I$89,5,0)</f>
        <v>124.11359999999999</v>
      </c>
      <c r="CV47" s="13">
        <f t="shared" si="41"/>
        <v>32.632538771598028</v>
      </c>
      <c r="CW47" s="20">
        <f t="shared" si="13"/>
        <v>272.99952502719992</v>
      </c>
      <c r="CX47" s="59">
        <f t="shared" si="14"/>
        <v>566.33285836053324</v>
      </c>
      <c r="CY47" s="59">
        <f ca="1">AVERAGE(OFFSET($CX$3,0,0,'Données projet'!$E$13+1,1))-AVERAGE(OFFSET($H$3,0,0,'Données projet'!$E$13+1,1))</f>
        <v>141.12810728817544</v>
      </c>
      <c r="CZ47" s="59">
        <f t="shared" si="42"/>
        <v>176.01405805137551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>
        <f>EXP(-LN(2)/35)*DF46+(1-EXP(-LN(2)/35))/(LN(2)/35)*DB47*DC47*VLOOKUP('Données projet'!$B$13,Paramètres!$A$1:$I$89,3,0)*0.475*44/12</f>
        <v>0</v>
      </c>
      <c r="DG47" s="21">
        <f>EXP(-LN(2)/25)*DG46+(1-EXP(-LN(2)/25))/(LN(2)/25)*Calculateur!DB47*Calculateur!DD47*VLOOKUP('Données projet'!$B$13,Paramètres!$A$1:$I$89,3,0)*0.475*44/12</f>
        <v>4.5599370541980653</v>
      </c>
      <c r="DH47" s="21">
        <f>EXP(-LN(2)/2)*DH46+(1-EXP(-LN(2)/2))/(LN(2)/2)*DB47*DE47*VLOOKUP('Données projet'!$B$13,Paramètres!$A$1:$I$89,3,0)*0.475*44/12</f>
        <v>6.2540562017820073E-2</v>
      </c>
      <c r="DI47" s="22">
        <f t="shared" si="15"/>
        <v>4.6224776162158854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10.7</v>
      </c>
      <c r="DO47" s="12">
        <f>IF('Données projet'!$A$166&gt;35,DO46+DN47-DW46,IF(A47&lt;'Données projet'!$A$166,$DL$205^A47,IF(A47='Données projet'!$A$166,'Données projet'!$B$166,DO46+DN47-DW46)))</f>
        <v>219.79999999999993</v>
      </c>
      <c r="DP47" s="17">
        <f>DO47*VLOOKUP('Données projet'!$B$14,Paramètres!$A$1:$I$89,3,0)*VLOOKUP('Données projet'!$B$14,Paramètres!$A$1:$I$89,5,0)</f>
        <v>131.44039999999998</v>
      </c>
      <c r="DQ47" s="13">
        <f t="shared" si="43"/>
        <v>34.328979730885372</v>
      </c>
      <c r="DR47" s="20">
        <f t="shared" si="16"/>
        <v>288.71500303129199</v>
      </c>
      <c r="DS47" s="59">
        <f t="shared" si="17"/>
        <v>582.04833636462536</v>
      </c>
      <c r="DT47" s="59">
        <f ca="1">AVERAGE(OFFSET($DS$3,0,0,'Données projet'!$E$14+1,1))-AVERAGE(OFFSET($H$3,0,0,'Données projet'!$E$14+1,1))</f>
        <v>165.39579887388538</v>
      </c>
      <c r="DU47" s="59">
        <f t="shared" si="44"/>
        <v>155.89639262545802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>
        <f>EXP(-LN(2)/35)*EA46+(1-EXP(-LN(2)/35))/(LN(2)/35)*DW47*DX47*VLOOKUP('Données projet'!$B$14,Paramètres!$A$1:$I$89,3,0)*0.475*44/12</f>
        <v>0</v>
      </c>
      <c r="EB47" s="21">
        <f>EXP(-LN(2)/25)*EB46+(1-EXP(-LN(2)/25))/(LN(2)/25)*Calculateur!DW47*Calculateur!DY47*VLOOKUP('Données projet'!$B$14,Paramètres!$A$1:$I$89,3,0)*0.475*44/12</f>
        <v>4.9443107635314467</v>
      </c>
      <c r="EC47" s="21">
        <f>EXP(-LN(2)/2)*EC46+(1-EXP(-LN(2)/2))/(LN(2)/2)*DW47*DZ47*VLOOKUP('Données projet'!$B$14,Paramètres!$A$1:$I$89,3,0)*0.475*44/12</f>
        <v>0.10843777918263243</v>
      </c>
      <c r="ED47" s="22">
        <f t="shared" si="18"/>
        <v>5.0527485427140792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5.6</v>
      </c>
      <c r="EJ47" s="12">
        <f>IF('Données projet'!$A$192&gt;35,EJ46+EI47-ER46,IF(A47&lt;'Données projet'!$A$192,$EG$205^A47,IF(A47='Données projet'!$A$192,'Données projet'!$B$192,EJ46+EI47-ER46)))</f>
        <v>101.39999999999999</v>
      </c>
      <c r="EK47" s="17">
        <f>EJ47*VLOOKUP('Données projet'!$B$15,Paramètres!$A$1:$I$89,3,0)*VLOOKUP('Données projet'!$B$15,Paramètres!$A$1:$I$89,5,0)</f>
        <v>79.091999999999999</v>
      </c>
      <c r="EL47" s="13">
        <f t="shared" si="45"/>
        <v>21.915026131449999</v>
      </c>
      <c r="EM47" s="20">
        <f t="shared" si="19"/>
        <v>175.92057051227539</v>
      </c>
      <c r="EN47" s="59">
        <f t="shared" si="20"/>
        <v>469.2539038456087</v>
      </c>
      <c r="EO47" s="59">
        <f ca="1">AVERAGE(OFFSET($EN$3,0,0,'Données projet'!$E$15+1,1))-AVERAGE(OFFSET($H$3,0,0,'Données projet'!$E$15+1,1))</f>
        <v>104.07220236158577</v>
      </c>
      <c r="EP47" s="59">
        <f t="shared" si="46"/>
        <v>34.162068257911756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>
        <f>EXP(-LN(2)/35)*EV46+(1-EXP(-LN(2)/35))/(LN(2)/35)*ER47*ES47*VLOOKUP('Données projet'!$B$15,Paramètres!$A$1:$I$89,3,0)*0.475*44/12</f>
        <v>0</v>
      </c>
      <c r="EW47" s="21">
        <f>EXP(-LN(2)/25)*EW46+(1-EXP(-LN(2)/25))/(LN(2)/25)*Calculateur!ER47*Calculateur!ET47*VLOOKUP('Données projet'!$B$15,Paramètres!$A$1:$I$89,3,0)*0.475*44/12</f>
        <v>0</v>
      </c>
      <c r="EX47" s="21">
        <f>EXP(-LN(2)/2)*EX46+(1-EXP(-LN(2)/2))/(LN(2)/2)*ER47*EU47*VLOOKUP('Données projet'!$B$15,Paramètres!$A$1:$I$89,3,0)*0.475*44/12</f>
        <v>0</v>
      </c>
      <c r="EY47" s="22">
        <f t="shared" si="21"/>
        <v>0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5.6843418860808015E-14</v>
      </c>
      <c r="FF47" s="17">
        <f>FE47*VLOOKUP('Données projet'!$B$16,Paramètres!$A$1:$I$89,3,0)*VLOOKUP('Données projet'!$B$16,Paramètres!$A$1:$I$89,5,0)</f>
        <v>5.1431925385259088E-14</v>
      </c>
      <c r="FG47" s="13">
        <f t="shared" si="47"/>
        <v>8.3482866290946129E-13</v>
      </c>
      <c r="FH47" s="20">
        <f t="shared" si="22"/>
        <v>1.5435705246133045E-12</v>
      </c>
      <c r="FI47" s="59">
        <f t="shared" si="23"/>
        <v>293.33333333333485</v>
      </c>
      <c r="FJ47" s="59">
        <f ca="1">AVERAGE(OFFSET($FI$3,0,0,'Données projet'!$E$16+1,1))-AVERAGE(OFFSET($H$3,0,0,'Données projet'!$E$16+1,1))</f>
        <v>179.50097986986123</v>
      </c>
      <c r="FK47" s="59">
        <f t="shared" si="48"/>
        <v>287.11838730637578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>
        <f>EXP(-LN(2)/35)*FQ46+(1-EXP(-LN(2)/35))/(LN(2)/35)*FM47*FN47*VLOOKUP('Données projet'!$B$16,Paramètres!$A$1:$I$89,3,0)*0.475*44/12</f>
        <v>0.4724301519681825</v>
      </c>
      <c r="FR47" s="21">
        <f>EXP(-LN(2)/25)*FR46+(1-EXP(-LN(2)/25))/(LN(2)/25)*Calculateur!FM47*Calculateur!FO47*VLOOKUP('Données projet'!$B$16,Paramètres!$A$1:$I$89,3,0)*0.475*44/12</f>
        <v>4.2689854932479312</v>
      </c>
      <c r="FS47" s="21">
        <f>EXP(-LN(2)/2)*FS46+(1-EXP(-LN(2)/2))/(LN(2)/2)*FM47*FP47*VLOOKUP('Données projet'!$B$16,Paramètres!$A$1:$I$89,3,0)*0.475*44/12</f>
        <v>3.531871894941821E-2</v>
      </c>
      <c r="FT47" s="22">
        <f t="shared" si="24"/>
        <v>4.7767343641655318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10.7</v>
      </c>
      <c r="FZ47" s="12">
        <f>IF('Données projet'!$A$244&gt;35,FZ46+FY47-GH46,IF(A47&lt;'Données projet'!$A$244,$FW$205^A47,IF(A47='Données projet'!$A$244,'Données projet'!$B$244,FZ46+FY47-GH46)))</f>
        <v>219.79999999999993</v>
      </c>
      <c r="GA47" s="17">
        <f>FZ47*VLOOKUP('Données projet'!$B$17,Paramètres!$A$1:$I$89,3,0)*VLOOKUP('Données projet'!$B$17,Paramètres!$A$1:$I$89,5,0)</f>
        <v>131.44039999999998</v>
      </c>
      <c r="GB47" s="13">
        <f t="shared" si="49"/>
        <v>34.328979730885372</v>
      </c>
      <c r="GC47" s="20">
        <f t="shared" si="25"/>
        <v>288.71500303129199</v>
      </c>
      <c r="GD47" s="59">
        <f t="shared" si="26"/>
        <v>582.04833636462536</v>
      </c>
      <c r="GE47" s="59">
        <f ca="1">AVERAGE(OFFSET($GD$3,0,0,'Données projet'!$E$17+1,1))-AVERAGE(OFFSET($H$3,0,0,'Données projet'!$E$17+1,1))</f>
        <v>165.39579887388538</v>
      </c>
      <c r="GF47" s="59">
        <f t="shared" si="50"/>
        <v>155.89639262545802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>
        <f>EXP(-LN(2)/35)*GL46+(1-EXP(-LN(2)/35))/(LN(2)/35)*GH47*GI47*VLOOKUP('Données projet'!$B$17,Paramètres!$A$1:$I$89,3,0)*0.475*44/12</f>
        <v>0</v>
      </c>
      <c r="GM47" s="21">
        <f>EXP(-LN(2)/25)*GM46+(1-EXP(-LN(2)/25))/(LN(2)/25)*Calculateur!GH47*Calculateur!GJ47*VLOOKUP('Données projet'!$B$17,Paramètres!$A$1:$I$89,3,0)*0.475*44/12</f>
        <v>4.9443107635314467</v>
      </c>
      <c r="GN47" s="21">
        <f>EXP(-LN(2)/2)*GN46+(1-EXP(-LN(2)/2))/(LN(2)/2)*GH47*GK47*VLOOKUP('Données projet'!$B$17,Paramètres!$A$1:$I$89,3,0)*0.475*44/12</f>
        <v>0.10843777918263243</v>
      </c>
      <c r="GO47" s="21">
        <f t="shared" si="27"/>
        <v>5.0527485427140792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15.5</v>
      </c>
      <c r="N48" s="13">
        <f>IF('Données projet'!$A$36&gt;35,N47+M48-V47,IF(A48&lt;'Données projet'!$A$36,$K$205^A48,IF(A48='Données projet'!$A$36,'Données projet'!$B$36,N47+M48-V47)))</f>
        <v>322.50000000000011</v>
      </c>
      <c r="O48" s="13">
        <f>N48*VLOOKUP('Données projet'!$B$9,Paramètres!$A$1:$I$89,3,0)*VLOOKUP('Données projet'!$B$9,Paramètres!$A$1:$I$89,5,0)</f>
        <v>180.27750000000006</v>
      </c>
      <c r="P48" s="13">
        <f t="shared" si="33"/>
        <v>45.383919267606096</v>
      </c>
      <c r="Q48" s="20">
        <f t="shared" si="53"/>
        <v>393.02697189108068</v>
      </c>
      <c r="R48" s="59">
        <f t="shared" si="0"/>
        <v>686.36030522441399</v>
      </c>
      <c r="S48" s="59">
        <f ca="1">AVERAGE(OFFSET($R$3,0,0,'Données projet'!$E$9+1,1))-AVERAGE(OFFSET($H$3,0,0,'Données projet'!$E$9+1,1))</f>
        <v>235.10258076192054</v>
      </c>
      <c r="T48" s="59">
        <f t="shared" si="34"/>
        <v>233.47316052603765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2.5454776290866281</v>
      </c>
      <c r="AA48" s="21">
        <f>EXP(-LN(2)/25)*AA47+(1-EXP(-LN(2)/25))/(LN(2)/25)*Calculateur!V48*Calculateur!X48*VLOOKUP('Données projet'!$B$9,Paramètres!$A$1:$I$89,3,0)*0.475*44/12</f>
        <v>12.162488064140446</v>
      </c>
      <c r="AB48" s="21">
        <f>EXP(-LN(2)/2)*AB47+(1-EXP(-LN(2)/2))/(LN(2)/2)*V48*Y48*VLOOKUP('Données projet'!$B$9,Paramètres!$A$1:$I$89,3,0)*0.475*44/12</f>
        <v>0.13325693408151987</v>
      </c>
      <c r="AC48" s="22">
        <f t="shared" si="3"/>
        <v>14.841222627308593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7.2</v>
      </c>
      <c r="AI48" s="13">
        <f>IF('Données projet'!$A$62&gt;35,AI47+AH48-AQ47,IF(A48&lt;'Données projet'!$A$62,$AF$205^A48,IF(A48='Données projet'!$A$62,'Données projet'!$B$62,AI47+AH48-AQ47)))</f>
        <v>177.9999999999998</v>
      </c>
      <c r="AJ48" s="13">
        <f>AI48*VLOOKUP('Données projet'!$B$10,Paramètres!$A$1:$I$89,3,0)*VLOOKUP('Données projet'!$B$10,Paramètres!$A$1:$I$89,5,0)</f>
        <v>155.50079999999983</v>
      </c>
      <c r="AK48" s="13">
        <f t="shared" si="35"/>
        <v>39.826029828200298</v>
      </c>
      <c r="AL48" s="20">
        <f t="shared" si="4"/>
        <v>340.19422861744857</v>
      </c>
      <c r="AM48" s="59">
        <f t="shared" si="5"/>
        <v>633.52756195078189</v>
      </c>
      <c r="AN48" s="59">
        <f ca="1">AVERAGE(OFFSET($AM$3,0,0,'Données projet'!$E$10+1,1))-AVERAGE(OFFSET($H$3,0,0,'Données projet'!$E$10+1,1))</f>
        <v>191.94797389630673</v>
      </c>
      <c r="AO48" s="59">
        <f t="shared" si="36"/>
        <v>273.52540822767878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1.9129650061014667</v>
      </c>
      <c r="AV48" s="21">
        <f>EXP(-LN(2)/25)*AV47+(1-EXP(-LN(2)/25))/(LN(2)/25)*Calculateur!AQ48*Calculateur!AS48*VLOOKUP('Données projet'!$B$10,Paramètres!$A$1:$I$89,3,0)*0.475*44/12</f>
        <v>9.2683232200300107</v>
      </c>
      <c r="AW48" s="21">
        <f>EXP(-LN(2)/2)*AW47+(1-EXP(-LN(2)/2))/(LN(2)/2)*AQ48*AT48*VLOOKUP('Données projet'!$B$10,Paramètres!$A$1:$I$89,3,0)*0.475*44/12</f>
        <v>0.12818002449059646</v>
      </c>
      <c r="AX48" s="21">
        <f t="shared" si="6"/>
        <v>11.309468250622075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5.6</v>
      </c>
      <c r="BD48" s="12">
        <f>IF('Données projet'!$A$88&gt;35,BD47+BC48-BL47,IF(A48&lt;'Données projet'!$A$88,$BA$205^A48,IF(A48='Données projet'!$A$88,'Données projet'!$B$88,BD47+BC48-BL47)))</f>
        <v>106.99999999999999</v>
      </c>
      <c r="BE48" s="13">
        <f>BD48*VLOOKUP('Données projet'!$B$11,Paramètres!$A$1:$I$89,3,0)*VLOOKUP('Données projet'!$B$11,Paramètres!$A$1:$I$89,5,0)</f>
        <v>96.81359999999998</v>
      </c>
      <c r="BF48" s="13">
        <f t="shared" si="37"/>
        <v>26.201456938925315</v>
      </c>
      <c r="BG48" s="20">
        <f t="shared" si="7"/>
        <v>214.25122416862823</v>
      </c>
      <c r="BH48" s="59">
        <f t="shared" si="8"/>
        <v>507.58455750196151</v>
      </c>
      <c r="BI48" s="59">
        <f ca="1">AVERAGE(OFFSET($BH$3,0,0,'Données projet'!$E$11+1,1))-AVERAGE(OFFSET($H$3,0,0,'Données projet'!$E$11+1,1))</f>
        <v>138.8931001150624</v>
      </c>
      <c r="BJ48" s="59">
        <f t="shared" si="38"/>
        <v>48.964659354096625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5.6</v>
      </c>
      <c r="BY48" s="12">
        <f>IF('Données projet'!$A$114&gt;35,BY47+BX48-CG47,IF(A48&lt;'Données projet'!$A$114,$BV$205^A48,IF(A48='Données projet'!$A$114,'Données projet'!$B$114,BY47+BX48-CG47)))</f>
        <v>106.99999999999999</v>
      </c>
      <c r="BZ48" s="13">
        <f>BY48*VLOOKUP('Données projet'!$B$12,Paramètres!$A$1:$I$89,3,0)*VLOOKUP('Données projet'!$B$12,Paramètres!$A$1:$I$89,5,0)</f>
        <v>108.498</v>
      </c>
      <c r="CA48" s="13">
        <f t="shared" si="39"/>
        <v>28.976818989145283</v>
      </c>
      <c r="CB48" s="20">
        <f t="shared" si="10"/>
        <v>239.43530973942802</v>
      </c>
      <c r="CC48" s="59">
        <f t="shared" si="11"/>
        <v>532.76864307276128</v>
      </c>
      <c r="CD48" s="59">
        <f ca="1">AVERAGE(OFFSET($CC$3,0,0,'Données projet'!$E$12+1,1))-AVERAGE(OFFSET($H$3,0,0,'Données projet'!$E$12+1,1))</f>
        <v>169.2757878405003</v>
      </c>
      <c r="CE48" s="59">
        <f t="shared" si="40"/>
        <v>61.876502626609977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6</v>
      </c>
      <c r="CT48" s="12">
        <f>IF('Données projet'!$A$140&gt;35,CT47+CS48-DB47,IF(A48&lt;'Données projet'!$A$140,$CQ$205^A48,IF(A48='Données projet'!$A$140,'Données projet'!$B$140,CT47+CS48-DB47)))</f>
        <v>161.99999999999997</v>
      </c>
      <c r="CU48" s="17">
        <f>CT48*VLOOKUP('Données projet'!$B$13,Paramètres!$A$1:$I$89,3,0)*VLOOKUP('Données projet'!$B$13,Paramètres!$A$1:$I$89,5,0)</f>
        <v>128.88719999999998</v>
      </c>
      <c r="CV48" s="13">
        <f t="shared" si="41"/>
        <v>33.739095412234356</v>
      </c>
      <c r="CW48" s="20">
        <f t="shared" si="13"/>
        <v>283.24079784297476</v>
      </c>
      <c r="CX48" s="59">
        <f t="shared" si="14"/>
        <v>576.57413117630813</v>
      </c>
      <c r="CY48" s="59">
        <f ca="1">AVERAGE(OFFSET($CX$3,0,0,'Données projet'!$E$13+1,1))-AVERAGE(OFFSET($H$3,0,0,'Données projet'!$E$13+1,1))</f>
        <v>141.12810728817544</v>
      </c>
      <c r="CZ48" s="59">
        <f t="shared" si="42"/>
        <v>176.01405805137551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>
        <f>EXP(-LN(2)/35)*DF47+(1-EXP(-LN(2)/35))/(LN(2)/35)*DB48*DC48*VLOOKUP('Données projet'!$B$13,Paramètres!$A$1:$I$89,3,0)*0.475*44/12</f>
        <v>0</v>
      </c>
      <c r="DG48" s="21">
        <f>EXP(-LN(2)/25)*DG47+(1-EXP(-LN(2)/25))/(LN(2)/25)*Calculateur!DB48*Calculateur!DD48*VLOOKUP('Données projet'!$B$13,Paramètres!$A$1:$I$89,3,0)*0.475*44/12</f>
        <v>4.4352453356543515</v>
      </c>
      <c r="DH48" s="21">
        <f>EXP(-LN(2)/2)*DH47+(1-EXP(-LN(2)/2))/(LN(2)/2)*DB48*DE48*VLOOKUP('Données projet'!$B$13,Paramètres!$A$1:$I$89,3,0)*0.475*44/12</f>
        <v>4.4222855502018404E-2</v>
      </c>
      <c r="DI48" s="22">
        <f t="shared" si="15"/>
        <v>4.4794681911563696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10.7</v>
      </c>
      <c r="DO48" s="12">
        <f>IF('Données projet'!$A$166&gt;35,DO47+DN48-DW47,IF(A48&lt;'Données projet'!$A$166,$DL$205^A48,IF(A48='Données projet'!$A$166,'Données projet'!$B$166,DO47+DN48-DW47)))</f>
        <v>230.49999999999991</v>
      </c>
      <c r="DP48" s="17">
        <f>DO48*VLOOKUP('Données projet'!$B$14,Paramètres!$A$1:$I$89,3,0)*VLOOKUP('Données projet'!$B$14,Paramètres!$A$1:$I$89,5,0)</f>
        <v>137.83899999999994</v>
      </c>
      <c r="DQ48" s="13">
        <f t="shared" si="43"/>
        <v>35.80150342838742</v>
      </c>
      <c r="DR48" s="20">
        <f t="shared" si="16"/>
        <v>302.42387680444131</v>
      </c>
      <c r="DS48" s="59">
        <f t="shared" si="17"/>
        <v>595.75721013777456</v>
      </c>
      <c r="DT48" s="59">
        <f ca="1">AVERAGE(OFFSET($DS$3,0,0,'Données projet'!$E$14+1,1))-AVERAGE(OFFSET($H$3,0,0,'Données projet'!$E$14+1,1))</f>
        <v>165.39579887388538</v>
      </c>
      <c r="DU48" s="59">
        <f t="shared" si="44"/>
        <v>155.89639262545802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>
        <f>EXP(-LN(2)/35)*EA47+(1-EXP(-LN(2)/35))/(LN(2)/35)*DW48*DX48*VLOOKUP('Données projet'!$B$14,Paramètres!$A$1:$I$89,3,0)*0.475*44/12</f>
        <v>0</v>
      </c>
      <c r="EB48" s="21">
        <f>EXP(-LN(2)/25)*EB47+(1-EXP(-LN(2)/25))/(LN(2)/25)*Calculateur!DW48*Calculateur!DY48*VLOOKUP('Données projet'!$B$14,Paramètres!$A$1:$I$89,3,0)*0.475*44/12</f>
        <v>4.8091083256926765</v>
      </c>
      <c r="EC48" s="21">
        <f>EXP(-LN(2)/2)*EC47+(1-EXP(-LN(2)/2))/(LN(2)/2)*DW48*DZ48*VLOOKUP('Données projet'!$B$14,Paramètres!$A$1:$I$89,3,0)*0.475*44/12</f>
        <v>7.667708899684883E-2</v>
      </c>
      <c r="ED48" s="22">
        <f t="shared" si="18"/>
        <v>4.8857854146895257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5.6</v>
      </c>
      <c r="EJ48" s="12">
        <f>IF('Données projet'!$A$192&gt;35,EJ47+EI48-ER47,IF(A48&lt;'Données projet'!$A$192,$EG$205^A48,IF(A48='Données projet'!$A$192,'Données projet'!$B$192,EJ47+EI48-ER47)))</f>
        <v>106.99999999999999</v>
      </c>
      <c r="EK48" s="17">
        <f>EJ48*VLOOKUP('Données projet'!$B$15,Paramètres!$A$1:$I$89,3,0)*VLOOKUP('Données projet'!$B$15,Paramètres!$A$1:$I$89,5,0)</f>
        <v>83.46</v>
      </c>
      <c r="EL48" s="13">
        <f t="shared" si="45"/>
        <v>22.981076147201239</v>
      </c>
      <c r="EM48" s="20">
        <f t="shared" si="19"/>
        <v>185.38487428970882</v>
      </c>
      <c r="EN48" s="59">
        <f t="shared" si="20"/>
        <v>478.71820762304213</v>
      </c>
      <c r="EO48" s="59">
        <f ca="1">AVERAGE(OFFSET($EN$3,0,0,'Données projet'!$E$15+1,1))-AVERAGE(OFFSET($H$3,0,0,'Données projet'!$E$15+1,1))</f>
        <v>104.07220236158577</v>
      </c>
      <c r="EP48" s="59">
        <f t="shared" si="46"/>
        <v>34.162068257911756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>
        <f>EXP(-LN(2)/35)*EV47+(1-EXP(-LN(2)/35))/(LN(2)/35)*ER48*ES48*VLOOKUP('Données projet'!$B$15,Paramètres!$A$1:$I$89,3,0)*0.475*44/12</f>
        <v>0</v>
      </c>
      <c r="EW48" s="21">
        <f>EXP(-LN(2)/25)*EW47+(1-EXP(-LN(2)/25))/(LN(2)/25)*Calculateur!ER48*Calculateur!ET48*VLOOKUP('Données projet'!$B$15,Paramètres!$A$1:$I$89,3,0)*0.475*44/12</f>
        <v>0</v>
      </c>
      <c r="EX48" s="21">
        <f>EXP(-LN(2)/2)*EX47+(1-EXP(-LN(2)/2))/(LN(2)/2)*ER48*EU48*VLOOKUP('Données projet'!$B$15,Paramètres!$A$1:$I$89,3,0)*0.475*44/12</f>
        <v>0</v>
      </c>
      <c r="EY48" s="22">
        <f t="shared" si="21"/>
        <v>0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5.6843418860808015E-14</v>
      </c>
      <c r="FF48" s="17">
        <f>FE48*VLOOKUP('Données projet'!$B$16,Paramètres!$A$1:$I$89,3,0)*VLOOKUP('Données projet'!$B$16,Paramètres!$A$1:$I$89,5,0)</f>
        <v>5.1431925385259088E-14</v>
      </c>
      <c r="FG48" s="13">
        <f t="shared" si="47"/>
        <v>8.3482866290946129E-13</v>
      </c>
      <c r="FH48" s="20">
        <f t="shared" si="22"/>
        <v>1.5435705246133045E-12</v>
      </c>
      <c r="FI48" s="59">
        <f t="shared" si="23"/>
        <v>293.33333333333485</v>
      </c>
      <c r="FJ48" s="59">
        <f ca="1">AVERAGE(OFFSET($FI$3,0,0,'Données projet'!$E$16+1,1))-AVERAGE(OFFSET($H$3,0,0,'Données projet'!$E$16+1,1))</f>
        <v>179.50097986986123</v>
      </c>
      <c r="FK48" s="59">
        <f t="shared" si="48"/>
        <v>287.11838730637578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>
        <f>EXP(-LN(2)/35)*FQ47+(1-EXP(-LN(2)/35))/(LN(2)/35)*FM48*FN48*VLOOKUP('Données projet'!$B$16,Paramètres!$A$1:$I$89,3,0)*0.475*44/12</f>
        <v>0.46316608484202632</v>
      </c>
      <c r="FR48" s="21">
        <f>EXP(-LN(2)/25)*FR47+(1-EXP(-LN(2)/25))/(LN(2)/25)*Calculateur!FM48*Calculateur!FO48*VLOOKUP('Données projet'!$B$16,Paramètres!$A$1:$I$89,3,0)*0.475*44/12</f>
        <v>4.152249860438876</v>
      </c>
      <c r="FS48" s="21">
        <f>EXP(-LN(2)/2)*FS47+(1-EXP(-LN(2)/2))/(LN(2)/2)*FM48*FP48*VLOOKUP('Données projet'!$B$16,Paramètres!$A$1:$I$89,3,0)*0.475*44/12</f>
        <v>2.4974105671955432E-2</v>
      </c>
      <c r="FT48" s="22">
        <f t="shared" si="24"/>
        <v>4.6403900509528571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10.7</v>
      </c>
      <c r="FZ48" s="12">
        <f>IF('Données projet'!$A$244&gt;35,FZ47+FY48-GH47,IF(A48&lt;'Données projet'!$A$244,$FW$205^A48,IF(A48='Données projet'!$A$244,'Données projet'!$B$244,FZ47+FY48-GH47)))</f>
        <v>230.49999999999991</v>
      </c>
      <c r="GA48" s="17">
        <f>FZ48*VLOOKUP('Données projet'!$B$17,Paramètres!$A$1:$I$89,3,0)*VLOOKUP('Données projet'!$B$17,Paramètres!$A$1:$I$89,5,0)</f>
        <v>137.83899999999994</v>
      </c>
      <c r="GB48" s="13">
        <f t="shared" si="49"/>
        <v>35.80150342838742</v>
      </c>
      <c r="GC48" s="20">
        <f t="shared" si="25"/>
        <v>302.42387680444131</v>
      </c>
      <c r="GD48" s="59">
        <f t="shared" si="26"/>
        <v>595.75721013777456</v>
      </c>
      <c r="GE48" s="59">
        <f ca="1">AVERAGE(OFFSET($GD$3,0,0,'Données projet'!$E$17+1,1))-AVERAGE(OFFSET($H$3,0,0,'Données projet'!$E$17+1,1))</f>
        <v>165.39579887388538</v>
      </c>
      <c r="GF48" s="59">
        <f t="shared" si="50"/>
        <v>155.89639262545802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>
        <f>EXP(-LN(2)/35)*GL47+(1-EXP(-LN(2)/35))/(LN(2)/35)*GH48*GI48*VLOOKUP('Données projet'!$B$17,Paramètres!$A$1:$I$89,3,0)*0.475*44/12</f>
        <v>0</v>
      </c>
      <c r="GM48" s="21">
        <f>EXP(-LN(2)/25)*GM47+(1-EXP(-LN(2)/25))/(LN(2)/25)*Calculateur!GH48*Calculateur!GJ48*VLOOKUP('Données projet'!$B$17,Paramètres!$A$1:$I$89,3,0)*0.475*44/12</f>
        <v>4.8091083256926765</v>
      </c>
      <c r="GN48" s="21">
        <f>EXP(-LN(2)/2)*GN47+(1-EXP(-LN(2)/2))/(LN(2)/2)*GH48*GK48*VLOOKUP('Données projet'!$B$17,Paramètres!$A$1:$I$89,3,0)*0.475*44/12</f>
        <v>7.667708899684883E-2</v>
      </c>
      <c r="GO48" s="21">
        <f t="shared" si="27"/>
        <v>4.8857854146895257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15.5</v>
      </c>
      <c r="N49" s="13">
        <f>IF('Données projet'!$A$36&gt;35,N48+M49-V48,IF(A49&lt;'Données projet'!$A$36,$K$205^A49,IF(A49='Données projet'!$A$36,'Données projet'!$B$36,N48+M49-V48)))</f>
        <v>338.00000000000011</v>
      </c>
      <c r="O49" s="13">
        <f>N49*VLOOKUP('Données projet'!$B$9,Paramètres!$A$1:$I$89,3,0)*VLOOKUP('Données projet'!$B$9,Paramètres!$A$1:$I$89,5,0)</f>
        <v>188.94200000000009</v>
      </c>
      <c r="P49" s="13">
        <f t="shared" si="33"/>
        <v>47.305968109740604</v>
      </c>
      <c r="Q49" s="20">
        <f t="shared" si="53"/>
        <v>411.46521112446504</v>
      </c>
      <c r="R49" s="59">
        <f t="shared" si="0"/>
        <v>704.79854445779836</v>
      </c>
      <c r="S49" s="59">
        <f ca="1">AVERAGE(OFFSET($R$3,0,0,'Données projet'!$E$9+1,1))-AVERAGE(OFFSET($H$3,0,0,'Données projet'!$E$9+1,1))</f>
        <v>235.10258076192054</v>
      </c>
      <c r="T49" s="59">
        <f t="shared" si="34"/>
        <v>233.47316052603765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2.4955623653682877</v>
      </c>
      <c r="AA49" s="21">
        <f>EXP(-LN(2)/25)*AA48+(1-EXP(-LN(2)/25))/(LN(2)/25)*Calculateur!V49*Calculateur!X49*VLOOKUP('Données projet'!$B$9,Paramètres!$A$1:$I$89,3,0)*0.475*44/12</f>
        <v>11.829904188429076</v>
      </c>
      <c r="AB49" s="21">
        <f>EXP(-LN(2)/2)*AB48+(1-EXP(-LN(2)/2))/(LN(2)/2)*V49*Y49*VLOOKUP('Données projet'!$B$9,Paramètres!$A$1:$I$89,3,0)*0.475*44/12</f>
        <v>9.4226881729171458E-2</v>
      </c>
      <c r="AC49" s="22">
        <f t="shared" si="3"/>
        <v>14.419693435526536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7.2</v>
      </c>
      <c r="AI49" s="13">
        <f>IF('Données projet'!$A$62&gt;35,AI48+AH49-AQ48,IF(A49&lt;'Données projet'!$A$62,$AF$205^A49,IF(A49='Données projet'!$A$62,'Données projet'!$B$62,AI48+AH49-AQ48)))</f>
        <v>185.19999999999979</v>
      </c>
      <c r="AJ49" s="13">
        <f>AI49*VLOOKUP('Données projet'!$B$10,Paramètres!$A$1:$I$89,3,0)*VLOOKUP('Données projet'!$B$10,Paramètres!$A$1:$I$89,5,0)</f>
        <v>161.79071999999982</v>
      </c>
      <c r="AK49" s="13">
        <f t="shared" si="35"/>
        <v>41.246155299147965</v>
      </c>
      <c r="AL49" s="20">
        <f t="shared" si="4"/>
        <v>353.62255781268237</v>
      </c>
      <c r="AM49" s="59">
        <f t="shared" si="5"/>
        <v>646.95589114601569</v>
      </c>
      <c r="AN49" s="59">
        <f ca="1">AVERAGE(OFFSET($AM$3,0,0,'Données projet'!$E$10+1,1))-AVERAGE(OFFSET($H$3,0,0,'Données projet'!$E$10+1,1))</f>
        <v>191.94797389630673</v>
      </c>
      <c r="AO49" s="59">
        <f t="shared" si="36"/>
        <v>273.52540822767878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1.8754529291252593</v>
      </c>
      <c r="AV49" s="21">
        <f>EXP(-LN(2)/25)*AV48+(1-EXP(-LN(2)/25))/(LN(2)/25)*Calculateur!AQ49*Calculateur!AS49*VLOOKUP('Données projet'!$B$10,Paramètres!$A$1:$I$89,3,0)*0.475*44/12</f>
        <v>9.0148804341783553</v>
      </c>
      <c r="AW49" s="21">
        <f>EXP(-LN(2)/2)*AW48+(1-EXP(-LN(2)/2))/(LN(2)/2)*AQ49*AT49*VLOOKUP('Données projet'!$B$10,Paramètres!$A$1:$I$89,3,0)*0.475*44/12</f>
        <v>9.0636964529958494E-2</v>
      </c>
      <c r="AX49" s="21">
        <f t="shared" si="6"/>
        <v>10.980970327833573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112.59999999999998</v>
      </c>
      <c r="BE49" s="13">
        <f>BD49*VLOOKUP('Données projet'!$B$11,Paramètres!$A$1:$I$89,3,0)*VLOOKUP('Données projet'!$B$11,Paramètres!$A$1:$I$89,5,0)</f>
        <v>101.88047999999996</v>
      </c>
      <c r="BF49" s="13">
        <f t="shared" si="37"/>
        <v>27.409509067425631</v>
      </c>
      <c r="BG49" s="20">
        <f t="shared" si="7"/>
        <v>225.18006429243292</v>
      </c>
      <c r="BH49" s="59">
        <f t="shared" si="8"/>
        <v>518.51339762576617</v>
      </c>
      <c r="BI49" s="59">
        <f ca="1">AVERAGE(OFFSET($BH$3,0,0,'Données projet'!$E$11+1,1))-AVERAGE(OFFSET($H$3,0,0,'Données projet'!$E$11+1,1))</f>
        <v>138.8931001150624</v>
      </c>
      <c r="BJ49" s="59">
        <f t="shared" si="38"/>
        <v>48.964659354096625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5.6</v>
      </c>
      <c r="BY49" s="12">
        <f>IF('Données projet'!$A$114&gt;35,BY48+BX49-CG48,IF(A49&lt;'Données projet'!$A$114,$BV$205^A49,IF(A49='Données projet'!$A$114,'Données projet'!$B$114,BY48+BX49-CG48)))</f>
        <v>112.59999999999998</v>
      </c>
      <c r="BZ49" s="13">
        <f>BY49*VLOOKUP('Données projet'!$B$12,Paramètres!$A$1:$I$89,3,0)*VLOOKUP('Données projet'!$B$12,Paramètres!$A$1:$I$89,5,0)</f>
        <v>114.17639999999997</v>
      </c>
      <c r="CA49" s="13">
        <f t="shared" si="39"/>
        <v>30.312832781759997</v>
      </c>
      <c r="CB49" s="20">
        <f t="shared" si="10"/>
        <v>251.65208042823193</v>
      </c>
      <c r="CC49" s="59">
        <f t="shared" si="11"/>
        <v>544.98541376156527</v>
      </c>
      <c r="CD49" s="59">
        <f ca="1">AVERAGE(OFFSET($CC$3,0,0,'Données projet'!$E$12+1,1))-AVERAGE(OFFSET($H$3,0,0,'Données projet'!$E$12+1,1))</f>
        <v>169.2757878405003</v>
      </c>
      <c r="CE49" s="59">
        <f t="shared" si="40"/>
        <v>61.876502626609977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6</v>
      </c>
      <c r="CT49" s="12">
        <f>IF('Données projet'!$A$140&gt;35,CT48+CS49-DB48,IF(A49&lt;'Données projet'!$A$140,$CQ$205^A49,IF(A49='Données projet'!$A$140,'Données projet'!$B$140,CT48+CS49-DB48)))</f>
        <v>167.99999999999997</v>
      </c>
      <c r="CU49" s="17">
        <f>CT49*VLOOKUP('Données projet'!$B$13,Paramètres!$A$1:$I$89,3,0)*VLOOKUP('Données projet'!$B$13,Paramètres!$A$1:$I$89,5,0)</f>
        <v>133.66079999999999</v>
      </c>
      <c r="CV49" s="13">
        <f t="shared" si="41"/>
        <v>34.840890682716747</v>
      </c>
      <c r="CW49" s="20">
        <f t="shared" si="13"/>
        <v>293.47377793906497</v>
      </c>
      <c r="CX49" s="59">
        <f t="shared" si="14"/>
        <v>586.80711127239829</v>
      </c>
      <c r="CY49" s="59">
        <f ca="1">AVERAGE(OFFSET($CX$3,0,0,'Données projet'!$E$13+1,1))-AVERAGE(OFFSET($H$3,0,0,'Données projet'!$E$13+1,1))</f>
        <v>141.12810728817544</v>
      </c>
      <c r="CZ49" s="59">
        <f t="shared" si="42"/>
        <v>176.01405805137551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>
        <f>EXP(-LN(2)/35)*DF48+(1-EXP(-LN(2)/35))/(LN(2)/35)*DB49*DC49*VLOOKUP('Données projet'!$B$13,Paramètres!$A$1:$I$89,3,0)*0.475*44/12</f>
        <v>0</v>
      </c>
      <c r="DG49" s="21">
        <f>EXP(-LN(2)/25)*DG48+(1-EXP(-LN(2)/25))/(LN(2)/25)*Calculateur!DB49*Calculateur!DD49*VLOOKUP('Données projet'!$B$13,Paramètres!$A$1:$I$89,3,0)*0.475*44/12</f>
        <v>4.3139633187114681</v>
      </c>
      <c r="DH49" s="21">
        <f>EXP(-LN(2)/2)*DH48+(1-EXP(-LN(2)/2))/(LN(2)/2)*DB49*DE49*VLOOKUP('Données projet'!$B$13,Paramètres!$A$1:$I$89,3,0)*0.475*44/12</f>
        <v>3.1270281008910036E-2</v>
      </c>
      <c r="DI49" s="22">
        <f t="shared" si="15"/>
        <v>4.3452335997203777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10.7</v>
      </c>
      <c r="DO49" s="12">
        <f>IF('Données projet'!$A$166&gt;35,DO48+DN49-DW48,IF(A49&lt;'Données projet'!$A$166,$DL$205^A49,IF(A49='Données projet'!$A$166,'Données projet'!$B$166,DO48+DN49-DW48)))</f>
        <v>241.1999999999999</v>
      </c>
      <c r="DP49" s="17">
        <f>DO49*VLOOKUP('Données projet'!$B$14,Paramètres!$A$1:$I$89,3,0)*VLOOKUP('Données projet'!$B$14,Paramètres!$A$1:$I$89,5,0)</f>
        <v>144.23759999999996</v>
      </c>
      <c r="DQ49" s="13">
        <f t="shared" si="43"/>
        <v>37.266088962286922</v>
      </c>
      <c r="DR49" s="20">
        <f t="shared" si="16"/>
        <v>316.11892494264958</v>
      </c>
      <c r="DS49" s="59">
        <f t="shared" si="17"/>
        <v>609.4522582759829</v>
      </c>
      <c r="DT49" s="59">
        <f ca="1">AVERAGE(OFFSET($DS$3,0,0,'Données projet'!$E$14+1,1))-AVERAGE(OFFSET($H$3,0,0,'Données projet'!$E$14+1,1))</f>
        <v>165.39579887388538</v>
      </c>
      <c r="DU49" s="59">
        <f t="shared" si="44"/>
        <v>155.89639262545802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>
        <f>EXP(-LN(2)/35)*EA48+(1-EXP(-LN(2)/35))/(LN(2)/35)*DW49*DX49*VLOOKUP('Données projet'!$B$14,Paramètres!$A$1:$I$89,3,0)*0.475*44/12</f>
        <v>0</v>
      </c>
      <c r="EB49" s="21">
        <f>EXP(-LN(2)/25)*EB48+(1-EXP(-LN(2)/25))/(LN(2)/25)*Calculateur!DW49*Calculateur!DY49*VLOOKUP('Données projet'!$B$14,Paramètres!$A$1:$I$89,3,0)*0.475*44/12</f>
        <v>4.6776030056265947</v>
      </c>
      <c r="EC49" s="21">
        <f>EXP(-LN(2)/2)*EC48+(1-EXP(-LN(2)/2))/(LN(2)/2)*DW49*DZ49*VLOOKUP('Données projet'!$B$14,Paramètres!$A$1:$I$89,3,0)*0.475*44/12</f>
        <v>5.4218889591316217E-2</v>
      </c>
      <c r="ED49" s="22">
        <f t="shared" si="18"/>
        <v>4.7318218952179105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5.6</v>
      </c>
      <c r="EJ49" s="12">
        <f>IF('Données projet'!$A$192&gt;35,EJ48+EI49-ER48,IF(A49&lt;'Données projet'!$A$192,$EG$205^A49,IF(A49='Données projet'!$A$192,'Données projet'!$B$192,EJ48+EI49-ER48)))</f>
        <v>112.59999999999998</v>
      </c>
      <c r="EK49" s="17">
        <f>EJ49*VLOOKUP('Données projet'!$B$15,Paramètres!$A$1:$I$89,3,0)*VLOOKUP('Données projet'!$B$15,Paramètres!$A$1:$I$89,5,0)</f>
        <v>87.827999999999989</v>
      </c>
      <c r="EL49" s="13">
        <f t="shared" si="45"/>
        <v>24.040648445778626</v>
      </c>
      <c r="EM49" s="20">
        <f t="shared" si="19"/>
        <v>194.83789604306443</v>
      </c>
      <c r="EN49" s="59">
        <f t="shared" si="20"/>
        <v>488.17122937639772</v>
      </c>
      <c r="EO49" s="59">
        <f ca="1">AVERAGE(OFFSET($EN$3,0,0,'Données projet'!$E$15+1,1))-AVERAGE(OFFSET($H$3,0,0,'Données projet'!$E$15+1,1))</f>
        <v>104.07220236158577</v>
      </c>
      <c r="EP49" s="59">
        <f t="shared" si="46"/>
        <v>34.162068257911756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>
        <f>EXP(-LN(2)/35)*EV48+(1-EXP(-LN(2)/35))/(LN(2)/35)*ER49*ES49*VLOOKUP('Données projet'!$B$15,Paramètres!$A$1:$I$89,3,0)*0.475*44/12</f>
        <v>0</v>
      </c>
      <c r="EW49" s="21">
        <f>EXP(-LN(2)/25)*EW48+(1-EXP(-LN(2)/25))/(LN(2)/25)*Calculateur!ER49*Calculateur!ET49*VLOOKUP('Données projet'!$B$15,Paramètres!$A$1:$I$89,3,0)*0.475*44/12</f>
        <v>0</v>
      </c>
      <c r="EX49" s="21">
        <f>EXP(-LN(2)/2)*EX48+(1-EXP(-LN(2)/2))/(LN(2)/2)*ER49*EU49*VLOOKUP('Données projet'!$B$15,Paramètres!$A$1:$I$89,3,0)*0.475*44/12</f>
        <v>0</v>
      </c>
      <c r="EY49" s="22">
        <f t="shared" si="21"/>
        <v>0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5.6843418860808015E-14</v>
      </c>
      <c r="FF49" s="17">
        <f>FE49*VLOOKUP('Données projet'!$B$16,Paramètres!$A$1:$I$89,3,0)*VLOOKUP('Données projet'!$B$16,Paramètres!$A$1:$I$89,5,0)</f>
        <v>5.1431925385259088E-14</v>
      </c>
      <c r="FG49" s="13">
        <f t="shared" si="47"/>
        <v>8.3482866290946129E-13</v>
      </c>
      <c r="FH49" s="20">
        <f t="shared" si="22"/>
        <v>1.5435705246133045E-12</v>
      </c>
      <c r="FI49" s="59">
        <f t="shared" si="23"/>
        <v>293.33333333333485</v>
      </c>
      <c r="FJ49" s="59">
        <f ca="1">AVERAGE(OFFSET($FI$3,0,0,'Données projet'!$E$16+1,1))-AVERAGE(OFFSET($H$3,0,0,'Données projet'!$E$16+1,1))</f>
        <v>179.50097986986123</v>
      </c>
      <c r="FK49" s="59">
        <f t="shared" si="48"/>
        <v>287.11838730637578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>
        <f>EXP(-LN(2)/35)*FQ48+(1-EXP(-LN(2)/35))/(LN(2)/35)*FM49*FN49*VLOOKUP('Données projet'!$B$16,Paramètres!$A$1:$I$89,3,0)*0.475*44/12</f>
        <v>0.45408368042169106</v>
      </c>
      <c r="FR49" s="21">
        <f>EXP(-LN(2)/25)*FR48+(1-EXP(-LN(2)/25))/(LN(2)/25)*Calculateur!FM49*Calculateur!FO49*VLOOKUP('Données projet'!$B$16,Paramètres!$A$1:$I$89,3,0)*0.475*44/12</f>
        <v>4.0387063696478451</v>
      </c>
      <c r="FS49" s="21">
        <f>EXP(-LN(2)/2)*FS48+(1-EXP(-LN(2)/2))/(LN(2)/2)*FM49*FP49*VLOOKUP('Données projet'!$B$16,Paramètres!$A$1:$I$89,3,0)*0.475*44/12</f>
        <v>1.7659359474709105E-2</v>
      </c>
      <c r="FT49" s="22">
        <f t="shared" si="24"/>
        <v>4.5104494095442451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10.7</v>
      </c>
      <c r="FZ49" s="12">
        <f>IF('Données projet'!$A$244&gt;35,FZ48+FY49-GH48,IF(A49&lt;'Données projet'!$A$244,$FW$205^A49,IF(A49='Données projet'!$A$244,'Données projet'!$B$244,FZ48+FY49-GH48)))</f>
        <v>241.1999999999999</v>
      </c>
      <c r="GA49" s="17">
        <f>FZ49*VLOOKUP('Données projet'!$B$17,Paramètres!$A$1:$I$89,3,0)*VLOOKUP('Données projet'!$B$17,Paramètres!$A$1:$I$89,5,0)</f>
        <v>144.23759999999996</v>
      </c>
      <c r="GB49" s="13">
        <f t="shared" si="49"/>
        <v>37.266088962286922</v>
      </c>
      <c r="GC49" s="20">
        <f t="shared" si="25"/>
        <v>316.11892494264958</v>
      </c>
      <c r="GD49" s="59">
        <f t="shared" si="26"/>
        <v>609.4522582759829</v>
      </c>
      <c r="GE49" s="59">
        <f ca="1">AVERAGE(OFFSET($GD$3,0,0,'Données projet'!$E$17+1,1))-AVERAGE(OFFSET($H$3,0,0,'Données projet'!$E$17+1,1))</f>
        <v>165.39579887388538</v>
      </c>
      <c r="GF49" s="59">
        <f t="shared" si="50"/>
        <v>155.89639262545802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>
        <f>EXP(-LN(2)/35)*GL48+(1-EXP(-LN(2)/35))/(LN(2)/35)*GH49*GI49*VLOOKUP('Données projet'!$B$17,Paramètres!$A$1:$I$89,3,0)*0.475*44/12</f>
        <v>0</v>
      </c>
      <c r="GM49" s="21">
        <f>EXP(-LN(2)/25)*GM48+(1-EXP(-LN(2)/25))/(LN(2)/25)*Calculateur!GH49*Calculateur!GJ49*VLOOKUP('Données projet'!$B$17,Paramètres!$A$1:$I$89,3,0)*0.475*44/12</f>
        <v>4.6776030056265947</v>
      </c>
      <c r="GN49" s="21">
        <f>EXP(-LN(2)/2)*GN48+(1-EXP(-LN(2)/2))/(LN(2)/2)*GH49*GK49*VLOOKUP('Données projet'!$B$17,Paramètres!$A$1:$I$89,3,0)*0.475*44/12</f>
        <v>5.4218889591316217E-2</v>
      </c>
      <c r="GO49" s="21">
        <f t="shared" si="27"/>
        <v>4.7318218952179105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15.5</v>
      </c>
      <c r="N50" s="13">
        <f>IF('Données projet'!$A$36&gt;35,N49+M50-V49,IF(A50&lt;'Données projet'!$A$36,$K$205^A50,IF(A50='Données projet'!$A$36,'Données projet'!$B$36,N49+M50-V49)))</f>
        <v>353.50000000000011</v>
      </c>
      <c r="O50" s="13">
        <f>N50*VLOOKUP('Données projet'!$B$9,Paramètres!$A$1:$I$89,3,0)*VLOOKUP('Données projet'!$B$9,Paramètres!$A$1:$I$89,5,0)</f>
        <v>197.60650000000007</v>
      </c>
      <c r="P50" s="13">
        <f t="shared" si="33"/>
        <v>49.217780850747971</v>
      </c>
      <c r="Q50" s="20">
        <f t="shared" si="53"/>
        <v>429.88562248171951</v>
      </c>
      <c r="R50" s="59">
        <f t="shared" si="0"/>
        <v>723.21895581505282</v>
      </c>
      <c r="S50" s="59">
        <f ca="1">AVERAGE(OFFSET($R$3,0,0,'Données projet'!$E$9+1,1))-AVERAGE(OFFSET($H$3,0,0,'Données projet'!$E$9+1,1))</f>
        <v>235.10258076192054</v>
      </c>
      <c r="T50" s="59">
        <f t="shared" si="34"/>
        <v>233.47316052603765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2.4466259095261593</v>
      </c>
      <c r="AA50" s="21">
        <f>EXP(-LN(2)/25)*AA49+(1-EXP(-LN(2)/25))/(LN(2)/25)*Calculateur!V50*Calculateur!X50*VLOOKUP('Données projet'!$B$9,Paramètres!$A$1:$I$89,3,0)*0.475*44/12</f>
        <v>11.50641483628886</v>
      </c>
      <c r="AB50" s="21">
        <f>EXP(-LN(2)/2)*AB49+(1-EXP(-LN(2)/2))/(LN(2)/2)*V50*Y50*VLOOKUP('Données projet'!$B$9,Paramètres!$A$1:$I$89,3,0)*0.475*44/12</f>
        <v>6.6628467040759934E-2</v>
      </c>
      <c r="AC50" s="22">
        <f t="shared" si="3"/>
        <v>14.01966921285578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7.2</v>
      </c>
      <c r="AI50" s="13">
        <f>IF('Données projet'!$A$62&gt;35,AI49+AH50-AQ49,IF(A50&lt;'Données projet'!$A$62,$AF$205^A50,IF(A50='Données projet'!$A$62,'Données projet'!$B$62,AI49+AH50-AQ49)))</f>
        <v>192.39999999999978</v>
      </c>
      <c r="AJ50" s="13">
        <f>AI50*VLOOKUP('Données projet'!$B$10,Paramètres!$A$1:$I$89,3,0)*VLOOKUP('Données projet'!$B$10,Paramètres!$A$1:$I$89,5,0)</f>
        <v>168.08063999999982</v>
      </c>
      <c r="AK50" s="13">
        <f t="shared" si="35"/>
        <v>42.659867131343425</v>
      </c>
      <c r="AL50" s="20">
        <f t="shared" si="4"/>
        <v>367.03971658708946</v>
      </c>
      <c r="AM50" s="59">
        <f t="shared" si="5"/>
        <v>660.37304992042277</v>
      </c>
      <c r="AN50" s="59">
        <f ca="1">AVERAGE(OFFSET($AM$3,0,0,'Données projet'!$E$10+1,1))-AVERAGE(OFFSET($H$3,0,0,'Données projet'!$E$10+1,1))</f>
        <v>191.94797389630673</v>
      </c>
      <c r="AO50" s="59">
        <f t="shared" si="36"/>
        <v>273.52540822767878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1.8386764410984477</v>
      </c>
      <c r="AV50" s="21">
        <f>EXP(-LN(2)/25)*AV49+(1-EXP(-LN(2)/25))/(LN(2)/25)*Calculateur!AQ50*Calculateur!AS50*VLOOKUP('Données projet'!$B$10,Paramètres!$A$1:$I$89,3,0)*0.475*44/12</f>
        <v>8.7683680546337897</v>
      </c>
      <c r="AW50" s="21">
        <f>EXP(-LN(2)/2)*AW49+(1-EXP(-LN(2)/2))/(LN(2)/2)*AQ50*AT50*VLOOKUP('Données projet'!$B$10,Paramètres!$A$1:$I$89,3,0)*0.475*44/12</f>
        <v>6.4090012245298228E-2</v>
      </c>
      <c r="AX50" s="21">
        <f t="shared" si="6"/>
        <v>10.671134507977536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118.19999999999997</v>
      </c>
      <c r="BE50" s="13">
        <f>BD50*VLOOKUP('Données projet'!$B$11,Paramètres!$A$1:$I$89,3,0)*VLOOKUP('Données projet'!$B$11,Paramètres!$A$1:$I$89,5,0)</f>
        <v>106.94735999999997</v>
      </c>
      <c r="BF50" s="13">
        <f t="shared" si="37"/>
        <v>28.61058496425451</v>
      </c>
      <c r="BG50" s="20">
        <f t="shared" si="7"/>
        <v>236.09675414607656</v>
      </c>
      <c r="BH50" s="59">
        <f t="shared" si="8"/>
        <v>529.43008747940985</v>
      </c>
      <c r="BI50" s="59">
        <f ca="1">AVERAGE(OFFSET($BH$3,0,0,'Données projet'!$E$11+1,1))-AVERAGE(OFFSET($H$3,0,0,'Données projet'!$E$11+1,1))</f>
        <v>138.8931001150624</v>
      </c>
      <c r="BJ50" s="59">
        <f t="shared" si="38"/>
        <v>48.964659354096625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5.6</v>
      </c>
      <c r="BY50" s="12">
        <f>IF('Données projet'!$A$114&gt;35,BY49+BX50-CG49,IF(A50&lt;'Données projet'!$A$114,$BV$205^A50,IF(A50='Données projet'!$A$114,'Données projet'!$B$114,BY49+BX50-CG49)))</f>
        <v>118.19999999999997</v>
      </c>
      <c r="BZ50" s="13">
        <f>BY50*VLOOKUP('Données projet'!$B$12,Paramètres!$A$1:$I$89,3,0)*VLOOKUP('Données projet'!$B$12,Paramètres!$A$1:$I$89,5,0)</f>
        <v>119.85479999999998</v>
      </c>
      <c r="CA50" s="13">
        <f t="shared" si="39"/>
        <v>31.641131392625841</v>
      </c>
      <c r="CB50" s="20">
        <f t="shared" si="10"/>
        <v>263.85541384215662</v>
      </c>
      <c r="CC50" s="59">
        <f t="shared" si="11"/>
        <v>557.18874717548988</v>
      </c>
      <c r="CD50" s="59">
        <f ca="1">AVERAGE(OFFSET($CC$3,0,0,'Données projet'!$E$12+1,1))-AVERAGE(OFFSET($H$3,0,0,'Données projet'!$E$12+1,1))</f>
        <v>169.2757878405003</v>
      </c>
      <c r="CE50" s="59">
        <f t="shared" si="40"/>
        <v>61.876502626609977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6</v>
      </c>
      <c r="CT50" s="12">
        <f>IF('Données projet'!$A$140&gt;35,CT49+CS50-DB49,IF(A50&lt;'Données projet'!$A$140,$CQ$205^A50,IF(A50='Données projet'!$A$140,'Données projet'!$B$140,CT49+CS50-DB49)))</f>
        <v>173.99999999999997</v>
      </c>
      <c r="CU50" s="17">
        <f>CT50*VLOOKUP('Données projet'!$B$13,Paramètres!$A$1:$I$89,3,0)*VLOOKUP('Données projet'!$B$13,Paramètres!$A$1:$I$89,5,0)</f>
        <v>138.43439999999998</v>
      </c>
      <c r="CV50" s="13">
        <f t="shared" si="41"/>
        <v>35.938114113553581</v>
      </c>
      <c r="CW50" s="20">
        <f t="shared" si="13"/>
        <v>303.69879541443913</v>
      </c>
      <c r="CX50" s="59">
        <f t="shared" si="14"/>
        <v>597.0321287477725</v>
      </c>
      <c r="CY50" s="59">
        <f ca="1">AVERAGE(OFFSET($CX$3,0,0,'Données projet'!$E$13+1,1))-AVERAGE(OFFSET($H$3,0,0,'Données projet'!$E$13+1,1))</f>
        <v>141.12810728817544</v>
      </c>
      <c r="CZ50" s="59">
        <f t="shared" si="42"/>
        <v>176.01405805137551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>
        <f>EXP(-LN(2)/35)*DF49+(1-EXP(-LN(2)/35))/(LN(2)/35)*DB50*DC50*VLOOKUP('Données projet'!$B$13,Paramètres!$A$1:$I$89,3,0)*0.475*44/12</f>
        <v>0</v>
      </c>
      <c r="DG50" s="21">
        <f>EXP(-LN(2)/25)*DG49+(1-EXP(-LN(2)/25))/(LN(2)/25)*Calculateur!DB50*Calculateur!DD50*VLOOKUP('Données projet'!$B$13,Paramètres!$A$1:$I$89,3,0)*0.475*44/12</f>
        <v>4.1959977648998317</v>
      </c>
      <c r="DH50" s="21">
        <f>EXP(-LN(2)/2)*DH49+(1-EXP(-LN(2)/2))/(LN(2)/2)*DB50*DE50*VLOOKUP('Données projet'!$B$13,Paramètres!$A$1:$I$89,3,0)*0.475*44/12</f>
        <v>2.2111427751009202E-2</v>
      </c>
      <c r="DI50" s="22">
        <f t="shared" si="15"/>
        <v>4.2181091926508412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10.7</v>
      </c>
      <c r="DO50" s="12">
        <f>IF('Données projet'!$A$166&gt;35,DO49+DN50-DW49,IF(A50&lt;'Données projet'!$A$166,$DL$205^A50,IF(A50='Données projet'!$A$166,'Données projet'!$B$166,DO49+DN50-DW49)))</f>
        <v>251.89999999999989</v>
      </c>
      <c r="DP50" s="17">
        <f>DO50*VLOOKUP('Données projet'!$B$14,Paramètres!$A$1:$I$89,3,0)*VLOOKUP('Données projet'!$B$14,Paramètres!$A$1:$I$89,5,0)</f>
        <v>150.63619999999995</v>
      </c>
      <c r="DQ50" s="13">
        <f t="shared" si="43"/>
        <v>38.723128721349489</v>
      </c>
      <c r="DR50" s="20">
        <f t="shared" si="16"/>
        <v>329.80083085635027</v>
      </c>
      <c r="DS50" s="59">
        <f t="shared" si="17"/>
        <v>623.13416418968359</v>
      </c>
      <c r="DT50" s="59">
        <f ca="1">AVERAGE(OFFSET($DS$3,0,0,'Données projet'!$E$14+1,1))-AVERAGE(OFFSET($H$3,0,0,'Données projet'!$E$14+1,1))</f>
        <v>165.39579887388538</v>
      </c>
      <c r="DU50" s="59">
        <f t="shared" si="44"/>
        <v>155.89639262545802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>
        <f>EXP(-LN(2)/35)*EA49+(1-EXP(-LN(2)/35))/(LN(2)/35)*DW50*DX50*VLOOKUP('Données projet'!$B$14,Paramètres!$A$1:$I$89,3,0)*0.475*44/12</f>
        <v>0</v>
      </c>
      <c r="EB50" s="21">
        <f>EXP(-LN(2)/25)*EB49+(1-EXP(-LN(2)/25))/(LN(2)/25)*Calculateur!DW50*Calculateur!DY50*VLOOKUP('Données projet'!$B$14,Paramètres!$A$1:$I$89,3,0)*0.475*44/12</f>
        <v>4.5496937054532838</v>
      </c>
      <c r="EC50" s="21">
        <f>EXP(-LN(2)/2)*EC49+(1-EXP(-LN(2)/2))/(LN(2)/2)*DW50*DZ50*VLOOKUP('Données projet'!$B$14,Paramètres!$A$1:$I$89,3,0)*0.475*44/12</f>
        <v>3.8338544498424415E-2</v>
      </c>
      <c r="ED50" s="22">
        <f t="shared" si="18"/>
        <v>4.5880322499517083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5.6</v>
      </c>
      <c r="EJ50" s="12">
        <f>IF('Données projet'!$A$192&gt;35,EJ49+EI50-ER49,IF(A50&lt;'Données projet'!$A$192,$EG$205^A50,IF(A50='Données projet'!$A$192,'Données projet'!$B$192,EJ49+EI50-ER49)))</f>
        <v>118.19999999999997</v>
      </c>
      <c r="EK50" s="17">
        <f>EJ50*VLOOKUP('Données projet'!$B$15,Paramètres!$A$1:$I$89,3,0)*VLOOKUP('Données projet'!$B$15,Paramètres!$A$1:$I$89,5,0)</f>
        <v>92.195999999999984</v>
      </c>
      <c r="EL50" s="13">
        <f t="shared" si="45"/>
        <v>25.094101950594489</v>
      </c>
      <c r="EM50" s="20">
        <f t="shared" si="19"/>
        <v>204.28026089728539</v>
      </c>
      <c r="EN50" s="59">
        <f t="shared" si="20"/>
        <v>497.61359423061867</v>
      </c>
      <c r="EO50" s="59">
        <f ca="1">AVERAGE(OFFSET($EN$3,0,0,'Données projet'!$E$15+1,1))-AVERAGE(OFFSET($H$3,0,0,'Données projet'!$E$15+1,1))</f>
        <v>104.07220236158577</v>
      </c>
      <c r="EP50" s="59">
        <f t="shared" si="46"/>
        <v>34.162068257911756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>
        <f>EXP(-LN(2)/35)*EV49+(1-EXP(-LN(2)/35))/(LN(2)/35)*ER50*ES50*VLOOKUP('Données projet'!$B$15,Paramètres!$A$1:$I$89,3,0)*0.475*44/12</f>
        <v>0</v>
      </c>
      <c r="EW50" s="21">
        <f>EXP(-LN(2)/25)*EW49+(1-EXP(-LN(2)/25))/(LN(2)/25)*Calculateur!ER50*Calculateur!ET50*VLOOKUP('Données projet'!$B$15,Paramètres!$A$1:$I$89,3,0)*0.475*44/12</f>
        <v>0</v>
      </c>
      <c r="EX50" s="21">
        <f>EXP(-LN(2)/2)*EX49+(1-EXP(-LN(2)/2))/(LN(2)/2)*ER50*EU50*VLOOKUP('Données projet'!$B$15,Paramètres!$A$1:$I$89,3,0)*0.475*44/12</f>
        <v>0</v>
      </c>
      <c r="EY50" s="22">
        <f t="shared" si="21"/>
        <v>0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5.6843418860808015E-14</v>
      </c>
      <c r="FF50" s="17">
        <f>FE50*VLOOKUP('Données projet'!$B$16,Paramètres!$A$1:$I$89,3,0)*VLOOKUP('Données projet'!$B$16,Paramètres!$A$1:$I$89,5,0)</f>
        <v>5.1431925385259088E-14</v>
      </c>
      <c r="FG50" s="13">
        <f t="shared" si="47"/>
        <v>8.3482866290946129E-13</v>
      </c>
      <c r="FH50" s="20">
        <f t="shared" si="22"/>
        <v>1.5435705246133045E-12</v>
      </c>
      <c r="FI50" s="59">
        <f t="shared" si="23"/>
        <v>293.33333333333485</v>
      </c>
      <c r="FJ50" s="59">
        <f ca="1">AVERAGE(OFFSET($FI$3,0,0,'Données projet'!$E$16+1,1))-AVERAGE(OFFSET($H$3,0,0,'Données projet'!$E$16+1,1))</f>
        <v>179.50097986986123</v>
      </c>
      <c r="FK50" s="59">
        <f t="shared" si="48"/>
        <v>287.11838730637578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>
        <f>EXP(-LN(2)/35)*FQ49+(1-EXP(-LN(2)/35))/(LN(2)/35)*FM50*FN50*VLOOKUP('Données projet'!$B$16,Paramètres!$A$1:$I$89,3,0)*0.475*44/12</f>
        <v>0.44517937641231886</v>
      </c>
      <c r="FR50" s="21">
        <f>EXP(-LN(2)/25)*FR49+(1-EXP(-LN(2)/25))/(LN(2)/25)*Calculateur!FM50*Calculateur!FO50*VLOOKUP('Données projet'!$B$16,Paramètres!$A$1:$I$89,3,0)*0.475*44/12</f>
        <v>3.9282677315834875</v>
      </c>
      <c r="FS50" s="21">
        <f>EXP(-LN(2)/2)*FS49+(1-EXP(-LN(2)/2))/(LN(2)/2)*FM50*FP50*VLOOKUP('Données projet'!$B$16,Paramètres!$A$1:$I$89,3,0)*0.475*44/12</f>
        <v>1.2487052835977716E-2</v>
      </c>
      <c r="FT50" s="22">
        <f t="shared" si="24"/>
        <v>4.3859341608317841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10.7</v>
      </c>
      <c r="FZ50" s="12">
        <f>IF('Données projet'!$A$244&gt;35,FZ49+FY50-GH49,IF(A50&lt;'Données projet'!$A$244,$FW$205^A50,IF(A50='Données projet'!$A$244,'Données projet'!$B$244,FZ49+FY50-GH49)))</f>
        <v>251.89999999999989</v>
      </c>
      <c r="GA50" s="17">
        <f>FZ50*VLOOKUP('Données projet'!$B$17,Paramètres!$A$1:$I$89,3,0)*VLOOKUP('Données projet'!$B$17,Paramètres!$A$1:$I$89,5,0)</f>
        <v>150.63619999999995</v>
      </c>
      <c r="GB50" s="13">
        <f t="shared" si="49"/>
        <v>38.723128721349489</v>
      </c>
      <c r="GC50" s="20">
        <f t="shared" si="25"/>
        <v>329.80083085635027</v>
      </c>
      <c r="GD50" s="59">
        <f t="shared" si="26"/>
        <v>623.13416418968359</v>
      </c>
      <c r="GE50" s="59">
        <f ca="1">AVERAGE(OFFSET($GD$3,0,0,'Données projet'!$E$17+1,1))-AVERAGE(OFFSET($H$3,0,0,'Données projet'!$E$17+1,1))</f>
        <v>165.39579887388538</v>
      </c>
      <c r="GF50" s="59">
        <f t="shared" si="50"/>
        <v>155.89639262545802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>
        <f>EXP(-LN(2)/35)*GL49+(1-EXP(-LN(2)/35))/(LN(2)/35)*GH50*GI50*VLOOKUP('Données projet'!$B$17,Paramètres!$A$1:$I$89,3,0)*0.475*44/12</f>
        <v>0</v>
      </c>
      <c r="GM50" s="21">
        <f>EXP(-LN(2)/25)*GM49+(1-EXP(-LN(2)/25))/(LN(2)/25)*Calculateur!GH50*Calculateur!GJ50*VLOOKUP('Données projet'!$B$17,Paramètres!$A$1:$I$89,3,0)*0.475*44/12</f>
        <v>4.5496937054532838</v>
      </c>
      <c r="GN50" s="21">
        <f>EXP(-LN(2)/2)*GN49+(1-EXP(-LN(2)/2))/(LN(2)/2)*GH50*GK50*VLOOKUP('Données projet'!$B$17,Paramètres!$A$1:$I$89,3,0)*0.475*44/12</f>
        <v>3.8338544498424415E-2</v>
      </c>
      <c r="GO50" s="21">
        <f t="shared" si="27"/>
        <v>4.5880322499517083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15.5</v>
      </c>
      <c r="N51" s="13">
        <f>IF('Données projet'!$A$36&gt;35,N50+M51-V50,IF(A51&lt;'Données projet'!$A$36,$K$205^A51,IF(A51='Données projet'!$A$36,'Données projet'!$B$36,N50+M51-V50)))</f>
        <v>369.00000000000011</v>
      </c>
      <c r="O51" s="13">
        <f>N51*VLOOKUP('Données projet'!$B$9,Paramètres!$A$1:$I$89,3,0)*VLOOKUP('Données projet'!$B$9,Paramètres!$A$1:$I$89,5,0)</f>
        <v>206.27100000000007</v>
      </c>
      <c r="P51" s="13">
        <f t="shared" si="33"/>
        <v>51.119857609331589</v>
      </c>
      <c r="Q51" s="20">
        <f t="shared" si="53"/>
        <v>448.28907700291933</v>
      </c>
      <c r="R51" s="59">
        <f t="shared" si="0"/>
        <v>741.62241033625264</v>
      </c>
      <c r="S51" s="59">
        <f ca="1">AVERAGE(OFFSET($R$3,0,0,'Données projet'!$E$9+1,1))-AVERAGE(OFFSET($H$3,0,0,'Données projet'!$E$9+1,1))</f>
        <v>235.10258076192054</v>
      </c>
      <c r="T51" s="59">
        <f t="shared" si="34"/>
        <v>233.47316052603765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2.3986490677348042</v>
      </c>
      <c r="AA51" s="21">
        <f>EXP(-LN(2)/25)*AA50+(1-EXP(-LN(2)/25))/(LN(2)/25)*Calculateur!V51*Calculateur!X51*VLOOKUP('Données projet'!$B$9,Paramètres!$A$1:$I$89,3,0)*0.475*44/12</f>
        <v>11.191771317494483</v>
      </c>
      <c r="AB51" s="21">
        <f>EXP(-LN(2)/2)*AB50+(1-EXP(-LN(2)/2))/(LN(2)/2)*V51*Y51*VLOOKUP('Données projet'!$B$9,Paramètres!$A$1:$I$89,3,0)*0.475*44/12</f>
        <v>4.7113440864585729E-2</v>
      </c>
      <c r="AC51" s="22">
        <f t="shared" si="3"/>
        <v>13.637533826093872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7.2</v>
      </c>
      <c r="AI51" s="13">
        <f>IF('Données projet'!$A$62&gt;35,AI50+AH51-AQ50,IF(A51&lt;'Données projet'!$A$62,$AF$205^A51,IF(A51='Données projet'!$A$62,'Données projet'!$B$62,AI50+AH51-AQ50)))</f>
        <v>199.59999999999977</v>
      </c>
      <c r="AJ51" s="13">
        <f>AI51*VLOOKUP('Données projet'!$B$10,Paramètres!$A$1:$I$89,3,0)*VLOOKUP('Données projet'!$B$10,Paramètres!$A$1:$I$89,5,0)</f>
        <v>174.37055999999981</v>
      </c>
      <c r="AK51" s="13">
        <f t="shared" si="35"/>
        <v>44.067432817877425</v>
      </c>
      <c r="AL51" s="20">
        <f t="shared" si="4"/>
        <v>380.44617082446945</v>
      </c>
      <c r="AM51" s="59">
        <f t="shared" si="5"/>
        <v>673.77950415780276</v>
      </c>
      <c r="AN51" s="59">
        <f ca="1">AVERAGE(OFFSET($AM$3,0,0,'Données projet'!$E$10+1,1))-AVERAGE(OFFSET($H$3,0,0,'Données projet'!$E$10+1,1))</f>
        <v>191.94797389630673</v>
      </c>
      <c r="AO51" s="59">
        <f t="shared" si="36"/>
        <v>273.52540822767878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1.8026211175703992</v>
      </c>
      <c r="AV51" s="21">
        <f>EXP(-LN(2)/25)*AV50+(1-EXP(-LN(2)/25))/(LN(2)/25)*Calculateur!AQ51*Calculateur!AS51*VLOOKUP('Données projet'!$B$10,Paramètres!$A$1:$I$89,3,0)*0.475*44/12</f>
        <v>8.528596569071393</v>
      </c>
      <c r="AW51" s="21">
        <f>EXP(-LN(2)/2)*AW50+(1-EXP(-LN(2)/2))/(LN(2)/2)*AQ51*AT51*VLOOKUP('Données projet'!$B$10,Paramètres!$A$1:$I$89,3,0)*0.475*44/12</f>
        <v>4.5318482264979247E-2</v>
      </c>
      <c r="AX51" s="21">
        <f t="shared" si="6"/>
        <v>10.376536168906773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123.79999999999997</v>
      </c>
      <c r="BE51" s="13">
        <f>BD51*VLOOKUP('Données projet'!$B$11,Paramètres!$A$1:$I$89,3,0)*VLOOKUP('Données projet'!$B$11,Paramètres!$A$1:$I$89,5,0)</f>
        <v>112.01423999999996</v>
      </c>
      <c r="BF51" s="13">
        <f t="shared" si="37"/>
        <v>29.805052882814007</v>
      </c>
      <c r="BG51" s="20">
        <f t="shared" si="7"/>
        <v>247.00193510423426</v>
      </c>
      <c r="BH51" s="59">
        <f t="shared" si="8"/>
        <v>540.33526843756761</v>
      </c>
      <c r="BI51" s="59">
        <f ca="1">AVERAGE(OFFSET($BH$3,0,0,'Données projet'!$E$11+1,1))-AVERAGE(OFFSET($H$3,0,0,'Données projet'!$E$11+1,1))</f>
        <v>138.8931001150624</v>
      </c>
      <c r="BJ51" s="59">
        <f t="shared" si="38"/>
        <v>48.964659354096625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5.6</v>
      </c>
      <c r="BY51" s="12">
        <f>IF('Données projet'!$A$114&gt;35,BY50+BX51-CG50,IF(A51&lt;'Données projet'!$A$114,$BV$205^A51,IF(A51='Données projet'!$A$114,'Données projet'!$B$114,BY50+BX51-CG50)))</f>
        <v>123.79999999999997</v>
      </c>
      <c r="BZ51" s="13">
        <f>BY51*VLOOKUP('Données projet'!$B$12,Paramètres!$A$1:$I$89,3,0)*VLOOKUP('Données projet'!$B$12,Paramètres!$A$1:$I$89,5,0)</f>
        <v>125.53319999999998</v>
      </c>
      <c r="CA51" s="13">
        <f t="shared" si="39"/>
        <v>32.962122082003134</v>
      </c>
      <c r="CB51" s="20">
        <f t="shared" si="10"/>
        <v>276.046019292822</v>
      </c>
      <c r="CC51" s="59">
        <f t="shared" si="11"/>
        <v>569.37935262615531</v>
      </c>
      <c r="CD51" s="59">
        <f ca="1">AVERAGE(OFFSET($CC$3,0,0,'Données projet'!$E$12+1,1))-AVERAGE(OFFSET($H$3,0,0,'Données projet'!$E$12+1,1))</f>
        <v>169.2757878405003</v>
      </c>
      <c r="CE51" s="59">
        <f t="shared" si="40"/>
        <v>61.876502626609977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6</v>
      </c>
      <c r="CT51" s="12">
        <f>IF('Données projet'!$A$140&gt;35,CT50+CS51-DB50,IF(A51&lt;'Données projet'!$A$140,$CQ$205^A51,IF(A51='Données projet'!$A$140,'Données projet'!$B$140,CT50+CS51-DB50)))</f>
        <v>179.99999999999997</v>
      </c>
      <c r="CU51" s="17">
        <f>CT51*VLOOKUP('Données projet'!$B$13,Paramètres!$A$1:$I$89,3,0)*VLOOKUP('Données projet'!$B$13,Paramètres!$A$1:$I$89,5,0)</f>
        <v>143.20799999999997</v>
      </c>
      <c r="CV51" s="13">
        <f t="shared" si="41"/>
        <v>37.030941422835802</v>
      </c>
      <c r="CW51" s="20">
        <f t="shared" si="13"/>
        <v>313.91615631143895</v>
      </c>
      <c r="CX51" s="59">
        <f t="shared" si="14"/>
        <v>607.24948964477221</v>
      </c>
      <c r="CY51" s="59">
        <f ca="1">AVERAGE(OFFSET($CX$3,0,0,'Données projet'!$E$13+1,1))-AVERAGE(OFFSET($H$3,0,0,'Données projet'!$E$13+1,1))</f>
        <v>141.12810728817544</v>
      </c>
      <c r="CZ51" s="59">
        <f t="shared" si="42"/>
        <v>176.01405805137551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>
        <f>EXP(-LN(2)/35)*DF50+(1-EXP(-LN(2)/35))/(LN(2)/35)*DB51*DC51*VLOOKUP('Données projet'!$B$13,Paramètres!$A$1:$I$89,3,0)*0.475*44/12</f>
        <v>0</v>
      </c>
      <c r="DG51" s="21">
        <f>EXP(-LN(2)/25)*DG50+(1-EXP(-LN(2)/25))/(LN(2)/25)*Calculateur!DB51*Calculateur!DD51*VLOOKUP('Données projet'!$B$13,Paramètres!$A$1:$I$89,3,0)*0.475*44/12</f>
        <v>4.0812579853607138</v>
      </c>
      <c r="DH51" s="21">
        <f>EXP(-LN(2)/2)*DH50+(1-EXP(-LN(2)/2))/(LN(2)/2)*DB51*DE51*VLOOKUP('Données projet'!$B$13,Paramètres!$A$1:$I$89,3,0)*0.475*44/12</f>
        <v>1.5635140504455018E-2</v>
      </c>
      <c r="DI51" s="22">
        <f t="shared" si="15"/>
        <v>4.0968931258651686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10.7</v>
      </c>
      <c r="DO51" s="12">
        <f>IF('Données projet'!$A$166&gt;35,DO50+DN51-DW50,IF(A51&lt;'Données projet'!$A$166,$DL$205^A51,IF(A51='Données projet'!$A$166,'Données projet'!$B$166,DO50+DN51-DW50)))</f>
        <v>262.59999999999991</v>
      </c>
      <c r="DP51" s="17">
        <f>DO51*VLOOKUP('Données projet'!$B$14,Paramètres!$A$1:$I$89,3,0)*VLOOKUP('Données projet'!$B$14,Paramètres!$A$1:$I$89,5,0)</f>
        <v>157.03479999999996</v>
      </c>
      <c r="DQ51" s="13">
        <f t="shared" si="43"/>
        <v>40.172979873645495</v>
      </c>
      <c r="DR51" s="20">
        <f t="shared" si="16"/>
        <v>343.47021661326585</v>
      </c>
      <c r="DS51" s="59">
        <f t="shared" si="17"/>
        <v>636.80354994659911</v>
      </c>
      <c r="DT51" s="59">
        <f ca="1">AVERAGE(OFFSET($DS$3,0,0,'Données projet'!$E$14+1,1))-AVERAGE(OFFSET($H$3,0,0,'Données projet'!$E$14+1,1))</f>
        <v>165.39579887388538</v>
      </c>
      <c r="DU51" s="59">
        <f t="shared" si="44"/>
        <v>155.89639262545802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>
        <f>EXP(-LN(2)/35)*EA50+(1-EXP(-LN(2)/35))/(LN(2)/35)*DW51*DX51*VLOOKUP('Données projet'!$B$14,Paramètres!$A$1:$I$89,3,0)*0.475*44/12</f>
        <v>0</v>
      </c>
      <c r="EB51" s="21">
        <f>EXP(-LN(2)/25)*EB50+(1-EXP(-LN(2)/25))/(LN(2)/25)*Calculateur!DW51*Calculateur!DY51*VLOOKUP('Données projet'!$B$14,Paramètres!$A$1:$I$89,3,0)*0.475*44/12</f>
        <v>4.4252820918196702</v>
      </c>
      <c r="EC51" s="21">
        <f>EXP(-LN(2)/2)*EC50+(1-EXP(-LN(2)/2))/(LN(2)/2)*DW51*DZ51*VLOOKUP('Données projet'!$B$14,Paramètres!$A$1:$I$89,3,0)*0.475*44/12</f>
        <v>2.7109444795658109E-2</v>
      </c>
      <c r="ED51" s="22">
        <f t="shared" si="18"/>
        <v>4.4523915366153286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5.6</v>
      </c>
      <c r="EJ51" s="12">
        <f>IF('Données projet'!$A$192&gt;35,EJ50+EI51-ER50,IF(A51&lt;'Données projet'!$A$192,$EG$205^A51,IF(A51='Données projet'!$A$192,'Données projet'!$B$192,EJ50+EI51-ER50)))</f>
        <v>123.79999999999997</v>
      </c>
      <c r="EK51" s="17">
        <f>EJ51*VLOOKUP('Données projet'!$B$15,Paramètres!$A$1:$I$89,3,0)*VLOOKUP('Données projet'!$B$15,Paramètres!$A$1:$I$89,5,0)</f>
        <v>96.563999999999979</v>
      </c>
      <c r="EL51" s="13">
        <f t="shared" si="45"/>
        <v>26.141759653591315</v>
      </c>
      <c r="EM51" s="20">
        <f t="shared" si="19"/>
        <v>213.71253139667147</v>
      </c>
      <c r="EN51" s="59">
        <f t="shared" si="20"/>
        <v>507.04586473000478</v>
      </c>
      <c r="EO51" s="59">
        <f ca="1">AVERAGE(OFFSET($EN$3,0,0,'Données projet'!$E$15+1,1))-AVERAGE(OFFSET($H$3,0,0,'Données projet'!$E$15+1,1))</f>
        <v>104.07220236158577</v>
      </c>
      <c r="EP51" s="59">
        <f t="shared" si="46"/>
        <v>34.162068257911756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>
        <f>EXP(-LN(2)/35)*EV50+(1-EXP(-LN(2)/35))/(LN(2)/35)*ER51*ES51*VLOOKUP('Données projet'!$B$15,Paramètres!$A$1:$I$89,3,0)*0.475*44/12</f>
        <v>0</v>
      </c>
      <c r="EW51" s="21">
        <f>EXP(-LN(2)/25)*EW50+(1-EXP(-LN(2)/25))/(LN(2)/25)*Calculateur!ER51*Calculateur!ET51*VLOOKUP('Données projet'!$B$15,Paramètres!$A$1:$I$89,3,0)*0.475*44/12</f>
        <v>0</v>
      </c>
      <c r="EX51" s="21">
        <f>EXP(-LN(2)/2)*EX50+(1-EXP(-LN(2)/2))/(LN(2)/2)*ER51*EU51*VLOOKUP('Données projet'!$B$15,Paramètres!$A$1:$I$89,3,0)*0.475*44/12</f>
        <v>0</v>
      </c>
      <c r="EY51" s="22">
        <f t="shared" si="21"/>
        <v>0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5.6843418860808015E-14</v>
      </c>
      <c r="FF51" s="17">
        <f>FE51*VLOOKUP('Données projet'!$B$16,Paramètres!$A$1:$I$89,3,0)*VLOOKUP('Données projet'!$B$16,Paramètres!$A$1:$I$89,5,0)</f>
        <v>5.1431925385259088E-14</v>
      </c>
      <c r="FG51" s="13">
        <f t="shared" si="47"/>
        <v>8.3482866290946129E-13</v>
      </c>
      <c r="FH51" s="20">
        <f t="shared" si="22"/>
        <v>1.5435705246133045E-12</v>
      </c>
      <c r="FI51" s="59">
        <f t="shared" si="23"/>
        <v>293.33333333333485</v>
      </c>
      <c r="FJ51" s="59">
        <f ca="1">AVERAGE(OFFSET($FI$3,0,0,'Données projet'!$E$16+1,1))-AVERAGE(OFFSET($H$3,0,0,'Données projet'!$E$16+1,1))</f>
        <v>179.50097986986123</v>
      </c>
      <c r="FK51" s="59">
        <f t="shared" si="48"/>
        <v>287.11838730637578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>
        <f>EXP(-LN(2)/35)*FQ50+(1-EXP(-LN(2)/35))/(LN(2)/35)*FM51*FN51*VLOOKUP('Données projet'!$B$16,Paramètres!$A$1:$I$89,3,0)*0.475*44/12</f>
        <v>0.43644968037348131</v>
      </c>
      <c r="FR51" s="21">
        <f>EXP(-LN(2)/25)*FR50+(1-EXP(-LN(2)/25))/(LN(2)/25)*Calculateur!FM51*Calculateur!FO51*VLOOKUP('Données projet'!$B$16,Paramètres!$A$1:$I$89,3,0)*0.475*44/12</f>
        <v>3.8208490438847154</v>
      </c>
      <c r="FS51" s="21">
        <f>EXP(-LN(2)/2)*FS50+(1-EXP(-LN(2)/2))/(LN(2)/2)*FM51*FP51*VLOOKUP('Données projet'!$B$16,Paramètres!$A$1:$I$89,3,0)*0.475*44/12</f>
        <v>8.8296797373545524E-3</v>
      </c>
      <c r="FT51" s="22">
        <f t="shared" si="24"/>
        <v>4.2661284039955518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10.7</v>
      </c>
      <c r="FZ51" s="12">
        <f>IF('Données projet'!$A$244&gt;35,FZ50+FY51-GH50,IF(A51&lt;'Données projet'!$A$244,$FW$205^A51,IF(A51='Données projet'!$A$244,'Données projet'!$B$244,FZ50+FY51-GH50)))</f>
        <v>262.59999999999991</v>
      </c>
      <c r="GA51" s="17">
        <f>FZ51*VLOOKUP('Données projet'!$B$17,Paramètres!$A$1:$I$89,3,0)*VLOOKUP('Données projet'!$B$17,Paramètres!$A$1:$I$89,5,0)</f>
        <v>157.03479999999996</v>
      </c>
      <c r="GB51" s="13">
        <f t="shared" si="49"/>
        <v>40.172979873645495</v>
      </c>
      <c r="GC51" s="20">
        <f t="shared" si="25"/>
        <v>343.47021661326585</v>
      </c>
      <c r="GD51" s="59">
        <f t="shared" si="26"/>
        <v>636.80354994659911</v>
      </c>
      <c r="GE51" s="59">
        <f ca="1">AVERAGE(OFFSET($GD$3,0,0,'Données projet'!$E$17+1,1))-AVERAGE(OFFSET($H$3,0,0,'Données projet'!$E$17+1,1))</f>
        <v>165.39579887388538</v>
      </c>
      <c r="GF51" s="59">
        <f t="shared" si="50"/>
        <v>155.89639262545802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>
        <f>EXP(-LN(2)/35)*GL50+(1-EXP(-LN(2)/35))/(LN(2)/35)*GH51*GI51*VLOOKUP('Données projet'!$B$17,Paramètres!$A$1:$I$89,3,0)*0.475*44/12</f>
        <v>0</v>
      </c>
      <c r="GM51" s="21">
        <f>EXP(-LN(2)/25)*GM50+(1-EXP(-LN(2)/25))/(LN(2)/25)*Calculateur!GH51*Calculateur!GJ51*VLOOKUP('Données projet'!$B$17,Paramètres!$A$1:$I$89,3,0)*0.475*44/12</f>
        <v>4.4252820918196702</v>
      </c>
      <c r="GN51" s="21">
        <f>EXP(-LN(2)/2)*GN50+(1-EXP(-LN(2)/2))/(LN(2)/2)*GH51*GK51*VLOOKUP('Données projet'!$B$17,Paramètres!$A$1:$I$89,3,0)*0.475*44/12</f>
        <v>2.7109444795658109E-2</v>
      </c>
      <c r="GO51" s="21">
        <f t="shared" si="27"/>
        <v>4.4523915366153286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15.5</v>
      </c>
      <c r="N52" s="13">
        <f>IF('Données projet'!$A$36&gt;35,N51+M52-V51,IF(A52&lt;'Données projet'!$A$36,$K$205^A52,IF(A52='Données projet'!$A$36,'Données projet'!$B$36,N51+M52-V51)))</f>
        <v>384.50000000000011</v>
      </c>
      <c r="O52" s="13">
        <f>N52*VLOOKUP('Données projet'!$B$9,Paramètres!$A$1:$I$89,3,0)*VLOOKUP('Données projet'!$B$9,Paramètres!$A$1:$I$89,5,0)</f>
        <v>214.93550000000005</v>
      </c>
      <c r="P52" s="13">
        <f t="shared" si="33"/>
        <v>53.012654111958383</v>
      </c>
      <c r="Q52" s="20">
        <f t="shared" si="53"/>
        <v>466.67636841166092</v>
      </c>
      <c r="R52" s="59">
        <f t="shared" si="0"/>
        <v>760.00970174499423</v>
      </c>
      <c r="S52" s="59">
        <f ca="1">AVERAGE(OFFSET($R$3,0,0,'Données projet'!$E$9+1,1))-AVERAGE(OFFSET($H$3,0,0,'Données projet'!$E$9+1,1))</f>
        <v>235.10258076192054</v>
      </c>
      <c r="T52" s="59">
        <f t="shared" si="34"/>
        <v>233.47316052603765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2.3516130225479936</v>
      </c>
      <c r="AA52" s="21">
        <f>EXP(-LN(2)/25)*AA51+(1-EXP(-LN(2)/25))/(LN(2)/25)*Calculateur!V52*Calculateur!X52*VLOOKUP('Données projet'!$B$9,Paramètres!$A$1:$I$89,3,0)*0.475*44/12</f>
        <v>10.885731742267922</v>
      </c>
      <c r="AB52" s="21">
        <f>EXP(-LN(2)/2)*AB51+(1-EXP(-LN(2)/2))/(LN(2)/2)*V52*Y52*VLOOKUP('Données projet'!$B$9,Paramètres!$A$1:$I$89,3,0)*0.475*44/12</f>
        <v>3.3314233520379967E-2</v>
      </c>
      <c r="AC52" s="22">
        <f t="shared" si="3"/>
        <v>13.270658998336296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7.2</v>
      </c>
      <c r="AI52" s="13">
        <f>IF('Données projet'!$A$62&gt;35,AI51+AH52-AQ51,IF(A52&lt;'Données projet'!$A$62,$AF$205^A52,IF(A52='Données projet'!$A$62,'Données projet'!$B$62,AI51+AH52-AQ51)))</f>
        <v>206.79999999999976</v>
      </c>
      <c r="AJ52" s="13">
        <f>AI52*VLOOKUP('Données projet'!$B$10,Paramètres!$A$1:$I$89,3,0)*VLOOKUP('Données projet'!$B$10,Paramètres!$A$1:$I$89,5,0)</f>
        <v>180.66047999999981</v>
      </c>
      <c r="AK52" s="13">
        <f t="shared" si="35"/>
        <v>45.469099459918716</v>
      </c>
      <c r="AL52" s="20">
        <f t="shared" si="4"/>
        <v>393.8423508926914</v>
      </c>
      <c r="AM52" s="59">
        <f t="shared" si="5"/>
        <v>687.17568422602471</v>
      </c>
      <c r="AN52" s="59">
        <f ca="1">AVERAGE(OFFSET($AM$3,0,0,'Données projet'!$E$10+1,1))-AVERAGE(OFFSET($H$3,0,0,'Données projet'!$E$10+1,1))</f>
        <v>191.94797389630673</v>
      </c>
      <c r="AO52" s="59">
        <f t="shared" si="36"/>
        <v>273.52540822767878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1.7672728169451597</v>
      </c>
      <c r="AV52" s="21">
        <f>EXP(-LN(2)/25)*AV51+(1-EXP(-LN(2)/25))/(LN(2)/25)*Calculateur!AQ52*Calculateur!AS52*VLOOKUP('Données projet'!$B$10,Paramètres!$A$1:$I$89,3,0)*0.475*44/12</f>
        <v>8.2953816473907338</v>
      </c>
      <c r="AW52" s="21">
        <f>EXP(-LN(2)/2)*AW51+(1-EXP(-LN(2)/2))/(LN(2)/2)*AQ52*AT52*VLOOKUP('Données projet'!$B$10,Paramètres!$A$1:$I$89,3,0)*0.475*44/12</f>
        <v>3.2045006122649114E-2</v>
      </c>
      <c r="AX52" s="21">
        <f t="shared" si="6"/>
        <v>10.094699470458542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129.39999999999998</v>
      </c>
      <c r="BE52" s="13">
        <f>BD52*VLOOKUP('Données projet'!$B$11,Paramètres!$A$1:$I$89,3,0)*VLOOKUP('Données projet'!$B$11,Paramètres!$A$1:$I$89,5,0)</f>
        <v>117.08111999999997</v>
      </c>
      <c r="BF52" s="13">
        <f t="shared" si="37"/>
        <v>30.993245877902094</v>
      </c>
      <c r="BG52" s="20">
        <f t="shared" si="7"/>
        <v>257.89618723734606</v>
      </c>
      <c r="BH52" s="59">
        <f t="shared" si="8"/>
        <v>551.22952057067937</v>
      </c>
      <c r="BI52" s="59">
        <f ca="1">AVERAGE(OFFSET($BH$3,0,0,'Données projet'!$E$11+1,1))-AVERAGE(OFFSET($H$3,0,0,'Données projet'!$E$11+1,1))</f>
        <v>138.8931001150624</v>
      </c>
      <c r="BJ52" s="59">
        <f t="shared" si="38"/>
        <v>48.964659354096625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5.6</v>
      </c>
      <c r="BY52" s="12">
        <f>IF('Données projet'!$A$114&gt;35,BY51+BX52-CG51,IF(A52&lt;'Données projet'!$A$114,$BV$205^A52,IF(A52='Données projet'!$A$114,'Données projet'!$B$114,BY51+BX52-CG51)))</f>
        <v>129.39999999999998</v>
      </c>
      <c r="BZ52" s="13">
        <f>BY52*VLOOKUP('Données projet'!$B$12,Paramètres!$A$1:$I$89,3,0)*VLOOKUP('Données projet'!$B$12,Paramètres!$A$1:$I$89,5,0)</f>
        <v>131.21159999999998</v>
      </c>
      <c r="CA52" s="13">
        <f t="shared" si="39"/>
        <v>34.276173183172517</v>
      </c>
      <c r="CB52" s="20">
        <f t="shared" si="10"/>
        <v>288.22453829402542</v>
      </c>
      <c r="CC52" s="59">
        <f t="shared" si="11"/>
        <v>581.55787162735874</v>
      </c>
      <c r="CD52" s="59">
        <f ca="1">AVERAGE(OFFSET($CC$3,0,0,'Données projet'!$E$12+1,1))-AVERAGE(OFFSET($H$3,0,0,'Données projet'!$E$12+1,1))</f>
        <v>169.2757878405003</v>
      </c>
      <c r="CE52" s="59">
        <f t="shared" si="40"/>
        <v>61.876502626609977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6</v>
      </c>
      <c r="CT52" s="12">
        <f>IF('Données projet'!$A$140&gt;35,CT51+CS52-DB51,IF(A52&lt;'Données projet'!$A$140,$CQ$205^A52,IF(A52='Données projet'!$A$140,'Données projet'!$B$140,CT51+CS52-DB51)))</f>
        <v>185.99999999999997</v>
      </c>
      <c r="CU52" s="17">
        <f>CT52*VLOOKUP('Données projet'!$B$13,Paramètres!$A$1:$I$89,3,0)*VLOOKUP('Données projet'!$B$13,Paramètres!$A$1:$I$89,5,0)</f>
        <v>147.98159999999999</v>
      </c>
      <c r="CV52" s="13">
        <f t="shared" si="41"/>
        <v>38.119535949375617</v>
      </c>
      <c r="CW52" s="20">
        <f t="shared" si="13"/>
        <v>324.12614511182915</v>
      </c>
      <c r="CX52" s="59">
        <f t="shared" si="14"/>
        <v>617.4594784451624</v>
      </c>
      <c r="CY52" s="59">
        <f ca="1">AVERAGE(OFFSET($CX$3,0,0,'Données projet'!$E$13+1,1))-AVERAGE(OFFSET($H$3,0,0,'Données projet'!$E$13+1,1))</f>
        <v>141.12810728817544</v>
      </c>
      <c r="CZ52" s="59">
        <f t="shared" si="42"/>
        <v>176.01405805137551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>
        <f>EXP(-LN(2)/35)*DF51+(1-EXP(-LN(2)/35))/(LN(2)/35)*DB52*DC52*VLOOKUP('Données projet'!$B$13,Paramètres!$A$1:$I$89,3,0)*0.475*44/12</f>
        <v>0</v>
      </c>
      <c r="DG52" s="21">
        <f>EXP(-LN(2)/25)*DG51+(1-EXP(-LN(2)/25))/(LN(2)/25)*Calculateur!DB52*Calculateur!DD52*VLOOKUP('Données projet'!$B$13,Paramètres!$A$1:$I$89,3,0)*0.475*44/12</f>
        <v>3.9696557711269955</v>
      </c>
      <c r="DH52" s="21">
        <f>EXP(-LN(2)/2)*DH51+(1-EXP(-LN(2)/2))/(LN(2)/2)*DB52*DE52*VLOOKUP('Données projet'!$B$13,Paramètres!$A$1:$I$89,3,0)*0.475*44/12</f>
        <v>1.1055713875504601E-2</v>
      </c>
      <c r="DI52" s="22">
        <f t="shared" si="15"/>
        <v>3.9807114850025003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10.7</v>
      </c>
      <c r="DO52" s="12">
        <f>IF('Données projet'!$A$166&gt;35,DO51+DN52-DW51,IF(A52&lt;'Données projet'!$A$166,$DL$205^A52,IF(A52='Données projet'!$A$166,'Données projet'!$B$166,DO51+DN52-DW51)))</f>
        <v>273.2999999999999</v>
      </c>
      <c r="DP52" s="17">
        <f>DO52*VLOOKUP('Données projet'!$B$14,Paramètres!$A$1:$I$89,3,0)*VLOOKUP('Données projet'!$B$14,Paramètres!$A$1:$I$89,5,0)</f>
        <v>163.43339999999995</v>
      </c>
      <c r="DQ52" s="13">
        <f t="shared" si="43"/>
        <v>41.615968833471683</v>
      </c>
      <c r="DR52" s="20">
        <f t="shared" si="16"/>
        <v>357.12765071829648</v>
      </c>
      <c r="DS52" s="59">
        <f t="shared" si="17"/>
        <v>650.46098405162979</v>
      </c>
      <c r="DT52" s="59">
        <f ca="1">AVERAGE(OFFSET($DS$3,0,0,'Données projet'!$E$14+1,1))-AVERAGE(OFFSET($H$3,0,0,'Données projet'!$E$14+1,1))</f>
        <v>165.39579887388538</v>
      </c>
      <c r="DU52" s="59">
        <f t="shared" si="44"/>
        <v>155.89639262545802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>
        <f>EXP(-LN(2)/35)*EA51+(1-EXP(-LN(2)/35))/(LN(2)/35)*DW52*DX52*VLOOKUP('Données projet'!$B$14,Paramètres!$A$1:$I$89,3,0)*0.475*44/12</f>
        <v>0</v>
      </c>
      <c r="EB52" s="21">
        <f>EXP(-LN(2)/25)*EB51+(1-EXP(-LN(2)/25))/(LN(2)/25)*Calculateur!DW52*Calculateur!DY52*VLOOKUP('Données projet'!$B$14,Paramètres!$A$1:$I$89,3,0)*0.475*44/12</f>
        <v>4.3042725203033907</v>
      </c>
      <c r="EC52" s="21">
        <f>EXP(-LN(2)/2)*EC51+(1-EXP(-LN(2)/2))/(LN(2)/2)*DW52*DZ52*VLOOKUP('Données projet'!$B$14,Paramètres!$A$1:$I$89,3,0)*0.475*44/12</f>
        <v>1.9169272249212208E-2</v>
      </c>
      <c r="ED52" s="22">
        <f t="shared" si="18"/>
        <v>4.323441792552603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5.6</v>
      </c>
      <c r="EJ52" s="12">
        <f>IF('Données projet'!$A$192&gt;35,EJ51+EI52-ER51,IF(A52&lt;'Données projet'!$A$192,$EG$205^A52,IF(A52='Données projet'!$A$192,'Données projet'!$B$192,EJ51+EI52-ER51)))</f>
        <v>129.39999999999998</v>
      </c>
      <c r="EK52" s="17">
        <f>EJ52*VLOOKUP('Données projet'!$B$15,Paramètres!$A$1:$I$89,3,0)*VLOOKUP('Données projet'!$B$15,Paramètres!$A$1:$I$89,5,0)</f>
        <v>100.93199999999999</v>
      </c>
      <c r="EL52" s="13">
        <f t="shared" si="45"/>
        <v>27.183913674313889</v>
      </c>
      <c r="EM52" s="20">
        <f t="shared" si="19"/>
        <v>223.13521631609669</v>
      </c>
      <c r="EN52" s="59">
        <f t="shared" si="20"/>
        <v>516.46854964942997</v>
      </c>
      <c r="EO52" s="59">
        <f ca="1">AVERAGE(OFFSET($EN$3,0,0,'Données projet'!$E$15+1,1))-AVERAGE(OFFSET($H$3,0,0,'Données projet'!$E$15+1,1))</f>
        <v>104.07220236158577</v>
      </c>
      <c r="EP52" s="59">
        <f t="shared" si="46"/>
        <v>34.162068257911756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>
        <f>EXP(-LN(2)/35)*EV51+(1-EXP(-LN(2)/35))/(LN(2)/35)*ER52*ES52*VLOOKUP('Données projet'!$B$15,Paramètres!$A$1:$I$89,3,0)*0.475*44/12</f>
        <v>0</v>
      </c>
      <c r="EW52" s="21">
        <f>EXP(-LN(2)/25)*EW51+(1-EXP(-LN(2)/25))/(LN(2)/25)*Calculateur!ER52*Calculateur!ET52*VLOOKUP('Données projet'!$B$15,Paramètres!$A$1:$I$89,3,0)*0.475*44/12</f>
        <v>0</v>
      </c>
      <c r="EX52" s="21">
        <f>EXP(-LN(2)/2)*EX51+(1-EXP(-LN(2)/2))/(LN(2)/2)*ER52*EU52*VLOOKUP('Données projet'!$B$15,Paramètres!$A$1:$I$89,3,0)*0.475*44/12</f>
        <v>0</v>
      </c>
      <c r="EY52" s="22">
        <f t="shared" si="21"/>
        <v>0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5.6843418860808015E-14</v>
      </c>
      <c r="FF52" s="17">
        <f>FE52*VLOOKUP('Données projet'!$B$16,Paramètres!$A$1:$I$89,3,0)*VLOOKUP('Données projet'!$B$16,Paramètres!$A$1:$I$89,5,0)</f>
        <v>5.1431925385259088E-14</v>
      </c>
      <c r="FG52" s="13">
        <f t="shared" si="47"/>
        <v>8.3482866290946129E-13</v>
      </c>
      <c r="FH52" s="20">
        <f t="shared" si="22"/>
        <v>1.5435705246133045E-12</v>
      </c>
      <c r="FI52" s="59">
        <f t="shared" si="23"/>
        <v>293.33333333333485</v>
      </c>
      <c r="FJ52" s="59">
        <f ca="1">AVERAGE(OFFSET($FI$3,0,0,'Données projet'!$E$16+1,1))-AVERAGE(OFFSET($H$3,0,0,'Données projet'!$E$16+1,1))</f>
        <v>179.50097986986123</v>
      </c>
      <c r="FK52" s="59">
        <f t="shared" si="48"/>
        <v>287.11838730637578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>
        <f>EXP(-LN(2)/35)*FQ51+(1-EXP(-LN(2)/35))/(LN(2)/35)*FM52*FN52*VLOOKUP('Données projet'!$B$16,Paramètres!$A$1:$I$89,3,0)*0.475*44/12</f>
        <v>0.42789116834937652</v>
      </c>
      <c r="FR52" s="21">
        <f>EXP(-LN(2)/25)*FR51+(1-EXP(-LN(2)/25))/(LN(2)/25)*Calculateur!FM52*Calculateur!FO52*VLOOKUP('Données projet'!$B$16,Paramètres!$A$1:$I$89,3,0)*0.475*44/12</f>
        <v>3.7163677258499694</v>
      </c>
      <c r="FS52" s="21">
        <f>EXP(-LN(2)/2)*FS51+(1-EXP(-LN(2)/2))/(LN(2)/2)*FM52*FP52*VLOOKUP('Données projet'!$B$16,Paramètres!$A$1:$I$89,3,0)*0.475*44/12</f>
        <v>6.243526417988858E-3</v>
      </c>
      <c r="FT52" s="22">
        <f t="shared" si="24"/>
        <v>4.1505024206173351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10.7</v>
      </c>
      <c r="FZ52" s="12">
        <f>IF('Données projet'!$A$244&gt;35,FZ51+FY52-GH51,IF(A52&lt;'Données projet'!$A$244,$FW$205^A52,IF(A52='Données projet'!$A$244,'Données projet'!$B$244,FZ51+FY52-GH51)))</f>
        <v>273.2999999999999</v>
      </c>
      <c r="GA52" s="17">
        <f>FZ52*VLOOKUP('Données projet'!$B$17,Paramètres!$A$1:$I$89,3,0)*VLOOKUP('Données projet'!$B$17,Paramètres!$A$1:$I$89,5,0)</f>
        <v>163.43339999999995</v>
      </c>
      <c r="GB52" s="13">
        <f t="shared" si="49"/>
        <v>41.615968833471683</v>
      </c>
      <c r="GC52" s="20">
        <f t="shared" si="25"/>
        <v>357.12765071829648</v>
      </c>
      <c r="GD52" s="59">
        <f t="shared" si="26"/>
        <v>650.46098405162979</v>
      </c>
      <c r="GE52" s="59">
        <f ca="1">AVERAGE(OFFSET($GD$3,0,0,'Données projet'!$E$17+1,1))-AVERAGE(OFFSET($H$3,0,0,'Données projet'!$E$17+1,1))</f>
        <v>165.39579887388538</v>
      </c>
      <c r="GF52" s="59">
        <f t="shared" si="50"/>
        <v>155.89639262545802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>
        <f>EXP(-LN(2)/35)*GL51+(1-EXP(-LN(2)/35))/(LN(2)/35)*GH52*GI52*VLOOKUP('Données projet'!$B$17,Paramètres!$A$1:$I$89,3,0)*0.475*44/12</f>
        <v>0</v>
      </c>
      <c r="GM52" s="21">
        <f>EXP(-LN(2)/25)*GM51+(1-EXP(-LN(2)/25))/(LN(2)/25)*Calculateur!GH52*Calculateur!GJ52*VLOOKUP('Données projet'!$B$17,Paramètres!$A$1:$I$89,3,0)*0.475*44/12</f>
        <v>4.3042725203033907</v>
      </c>
      <c r="GN52" s="21">
        <f>EXP(-LN(2)/2)*GN51+(1-EXP(-LN(2)/2))/(LN(2)/2)*GH52*GK52*VLOOKUP('Données projet'!$B$17,Paramètres!$A$1:$I$89,3,0)*0.475*44/12</f>
        <v>1.9169272249212208E-2</v>
      </c>
      <c r="GO52" s="21">
        <f t="shared" si="27"/>
        <v>4.323441792552603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400</v>
      </c>
      <c r="L53" s="12">
        <f>VLOOKUP(A53,'Données projet'!$A$35:$I$55,9,0)</f>
        <v>15.5</v>
      </c>
      <c r="M53" s="12">
        <f t="array" ref="M53">INDEX(L:L,MIN(IF(ISNUMBER(L53:L249),ROW(L53:L249),"")))</f>
        <v>15.5</v>
      </c>
      <c r="N53" s="13">
        <f>IF('Données projet'!$A$36&gt;35,N52+M53-V52,IF(A53&lt;'Données projet'!$A$36,$K$205^A53,IF(A53='Données projet'!$A$36,'Données projet'!$B$36,N52+M53-V52)))</f>
        <v>400.00000000000011</v>
      </c>
      <c r="O53" s="13">
        <f>N53*VLOOKUP('Données projet'!$B$9,Paramètres!$A$1:$I$89,3,0)*VLOOKUP('Données projet'!$B$9,Paramètres!$A$1:$I$89,5,0)</f>
        <v>223.60000000000008</v>
      </c>
      <c r="P53" s="13">
        <f t="shared" si="33"/>
        <v>54.896587262968644</v>
      </c>
      <c r="Q53" s="20">
        <f t="shared" si="53"/>
        <v>485.04822281633716</v>
      </c>
      <c r="R53" s="59">
        <f t="shared" si="0"/>
        <v>778.38155614967047</v>
      </c>
      <c r="S53" s="59">
        <f ca="1">AVERAGE(OFFSET($R$3,0,0,'Données projet'!$E$9+1,1))-AVERAGE(OFFSET($H$3,0,0,'Données projet'!$E$9+1,1))</f>
        <v>235.10258076192054</v>
      </c>
      <c r="T53" s="59">
        <f t="shared" si="34"/>
        <v>233.47316052603765</v>
      </c>
      <c r="U53" s="15">
        <f>IF(ISNA(VLOOKUP(A53,'Données projet'!$A$35:$I$55,3,0)),0,VLOOKUP(A53,'Données projet'!$A$35:$I$55,3,0))</f>
        <v>4</v>
      </c>
      <c r="V53" s="15">
        <f>IF(ISNA(VLOOKUP(A53,'Données projet'!$A$35:$I$55,4,0)),0,VLOOKUP(A53,'Données projet'!$A$35:$I$55,4,0))</f>
        <v>84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2.3054993255181415</v>
      </c>
      <c r="AA53" s="21">
        <f>EXP(-LN(2)/25)*AA52+(1-EXP(-LN(2)/25))/(LN(2)/25)*Calculateur!V53*Calculateur!X53*VLOOKUP('Données projet'!$B$9,Paramètres!$A$1:$I$89,3,0)*0.475*44/12</f>
        <v>10.588060835319853</v>
      </c>
      <c r="AB53" s="21">
        <f>EXP(-LN(2)/2)*AB52+(1-EXP(-LN(2)/2))/(LN(2)/2)*V53*Y53*VLOOKUP('Données projet'!$B$9,Paramètres!$A$1:$I$89,3,0)*0.475*44/12</f>
        <v>2.3556720432292864E-2</v>
      </c>
      <c r="AC53" s="22">
        <f t="shared" si="3"/>
        <v>12.917116881270287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214</v>
      </c>
      <c r="AG53" s="12">
        <f>VLOOKUP(A53,'Données projet'!$A$61:$I$81,9,0)</f>
        <v>7.2</v>
      </c>
      <c r="AH53" s="12">
        <f t="array" ref="AH53">INDEX(AG:AG,MIN(IF(ISNUMBER(AG53:AG249),ROW(AG53:AG249),"")))</f>
        <v>7.2</v>
      </c>
      <c r="AI53" s="13">
        <f>IF('Données projet'!$A$62&gt;35,AI52+AH53-AQ52,IF(A53&lt;'Données projet'!$A$62,$AF$205^A53,IF(A53='Données projet'!$A$62,'Données projet'!$B$62,AI52+AH53-AQ52)))</f>
        <v>213.99999999999974</v>
      </c>
      <c r="AJ53" s="13">
        <f>AI53*VLOOKUP('Données projet'!$B$10,Paramètres!$A$1:$I$89,3,0)*VLOOKUP('Données projet'!$B$10,Paramètres!$A$1:$I$89,5,0)</f>
        <v>186.9503999999998</v>
      </c>
      <c r="AK53" s="13">
        <f t="shared" si="35"/>
        <v>46.86509597661761</v>
      </c>
      <c r="AL53" s="20">
        <f t="shared" si="4"/>
        <v>407.2286554926086</v>
      </c>
      <c r="AM53" s="59">
        <f t="shared" si="5"/>
        <v>700.56198882594185</v>
      </c>
      <c r="AN53" s="59">
        <f ca="1">AVERAGE(OFFSET($AM$3,0,0,'Données projet'!$E$10+1,1))-AVERAGE(OFFSET($H$3,0,0,'Données projet'!$E$10+1,1))</f>
        <v>191.94797389630673</v>
      </c>
      <c r="AO53" s="59">
        <f t="shared" si="36"/>
        <v>273.52540822767878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50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1.7326176749348468</v>
      </c>
      <c r="AV53" s="21">
        <f>EXP(-LN(2)/25)*AV52+(1-EXP(-LN(2)/25))/(LN(2)/25)*Calculateur!AQ53*Calculateur!AS53*VLOOKUP('Données projet'!$B$10,Paramètres!$A$1:$I$89,3,0)*0.475*44/12</f>
        <v>8.0685440000076731</v>
      </c>
      <c r="AW53" s="21">
        <f>EXP(-LN(2)/2)*AW52+(1-EXP(-LN(2)/2))/(LN(2)/2)*AQ53*AT53*VLOOKUP('Données projet'!$B$10,Paramètres!$A$1:$I$89,3,0)*0.475*44/12</f>
        <v>2.2659241132489624E-2</v>
      </c>
      <c r="AX53" s="21">
        <f t="shared" si="6"/>
        <v>9.8238209160750092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135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134.99999999999997</v>
      </c>
      <c r="BE53" s="13">
        <f>BD53*VLOOKUP('Données projet'!$B$11,Paramètres!$A$1:$I$89,3,0)*VLOOKUP('Données projet'!$B$11,Paramètres!$A$1:$I$89,5,0)</f>
        <v>122.14799999999998</v>
      </c>
      <c r="BF53" s="13">
        <f t="shared" si="37"/>
        <v>32.175466547071615</v>
      </c>
      <c r="BG53" s="20">
        <f t="shared" si="7"/>
        <v>268.78003756948306</v>
      </c>
      <c r="BH53" s="59">
        <f t="shared" si="8"/>
        <v>562.11337090281631</v>
      </c>
      <c r="BI53" s="59">
        <f ca="1">AVERAGE(OFFSET($BH$3,0,0,'Données projet'!$E$11+1,1))-AVERAGE(OFFSET($H$3,0,0,'Données projet'!$E$11+1,1))</f>
        <v>138.8931001150624</v>
      </c>
      <c r="BJ53" s="59">
        <f t="shared" si="38"/>
        <v>48.964659354096625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135</v>
      </c>
      <c r="BW53" s="12">
        <f>VLOOKUP(A53,'Données projet'!$A$113:$I$133,9,0)</f>
        <v>5.6</v>
      </c>
      <c r="BX53" s="12">
        <f t="array" ref="BX53">INDEX(BW:BW,MIN(IF(ISNUMBER(BW53:BW249),ROW(BW53:BW249),"")))</f>
        <v>5.6</v>
      </c>
      <c r="BY53" s="12">
        <f>IF('Données projet'!$A$114&gt;35,BY52+BX53-CG52,IF(A53&lt;'Données projet'!$A$114,$BV$205^A53,IF(A53='Données projet'!$A$114,'Données projet'!$B$114,BY52+BX53-CG52)))</f>
        <v>134.99999999999997</v>
      </c>
      <c r="BZ53" s="13">
        <f>BY53*VLOOKUP('Données projet'!$B$12,Paramètres!$A$1:$I$89,3,0)*VLOOKUP('Données projet'!$B$12,Paramètres!$A$1:$I$89,5,0)</f>
        <v>136.88999999999999</v>
      </c>
      <c r="CA53" s="13">
        <f t="shared" si="39"/>
        <v>35.583619346017713</v>
      </c>
      <c r="CB53" s="20">
        <f t="shared" si="10"/>
        <v>300.39155369431415</v>
      </c>
      <c r="CC53" s="59">
        <f t="shared" si="11"/>
        <v>593.72488702764747</v>
      </c>
      <c r="CD53" s="59">
        <f ca="1">AVERAGE(OFFSET($CC$3,0,0,'Données projet'!$E$12+1,1))-AVERAGE(OFFSET($H$3,0,0,'Données projet'!$E$12+1,1))</f>
        <v>169.2757878405003</v>
      </c>
      <c r="CE53" s="59">
        <f t="shared" si="40"/>
        <v>61.876502626609977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28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>
        <f>VLOOKUP(A53,'Données projet'!$A$139:$I$159,2,0)</f>
        <v>192</v>
      </c>
      <c r="CR53" s="12">
        <f>VLOOKUP(A53,'Données projet'!$A$139:$I$159,9,0)</f>
        <v>6</v>
      </c>
      <c r="CS53" s="12">
        <f t="array" ref="CS53">INDEX(CR:CR,MIN(IF(ISNUMBER(CR53:CR249),ROW(CR53:CR249),"")))</f>
        <v>6</v>
      </c>
      <c r="CT53" s="12">
        <f>IF('Données projet'!$A$140&gt;35,CT52+CS53-DB52,IF(A53&lt;'Données projet'!$A$140,$CQ$205^A53,IF(A53='Données projet'!$A$140,'Données projet'!$B$140,CT52+CS53-DB52)))</f>
        <v>191.99999999999997</v>
      </c>
      <c r="CU53" s="17">
        <f>CT53*VLOOKUP('Données projet'!$B$13,Paramètres!$A$1:$I$89,3,0)*VLOOKUP('Données projet'!$B$13,Paramètres!$A$1:$I$89,5,0)</f>
        <v>152.75519999999997</v>
      </c>
      <c r="CV53" s="13">
        <f t="shared" si="41"/>
        <v>39.204049895729561</v>
      </c>
      <c r="CW53" s="20">
        <f t="shared" si="13"/>
        <v>334.32902690172892</v>
      </c>
      <c r="CX53" s="59">
        <f t="shared" si="14"/>
        <v>627.66236023506224</v>
      </c>
      <c r="CY53" s="59">
        <f ca="1">AVERAGE(OFFSET($CX$3,0,0,'Données projet'!$E$13+1,1))-AVERAGE(OFFSET($H$3,0,0,'Données projet'!$E$13+1,1))</f>
        <v>141.12810728817544</v>
      </c>
      <c r="CZ53" s="59">
        <f t="shared" si="42"/>
        <v>176.01405805137551</v>
      </c>
      <c r="DA53" s="15">
        <f>IF(ISNA(VLOOKUP(A53,'Données projet'!$A$139:$I$159,3,0)),0,VLOOKUP(A53,'Données projet'!$A$139:$I$159,3,0))</f>
        <v>4</v>
      </c>
      <c r="DB53" s="15">
        <f>IF(ISNA(VLOOKUP(A53,'Données projet'!$A$139:$I$159,4,0)),0,VLOOKUP(A53,'Données projet'!$A$139:$I$159,4,0))</f>
        <v>31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>
        <f>EXP(-LN(2)/35)*DF52+(1-EXP(-LN(2)/35))/(LN(2)/35)*DB53*DC53*VLOOKUP('Données projet'!$B$13,Paramètres!$A$1:$I$89,3,0)*0.475*44/12</f>
        <v>0</v>
      </c>
      <c r="DG53" s="21">
        <f>EXP(-LN(2)/25)*DG52+(1-EXP(-LN(2)/25))/(LN(2)/25)*Calculateur!DB53*Calculateur!DD53*VLOOKUP('Données projet'!$B$13,Paramètres!$A$1:$I$89,3,0)*0.475*44/12</f>
        <v>3.8611053253104037</v>
      </c>
      <c r="DH53" s="21">
        <f>EXP(-LN(2)/2)*DH52+(1-EXP(-LN(2)/2))/(LN(2)/2)*DB53*DE53*VLOOKUP('Données projet'!$B$13,Paramètres!$A$1:$I$89,3,0)*0.475*44/12</f>
        <v>7.8175702522275091E-3</v>
      </c>
      <c r="DI53" s="22">
        <f t="shared" si="15"/>
        <v>3.8689228955626311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>
        <f>VLOOKUP(A53,'Données projet'!$A$165:$I$185,2,0)</f>
        <v>284</v>
      </c>
      <c r="DM53" s="12">
        <f>VLOOKUP(A53,'Données projet'!$A$165:$I$185,9,0)</f>
        <v>10.7</v>
      </c>
      <c r="DN53" s="12">
        <f t="array" ref="DN53">INDEX(DM:DM,MIN(IF(ISNUMBER(DM53:DM249),ROW(DM53:DM249),"")))</f>
        <v>10.7</v>
      </c>
      <c r="DO53" s="12">
        <f>IF('Données projet'!$A$166&gt;35,DO52+DN53-DW52,IF(A53&lt;'Données projet'!$A$166,$DL$205^A53,IF(A53='Données projet'!$A$166,'Données projet'!$B$166,DO52+DN53-DW52)))</f>
        <v>283.99999999999989</v>
      </c>
      <c r="DP53" s="17">
        <f>DO53*VLOOKUP('Données projet'!$B$14,Paramètres!$A$1:$I$89,3,0)*VLOOKUP('Données projet'!$B$14,Paramètres!$A$1:$I$89,5,0)</f>
        <v>169.83199999999997</v>
      </c>
      <c r="DQ53" s="13">
        <f t="shared" si="43"/>
        <v>43.052395009050464</v>
      </c>
      <c r="DR53" s="20">
        <f t="shared" si="16"/>
        <v>370.7736546407628</v>
      </c>
      <c r="DS53" s="59">
        <f t="shared" si="17"/>
        <v>664.10698797409611</v>
      </c>
      <c r="DT53" s="59">
        <f ca="1">AVERAGE(OFFSET($DS$3,0,0,'Données projet'!$E$14+1,1))-AVERAGE(OFFSET($H$3,0,0,'Données projet'!$E$14+1,1))</f>
        <v>165.39579887388538</v>
      </c>
      <c r="DU53" s="59">
        <f t="shared" si="44"/>
        <v>155.89639262545802</v>
      </c>
      <c r="DV53" s="15">
        <f>IF(ISNA(VLOOKUP(A53,'Données projet'!$A$165:$I$185,3,0)),0,VLOOKUP(A53,'Données projet'!$A$165:$I$185,3,0))</f>
        <v>3</v>
      </c>
      <c r="DW53" s="15">
        <f>IF(ISNA(VLOOKUP(A53,'Données projet'!$A$165:$I$185,4,0)),0,VLOOKUP(A53,'Données projet'!$A$165:$I$185,4,0))</f>
        <v>56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>
        <f>EXP(-LN(2)/35)*EA52+(1-EXP(-LN(2)/35))/(LN(2)/35)*DW53*DX53*VLOOKUP('Données projet'!$B$14,Paramètres!$A$1:$I$89,3,0)*0.475*44/12</f>
        <v>0</v>
      </c>
      <c r="EB53" s="21">
        <f>EXP(-LN(2)/25)*EB52+(1-EXP(-LN(2)/25))/(LN(2)/25)*Calculateur!DW53*Calculateur!DY53*VLOOKUP('Données projet'!$B$14,Paramètres!$A$1:$I$89,3,0)*0.475*44/12</f>
        <v>4.18657196188384</v>
      </c>
      <c r="EC53" s="21">
        <f>EXP(-LN(2)/2)*EC52+(1-EXP(-LN(2)/2))/(LN(2)/2)*DW53*DZ53*VLOOKUP('Données projet'!$B$14,Paramètres!$A$1:$I$89,3,0)*0.475*44/12</f>
        <v>1.3554722397829054E-2</v>
      </c>
      <c r="ED53" s="22">
        <f t="shared" si="18"/>
        <v>4.2001266842816687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>
        <f>VLOOKUP(A53,'Données projet'!$A$191:$I$211,2,0)</f>
        <v>135</v>
      </c>
      <c r="EH53" s="12">
        <f>VLOOKUP(A53,'Données projet'!$A$191:$I$211,9,0)</f>
        <v>5.6</v>
      </c>
      <c r="EI53" s="12">
        <f t="array" ref="EI53">INDEX(EH:EH,MIN(IF(ISNUMBER(EH53:EH249),ROW(EH53:EH249),"")))</f>
        <v>5.6</v>
      </c>
      <c r="EJ53" s="12">
        <f>IF('Données projet'!$A$192&gt;35,EJ52+EI53-ER52,IF(A53&lt;'Données projet'!$A$192,$EG$205^A53,IF(A53='Données projet'!$A$192,'Données projet'!$B$192,EJ52+EI53-ER52)))</f>
        <v>134.99999999999997</v>
      </c>
      <c r="EK53" s="17">
        <f>EJ53*VLOOKUP('Données projet'!$B$15,Paramètres!$A$1:$I$89,3,0)*VLOOKUP('Données projet'!$B$15,Paramètres!$A$1:$I$89,5,0)</f>
        <v>105.29999999999998</v>
      </c>
      <c r="EL53" s="13">
        <f t="shared" si="45"/>
        <v>28.220829418515034</v>
      </c>
      <c r="EM53" s="20">
        <f t="shared" si="19"/>
        <v>232.54877790391365</v>
      </c>
      <c r="EN53" s="59">
        <f t="shared" si="20"/>
        <v>525.88211123724693</v>
      </c>
      <c r="EO53" s="59">
        <f ca="1">AVERAGE(OFFSET($EN$3,0,0,'Données projet'!$E$15+1,1))-AVERAGE(OFFSET($H$3,0,0,'Données projet'!$E$15+1,1))</f>
        <v>104.07220236158577</v>
      </c>
      <c r="EP53" s="59">
        <f t="shared" si="46"/>
        <v>34.162068257911756</v>
      </c>
      <c r="EQ53" s="15">
        <f>IF(ISNA(VLOOKUP(A53,'Données projet'!$A$191:$I$211,3,0)),0,VLOOKUP(A53,'Données projet'!$A$191:$I$211,3,0))</f>
        <v>2</v>
      </c>
      <c r="ER53" s="15">
        <f>IF(ISNA(VLOOKUP(A53,'Données projet'!$A$191:$I$211,4,0)),0,VLOOKUP(A53,'Données projet'!$A$191:$I$211,4,0))</f>
        <v>28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>
        <f>EXP(-LN(2)/35)*EV52+(1-EXP(-LN(2)/35))/(LN(2)/35)*ER53*ES53*VLOOKUP('Données projet'!$B$15,Paramètres!$A$1:$I$89,3,0)*0.475*44/12</f>
        <v>0</v>
      </c>
      <c r="EW53" s="21">
        <f>EXP(-LN(2)/25)*EW52+(1-EXP(-LN(2)/25))/(LN(2)/25)*Calculateur!ER53*Calculateur!ET53*VLOOKUP('Données projet'!$B$15,Paramètres!$A$1:$I$89,3,0)*0.475*44/12</f>
        <v>0</v>
      </c>
      <c r="EX53" s="21">
        <f>EXP(-LN(2)/2)*EX52+(1-EXP(-LN(2)/2))/(LN(2)/2)*ER53*EU53*VLOOKUP('Données projet'!$B$15,Paramètres!$A$1:$I$89,3,0)*0.475*44/12</f>
        <v>0</v>
      </c>
      <c r="EY53" s="22">
        <f t="shared" si="21"/>
        <v>0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5.6843418860808015E-14</v>
      </c>
      <c r="FF53" s="17">
        <f>FE53*VLOOKUP('Données projet'!$B$16,Paramètres!$A$1:$I$89,3,0)*VLOOKUP('Données projet'!$B$16,Paramètres!$A$1:$I$89,5,0)</f>
        <v>5.1431925385259088E-14</v>
      </c>
      <c r="FG53" s="13">
        <f t="shared" si="47"/>
        <v>8.3482866290946129E-13</v>
      </c>
      <c r="FH53" s="20">
        <f t="shared" si="22"/>
        <v>1.5435705246133045E-12</v>
      </c>
      <c r="FI53" s="59">
        <f t="shared" si="23"/>
        <v>293.33333333333485</v>
      </c>
      <c r="FJ53" s="59">
        <f ca="1">AVERAGE(OFFSET($FI$3,0,0,'Données projet'!$E$16+1,1))-AVERAGE(OFFSET($H$3,0,0,'Données projet'!$E$16+1,1))</f>
        <v>179.50097986986123</v>
      </c>
      <c r="FK53" s="59">
        <f t="shared" si="48"/>
        <v>287.11838730637578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>
        <f>EXP(-LN(2)/35)*FQ52+(1-EXP(-LN(2)/35))/(LN(2)/35)*FM53*FN53*VLOOKUP('Données projet'!$B$16,Paramètres!$A$1:$I$89,3,0)*0.475*44/12</f>
        <v>0.41950048352588754</v>
      </c>
      <c r="FR53" s="21">
        <f>EXP(-LN(2)/25)*FR52+(1-EXP(-LN(2)/25))/(LN(2)/25)*Calculateur!FM53*Calculateur!FO53*VLOOKUP('Données projet'!$B$16,Paramètres!$A$1:$I$89,3,0)*0.475*44/12</f>
        <v>3.6147434549513173</v>
      </c>
      <c r="FS53" s="21">
        <f>EXP(-LN(2)/2)*FS52+(1-EXP(-LN(2)/2))/(LN(2)/2)*FM53*FP53*VLOOKUP('Données projet'!$B$16,Paramètres!$A$1:$I$89,3,0)*0.475*44/12</f>
        <v>4.4148398686772762E-3</v>
      </c>
      <c r="FT53" s="22">
        <f t="shared" si="24"/>
        <v>4.0386587783458827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>
        <f>VLOOKUP(A53,'Données projet'!$A$243:$I$263,2,0)</f>
        <v>284</v>
      </c>
      <c r="FX53" s="12">
        <f>VLOOKUP(A53,'Données projet'!$A$243:$I$263,9,0)</f>
        <v>10.7</v>
      </c>
      <c r="FY53" s="12">
        <f t="array" ref="FY53">INDEX(FX:FX,MIN(IF(ISNUMBER(FX53:FX249),ROW(FX53:FX249),"")))</f>
        <v>10.7</v>
      </c>
      <c r="FZ53" s="12">
        <f>IF('Données projet'!$A$244&gt;35,FZ52+FY53-GH52,IF(A53&lt;'Données projet'!$A$244,$FW$205^A53,IF(A53='Données projet'!$A$244,'Données projet'!$B$244,FZ52+FY53-GH52)))</f>
        <v>283.99999999999989</v>
      </c>
      <c r="GA53" s="17">
        <f>FZ53*VLOOKUP('Données projet'!$B$17,Paramètres!$A$1:$I$89,3,0)*VLOOKUP('Données projet'!$B$17,Paramètres!$A$1:$I$89,5,0)</f>
        <v>169.83199999999997</v>
      </c>
      <c r="GB53" s="13">
        <f t="shared" si="49"/>
        <v>43.052395009050464</v>
      </c>
      <c r="GC53" s="20">
        <f t="shared" si="25"/>
        <v>370.7736546407628</v>
      </c>
      <c r="GD53" s="59">
        <f t="shared" si="26"/>
        <v>664.10698797409611</v>
      </c>
      <c r="GE53" s="59">
        <f ca="1">AVERAGE(OFFSET($GD$3,0,0,'Données projet'!$E$17+1,1))-AVERAGE(OFFSET($H$3,0,0,'Données projet'!$E$17+1,1))</f>
        <v>165.39579887388538</v>
      </c>
      <c r="GF53" s="59">
        <f t="shared" si="50"/>
        <v>155.89639262545802</v>
      </c>
      <c r="GG53" s="15">
        <f>IF(ISNA(VLOOKUP(A53,'Données projet'!$A$243:$I$263,3,0)),0,VLOOKUP(A53,'Données projet'!$A$243:$I$263,3,0))</f>
        <v>3</v>
      </c>
      <c r="GH53" s="15">
        <f>IF(ISNA(VLOOKUP(A53,'Données projet'!$A$243:$I$263,4,0)),0,VLOOKUP(A53,'Données projet'!$A$243:$I$263,4,0))</f>
        <v>56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>
        <f>EXP(-LN(2)/35)*GL52+(1-EXP(-LN(2)/35))/(LN(2)/35)*GH53*GI53*VLOOKUP('Données projet'!$B$17,Paramètres!$A$1:$I$89,3,0)*0.475*44/12</f>
        <v>0</v>
      </c>
      <c r="GM53" s="21">
        <f>EXP(-LN(2)/25)*GM52+(1-EXP(-LN(2)/25))/(LN(2)/25)*Calculateur!GH53*Calculateur!GJ53*VLOOKUP('Données projet'!$B$17,Paramètres!$A$1:$I$89,3,0)*0.475*44/12</f>
        <v>4.18657196188384</v>
      </c>
      <c r="GN53" s="21">
        <f>EXP(-LN(2)/2)*GN52+(1-EXP(-LN(2)/2))/(LN(2)/2)*GH53*GK53*VLOOKUP('Données projet'!$B$17,Paramètres!$A$1:$I$89,3,0)*0.475*44/12</f>
        <v>1.3554722397829054E-2</v>
      </c>
      <c r="GO53" s="21">
        <f t="shared" si="27"/>
        <v>4.2001266842816687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13.2</v>
      </c>
      <c r="N54" s="13">
        <f>IF('Données projet'!$A$36&gt;35,N53+M54-V53,IF(A54&lt;'Données projet'!$A$36,$K$205^A54,IF(A54='Données projet'!$A$36,'Données projet'!$B$36,N53+M54-V53)))</f>
        <v>329.2000000000001</v>
      </c>
      <c r="O54" s="13">
        <f>N54*VLOOKUP('Données projet'!$B$9,Paramètres!$A$1:$I$89,3,0)*VLOOKUP('Données projet'!$B$9,Paramètres!$A$1:$I$89,5,0)</f>
        <v>184.02280000000005</v>
      </c>
      <c r="P54" s="13">
        <f t="shared" si="33"/>
        <v>46.21603048993093</v>
      </c>
      <c r="Q54" s="20">
        <f t="shared" si="53"/>
        <v>400.99929643662978</v>
      </c>
      <c r="R54" s="59">
        <f t="shared" si="0"/>
        <v>694.33262976996309</v>
      </c>
      <c r="S54" s="59">
        <f ca="1">AVERAGE(OFFSET($R$3,0,0,'Données projet'!$E$9+1,1))-AVERAGE(OFFSET($H$3,0,0,'Données projet'!$E$9+1,1))</f>
        <v>235.10258076192054</v>
      </c>
      <c r="T54" s="59">
        <f t="shared" si="34"/>
        <v>233.47316052603765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2.2602898899604669</v>
      </c>
      <c r="AA54" s="21">
        <f>EXP(-LN(2)/25)*AA53+(1-EXP(-LN(2)/25))/(LN(2)/25)*Calculateur!V54*Calculateur!X54*VLOOKUP('Données projet'!$B$9,Paramètres!$A$1:$I$89,3,0)*0.475*44/12</f>
        <v>10.298529754976112</v>
      </c>
      <c r="AB54" s="21">
        <f>EXP(-LN(2)/2)*AB53+(1-EXP(-LN(2)/2))/(LN(2)/2)*V54*Y54*VLOOKUP('Données projet'!$B$9,Paramètres!$A$1:$I$89,3,0)*0.475*44/12</f>
        <v>1.6657116760189983E-2</v>
      </c>
      <c r="AC54" s="22">
        <f t="shared" si="3"/>
        <v>12.575476761696768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5.6</v>
      </c>
      <c r="AI54" s="13">
        <f>IF('Données projet'!$A$62&gt;35,AI53+AH54-AQ53,IF(A54&lt;'Données projet'!$A$62,$AF$205^A54,IF(A54='Données projet'!$A$62,'Données projet'!$B$62,AI53+AH54-AQ53)))</f>
        <v>169.59999999999974</v>
      </c>
      <c r="AJ54" s="13">
        <f>AI54*VLOOKUP('Données projet'!$B$10,Paramètres!$A$1:$I$89,3,0)*VLOOKUP('Données projet'!$B$10,Paramètres!$A$1:$I$89,5,0)</f>
        <v>148.16255999999979</v>
      </c>
      <c r="AK54" s="13">
        <f t="shared" si="35"/>
        <v>38.160721728430708</v>
      </c>
      <c r="AL54" s="20">
        <f t="shared" si="4"/>
        <v>324.51304901034973</v>
      </c>
      <c r="AM54" s="59">
        <f t="shared" si="5"/>
        <v>617.84638234368299</v>
      </c>
      <c r="AN54" s="59">
        <f ca="1">AVERAGE(OFFSET($AM$3,0,0,'Données projet'!$E$10+1,1))-AVERAGE(OFFSET($H$3,0,0,'Données projet'!$E$10+1,1))</f>
        <v>191.94797389630673</v>
      </c>
      <c r="AO54" s="59">
        <f t="shared" si="36"/>
        <v>273.52540822767878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1.6986420991218065</v>
      </c>
      <c r="AV54" s="21">
        <f>EXP(-LN(2)/25)*AV53+(1-EXP(-LN(2)/25))/(LN(2)/25)*Calculateur!AQ54*Calculateur!AS54*VLOOKUP('Données projet'!$B$10,Paramètres!$A$1:$I$89,3,0)*0.475*44/12</f>
        <v>7.847909240021175</v>
      </c>
      <c r="AW54" s="21">
        <f>EXP(-LN(2)/2)*AW53+(1-EXP(-LN(2)/2))/(LN(2)/2)*AQ54*AT54*VLOOKUP('Données projet'!$B$10,Paramètres!$A$1:$I$89,3,0)*0.475*44/12</f>
        <v>1.6022503061324557E-2</v>
      </c>
      <c r="AX54" s="21">
        <f t="shared" si="6"/>
        <v>9.562573842204305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5.5</v>
      </c>
      <c r="BD54" s="12">
        <f>IF('Données projet'!$A$88&gt;35,BD53+BC54-BL53,IF(A54&lt;'Données projet'!$A$88,$BA$205^A54,IF(A54='Données projet'!$A$88,'Données projet'!$B$88,BD53+BC54-BL53)))</f>
        <v>112.49999999999997</v>
      </c>
      <c r="BE54" s="13">
        <f>BD54*VLOOKUP('Données projet'!$B$11,Paramètres!$A$1:$I$89,3,0)*VLOOKUP('Données projet'!$B$11,Paramètres!$A$1:$I$89,5,0)</f>
        <v>101.78999999999998</v>
      </c>
      <c r="BF54" s="13">
        <f t="shared" si="37"/>
        <v>27.38799903683508</v>
      </c>
      <c r="BG54" s="20">
        <f t="shared" si="7"/>
        <v>224.98501498915437</v>
      </c>
      <c r="BH54" s="59">
        <f t="shared" si="8"/>
        <v>518.31834832248774</v>
      </c>
      <c r="BI54" s="59">
        <f ca="1">AVERAGE(OFFSET($BH$3,0,0,'Données projet'!$E$11+1,1))-AVERAGE(OFFSET($H$3,0,0,'Données projet'!$E$11+1,1))</f>
        <v>138.8931001150624</v>
      </c>
      <c r="BJ54" s="59">
        <f t="shared" si="38"/>
        <v>48.964659354096625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5.5</v>
      </c>
      <c r="BY54" s="12">
        <f>IF('Données projet'!$A$114&gt;35,BY53+BX54-CG53,IF(A54&lt;'Données projet'!$A$114,$BV$205^A54,IF(A54='Données projet'!$A$114,'Données projet'!$B$114,BY53+BX54-CG53)))</f>
        <v>112.49999999999997</v>
      </c>
      <c r="BZ54" s="13">
        <f>BY54*VLOOKUP('Données projet'!$B$12,Paramètres!$A$1:$I$89,3,0)*VLOOKUP('Données projet'!$B$12,Paramètres!$A$1:$I$89,5,0)</f>
        <v>114.07499999999999</v>
      </c>
      <c r="CA54" s="13">
        <f t="shared" si="39"/>
        <v>30.289044323571346</v>
      </c>
      <c r="CB54" s="20">
        <f t="shared" si="10"/>
        <v>251.43404386355337</v>
      </c>
      <c r="CC54" s="59">
        <f t="shared" si="11"/>
        <v>544.76737719688663</v>
      </c>
      <c r="CD54" s="59">
        <f ca="1">AVERAGE(OFFSET($CC$3,0,0,'Données projet'!$E$12+1,1))-AVERAGE(OFFSET($H$3,0,0,'Données projet'!$E$12+1,1))</f>
        <v>169.2757878405003</v>
      </c>
      <c r="CE54" s="59">
        <f t="shared" si="40"/>
        <v>61.876502626609977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4.4000000000000004</v>
      </c>
      <c r="CT54" s="12">
        <f>IF('Données projet'!$A$140&gt;35,CT53+CS54-DB53,IF(A54&lt;'Données projet'!$A$140,$CQ$205^A54,IF(A54='Données projet'!$A$140,'Données projet'!$B$140,CT53+CS54-DB53)))</f>
        <v>165.39999999999998</v>
      </c>
      <c r="CU54" s="17">
        <f>CT54*VLOOKUP('Données projet'!$B$13,Paramètres!$A$1:$I$89,3,0)*VLOOKUP('Données projet'!$B$13,Paramètres!$A$1:$I$89,5,0)</f>
        <v>131.59223999999998</v>
      </c>
      <c r="CV54" s="13">
        <f t="shared" si="41"/>
        <v>34.364018169045494</v>
      </c>
      <c r="CW54" s="20">
        <f t="shared" si="13"/>
        <v>289.04048297775421</v>
      </c>
      <c r="CX54" s="59">
        <f t="shared" si="14"/>
        <v>582.37381631108747</v>
      </c>
      <c r="CY54" s="59">
        <f ca="1">AVERAGE(OFFSET($CX$3,0,0,'Données projet'!$E$13+1,1))-AVERAGE(OFFSET($H$3,0,0,'Données projet'!$E$13+1,1))</f>
        <v>141.12810728817544</v>
      </c>
      <c r="CZ54" s="59">
        <f t="shared" si="42"/>
        <v>176.01405805137551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>
        <f>EXP(-LN(2)/35)*DF53+(1-EXP(-LN(2)/35))/(LN(2)/35)*DB54*DC54*VLOOKUP('Données projet'!$B$13,Paramètres!$A$1:$I$89,3,0)*0.475*44/12</f>
        <v>0</v>
      </c>
      <c r="DG54" s="21">
        <f>EXP(-LN(2)/25)*DG53+(1-EXP(-LN(2)/25))/(LN(2)/25)*Calculateur!DB54*Calculateur!DD54*VLOOKUP('Données projet'!$B$13,Paramètres!$A$1:$I$89,3,0)*0.475*44/12</f>
        <v>3.7555231971430865</v>
      </c>
      <c r="DH54" s="21">
        <f>EXP(-LN(2)/2)*DH53+(1-EXP(-LN(2)/2))/(LN(2)/2)*DB54*DE54*VLOOKUP('Données projet'!$B$13,Paramètres!$A$1:$I$89,3,0)*0.475*44/12</f>
        <v>5.5278569377523006E-3</v>
      </c>
      <c r="DI54" s="22">
        <f t="shared" si="15"/>
        <v>3.7610510540808386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9.6</v>
      </c>
      <c r="DO54" s="12">
        <f>IF('Données projet'!$A$166&gt;35,DO53+DN54-DW53,IF(A54&lt;'Données projet'!$A$166,$DL$205^A54,IF(A54='Données projet'!$A$166,'Données projet'!$B$166,DO53+DN54-DW53)))</f>
        <v>237.59999999999991</v>
      </c>
      <c r="DP54" s="17">
        <f>DO54*VLOOKUP('Données projet'!$B$14,Paramètres!$A$1:$I$89,3,0)*VLOOKUP('Données projet'!$B$14,Paramètres!$A$1:$I$89,5,0)</f>
        <v>142.08479999999994</v>
      </c>
      <c r="DQ54" s="13">
        <f t="shared" si="43"/>
        <v>36.77419224965486</v>
      </c>
      <c r="DR54" s="20">
        <f t="shared" si="16"/>
        <v>311.51274483481546</v>
      </c>
      <c r="DS54" s="59">
        <f t="shared" si="17"/>
        <v>604.84607816814878</v>
      </c>
      <c r="DT54" s="59">
        <f ca="1">AVERAGE(OFFSET($DS$3,0,0,'Données projet'!$E$14+1,1))-AVERAGE(OFFSET($H$3,0,0,'Données projet'!$E$14+1,1))</f>
        <v>165.39579887388538</v>
      </c>
      <c r="DU54" s="59">
        <f t="shared" si="44"/>
        <v>155.89639262545802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>
        <f>EXP(-LN(2)/35)*EA53+(1-EXP(-LN(2)/35))/(LN(2)/35)*DW54*DX54*VLOOKUP('Données projet'!$B$14,Paramètres!$A$1:$I$89,3,0)*0.475*44/12</f>
        <v>0</v>
      </c>
      <c r="EB54" s="21">
        <f>EXP(-LN(2)/25)*EB53+(1-EXP(-LN(2)/25))/(LN(2)/25)*Calculateur!DW54*Calculateur!DY54*VLOOKUP('Données projet'!$B$14,Paramètres!$A$1:$I$89,3,0)*0.475*44/12</f>
        <v>4.072089931423875</v>
      </c>
      <c r="EC54" s="21">
        <f>EXP(-LN(2)/2)*EC53+(1-EXP(-LN(2)/2))/(LN(2)/2)*DW54*DZ54*VLOOKUP('Données projet'!$B$14,Paramètres!$A$1:$I$89,3,0)*0.475*44/12</f>
        <v>9.5846361246061038E-3</v>
      </c>
      <c r="ED54" s="22">
        <f t="shared" si="18"/>
        <v>4.0816745675484807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5.5</v>
      </c>
      <c r="EJ54" s="12">
        <f>IF('Données projet'!$A$192&gt;35,EJ53+EI54-ER53,IF(A54&lt;'Données projet'!$A$192,$EG$205^A54,IF(A54='Données projet'!$A$192,'Données projet'!$B$192,EJ53+EI54-ER53)))</f>
        <v>112.49999999999997</v>
      </c>
      <c r="EK54" s="17">
        <f>EJ54*VLOOKUP('Données projet'!$B$15,Paramètres!$A$1:$I$89,3,0)*VLOOKUP('Données projet'!$B$15,Paramètres!$A$1:$I$89,5,0)</f>
        <v>87.749999999999986</v>
      </c>
      <c r="EL54" s="13">
        <f t="shared" si="45"/>
        <v>24.021782179979667</v>
      </c>
      <c r="EM54" s="20">
        <f t="shared" si="19"/>
        <v>194.66918729679787</v>
      </c>
      <c r="EN54" s="59">
        <f t="shared" si="20"/>
        <v>488.00252063013119</v>
      </c>
      <c r="EO54" s="59">
        <f ca="1">AVERAGE(OFFSET($EN$3,0,0,'Données projet'!$E$15+1,1))-AVERAGE(OFFSET($H$3,0,0,'Données projet'!$E$15+1,1))</f>
        <v>104.07220236158577</v>
      </c>
      <c r="EP54" s="59">
        <f t="shared" si="46"/>
        <v>34.162068257911756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>
        <f>EXP(-LN(2)/35)*EV53+(1-EXP(-LN(2)/35))/(LN(2)/35)*ER54*ES54*VLOOKUP('Données projet'!$B$15,Paramètres!$A$1:$I$89,3,0)*0.475*44/12</f>
        <v>0</v>
      </c>
      <c r="EW54" s="21">
        <f>EXP(-LN(2)/25)*EW53+(1-EXP(-LN(2)/25))/(LN(2)/25)*Calculateur!ER54*Calculateur!ET54*VLOOKUP('Données projet'!$B$15,Paramètres!$A$1:$I$89,3,0)*0.475*44/12</f>
        <v>0</v>
      </c>
      <c r="EX54" s="21">
        <f>EXP(-LN(2)/2)*EX53+(1-EXP(-LN(2)/2))/(LN(2)/2)*ER54*EU54*VLOOKUP('Données projet'!$B$15,Paramètres!$A$1:$I$89,3,0)*0.475*44/12</f>
        <v>0</v>
      </c>
      <c r="EY54" s="22">
        <f t="shared" si="21"/>
        <v>0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5.6843418860808015E-14</v>
      </c>
      <c r="FF54" s="17">
        <f>FE54*VLOOKUP('Données projet'!$B$16,Paramètres!$A$1:$I$89,3,0)*VLOOKUP('Données projet'!$B$16,Paramètres!$A$1:$I$89,5,0)</f>
        <v>5.1431925385259088E-14</v>
      </c>
      <c r="FG54" s="13">
        <f t="shared" si="47"/>
        <v>8.3482866290946129E-13</v>
      </c>
      <c r="FH54" s="20">
        <f t="shared" si="22"/>
        <v>1.5435705246133045E-12</v>
      </c>
      <c r="FI54" s="59">
        <f t="shared" si="23"/>
        <v>293.33333333333485</v>
      </c>
      <c r="FJ54" s="59">
        <f ca="1">AVERAGE(OFFSET($FI$3,0,0,'Données projet'!$E$16+1,1))-AVERAGE(OFFSET($H$3,0,0,'Données projet'!$E$16+1,1))</f>
        <v>179.50097986986123</v>
      </c>
      <c r="FK54" s="59">
        <f t="shared" si="48"/>
        <v>287.11838730637578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>
        <f>EXP(-LN(2)/35)*FQ53+(1-EXP(-LN(2)/35))/(LN(2)/35)*FM54*FN54*VLOOKUP('Données projet'!$B$16,Paramètres!$A$1:$I$89,3,0)*0.475*44/12</f>
        <v>0.41127433491397475</v>
      </c>
      <c r="FR54" s="21">
        <f>EXP(-LN(2)/25)*FR53+(1-EXP(-LN(2)/25))/(LN(2)/25)*Calculateur!FM54*Calculateur!FO54*VLOOKUP('Données projet'!$B$16,Paramètres!$A$1:$I$89,3,0)*0.475*44/12</f>
        <v>3.515898105084577</v>
      </c>
      <c r="FS54" s="21">
        <f>EXP(-LN(2)/2)*FS53+(1-EXP(-LN(2)/2))/(LN(2)/2)*FM54*FP54*VLOOKUP('Données projet'!$B$16,Paramètres!$A$1:$I$89,3,0)*0.475*44/12</f>
        <v>3.121763208994429E-3</v>
      </c>
      <c r="FT54" s="22">
        <f t="shared" si="24"/>
        <v>3.9302942032075463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9.6</v>
      </c>
      <c r="FZ54" s="12">
        <f>IF('Données projet'!$A$244&gt;35,FZ53+FY54-GH53,IF(A54&lt;'Données projet'!$A$244,$FW$205^A54,IF(A54='Données projet'!$A$244,'Données projet'!$B$244,FZ53+FY54-GH53)))</f>
        <v>237.59999999999991</v>
      </c>
      <c r="GA54" s="17">
        <f>FZ54*VLOOKUP('Données projet'!$B$17,Paramètres!$A$1:$I$89,3,0)*VLOOKUP('Données projet'!$B$17,Paramètres!$A$1:$I$89,5,0)</f>
        <v>142.08479999999994</v>
      </c>
      <c r="GB54" s="13">
        <f t="shared" si="49"/>
        <v>36.77419224965486</v>
      </c>
      <c r="GC54" s="20">
        <f t="shared" si="25"/>
        <v>311.51274483481546</v>
      </c>
      <c r="GD54" s="59">
        <f t="shared" si="26"/>
        <v>604.84607816814878</v>
      </c>
      <c r="GE54" s="59">
        <f ca="1">AVERAGE(OFFSET($GD$3,0,0,'Données projet'!$E$17+1,1))-AVERAGE(OFFSET($H$3,0,0,'Données projet'!$E$17+1,1))</f>
        <v>165.39579887388538</v>
      </c>
      <c r="GF54" s="59">
        <f t="shared" si="50"/>
        <v>155.89639262545802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>
        <f>EXP(-LN(2)/35)*GL53+(1-EXP(-LN(2)/35))/(LN(2)/35)*GH54*GI54*VLOOKUP('Données projet'!$B$17,Paramètres!$A$1:$I$89,3,0)*0.475*44/12</f>
        <v>0</v>
      </c>
      <c r="GM54" s="21">
        <f>EXP(-LN(2)/25)*GM53+(1-EXP(-LN(2)/25))/(LN(2)/25)*Calculateur!GH54*Calculateur!GJ54*VLOOKUP('Données projet'!$B$17,Paramètres!$A$1:$I$89,3,0)*0.475*44/12</f>
        <v>4.072089931423875</v>
      </c>
      <c r="GN54" s="21">
        <f>EXP(-LN(2)/2)*GN53+(1-EXP(-LN(2)/2))/(LN(2)/2)*GH54*GK54*VLOOKUP('Données projet'!$B$17,Paramètres!$A$1:$I$89,3,0)*0.475*44/12</f>
        <v>9.5846361246061038E-3</v>
      </c>
      <c r="GO54" s="21">
        <f t="shared" si="27"/>
        <v>4.0816745675484807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13.2</v>
      </c>
      <c r="N55" s="13">
        <f>IF('Données projet'!$A$36&gt;35,N54+M55-V54,IF(A55&lt;'Données projet'!$A$36,$K$205^A55,IF(A55='Données projet'!$A$36,'Données projet'!$B$36,N54+M55-V54)))</f>
        <v>342.40000000000009</v>
      </c>
      <c r="O55" s="13">
        <f>N55*VLOOKUP('Données projet'!$B$9,Paramètres!$A$1:$I$89,3,0)*VLOOKUP('Données projet'!$B$9,Paramètres!$A$1:$I$89,5,0)</f>
        <v>191.40160000000003</v>
      </c>
      <c r="P55" s="13">
        <f t="shared" si="33"/>
        <v>47.849694035977251</v>
      </c>
      <c r="Q55" s="20">
        <f t="shared" si="53"/>
        <v>416.6960037793271</v>
      </c>
      <c r="R55" s="59">
        <f t="shared" si="0"/>
        <v>710.02933711266041</v>
      </c>
      <c r="S55" s="59">
        <f ca="1">AVERAGE(OFFSET($R$3,0,0,'Données projet'!$E$9+1,1))-AVERAGE(OFFSET($H$3,0,0,'Données projet'!$E$9+1,1))</f>
        <v>235.10258076192054</v>
      </c>
      <c r="T55" s="59">
        <f t="shared" si="34"/>
        <v>233.47316052603765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2.2159669838590457</v>
      </c>
      <c r="AA55" s="21">
        <f>EXP(-LN(2)/25)*AA54+(1-EXP(-LN(2)/25))/(LN(2)/25)*Calculateur!V55*Calculateur!X55*VLOOKUP('Données projet'!$B$9,Paramètres!$A$1:$I$89,3,0)*0.475*44/12</f>
        <v>10.016915917250149</v>
      </c>
      <c r="AB55" s="21">
        <f>EXP(-LN(2)/2)*AB54+(1-EXP(-LN(2)/2))/(LN(2)/2)*V55*Y55*VLOOKUP('Données projet'!$B$9,Paramètres!$A$1:$I$89,3,0)*0.475*44/12</f>
        <v>1.1778360216146432E-2</v>
      </c>
      <c r="AC55" s="22">
        <f t="shared" si="3"/>
        <v>12.244661261325341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5.6</v>
      </c>
      <c r="AI55" s="13">
        <f>IF('Données projet'!$A$62&gt;35,AI54+AH55-AQ54,IF(A55&lt;'Données projet'!$A$62,$AF$205^A55,IF(A55='Données projet'!$A$62,'Données projet'!$B$62,AI54+AH55-AQ54)))</f>
        <v>175.19999999999973</v>
      </c>
      <c r="AJ55" s="13">
        <f>AI55*VLOOKUP('Données projet'!$B$10,Paramètres!$A$1:$I$89,3,0)*VLOOKUP('Données projet'!$B$10,Paramètres!$A$1:$I$89,5,0)</f>
        <v>153.05471999999978</v>
      </c>
      <c r="AK55" s="13">
        <f t="shared" si="35"/>
        <v>39.27196508838513</v>
      </c>
      <c r="AL55" s="20">
        <f t="shared" si="4"/>
        <v>334.96897652893705</v>
      </c>
      <c r="AM55" s="59">
        <f t="shared" si="5"/>
        <v>628.30230986227036</v>
      </c>
      <c r="AN55" s="59">
        <f ca="1">AVERAGE(OFFSET($AM$3,0,0,'Données projet'!$E$10+1,1))-AVERAGE(OFFSET($H$3,0,0,'Données projet'!$E$10+1,1))</f>
        <v>191.94797389630673</v>
      </c>
      <c r="AO55" s="59">
        <f t="shared" si="36"/>
        <v>273.52540822767878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1.6653327636274049</v>
      </c>
      <c r="AV55" s="21">
        <f>EXP(-LN(2)/25)*AV54+(1-EXP(-LN(2)/25))/(LN(2)/25)*Calculateur!AQ55*Calculateur!AS55*VLOOKUP('Données projet'!$B$10,Paramètres!$A$1:$I$89,3,0)*0.475*44/12</f>
        <v>7.6333077491491856</v>
      </c>
      <c r="AW55" s="21">
        <f>EXP(-LN(2)/2)*AW54+(1-EXP(-LN(2)/2))/(LN(2)/2)*AQ55*AT55*VLOOKUP('Données projet'!$B$10,Paramètres!$A$1:$I$89,3,0)*0.475*44/12</f>
        <v>1.1329620566244812E-2</v>
      </c>
      <c r="AX55" s="21">
        <f t="shared" si="6"/>
        <v>9.3099701333428353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5.5</v>
      </c>
      <c r="BD55" s="12">
        <f>IF('Données projet'!$A$88&gt;35,BD54+BC55-BL54,IF(A55&lt;'Données projet'!$A$88,$BA$205^A55,IF(A55='Données projet'!$A$88,'Données projet'!$B$88,BD54+BC55-BL54)))</f>
        <v>117.99999999999997</v>
      </c>
      <c r="BE55" s="13">
        <f>BD55*VLOOKUP('Données projet'!$B$11,Paramètres!$A$1:$I$89,3,0)*VLOOKUP('Données projet'!$B$11,Paramètres!$A$1:$I$89,5,0)</f>
        <v>106.76639999999998</v>
      </c>
      <c r="BF55" s="13">
        <f t="shared" si="37"/>
        <v>28.5678052620942</v>
      </c>
      <c r="BG55" s="20">
        <f t="shared" si="7"/>
        <v>235.707074164814</v>
      </c>
      <c r="BH55" s="59">
        <f t="shared" si="8"/>
        <v>529.04040749814726</v>
      </c>
      <c r="BI55" s="59">
        <f ca="1">AVERAGE(OFFSET($BH$3,0,0,'Données projet'!$E$11+1,1))-AVERAGE(OFFSET($H$3,0,0,'Données projet'!$E$11+1,1))</f>
        <v>138.8931001150624</v>
      </c>
      <c r="BJ55" s="59">
        <f t="shared" si="38"/>
        <v>48.964659354096625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5.5</v>
      </c>
      <c r="BY55" s="12">
        <f>IF('Données projet'!$A$114&gt;35,BY54+BX55-CG54,IF(A55&lt;'Données projet'!$A$114,$BV$205^A55,IF(A55='Données projet'!$A$114,'Données projet'!$B$114,BY54+BX55-CG54)))</f>
        <v>117.99999999999997</v>
      </c>
      <c r="BZ55" s="13">
        <f>BY55*VLOOKUP('Données projet'!$B$12,Paramètres!$A$1:$I$89,3,0)*VLOOKUP('Données projet'!$B$12,Paramètres!$A$1:$I$89,5,0)</f>
        <v>119.65199999999999</v>
      </c>
      <c r="CA55" s="13">
        <f t="shared" si="39"/>
        <v>31.593820295048392</v>
      </c>
      <c r="CB55" s="20">
        <f t="shared" si="10"/>
        <v>263.4198036805426</v>
      </c>
      <c r="CC55" s="59">
        <f t="shared" si="11"/>
        <v>556.75313701387586</v>
      </c>
      <c r="CD55" s="59">
        <f ca="1">AVERAGE(OFFSET($CC$3,0,0,'Données projet'!$E$12+1,1))-AVERAGE(OFFSET($H$3,0,0,'Données projet'!$E$12+1,1))</f>
        <v>169.2757878405003</v>
      </c>
      <c r="CE55" s="59">
        <f t="shared" si="40"/>
        <v>61.876502626609977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4.4000000000000004</v>
      </c>
      <c r="CT55" s="12">
        <f>IF('Données projet'!$A$140&gt;35,CT54+CS55-DB54,IF(A55&lt;'Données projet'!$A$140,$CQ$205^A55,IF(A55='Données projet'!$A$140,'Données projet'!$B$140,CT54+CS55-DB54)))</f>
        <v>169.79999999999998</v>
      </c>
      <c r="CU55" s="17">
        <f>CT55*VLOOKUP('Données projet'!$B$13,Paramètres!$A$1:$I$89,3,0)*VLOOKUP('Données projet'!$B$13,Paramètres!$A$1:$I$89,5,0)</f>
        <v>135.09288000000001</v>
      </c>
      <c r="CV55" s="13">
        <f t="shared" si="41"/>
        <v>35.170529506441312</v>
      </c>
      <c r="CW55" s="20">
        <f t="shared" si="13"/>
        <v>296.54210489038525</v>
      </c>
      <c r="CX55" s="59">
        <f t="shared" si="14"/>
        <v>589.87543822371856</v>
      </c>
      <c r="CY55" s="59">
        <f ca="1">AVERAGE(OFFSET($CX$3,0,0,'Données projet'!$E$13+1,1))-AVERAGE(OFFSET($H$3,0,0,'Données projet'!$E$13+1,1))</f>
        <v>141.12810728817544</v>
      </c>
      <c r="CZ55" s="59">
        <f t="shared" si="42"/>
        <v>176.01405805137551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>
        <f>EXP(-LN(2)/35)*DF54+(1-EXP(-LN(2)/35))/(LN(2)/35)*DB55*DC55*VLOOKUP('Données projet'!$B$13,Paramètres!$A$1:$I$89,3,0)*0.475*44/12</f>
        <v>0</v>
      </c>
      <c r="DG55" s="21">
        <f>EXP(-LN(2)/25)*DG54+(1-EXP(-LN(2)/25))/(LN(2)/25)*Calculateur!DB55*Calculateur!DD55*VLOOKUP('Données projet'!$B$13,Paramètres!$A$1:$I$89,3,0)*0.475*44/12</f>
        <v>3.6528282178228273</v>
      </c>
      <c r="DH55" s="21">
        <f>EXP(-LN(2)/2)*DH54+(1-EXP(-LN(2)/2))/(LN(2)/2)*DB55*DE55*VLOOKUP('Données projet'!$B$13,Paramètres!$A$1:$I$89,3,0)*0.475*44/12</f>
        <v>3.9087851261137545E-3</v>
      </c>
      <c r="DI55" s="22">
        <f t="shared" si="15"/>
        <v>3.6567370029489412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9.6</v>
      </c>
      <c r="DO55" s="12">
        <f>IF('Données projet'!$A$166&gt;35,DO54+DN55-DW54,IF(A55&lt;'Données projet'!$A$166,$DL$205^A55,IF(A55='Données projet'!$A$166,'Données projet'!$B$166,DO54+DN55-DW54)))</f>
        <v>247.1999999999999</v>
      </c>
      <c r="DP55" s="17">
        <f>DO55*VLOOKUP('Données projet'!$B$14,Paramètres!$A$1:$I$89,3,0)*VLOOKUP('Données projet'!$B$14,Paramètres!$A$1:$I$89,5,0)</f>
        <v>147.82559999999995</v>
      </c>
      <c r="DQ55" s="13">
        <f t="shared" si="43"/>
        <v>38.084026262138629</v>
      </c>
      <c r="DR55" s="20">
        <f t="shared" si="16"/>
        <v>323.79259907322466</v>
      </c>
      <c r="DS55" s="59">
        <f t="shared" si="17"/>
        <v>617.12593240655792</v>
      </c>
      <c r="DT55" s="59">
        <f ca="1">AVERAGE(OFFSET($DS$3,0,0,'Données projet'!$E$14+1,1))-AVERAGE(OFFSET($H$3,0,0,'Données projet'!$E$14+1,1))</f>
        <v>165.39579887388538</v>
      </c>
      <c r="DU55" s="59">
        <f t="shared" si="44"/>
        <v>155.89639262545802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>
        <f>EXP(-LN(2)/35)*EA54+(1-EXP(-LN(2)/35))/(LN(2)/35)*DW55*DX55*VLOOKUP('Données projet'!$B$14,Paramètres!$A$1:$I$89,3,0)*0.475*44/12</f>
        <v>0</v>
      </c>
      <c r="EB55" s="21">
        <f>EXP(-LN(2)/25)*EB54+(1-EXP(-LN(2)/25))/(LN(2)/25)*Calculateur!DW55*Calculateur!DY55*VLOOKUP('Données projet'!$B$14,Paramètres!$A$1:$I$89,3,0)*0.475*44/12</f>
        <v>3.9607384181071863</v>
      </c>
      <c r="EC55" s="21">
        <f>EXP(-LN(2)/2)*EC54+(1-EXP(-LN(2)/2))/(LN(2)/2)*DW55*DZ55*VLOOKUP('Données projet'!$B$14,Paramètres!$A$1:$I$89,3,0)*0.475*44/12</f>
        <v>6.7773611989145272E-3</v>
      </c>
      <c r="ED55" s="22">
        <f t="shared" si="18"/>
        <v>3.9675157793061007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5.5</v>
      </c>
      <c r="EJ55" s="12">
        <f>IF('Données projet'!$A$192&gt;35,EJ54+EI55-ER54,IF(A55&lt;'Données projet'!$A$192,$EG$205^A55,IF(A55='Données projet'!$A$192,'Données projet'!$B$192,EJ54+EI55-ER54)))</f>
        <v>117.99999999999997</v>
      </c>
      <c r="EK55" s="17">
        <f>EJ55*VLOOKUP('Données projet'!$B$15,Paramètres!$A$1:$I$89,3,0)*VLOOKUP('Données projet'!$B$15,Paramètres!$A$1:$I$89,5,0)</f>
        <v>92.039999999999978</v>
      </c>
      <c r="EL55" s="13">
        <f t="shared" si="45"/>
        <v>25.056580235859606</v>
      </c>
      <c r="EM55" s="20">
        <f t="shared" si="19"/>
        <v>203.94321057745546</v>
      </c>
      <c r="EN55" s="59">
        <f t="shared" si="20"/>
        <v>497.27654391078875</v>
      </c>
      <c r="EO55" s="59">
        <f ca="1">AVERAGE(OFFSET($EN$3,0,0,'Données projet'!$E$15+1,1))-AVERAGE(OFFSET($H$3,0,0,'Données projet'!$E$15+1,1))</f>
        <v>104.07220236158577</v>
      </c>
      <c r="EP55" s="59">
        <f t="shared" si="46"/>
        <v>34.162068257911756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>
        <f>EXP(-LN(2)/35)*EV54+(1-EXP(-LN(2)/35))/(LN(2)/35)*ER55*ES55*VLOOKUP('Données projet'!$B$15,Paramètres!$A$1:$I$89,3,0)*0.475*44/12</f>
        <v>0</v>
      </c>
      <c r="EW55" s="21">
        <f>EXP(-LN(2)/25)*EW54+(1-EXP(-LN(2)/25))/(LN(2)/25)*Calculateur!ER55*Calculateur!ET55*VLOOKUP('Données projet'!$B$15,Paramètres!$A$1:$I$89,3,0)*0.475*44/12</f>
        <v>0</v>
      </c>
      <c r="EX55" s="21">
        <f>EXP(-LN(2)/2)*EX54+(1-EXP(-LN(2)/2))/(LN(2)/2)*ER55*EU55*VLOOKUP('Données projet'!$B$15,Paramètres!$A$1:$I$89,3,0)*0.475*44/12</f>
        <v>0</v>
      </c>
      <c r="EY55" s="22">
        <f t="shared" si="21"/>
        <v>0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5.6843418860808015E-14</v>
      </c>
      <c r="FF55" s="17">
        <f>FE55*VLOOKUP('Données projet'!$B$16,Paramètres!$A$1:$I$89,3,0)*VLOOKUP('Données projet'!$B$16,Paramètres!$A$1:$I$89,5,0)</f>
        <v>5.1431925385259088E-14</v>
      </c>
      <c r="FG55" s="13">
        <f t="shared" si="47"/>
        <v>8.3482866290946129E-13</v>
      </c>
      <c r="FH55" s="20">
        <f t="shared" si="22"/>
        <v>1.5435705246133045E-12</v>
      </c>
      <c r="FI55" s="59">
        <f t="shared" si="23"/>
        <v>293.33333333333485</v>
      </c>
      <c r="FJ55" s="59">
        <f ca="1">AVERAGE(OFFSET($FI$3,0,0,'Données projet'!$E$16+1,1))-AVERAGE(OFFSET($H$3,0,0,'Données projet'!$E$16+1,1))</f>
        <v>179.50097986986123</v>
      </c>
      <c r="FK55" s="59">
        <f t="shared" si="48"/>
        <v>287.11838730637578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>
        <f>EXP(-LN(2)/35)*FQ54+(1-EXP(-LN(2)/35))/(LN(2)/35)*FM55*FN55*VLOOKUP('Données projet'!$B$16,Paramètres!$A$1:$I$89,3,0)*0.475*44/12</f>
        <v>0.40320949605888634</v>
      </c>
      <c r="FR55" s="21">
        <f>EXP(-LN(2)/25)*FR54+(1-EXP(-LN(2)/25))/(LN(2)/25)*Calculateur!FM55*Calculateur!FO55*VLOOKUP('Données projet'!$B$16,Paramètres!$A$1:$I$89,3,0)*0.475*44/12</f>
        <v>3.4197556865079934</v>
      </c>
      <c r="FS55" s="21">
        <f>EXP(-LN(2)/2)*FS54+(1-EXP(-LN(2)/2))/(LN(2)/2)*FM55*FP55*VLOOKUP('Données projet'!$B$16,Paramètres!$A$1:$I$89,3,0)*0.475*44/12</f>
        <v>2.2074199343386381E-3</v>
      </c>
      <c r="FT55" s="22">
        <f t="shared" si="24"/>
        <v>3.8251726025012185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9.6</v>
      </c>
      <c r="FZ55" s="12">
        <f>IF('Données projet'!$A$244&gt;35,FZ54+FY55-GH54,IF(A55&lt;'Données projet'!$A$244,$FW$205^A55,IF(A55='Données projet'!$A$244,'Données projet'!$B$244,FZ54+FY55-GH54)))</f>
        <v>247.1999999999999</v>
      </c>
      <c r="GA55" s="17">
        <f>FZ55*VLOOKUP('Données projet'!$B$17,Paramètres!$A$1:$I$89,3,0)*VLOOKUP('Données projet'!$B$17,Paramètres!$A$1:$I$89,5,0)</f>
        <v>147.82559999999995</v>
      </c>
      <c r="GB55" s="13">
        <f t="shared" si="49"/>
        <v>38.084026262138629</v>
      </c>
      <c r="GC55" s="20">
        <f t="shared" si="25"/>
        <v>323.79259907322466</v>
      </c>
      <c r="GD55" s="59">
        <f t="shared" si="26"/>
        <v>617.12593240655792</v>
      </c>
      <c r="GE55" s="59">
        <f ca="1">AVERAGE(OFFSET($GD$3,0,0,'Données projet'!$E$17+1,1))-AVERAGE(OFFSET($H$3,0,0,'Données projet'!$E$17+1,1))</f>
        <v>165.39579887388538</v>
      </c>
      <c r="GF55" s="59">
        <f t="shared" si="50"/>
        <v>155.89639262545802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>
        <f>EXP(-LN(2)/35)*GL54+(1-EXP(-LN(2)/35))/(LN(2)/35)*GH55*GI55*VLOOKUP('Données projet'!$B$17,Paramètres!$A$1:$I$89,3,0)*0.475*44/12</f>
        <v>0</v>
      </c>
      <c r="GM55" s="21">
        <f>EXP(-LN(2)/25)*GM54+(1-EXP(-LN(2)/25))/(LN(2)/25)*Calculateur!GH55*Calculateur!GJ55*VLOOKUP('Données projet'!$B$17,Paramètres!$A$1:$I$89,3,0)*0.475*44/12</f>
        <v>3.9607384181071863</v>
      </c>
      <c r="GN55" s="21">
        <f>EXP(-LN(2)/2)*GN54+(1-EXP(-LN(2)/2))/(LN(2)/2)*GH55*GK55*VLOOKUP('Données projet'!$B$17,Paramètres!$A$1:$I$89,3,0)*0.475*44/12</f>
        <v>6.7773611989145272E-3</v>
      </c>
      <c r="GO55" s="21">
        <f t="shared" si="27"/>
        <v>3.9675157793061007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13.2</v>
      </c>
      <c r="N56" s="13">
        <f>IF('Données projet'!$A$36&gt;35,N55+M56-V55,IF(A56&lt;'Données projet'!$A$36,$K$205^A56,IF(A56='Données projet'!$A$36,'Données projet'!$B$36,N55+M56-V55)))</f>
        <v>355.60000000000008</v>
      </c>
      <c r="O56" s="13">
        <f>N56*VLOOKUP('Données projet'!$B$9,Paramètres!$A$1:$I$89,3,0)*VLOOKUP('Données projet'!$B$9,Paramètres!$A$1:$I$89,5,0)</f>
        <v>198.78040000000007</v>
      </c>
      <c r="P56" s="13">
        <f t="shared" si="33"/>
        <v>49.476041217213542</v>
      </c>
      <c r="Q56" s="20">
        <f t="shared" si="53"/>
        <v>432.37996845331372</v>
      </c>
      <c r="R56" s="59">
        <f t="shared" si="0"/>
        <v>725.71330178664698</v>
      </c>
      <c r="S56" s="59">
        <f ca="1">AVERAGE(OFFSET($R$3,0,0,'Données projet'!$E$9+1,1))-AVERAGE(OFFSET($H$3,0,0,'Données projet'!$E$9+1,1))</f>
        <v>235.10258076192054</v>
      </c>
      <c r="T56" s="59">
        <f t="shared" si="34"/>
        <v>233.47316052603765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2.1725132229119697</v>
      </c>
      <c r="AA56" s="21">
        <f>EXP(-LN(2)/25)*AA55+(1-EXP(-LN(2)/25))/(LN(2)/25)*Calculateur!V56*Calculateur!X56*VLOOKUP('Données projet'!$B$9,Paramètres!$A$1:$I$89,3,0)*0.475*44/12</f>
        <v>9.7430028247262292</v>
      </c>
      <c r="AB56" s="21">
        <f>EXP(-LN(2)/2)*AB55+(1-EXP(-LN(2)/2))/(LN(2)/2)*V56*Y56*VLOOKUP('Données projet'!$B$9,Paramètres!$A$1:$I$89,3,0)*0.475*44/12</f>
        <v>8.3285583800949917E-3</v>
      </c>
      <c r="AC56" s="22">
        <f t="shared" si="3"/>
        <v>11.923844606018294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5.6</v>
      </c>
      <c r="AI56" s="13">
        <f>IF('Données projet'!$A$62&gt;35,AI55+AH56-AQ55,IF(A56&lt;'Données projet'!$A$62,$AF$205^A56,IF(A56='Données projet'!$A$62,'Données projet'!$B$62,AI55+AH56-AQ55)))</f>
        <v>180.79999999999973</v>
      </c>
      <c r="AJ56" s="13">
        <f>AI56*VLOOKUP('Données projet'!$B$10,Paramètres!$A$1:$I$89,3,0)*VLOOKUP('Données projet'!$B$10,Paramètres!$A$1:$I$89,5,0)</f>
        <v>157.94687999999979</v>
      </c>
      <c r="AK56" s="13">
        <f t="shared" si="35"/>
        <v>40.379080953267021</v>
      </c>
      <c r="AL56" s="20">
        <f t="shared" si="4"/>
        <v>345.41771532693969</v>
      </c>
      <c r="AM56" s="59">
        <f t="shared" si="5"/>
        <v>638.751048660273</v>
      </c>
      <c r="AN56" s="59">
        <f ca="1">AVERAGE(OFFSET($AM$3,0,0,'Données projet'!$E$10+1,1))-AVERAGE(OFFSET($H$3,0,0,'Données projet'!$E$10+1,1))</f>
        <v>191.94797389630673</v>
      </c>
      <c r="AO56" s="59">
        <f t="shared" si="36"/>
        <v>273.52540822767878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1.63267660388536</v>
      </c>
      <c r="AV56" s="21">
        <f>EXP(-LN(2)/25)*AV55+(1-EXP(-LN(2)/25))/(LN(2)/25)*Calculateur!AQ56*Calculateur!AS56*VLOOKUP('Données projet'!$B$10,Paramètres!$A$1:$I$89,3,0)*0.475*44/12</f>
        <v>7.4245745473304927</v>
      </c>
      <c r="AW56" s="21">
        <f>EXP(-LN(2)/2)*AW55+(1-EXP(-LN(2)/2))/(LN(2)/2)*AQ56*AT56*VLOOKUP('Données projet'!$B$10,Paramètres!$A$1:$I$89,3,0)*0.475*44/12</f>
        <v>8.0112515306622785E-3</v>
      </c>
      <c r="AX56" s="21">
        <f t="shared" si="6"/>
        <v>9.0652624027465158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5.5</v>
      </c>
      <c r="BD56" s="12">
        <f>IF('Données projet'!$A$88&gt;35,BD55+BC56-BL55,IF(A56&lt;'Données projet'!$A$88,$BA$205^A56,IF(A56='Données projet'!$A$88,'Données projet'!$B$88,BD55+BC56-BL55)))</f>
        <v>123.49999999999997</v>
      </c>
      <c r="BE56" s="13">
        <f>BD56*VLOOKUP('Données projet'!$B$11,Paramètres!$A$1:$I$89,3,0)*VLOOKUP('Données projet'!$B$11,Paramètres!$A$1:$I$89,5,0)</f>
        <v>111.74279999999997</v>
      </c>
      <c r="BF56" s="13">
        <f t="shared" si="37"/>
        <v>29.741225429709573</v>
      </c>
      <c r="BG56" s="20">
        <f t="shared" si="7"/>
        <v>246.4180109567441</v>
      </c>
      <c r="BH56" s="59">
        <f t="shared" si="8"/>
        <v>539.75134429007744</v>
      </c>
      <c r="BI56" s="59">
        <f ca="1">AVERAGE(OFFSET($BH$3,0,0,'Données projet'!$E$11+1,1))-AVERAGE(OFFSET($H$3,0,0,'Données projet'!$E$11+1,1))</f>
        <v>138.8931001150624</v>
      </c>
      <c r="BJ56" s="59">
        <f t="shared" si="38"/>
        <v>48.964659354096625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5.5</v>
      </c>
      <c r="BY56" s="12">
        <f>IF('Données projet'!$A$114&gt;35,BY55+BX56-CG55,IF(A56&lt;'Données projet'!$A$114,$BV$205^A56,IF(A56='Données projet'!$A$114,'Données projet'!$B$114,BY55+BX56-CG55)))</f>
        <v>123.49999999999997</v>
      </c>
      <c r="BZ56" s="13">
        <f>BY56*VLOOKUP('Données projet'!$B$12,Paramètres!$A$1:$I$89,3,0)*VLOOKUP('Données projet'!$B$12,Paramètres!$A$1:$I$89,5,0)</f>
        <v>125.22899999999997</v>
      </c>
      <c r="CA56" s="13">
        <f t="shared" si="39"/>
        <v>32.891533772373769</v>
      </c>
      <c r="CB56" s="20">
        <f t="shared" si="10"/>
        <v>275.39326298688428</v>
      </c>
      <c r="CC56" s="59">
        <f t="shared" si="11"/>
        <v>568.7265963202176</v>
      </c>
      <c r="CD56" s="59">
        <f ca="1">AVERAGE(OFFSET($CC$3,0,0,'Données projet'!$E$12+1,1))-AVERAGE(OFFSET($H$3,0,0,'Données projet'!$E$12+1,1))</f>
        <v>169.2757878405003</v>
      </c>
      <c r="CE56" s="59">
        <f t="shared" si="40"/>
        <v>61.876502626609977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4.4000000000000004</v>
      </c>
      <c r="CT56" s="12">
        <f>IF('Données projet'!$A$140&gt;35,CT55+CS56-DB55,IF(A56&lt;'Données projet'!$A$140,$CQ$205^A56,IF(A56='Données projet'!$A$140,'Données projet'!$B$140,CT55+CS56-DB55)))</f>
        <v>174.2</v>
      </c>
      <c r="CU56" s="17">
        <f>CT56*VLOOKUP('Données projet'!$B$13,Paramètres!$A$1:$I$89,3,0)*VLOOKUP('Données projet'!$B$13,Paramètres!$A$1:$I$89,5,0)</f>
        <v>138.59352000000001</v>
      </c>
      <c r="CV56" s="13">
        <f t="shared" si="41"/>
        <v>35.974611578202286</v>
      </c>
      <c r="CW56" s="20">
        <f t="shared" si="13"/>
        <v>304.03949583203564</v>
      </c>
      <c r="CX56" s="59">
        <f t="shared" si="14"/>
        <v>597.37282916536901</v>
      </c>
      <c r="CY56" s="59">
        <f ca="1">AVERAGE(OFFSET($CX$3,0,0,'Données projet'!$E$13+1,1))-AVERAGE(OFFSET($H$3,0,0,'Données projet'!$E$13+1,1))</f>
        <v>141.12810728817544</v>
      </c>
      <c r="CZ56" s="59">
        <f t="shared" si="42"/>
        <v>176.01405805137551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>
        <f>EXP(-LN(2)/35)*DF55+(1-EXP(-LN(2)/35))/(LN(2)/35)*DB56*DC56*VLOOKUP('Données projet'!$B$13,Paramètres!$A$1:$I$89,3,0)*0.475*44/12</f>
        <v>0</v>
      </c>
      <c r="DG56" s="21">
        <f>EXP(-LN(2)/25)*DG55+(1-EXP(-LN(2)/25))/(LN(2)/25)*Calculateur!DB56*Calculateur!DD56*VLOOKUP('Données projet'!$B$13,Paramètres!$A$1:$I$89,3,0)*0.475*44/12</f>
        <v>3.5529414381125748</v>
      </c>
      <c r="DH56" s="21">
        <f>EXP(-LN(2)/2)*DH55+(1-EXP(-LN(2)/2))/(LN(2)/2)*DB56*DE56*VLOOKUP('Données projet'!$B$13,Paramètres!$A$1:$I$89,3,0)*0.475*44/12</f>
        <v>2.7639284688761503E-3</v>
      </c>
      <c r="DI56" s="22">
        <f t="shared" si="15"/>
        <v>3.5557053665814511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9.6</v>
      </c>
      <c r="DO56" s="12">
        <f>IF('Données projet'!$A$166&gt;35,DO55+DN56-DW55,IF(A56&lt;'Données projet'!$A$166,$DL$205^A56,IF(A56='Données projet'!$A$166,'Données projet'!$B$166,DO55+DN56-DW55)))</f>
        <v>256.7999999999999</v>
      </c>
      <c r="DP56" s="17">
        <f>DO56*VLOOKUP('Données projet'!$B$14,Paramètres!$A$1:$I$89,3,0)*VLOOKUP('Données projet'!$B$14,Paramètres!$A$1:$I$89,5,0)</f>
        <v>153.56639999999996</v>
      </c>
      <c r="DQ56" s="13">
        <f t="shared" si="43"/>
        <v>39.387951109795566</v>
      </c>
      <c r="DR56" s="20">
        <f t="shared" si="16"/>
        <v>336.06216151622726</v>
      </c>
      <c r="DS56" s="59">
        <f t="shared" si="17"/>
        <v>629.39549484956058</v>
      </c>
      <c r="DT56" s="59">
        <f ca="1">AVERAGE(OFFSET($DS$3,0,0,'Données projet'!$E$14+1,1))-AVERAGE(OFFSET($H$3,0,0,'Données projet'!$E$14+1,1))</f>
        <v>165.39579887388538</v>
      </c>
      <c r="DU56" s="59">
        <f t="shared" si="44"/>
        <v>155.89639262545802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>
        <f>EXP(-LN(2)/35)*EA55+(1-EXP(-LN(2)/35))/(LN(2)/35)*DW56*DX56*VLOOKUP('Données projet'!$B$14,Paramètres!$A$1:$I$89,3,0)*0.475*44/12</f>
        <v>0</v>
      </c>
      <c r="EB56" s="21">
        <f>EXP(-LN(2)/25)*EB55+(1-EXP(-LN(2)/25))/(LN(2)/25)*Calculateur!DW56*Calculateur!DY56*VLOOKUP('Données projet'!$B$14,Paramètres!$A$1:$I$89,3,0)*0.475*44/12</f>
        <v>3.8524318177778643</v>
      </c>
      <c r="EC56" s="21">
        <f>EXP(-LN(2)/2)*EC55+(1-EXP(-LN(2)/2))/(LN(2)/2)*DW56*DZ56*VLOOKUP('Données projet'!$B$14,Paramètres!$A$1:$I$89,3,0)*0.475*44/12</f>
        <v>4.7923180623030519E-3</v>
      </c>
      <c r="ED56" s="22">
        <f t="shared" si="18"/>
        <v>3.8572241358401671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5.5</v>
      </c>
      <c r="EJ56" s="12">
        <f>IF('Données projet'!$A$192&gt;35,EJ55+EI56-ER55,IF(A56&lt;'Données projet'!$A$192,$EG$205^A56,IF(A56='Données projet'!$A$192,'Données projet'!$B$192,EJ55+EI56-ER55)))</f>
        <v>123.49999999999997</v>
      </c>
      <c r="EK56" s="17">
        <f>EJ56*VLOOKUP('Données projet'!$B$15,Paramètres!$A$1:$I$89,3,0)*VLOOKUP('Données projet'!$B$15,Paramètres!$A$1:$I$89,5,0)</f>
        <v>96.329999999999984</v>
      </c>
      <c r="EL56" s="13">
        <f t="shared" si="45"/>
        <v>26.08577713462325</v>
      </c>
      <c r="EM56" s="20">
        <f t="shared" si="19"/>
        <v>213.20747850946876</v>
      </c>
      <c r="EN56" s="59">
        <f t="shared" si="20"/>
        <v>506.5408118428021</v>
      </c>
      <c r="EO56" s="59">
        <f ca="1">AVERAGE(OFFSET($EN$3,0,0,'Données projet'!$E$15+1,1))-AVERAGE(OFFSET($H$3,0,0,'Données projet'!$E$15+1,1))</f>
        <v>104.07220236158577</v>
      </c>
      <c r="EP56" s="59">
        <f t="shared" si="46"/>
        <v>34.162068257911756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>
        <f>EXP(-LN(2)/35)*EV55+(1-EXP(-LN(2)/35))/(LN(2)/35)*ER56*ES56*VLOOKUP('Données projet'!$B$15,Paramètres!$A$1:$I$89,3,0)*0.475*44/12</f>
        <v>0</v>
      </c>
      <c r="EW56" s="21">
        <f>EXP(-LN(2)/25)*EW55+(1-EXP(-LN(2)/25))/(LN(2)/25)*Calculateur!ER56*Calculateur!ET56*VLOOKUP('Données projet'!$B$15,Paramètres!$A$1:$I$89,3,0)*0.475*44/12</f>
        <v>0</v>
      </c>
      <c r="EX56" s="21">
        <f>EXP(-LN(2)/2)*EX55+(1-EXP(-LN(2)/2))/(LN(2)/2)*ER56*EU56*VLOOKUP('Données projet'!$B$15,Paramètres!$A$1:$I$89,3,0)*0.475*44/12</f>
        <v>0</v>
      </c>
      <c r="EY56" s="22">
        <f t="shared" si="21"/>
        <v>0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5.6843418860808015E-14</v>
      </c>
      <c r="FF56" s="17">
        <f>FE56*VLOOKUP('Données projet'!$B$16,Paramètres!$A$1:$I$89,3,0)*VLOOKUP('Données projet'!$B$16,Paramètres!$A$1:$I$89,5,0)</f>
        <v>5.1431925385259088E-14</v>
      </c>
      <c r="FG56" s="13">
        <f t="shared" si="47"/>
        <v>8.3482866290946129E-13</v>
      </c>
      <c r="FH56" s="20">
        <f t="shared" si="22"/>
        <v>1.5435705246133045E-12</v>
      </c>
      <c r="FI56" s="59">
        <f t="shared" si="23"/>
        <v>293.33333333333485</v>
      </c>
      <c r="FJ56" s="59">
        <f ca="1">AVERAGE(OFFSET($FI$3,0,0,'Données projet'!$E$16+1,1))-AVERAGE(OFFSET($H$3,0,0,'Données projet'!$E$16+1,1))</f>
        <v>179.50097986986123</v>
      </c>
      <c r="FK56" s="59">
        <f t="shared" si="48"/>
        <v>287.11838730637578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>
        <f>EXP(-LN(2)/35)*FQ55+(1-EXP(-LN(2)/35))/(LN(2)/35)*FM56*FN56*VLOOKUP('Données projet'!$B$16,Paramètres!$A$1:$I$89,3,0)*0.475*44/12</f>
        <v>0.39530280377468024</v>
      </c>
      <c r="FR56" s="21">
        <f>EXP(-LN(2)/25)*FR55+(1-EXP(-LN(2)/25))/(LN(2)/25)*Calculateur!FM56*Calculateur!FO56*VLOOKUP('Données projet'!$B$16,Paramètres!$A$1:$I$89,3,0)*0.475*44/12</f>
        <v>3.3262422874232969</v>
      </c>
      <c r="FS56" s="21">
        <f>EXP(-LN(2)/2)*FS55+(1-EXP(-LN(2)/2))/(LN(2)/2)*FM56*FP56*VLOOKUP('Données projet'!$B$16,Paramètres!$A$1:$I$89,3,0)*0.475*44/12</f>
        <v>1.5608816044972145E-3</v>
      </c>
      <c r="FT56" s="22">
        <f t="shared" si="24"/>
        <v>3.7231059728024745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9.6</v>
      </c>
      <c r="FZ56" s="12">
        <f>IF('Données projet'!$A$244&gt;35,FZ55+FY56-GH55,IF(A56&lt;'Données projet'!$A$244,$FW$205^A56,IF(A56='Données projet'!$A$244,'Données projet'!$B$244,FZ55+FY56-GH55)))</f>
        <v>256.7999999999999</v>
      </c>
      <c r="GA56" s="17">
        <f>FZ56*VLOOKUP('Données projet'!$B$17,Paramètres!$A$1:$I$89,3,0)*VLOOKUP('Données projet'!$B$17,Paramètres!$A$1:$I$89,5,0)</f>
        <v>153.56639999999996</v>
      </c>
      <c r="GB56" s="13">
        <f t="shared" si="49"/>
        <v>39.387951109795566</v>
      </c>
      <c r="GC56" s="20">
        <f t="shared" si="25"/>
        <v>336.06216151622726</v>
      </c>
      <c r="GD56" s="59">
        <f t="shared" si="26"/>
        <v>629.39549484956058</v>
      </c>
      <c r="GE56" s="59">
        <f ca="1">AVERAGE(OFFSET($GD$3,0,0,'Données projet'!$E$17+1,1))-AVERAGE(OFFSET($H$3,0,0,'Données projet'!$E$17+1,1))</f>
        <v>165.39579887388538</v>
      </c>
      <c r="GF56" s="59">
        <f t="shared" si="50"/>
        <v>155.89639262545802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>
        <f>EXP(-LN(2)/35)*GL55+(1-EXP(-LN(2)/35))/(LN(2)/35)*GH56*GI56*VLOOKUP('Données projet'!$B$17,Paramètres!$A$1:$I$89,3,0)*0.475*44/12</f>
        <v>0</v>
      </c>
      <c r="GM56" s="21">
        <f>EXP(-LN(2)/25)*GM55+(1-EXP(-LN(2)/25))/(LN(2)/25)*Calculateur!GH56*Calculateur!GJ56*VLOOKUP('Données projet'!$B$17,Paramètres!$A$1:$I$89,3,0)*0.475*44/12</f>
        <v>3.8524318177778643</v>
      </c>
      <c r="GN56" s="21">
        <f>EXP(-LN(2)/2)*GN55+(1-EXP(-LN(2)/2))/(LN(2)/2)*GH56*GK56*VLOOKUP('Données projet'!$B$17,Paramètres!$A$1:$I$89,3,0)*0.475*44/12</f>
        <v>4.7923180623030519E-3</v>
      </c>
      <c r="GO56" s="21">
        <f t="shared" si="27"/>
        <v>3.8572241358401671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13.2</v>
      </c>
      <c r="N57" s="13">
        <f>IF('Données projet'!$A$36&gt;35,N56+M57-V56,IF(A57&lt;'Données projet'!$A$36,$K$205^A57,IF(A57='Données projet'!$A$36,'Données projet'!$B$36,N56+M57-V56)))</f>
        <v>368.80000000000007</v>
      </c>
      <c r="O57" s="13">
        <f>N57*VLOOKUP('Données projet'!$B$9,Paramètres!$A$1:$I$89,3,0)*VLOOKUP('Données projet'!$B$9,Paramètres!$A$1:$I$89,5,0)</f>
        <v>206.15920000000006</v>
      </c>
      <c r="P57" s="13">
        <f t="shared" si="33"/>
        <v>51.09537471972169</v>
      </c>
      <c r="Q57" s="20">
        <f t="shared" si="53"/>
        <v>448.05171763684865</v>
      </c>
      <c r="R57" s="59">
        <f t="shared" si="0"/>
        <v>741.38505097018196</v>
      </c>
      <c r="S57" s="59">
        <f ca="1">AVERAGE(OFFSET($R$3,0,0,'Données projet'!$E$9+1,1))-AVERAGE(OFFSET($H$3,0,0,'Données projet'!$E$9+1,1))</f>
        <v>235.10258076192054</v>
      </c>
      <c r="T57" s="59">
        <f t="shared" si="34"/>
        <v>233.47316052603765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2.1299115637128891</v>
      </c>
      <c r="AA57" s="21">
        <f>EXP(-LN(2)/25)*AA56+(1-EXP(-LN(2)/25))/(LN(2)/25)*Calculateur!V57*Calculateur!X57*VLOOKUP('Données projet'!$B$9,Paramètres!$A$1:$I$89,3,0)*0.475*44/12</f>
        <v>9.4765799001218394</v>
      </c>
      <c r="AB57" s="21">
        <f>EXP(-LN(2)/2)*AB56+(1-EXP(-LN(2)/2))/(LN(2)/2)*V57*Y57*VLOOKUP('Données projet'!$B$9,Paramètres!$A$1:$I$89,3,0)*0.475*44/12</f>
        <v>5.8891801080732161E-3</v>
      </c>
      <c r="AC57" s="22">
        <f t="shared" si="3"/>
        <v>11.612380643942803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5.6</v>
      </c>
      <c r="AI57" s="13">
        <f>IF('Données projet'!$A$62&gt;35,AI56+AH57-AQ56,IF(A57&lt;'Données projet'!$A$62,$AF$205^A57,IF(A57='Données projet'!$A$62,'Données projet'!$B$62,AI56+AH57-AQ56)))</f>
        <v>186.39999999999972</v>
      </c>
      <c r="AJ57" s="13">
        <f>AI57*VLOOKUP('Données projet'!$B$10,Paramètres!$A$1:$I$89,3,0)*VLOOKUP('Données projet'!$B$10,Paramètres!$A$1:$I$89,5,0)</f>
        <v>162.83903999999978</v>
      </c>
      <c r="AK57" s="13">
        <f t="shared" si="35"/>
        <v>41.482211836000076</v>
      </c>
      <c r="AL57" s="20">
        <f t="shared" si="4"/>
        <v>355.85951361436645</v>
      </c>
      <c r="AM57" s="59">
        <f t="shared" si="5"/>
        <v>649.19284694769976</v>
      </c>
      <c r="AN57" s="59">
        <f ca="1">AVERAGE(OFFSET($AM$3,0,0,'Données projet'!$E$10+1,1))-AVERAGE(OFFSET($H$3,0,0,'Données projet'!$E$10+1,1))</f>
        <v>191.94797389630673</v>
      </c>
      <c r="AO57" s="59">
        <f t="shared" si="36"/>
        <v>273.52540822767878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1.600660811517566</v>
      </c>
      <c r="AV57" s="21">
        <f>EXP(-LN(2)/25)*AV56+(1-EXP(-LN(2)/25))/(LN(2)/25)*Calculateur!AQ57*Calculateur!AS57*VLOOKUP('Données projet'!$B$10,Paramètres!$A$1:$I$89,3,0)*0.475*44/12</f>
        <v>7.2215491658923341</v>
      </c>
      <c r="AW57" s="21">
        <f>EXP(-LN(2)/2)*AW56+(1-EXP(-LN(2)/2))/(LN(2)/2)*AQ57*AT57*VLOOKUP('Données projet'!$B$10,Paramètres!$A$1:$I$89,3,0)*0.475*44/12</f>
        <v>5.6648102831224059E-3</v>
      </c>
      <c r="AX57" s="21">
        <f t="shared" si="6"/>
        <v>8.8278747876930215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5.5</v>
      </c>
      <c r="BD57" s="12">
        <f>IF('Données projet'!$A$88&gt;35,BD56+BC57-BL56,IF(A57&lt;'Données projet'!$A$88,$BA$205^A57,IF(A57='Données projet'!$A$88,'Données projet'!$B$88,BD56+BC57-BL56)))</f>
        <v>128.99999999999997</v>
      </c>
      <c r="BE57" s="13">
        <f>BD57*VLOOKUP('Données projet'!$B$11,Paramètres!$A$1:$I$89,3,0)*VLOOKUP('Données projet'!$B$11,Paramètres!$A$1:$I$89,5,0)</f>
        <v>116.71919999999997</v>
      </c>
      <c r="BF57" s="13">
        <f t="shared" si="37"/>
        <v>30.908576435525887</v>
      </c>
      <c r="BG57" s="20">
        <f t="shared" si="7"/>
        <v>257.11837729187414</v>
      </c>
      <c r="BH57" s="59">
        <f t="shared" si="8"/>
        <v>550.4517106252074</v>
      </c>
      <c r="BI57" s="59">
        <f ca="1">AVERAGE(OFFSET($BH$3,0,0,'Données projet'!$E$11+1,1))-AVERAGE(OFFSET($H$3,0,0,'Données projet'!$E$11+1,1))</f>
        <v>138.8931001150624</v>
      </c>
      <c r="BJ57" s="59">
        <f t="shared" si="38"/>
        <v>48.964659354096625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5.5</v>
      </c>
      <c r="BY57" s="12">
        <f>IF('Données projet'!$A$114&gt;35,BY56+BX57-CG56,IF(A57&lt;'Données projet'!$A$114,$BV$205^A57,IF(A57='Données projet'!$A$114,'Données projet'!$B$114,BY56+BX57-CG56)))</f>
        <v>128.99999999999997</v>
      </c>
      <c r="BZ57" s="13">
        <f>BY57*VLOOKUP('Données projet'!$B$12,Paramètres!$A$1:$I$89,3,0)*VLOOKUP('Données projet'!$B$12,Paramètres!$A$1:$I$89,5,0)</f>
        <v>130.80599999999998</v>
      </c>
      <c r="CA57" s="13">
        <f t="shared" si="39"/>
        <v>34.182535218254536</v>
      </c>
      <c r="CB57" s="20">
        <f t="shared" si="10"/>
        <v>287.35503217179325</v>
      </c>
      <c r="CC57" s="59">
        <f t="shared" si="11"/>
        <v>580.68836550512651</v>
      </c>
      <c r="CD57" s="59">
        <f ca="1">AVERAGE(OFFSET($CC$3,0,0,'Données projet'!$E$12+1,1))-AVERAGE(OFFSET($H$3,0,0,'Données projet'!$E$12+1,1))</f>
        <v>169.2757878405003</v>
      </c>
      <c r="CE57" s="59">
        <f t="shared" si="40"/>
        <v>61.876502626609977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4.4000000000000004</v>
      </c>
      <c r="CT57" s="12">
        <f>IF('Données projet'!$A$140&gt;35,CT56+CS57-DB56,IF(A57&lt;'Données projet'!$A$140,$CQ$205^A57,IF(A57='Données projet'!$A$140,'Données projet'!$B$140,CT56+CS57-DB56)))</f>
        <v>178.6</v>
      </c>
      <c r="CU57" s="17">
        <f>CT57*VLOOKUP('Données projet'!$B$13,Paramètres!$A$1:$I$89,3,0)*VLOOKUP('Données projet'!$B$13,Paramètres!$A$1:$I$89,5,0)</f>
        <v>142.09416000000002</v>
      </c>
      <c r="CV57" s="13">
        <f t="shared" si="41"/>
        <v>36.77633279983236</v>
      </c>
      <c r="CW57" s="20">
        <f t="shared" si="13"/>
        <v>311.53277495970804</v>
      </c>
      <c r="CX57" s="59">
        <f t="shared" si="14"/>
        <v>604.86610829304141</v>
      </c>
      <c r="CY57" s="59">
        <f ca="1">AVERAGE(OFFSET($CX$3,0,0,'Données projet'!$E$13+1,1))-AVERAGE(OFFSET($H$3,0,0,'Données projet'!$E$13+1,1))</f>
        <v>141.12810728817544</v>
      </c>
      <c r="CZ57" s="59">
        <f t="shared" si="42"/>
        <v>176.01405805137551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>
        <f>EXP(-LN(2)/35)*DF56+(1-EXP(-LN(2)/35))/(LN(2)/35)*DB57*DC57*VLOOKUP('Données projet'!$B$13,Paramètres!$A$1:$I$89,3,0)*0.475*44/12</f>
        <v>0</v>
      </c>
      <c r="DG57" s="21">
        <f>EXP(-LN(2)/25)*DG56+(1-EXP(-LN(2)/25))/(LN(2)/25)*Calculateur!DB57*Calculateur!DD57*VLOOKUP('Données projet'!$B$13,Paramètres!$A$1:$I$89,3,0)*0.475*44/12</f>
        <v>3.4557860676463164</v>
      </c>
      <c r="DH57" s="21">
        <f>EXP(-LN(2)/2)*DH56+(1-EXP(-LN(2)/2))/(LN(2)/2)*DB57*DE57*VLOOKUP('Données projet'!$B$13,Paramètres!$A$1:$I$89,3,0)*0.475*44/12</f>
        <v>1.9543925630568773E-3</v>
      </c>
      <c r="DI57" s="22">
        <f t="shared" si="15"/>
        <v>3.4577404602093731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9.6</v>
      </c>
      <c r="DO57" s="12">
        <f>IF('Données projet'!$A$166&gt;35,DO56+DN57-DW56,IF(A57&lt;'Données projet'!$A$166,$DL$205^A57,IF(A57='Données projet'!$A$166,'Données projet'!$B$166,DO56+DN57-DW56)))</f>
        <v>266.39999999999992</v>
      </c>
      <c r="DP57" s="17">
        <f>DO57*VLOOKUP('Données projet'!$B$14,Paramètres!$A$1:$I$89,3,0)*VLOOKUP('Données projet'!$B$14,Paramètres!$A$1:$I$89,5,0)</f>
        <v>159.30719999999997</v>
      </c>
      <c r="DQ57" s="13">
        <f t="shared" si="43"/>
        <v>40.686212990054052</v>
      </c>
      <c r="DR57" s="20">
        <f t="shared" si="16"/>
        <v>348.32186095767742</v>
      </c>
      <c r="DS57" s="59">
        <f t="shared" si="17"/>
        <v>641.65519429101073</v>
      </c>
      <c r="DT57" s="59">
        <f ca="1">AVERAGE(OFFSET($DS$3,0,0,'Données projet'!$E$14+1,1))-AVERAGE(OFFSET($H$3,0,0,'Données projet'!$E$14+1,1))</f>
        <v>165.39579887388538</v>
      </c>
      <c r="DU57" s="59">
        <f t="shared" si="44"/>
        <v>155.89639262545802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>
        <f>EXP(-LN(2)/35)*EA56+(1-EXP(-LN(2)/35))/(LN(2)/35)*DW57*DX57*VLOOKUP('Données projet'!$B$14,Paramètres!$A$1:$I$89,3,0)*0.475*44/12</f>
        <v>0</v>
      </c>
      <c r="EB57" s="21">
        <f>EXP(-LN(2)/25)*EB56+(1-EXP(-LN(2)/25))/(LN(2)/25)*Calculateur!DW57*Calculateur!DY57*VLOOKUP('Données projet'!$B$14,Paramètres!$A$1:$I$89,3,0)*0.475*44/12</f>
        <v>3.7470868671301441</v>
      </c>
      <c r="EC57" s="21">
        <f>EXP(-LN(2)/2)*EC56+(1-EXP(-LN(2)/2))/(LN(2)/2)*DW57*DZ57*VLOOKUP('Données projet'!$B$14,Paramètres!$A$1:$I$89,3,0)*0.475*44/12</f>
        <v>3.3886805994572636E-3</v>
      </c>
      <c r="ED57" s="22">
        <f t="shared" si="18"/>
        <v>3.7504755477296015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5.5</v>
      </c>
      <c r="EJ57" s="12">
        <f>IF('Données projet'!$A$192&gt;35,EJ56+EI57-ER56,IF(A57&lt;'Données projet'!$A$192,$EG$205^A57,IF(A57='Données projet'!$A$192,'Données projet'!$B$192,EJ56+EI57-ER56)))</f>
        <v>128.99999999999997</v>
      </c>
      <c r="EK57" s="17">
        <f>EJ57*VLOOKUP('Données projet'!$B$15,Paramètres!$A$1:$I$89,3,0)*VLOOKUP('Données projet'!$B$15,Paramètres!$A$1:$I$89,5,0)</f>
        <v>100.61999999999998</v>
      </c>
      <c r="EL57" s="13">
        <f t="shared" si="45"/>
        <v>27.109650822934128</v>
      </c>
      <c r="EM57" s="20">
        <f t="shared" si="19"/>
        <v>222.46247518327689</v>
      </c>
      <c r="EN57" s="59">
        <f t="shared" si="20"/>
        <v>515.79580851661024</v>
      </c>
      <c r="EO57" s="59">
        <f ca="1">AVERAGE(OFFSET($EN$3,0,0,'Données projet'!$E$15+1,1))-AVERAGE(OFFSET($H$3,0,0,'Données projet'!$E$15+1,1))</f>
        <v>104.07220236158577</v>
      </c>
      <c r="EP57" s="59">
        <f t="shared" si="46"/>
        <v>34.162068257911756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>
        <f>EXP(-LN(2)/35)*EV56+(1-EXP(-LN(2)/35))/(LN(2)/35)*ER57*ES57*VLOOKUP('Données projet'!$B$15,Paramètres!$A$1:$I$89,3,0)*0.475*44/12</f>
        <v>0</v>
      </c>
      <c r="EW57" s="21">
        <f>EXP(-LN(2)/25)*EW56+(1-EXP(-LN(2)/25))/(LN(2)/25)*Calculateur!ER57*Calculateur!ET57*VLOOKUP('Données projet'!$B$15,Paramètres!$A$1:$I$89,3,0)*0.475*44/12</f>
        <v>0</v>
      </c>
      <c r="EX57" s="21">
        <f>EXP(-LN(2)/2)*EX56+(1-EXP(-LN(2)/2))/(LN(2)/2)*ER57*EU57*VLOOKUP('Données projet'!$B$15,Paramètres!$A$1:$I$89,3,0)*0.475*44/12</f>
        <v>0</v>
      </c>
      <c r="EY57" s="22">
        <f t="shared" si="21"/>
        <v>0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5.6843418860808015E-14</v>
      </c>
      <c r="FF57" s="17">
        <f>FE57*VLOOKUP('Données projet'!$B$16,Paramètres!$A$1:$I$89,3,0)*VLOOKUP('Données projet'!$B$16,Paramètres!$A$1:$I$89,5,0)</f>
        <v>5.1431925385259088E-14</v>
      </c>
      <c r="FG57" s="13">
        <f t="shared" si="47"/>
        <v>8.3482866290946129E-13</v>
      </c>
      <c r="FH57" s="20">
        <f t="shared" si="22"/>
        <v>1.5435705246133045E-12</v>
      </c>
      <c r="FI57" s="59">
        <f t="shared" si="23"/>
        <v>293.33333333333485</v>
      </c>
      <c r="FJ57" s="59">
        <f ca="1">AVERAGE(OFFSET($FI$3,0,0,'Données projet'!$E$16+1,1))-AVERAGE(OFFSET($H$3,0,0,'Données projet'!$E$16+1,1))</f>
        <v>179.50097986986123</v>
      </c>
      <c r="FK57" s="59">
        <f t="shared" si="48"/>
        <v>287.11838730637578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>
        <f>EXP(-LN(2)/35)*FQ56+(1-EXP(-LN(2)/35))/(LN(2)/35)*FM57*FN57*VLOOKUP('Données projet'!$B$16,Paramètres!$A$1:$I$89,3,0)*0.475*44/12</f>
        <v>0.38755115690356134</v>
      </c>
      <c r="FR57" s="21">
        <f>EXP(-LN(2)/25)*FR56+(1-EXP(-LN(2)/25))/(LN(2)/25)*Calculateur!FM57*Calculateur!FO57*VLOOKUP('Données projet'!$B$16,Paramètres!$A$1:$I$89,3,0)*0.475*44/12</f>
        <v>3.2352860171542273</v>
      </c>
      <c r="FS57" s="21">
        <f>EXP(-LN(2)/2)*FS56+(1-EXP(-LN(2)/2))/(LN(2)/2)*FM57*FP57*VLOOKUP('Données projet'!$B$16,Paramètres!$A$1:$I$89,3,0)*0.475*44/12</f>
        <v>1.1037099671693191E-3</v>
      </c>
      <c r="FT57" s="22">
        <f t="shared" si="24"/>
        <v>3.6239408840249578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9.6</v>
      </c>
      <c r="FZ57" s="12">
        <f>IF('Données projet'!$A$244&gt;35,FZ56+FY57-GH56,IF(A57&lt;'Données projet'!$A$244,$FW$205^A57,IF(A57='Données projet'!$A$244,'Données projet'!$B$244,FZ56+FY57-GH56)))</f>
        <v>266.39999999999992</v>
      </c>
      <c r="GA57" s="17">
        <f>FZ57*VLOOKUP('Données projet'!$B$17,Paramètres!$A$1:$I$89,3,0)*VLOOKUP('Données projet'!$B$17,Paramètres!$A$1:$I$89,5,0)</f>
        <v>159.30719999999997</v>
      </c>
      <c r="GB57" s="13">
        <f t="shared" si="49"/>
        <v>40.686212990054052</v>
      </c>
      <c r="GC57" s="20">
        <f t="shared" si="25"/>
        <v>348.32186095767742</v>
      </c>
      <c r="GD57" s="59">
        <f t="shared" si="26"/>
        <v>641.65519429101073</v>
      </c>
      <c r="GE57" s="59">
        <f ca="1">AVERAGE(OFFSET($GD$3,0,0,'Données projet'!$E$17+1,1))-AVERAGE(OFFSET($H$3,0,0,'Données projet'!$E$17+1,1))</f>
        <v>165.39579887388538</v>
      </c>
      <c r="GF57" s="59">
        <f t="shared" si="50"/>
        <v>155.89639262545802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>
        <f>EXP(-LN(2)/35)*GL56+(1-EXP(-LN(2)/35))/(LN(2)/35)*GH57*GI57*VLOOKUP('Données projet'!$B$17,Paramètres!$A$1:$I$89,3,0)*0.475*44/12</f>
        <v>0</v>
      </c>
      <c r="GM57" s="21">
        <f>EXP(-LN(2)/25)*GM56+(1-EXP(-LN(2)/25))/(LN(2)/25)*Calculateur!GH57*Calculateur!GJ57*VLOOKUP('Données projet'!$B$17,Paramètres!$A$1:$I$89,3,0)*0.475*44/12</f>
        <v>3.7470868671301441</v>
      </c>
      <c r="GN57" s="21">
        <f>EXP(-LN(2)/2)*GN56+(1-EXP(-LN(2)/2))/(LN(2)/2)*GH57*GK57*VLOOKUP('Données projet'!$B$17,Paramètres!$A$1:$I$89,3,0)*0.475*44/12</f>
        <v>3.3886805994572636E-3</v>
      </c>
      <c r="GO57" s="21">
        <f t="shared" si="27"/>
        <v>3.7504755477296015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13.2</v>
      </c>
      <c r="N58" s="13">
        <f>IF('Données projet'!$A$36&gt;35,N57+M58-V57,IF(A58&lt;'Données projet'!$A$36,$K$205^A58,IF(A58='Données projet'!$A$36,'Données projet'!$B$36,N57+M58-V57)))</f>
        <v>382.00000000000006</v>
      </c>
      <c r="O58" s="13">
        <f>N58*VLOOKUP('Données projet'!$B$9,Paramètres!$A$1:$I$89,3,0)*VLOOKUP('Données projet'!$B$9,Paramètres!$A$1:$I$89,5,0)</f>
        <v>213.53800000000004</v>
      </c>
      <c r="P58" s="13">
        <f t="shared" si="33"/>
        <v>52.707974334003438</v>
      </c>
      <c r="Q58" s="20">
        <f t="shared" si="53"/>
        <v>463.71173863172265</v>
      </c>
      <c r="R58" s="59">
        <f t="shared" si="0"/>
        <v>757.04507196505597</v>
      </c>
      <c r="S58" s="59">
        <f ca="1">AVERAGE(OFFSET($R$3,0,0,'Données projet'!$E$9+1,1))-AVERAGE(OFFSET($H$3,0,0,'Données projet'!$E$9+1,1))</f>
        <v>235.10258076192054</v>
      </c>
      <c r="T58" s="59">
        <f t="shared" si="34"/>
        <v>233.47316052603765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2.088145297066256</v>
      </c>
      <c r="AA58" s="21">
        <f>EXP(-LN(2)/25)*AA57+(1-EXP(-LN(2)/25))/(LN(2)/25)*Calculateur!V58*Calculateur!X58*VLOOKUP('Données projet'!$B$9,Paramètres!$A$1:$I$89,3,0)*0.475*44/12</f>
        <v>9.217442324401329</v>
      </c>
      <c r="AB58" s="21">
        <f>EXP(-LN(2)/2)*AB57+(1-EXP(-LN(2)/2))/(LN(2)/2)*V58*Y58*VLOOKUP('Données projet'!$B$9,Paramètres!$A$1:$I$89,3,0)*0.475*44/12</f>
        <v>4.1642791900474959E-3</v>
      </c>
      <c r="AC58" s="22">
        <f t="shared" si="3"/>
        <v>11.309751900657632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5.6</v>
      </c>
      <c r="AI58" s="13">
        <f>IF('Données projet'!$A$62&gt;35,AI57+AH58-AQ57,IF(A58&lt;'Données projet'!$A$62,$AF$205^A58,IF(A58='Données projet'!$A$62,'Données projet'!$B$62,AI57+AH58-AQ57)))</f>
        <v>191.99999999999972</v>
      </c>
      <c r="AJ58" s="13">
        <f>AI58*VLOOKUP('Données projet'!$B$10,Paramètres!$A$1:$I$89,3,0)*VLOOKUP('Données projet'!$B$10,Paramètres!$A$1:$I$89,5,0)</f>
        <v>167.73119999999977</v>
      </c>
      <c r="AK58" s="13">
        <f t="shared" si="35"/>
        <v>42.581491199832612</v>
      </c>
      <c r="AL58" s="20">
        <f t="shared" si="4"/>
        <v>366.29460383970803</v>
      </c>
      <c r="AM58" s="59">
        <f t="shared" si="5"/>
        <v>659.62793717304135</v>
      </c>
      <c r="AN58" s="59">
        <f ca="1">AVERAGE(OFFSET($AM$3,0,0,'Données projet'!$E$10+1,1))-AVERAGE(OFFSET($H$3,0,0,'Données projet'!$E$10+1,1))</f>
        <v>191.94797389630673</v>
      </c>
      <c r="AO58" s="59">
        <f t="shared" si="36"/>
        <v>273.52540822767878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1.5692728293103992</v>
      </c>
      <c r="AV58" s="21">
        <f>EXP(-LN(2)/25)*AV57+(1-EXP(-LN(2)/25))/(LN(2)/25)*Calculateur!AQ58*Calculateur!AS58*VLOOKUP('Données projet'!$B$10,Paramètres!$A$1:$I$89,3,0)*0.475*44/12</f>
        <v>7.0240755241862427</v>
      </c>
      <c r="AW58" s="21">
        <f>EXP(-LN(2)/2)*AW57+(1-EXP(-LN(2)/2))/(LN(2)/2)*AQ58*AT58*VLOOKUP('Données projet'!$B$10,Paramètres!$A$1:$I$89,3,0)*0.475*44/12</f>
        <v>4.0056257653311392E-3</v>
      </c>
      <c r="AX58" s="21">
        <f t="shared" si="6"/>
        <v>8.5973539792619729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5.5</v>
      </c>
      <c r="BD58" s="12">
        <f>IF('Données projet'!$A$88&gt;35,BD57+BC58-BL57,IF(A58&lt;'Données projet'!$A$88,$BA$205^A58,IF(A58='Données projet'!$A$88,'Données projet'!$B$88,BD57+BC58-BL57)))</f>
        <v>134.49999999999997</v>
      </c>
      <c r="BE58" s="13">
        <f>BD58*VLOOKUP('Données projet'!$B$11,Paramètres!$A$1:$I$89,3,0)*VLOOKUP('Données projet'!$B$11,Paramètres!$A$1:$I$89,5,0)</f>
        <v>121.69559999999997</v>
      </c>
      <c r="BF58" s="13">
        <f t="shared" si="37"/>
        <v>32.070146624846785</v>
      </c>
      <c r="BG58" s="20">
        <f t="shared" si="7"/>
        <v>267.8086753716081</v>
      </c>
      <c r="BH58" s="59">
        <f t="shared" si="8"/>
        <v>561.14200870494142</v>
      </c>
      <c r="BI58" s="59">
        <f ca="1">AVERAGE(OFFSET($BH$3,0,0,'Données projet'!$E$11+1,1))-AVERAGE(OFFSET($H$3,0,0,'Données projet'!$E$11+1,1))</f>
        <v>138.8931001150624</v>
      </c>
      <c r="BJ58" s="59">
        <f t="shared" si="38"/>
        <v>48.964659354096625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5.5</v>
      </c>
      <c r="BY58" s="12">
        <f>IF('Données projet'!$A$114&gt;35,BY57+BX58-CG57,IF(A58&lt;'Données projet'!$A$114,$BV$205^A58,IF(A58='Données projet'!$A$114,'Données projet'!$B$114,BY57+BX58-CG57)))</f>
        <v>134.49999999999997</v>
      </c>
      <c r="BZ58" s="13">
        <f>BY58*VLOOKUP('Données projet'!$B$12,Paramètres!$A$1:$I$89,3,0)*VLOOKUP('Données projet'!$B$12,Paramètres!$A$1:$I$89,5,0)</f>
        <v>136.38299999999998</v>
      </c>
      <c r="CA58" s="13">
        <f t="shared" si="39"/>
        <v>35.467143520670568</v>
      </c>
      <c r="CB58" s="20">
        <f t="shared" si="10"/>
        <v>299.30566663183453</v>
      </c>
      <c r="CC58" s="59">
        <f t="shared" si="11"/>
        <v>592.63899996516784</v>
      </c>
      <c r="CD58" s="59">
        <f ca="1">AVERAGE(OFFSET($CC$3,0,0,'Données projet'!$E$12+1,1))-AVERAGE(OFFSET($H$3,0,0,'Données projet'!$E$12+1,1))</f>
        <v>169.2757878405003</v>
      </c>
      <c r="CE58" s="59">
        <f t="shared" si="40"/>
        <v>61.876502626609977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4.4000000000000004</v>
      </c>
      <c r="CT58" s="12">
        <f>IF('Données projet'!$A$140&gt;35,CT57+CS58-DB57,IF(A58&lt;'Données projet'!$A$140,$CQ$205^A58,IF(A58='Données projet'!$A$140,'Données projet'!$B$140,CT57+CS58-DB57)))</f>
        <v>183</v>
      </c>
      <c r="CU58" s="17">
        <f>CT58*VLOOKUP('Données projet'!$B$13,Paramètres!$A$1:$I$89,3,0)*VLOOKUP('Données projet'!$B$13,Paramètres!$A$1:$I$89,5,0)</f>
        <v>145.59479999999999</v>
      </c>
      <c r="CV58" s="13">
        <f t="shared" si="41"/>
        <v>37.575758023691719</v>
      </c>
      <c r="CW58" s="20">
        <f t="shared" si="13"/>
        <v>319.02205522459639</v>
      </c>
      <c r="CX58" s="59">
        <f t="shared" si="14"/>
        <v>612.3553885579297</v>
      </c>
      <c r="CY58" s="59">
        <f ca="1">AVERAGE(OFFSET($CX$3,0,0,'Données projet'!$E$13+1,1))-AVERAGE(OFFSET($H$3,0,0,'Données projet'!$E$13+1,1))</f>
        <v>141.12810728817544</v>
      </c>
      <c r="CZ58" s="59">
        <f t="shared" si="42"/>
        <v>176.01405805137551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>
        <f>EXP(-LN(2)/35)*DF57+(1-EXP(-LN(2)/35))/(LN(2)/35)*DB58*DC58*VLOOKUP('Données projet'!$B$13,Paramètres!$A$1:$I$89,3,0)*0.475*44/12</f>
        <v>0</v>
      </c>
      <c r="DG58" s="21">
        <f>EXP(-LN(2)/25)*DG57+(1-EXP(-LN(2)/25))/(LN(2)/25)*Calculateur!DB58*Calculateur!DD58*VLOOKUP('Données projet'!$B$13,Paramètres!$A$1:$I$89,3,0)*0.475*44/12</f>
        <v>3.3612874158946369</v>
      </c>
      <c r="DH58" s="21">
        <f>EXP(-LN(2)/2)*DH57+(1-EXP(-LN(2)/2))/(LN(2)/2)*DB58*DE58*VLOOKUP('Données projet'!$B$13,Paramètres!$A$1:$I$89,3,0)*0.475*44/12</f>
        <v>1.3819642344380751E-3</v>
      </c>
      <c r="DI58" s="22">
        <f t="shared" si="15"/>
        <v>3.3626693801290748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9.6</v>
      </c>
      <c r="DO58" s="12">
        <f>IF('Données projet'!$A$166&gt;35,DO57+DN58-DW57,IF(A58&lt;'Données projet'!$A$166,$DL$205^A58,IF(A58='Données projet'!$A$166,'Données projet'!$B$166,DO57+DN58-DW57)))</f>
        <v>275.99999999999994</v>
      </c>
      <c r="DP58" s="17">
        <f>DO58*VLOOKUP('Données projet'!$B$14,Paramètres!$A$1:$I$89,3,0)*VLOOKUP('Données projet'!$B$14,Paramètres!$A$1:$I$89,5,0)</f>
        <v>165.04799999999997</v>
      </c>
      <c r="DQ58" s="13">
        <f t="shared" si="43"/>
        <v>41.979039350635581</v>
      </c>
      <c r="DR58" s="20">
        <f t="shared" si="16"/>
        <v>360.57209353569027</v>
      </c>
      <c r="DS58" s="59">
        <f t="shared" si="17"/>
        <v>653.90542686902359</v>
      </c>
      <c r="DT58" s="59">
        <f ca="1">AVERAGE(OFFSET($DS$3,0,0,'Données projet'!$E$14+1,1))-AVERAGE(OFFSET($H$3,0,0,'Données projet'!$E$14+1,1))</f>
        <v>165.39579887388538</v>
      </c>
      <c r="DU58" s="59">
        <f t="shared" si="44"/>
        <v>155.89639262545802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>
        <f>EXP(-LN(2)/35)*EA57+(1-EXP(-LN(2)/35))/(LN(2)/35)*DW58*DX58*VLOOKUP('Données projet'!$B$14,Paramètres!$A$1:$I$89,3,0)*0.475*44/12</f>
        <v>0</v>
      </c>
      <c r="EB58" s="21">
        <f>EXP(-LN(2)/25)*EB57+(1-EXP(-LN(2)/25))/(LN(2)/25)*Calculateur!DW58*Calculateur!DY58*VLOOKUP('Données projet'!$B$14,Paramètres!$A$1:$I$89,3,0)*0.475*44/12</f>
        <v>3.6446225796977361</v>
      </c>
      <c r="EC58" s="21">
        <f>EXP(-LN(2)/2)*EC57+(1-EXP(-LN(2)/2))/(LN(2)/2)*DW58*DZ58*VLOOKUP('Données projet'!$B$14,Paramètres!$A$1:$I$89,3,0)*0.475*44/12</f>
        <v>2.3961590311515259E-3</v>
      </c>
      <c r="ED58" s="22">
        <f t="shared" si="18"/>
        <v>3.6470187387288875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5.5</v>
      </c>
      <c r="EJ58" s="12">
        <f>IF('Données projet'!$A$192&gt;35,EJ57+EI58-ER57,IF(A58&lt;'Données projet'!$A$192,$EG$205^A58,IF(A58='Données projet'!$A$192,'Données projet'!$B$192,EJ57+EI58-ER57)))</f>
        <v>134.49999999999997</v>
      </c>
      <c r="EK58" s="17">
        <f>EJ58*VLOOKUP('Données projet'!$B$15,Paramètres!$A$1:$I$89,3,0)*VLOOKUP('Données projet'!$B$15,Paramètres!$A$1:$I$89,5,0)</f>
        <v>104.90999999999998</v>
      </c>
      <c r="EL58" s="13">
        <f t="shared" si="45"/>
        <v>28.128454206017956</v>
      </c>
      <c r="EM58" s="20">
        <f t="shared" si="19"/>
        <v>231.70864107548121</v>
      </c>
      <c r="EN58" s="59">
        <f t="shared" si="20"/>
        <v>525.04197440881455</v>
      </c>
      <c r="EO58" s="59">
        <f ca="1">AVERAGE(OFFSET($EN$3,0,0,'Données projet'!$E$15+1,1))-AVERAGE(OFFSET($H$3,0,0,'Données projet'!$E$15+1,1))</f>
        <v>104.07220236158577</v>
      </c>
      <c r="EP58" s="59">
        <f t="shared" si="46"/>
        <v>34.162068257911756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>
        <f>EXP(-LN(2)/35)*EV57+(1-EXP(-LN(2)/35))/(LN(2)/35)*ER58*ES58*VLOOKUP('Données projet'!$B$15,Paramètres!$A$1:$I$89,3,0)*0.475*44/12</f>
        <v>0</v>
      </c>
      <c r="EW58" s="21">
        <f>EXP(-LN(2)/25)*EW57+(1-EXP(-LN(2)/25))/(LN(2)/25)*Calculateur!ER58*Calculateur!ET58*VLOOKUP('Données projet'!$B$15,Paramètres!$A$1:$I$89,3,0)*0.475*44/12</f>
        <v>0</v>
      </c>
      <c r="EX58" s="21">
        <f>EXP(-LN(2)/2)*EX57+(1-EXP(-LN(2)/2))/(LN(2)/2)*ER58*EU58*VLOOKUP('Données projet'!$B$15,Paramètres!$A$1:$I$89,3,0)*0.475*44/12</f>
        <v>0</v>
      </c>
      <c r="EY58" s="22">
        <f t="shared" si="21"/>
        <v>0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5.6843418860808015E-14</v>
      </c>
      <c r="FF58" s="17">
        <f>FE58*VLOOKUP('Données projet'!$B$16,Paramètres!$A$1:$I$89,3,0)*VLOOKUP('Données projet'!$B$16,Paramètres!$A$1:$I$89,5,0)</f>
        <v>5.1431925385259088E-14</v>
      </c>
      <c r="FG58" s="13">
        <f t="shared" si="47"/>
        <v>8.3482866290946129E-13</v>
      </c>
      <c r="FH58" s="20">
        <f t="shared" si="22"/>
        <v>1.5435705246133045E-12</v>
      </c>
      <c r="FI58" s="59">
        <f t="shared" si="23"/>
        <v>293.33333333333485</v>
      </c>
      <c r="FJ58" s="59">
        <f ca="1">AVERAGE(OFFSET($FI$3,0,0,'Données projet'!$E$16+1,1))-AVERAGE(OFFSET($H$3,0,0,'Données projet'!$E$16+1,1))</f>
        <v>179.50097986986123</v>
      </c>
      <c r="FK58" s="59">
        <f t="shared" si="48"/>
        <v>287.11838730637578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>
        <f>EXP(-LN(2)/35)*FQ57+(1-EXP(-LN(2)/35))/(LN(2)/35)*FM58*FN58*VLOOKUP('Données projet'!$B$16,Paramètres!$A$1:$I$89,3,0)*0.475*44/12</f>
        <v>0.37995151509954733</v>
      </c>
      <c r="FR58" s="21">
        <f>EXP(-LN(2)/25)*FR57+(1-EXP(-LN(2)/25))/(LN(2)/25)*Calculateur!FM58*Calculateur!FO58*VLOOKUP('Données projet'!$B$16,Paramètres!$A$1:$I$89,3,0)*0.475*44/12</f>
        <v>3.1468169508788475</v>
      </c>
      <c r="FS58" s="21">
        <f>EXP(-LN(2)/2)*FS57+(1-EXP(-LN(2)/2))/(LN(2)/2)*FM58*FP58*VLOOKUP('Données projet'!$B$16,Paramètres!$A$1:$I$89,3,0)*0.475*44/12</f>
        <v>7.8044080224860726E-4</v>
      </c>
      <c r="FT58" s="22">
        <f t="shared" si="24"/>
        <v>3.5275489067806434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9.6</v>
      </c>
      <c r="FZ58" s="12">
        <f>IF('Données projet'!$A$244&gt;35,FZ57+FY58-GH57,IF(A58&lt;'Données projet'!$A$244,$FW$205^A58,IF(A58='Données projet'!$A$244,'Données projet'!$B$244,FZ57+FY58-GH57)))</f>
        <v>275.99999999999994</v>
      </c>
      <c r="GA58" s="17">
        <f>FZ58*VLOOKUP('Données projet'!$B$17,Paramètres!$A$1:$I$89,3,0)*VLOOKUP('Données projet'!$B$17,Paramètres!$A$1:$I$89,5,0)</f>
        <v>165.04799999999997</v>
      </c>
      <c r="GB58" s="13">
        <f t="shared" si="49"/>
        <v>41.979039350635581</v>
      </c>
      <c r="GC58" s="20">
        <f t="shared" si="25"/>
        <v>360.57209353569027</v>
      </c>
      <c r="GD58" s="59">
        <f t="shared" si="26"/>
        <v>653.90542686902359</v>
      </c>
      <c r="GE58" s="59">
        <f ca="1">AVERAGE(OFFSET($GD$3,0,0,'Données projet'!$E$17+1,1))-AVERAGE(OFFSET($H$3,0,0,'Données projet'!$E$17+1,1))</f>
        <v>165.39579887388538</v>
      </c>
      <c r="GF58" s="59">
        <f t="shared" si="50"/>
        <v>155.89639262545802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>
        <f>EXP(-LN(2)/35)*GL57+(1-EXP(-LN(2)/35))/(LN(2)/35)*GH58*GI58*VLOOKUP('Données projet'!$B$17,Paramètres!$A$1:$I$89,3,0)*0.475*44/12</f>
        <v>0</v>
      </c>
      <c r="GM58" s="21">
        <f>EXP(-LN(2)/25)*GM57+(1-EXP(-LN(2)/25))/(LN(2)/25)*Calculateur!GH58*Calculateur!GJ58*VLOOKUP('Données projet'!$B$17,Paramètres!$A$1:$I$89,3,0)*0.475*44/12</f>
        <v>3.6446225796977361</v>
      </c>
      <c r="GN58" s="21">
        <f>EXP(-LN(2)/2)*GN57+(1-EXP(-LN(2)/2))/(LN(2)/2)*GH58*GK58*VLOOKUP('Données projet'!$B$17,Paramètres!$A$1:$I$89,3,0)*0.475*44/12</f>
        <v>2.3961590311515259E-3</v>
      </c>
      <c r="GO58" s="21">
        <f t="shared" si="27"/>
        <v>3.6470187387288875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13.2</v>
      </c>
      <c r="N59" s="13">
        <f>IF('Données projet'!$A$36&gt;35,N58+M59-V58,IF(A59&lt;'Données projet'!$A$36,$K$205^A59,IF(A59='Données projet'!$A$36,'Données projet'!$B$36,N58+M59-V58)))</f>
        <v>395.20000000000005</v>
      </c>
      <c r="O59" s="13">
        <f>N59*VLOOKUP('Données projet'!$B$9,Paramètres!$A$1:$I$89,3,0)*VLOOKUP('Données projet'!$B$9,Paramètres!$A$1:$I$89,5,0)</f>
        <v>220.91680000000002</v>
      </c>
      <c r="P59" s="13">
        <f t="shared" si="33"/>
        <v>54.314099417595145</v>
      </c>
      <c r="Q59" s="20">
        <f t="shared" si="53"/>
        <v>479.36048315231164</v>
      </c>
      <c r="R59" s="59">
        <f t="shared" si="0"/>
        <v>772.6938164856449</v>
      </c>
      <c r="S59" s="59">
        <f ca="1">AVERAGE(OFFSET($R$3,0,0,'Données projet'!$E$9+1,1))-AVERAGE(OFFSET($H$3,0,0,'Données projet'!$E$9+1,1))</f>
        <v>235.10258076192054</v>
      </c>
      <c r="T59" s="59">
        <f t="shared" si="34"/>
        <v>233.47316052603765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2.0471980414336559</v>
      </c>
      <c r="AA59" s="21">
        <f>EXP(-LN(2)/25)*AA58+(1-EXP(-LN(2)/25))/(LN(2)/25)*Calculateur!V59*Calculateur!X59*VLOOKUP('Données projet'!$B$9,Paramètres!$A$1:$I$89,3,0)*0.475*44/12</f>
        <v>8.9653908793163488</v>
      </c>
      <c r="AB59" s="21">
        <f>EXP(-LN(2)/2)*AB58+(1-EXP(-LN(2)/2))/(LN(2)/2)*V59*Y59*VLOOKUP('Données projet'!$B$9,Paramètres!$A$1:$I$89,3,0)*0.475*44/12</f>
        <v>2.9445900540366081E-3</v>
      </c>
      <c r="AC59" s="22">
        <f t="shared" si="3"/>
        <v>11.015533510804042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5.6</v>
      </c>
      <c r="AI59" s="13">
        <f>IF('Données projet'!$A$62&gt;35,AI58+AH59-AQ58,IF(A59&lt;'Données projet'!$A$62,$AF$205^A59,IF(A59='Données projet'!$A$62,'Données projet'!$B$62,AI58+AH59-AQ58)))</f>
        <v>197.59999999999971</v>
      </c>
      <c r="AJ59" s="13">
        <f>AI59*VLOOKUP('Données projet'!$B$10,Paramètres!$A$1:$I$89,3,0)*VLOOKUP('Données projet'!$B$10,Paramètres!$A$1:$I$89,5,0)</f>
        <v>172.62335999999976</v>
      </c>
      <c r="AK59" s="13">
        <f t="shared" si="35"/>
        <v>43.677044279986035</v>
      </c>
      <c r="AL59" s="20">
        <f t="shared" si="4"/>
        <v>376.72320412097525</v>
      </c>
      <c r="AM59" s="59">
        <f t="shared" si="5"/>
        <v>670.05653745430857</v>
      </c>
      <c r="AN59" s="59">
        <f ca="1">AVERAGE(OFFSET($AM$3,0,0,'Données projet'!$E$10+1,1))-AVERAGE(OFFSET($H$3,0,0,'Données projet'!$E$10+1,1))</f>
        <v>191.94797389630673</v>
      </c>
      <c r="AO59" s="59">
        <f t="shared" si="36"/>
        <v>273.52540822767878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1.5385003462895364</v>
      </c>
      <c r="AV59" s="21">
        <f>EXP(-LN(2)/25)*AV58+(1-EXP(-LN(2)/25))/(LN(2)/25)*Calculateur!AQ59*Calculateur!AS59*VLOOKUP('Données projet'!$B$10,Paramètres!$A$1:$I$89,3,0)*0.475*44/12</f>
        <v>6.8320018095972914</v>
      </c>
      <c r="AW59" s="21">
        <f>EXP(-LN(2)/2)*AW58+(1-EXP(-LN(2)/2))/(LN(2)/2)*AQ59*AT59*VLOOKUP('Données projet'!$B$10,Paramètres!$A$1:$I$89,3,0)*0.475*44/12</f>
        <v>2.8324051415612029E-3</v>
      </c>
      <c r="AX59" s="21">
        <f t="shared" si="6"/>
        <v>8.373334561028388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5.5</v>
      </c>
      <c r="BD59" s="12">
        <f>IF('Données projet'!$A$88&gt;35,BD58+BC59-BL58,IF(A59&lt;'Données projet'!$A$88,$BA$205^A59,IF(A59='Données projet'!$A$88,'Données projet'!$B$88,BD58+BC59-BL58)))</f>
        <v>139.99999999999997</v>
      </c>
      <c r="BE59" s="13">
        <f>BD59*VLOOKUP('Données projet'!$B$11,Paramètres!$A$1:$I$89,3,0)*VLOOKUP('Données projet'!$B$11,Paramètres!$A$1:$I$89,5,0)</f>
        <v>126.67199999999997</v>
      </c>
      <c r="BF59" s="13">
        <f t="shared" si="37"/>
        <v>33.226199426361319</v>
      </c>
      <c r="BG59" s="20">
        <f t="shared" si="7"/>
        <v>278.48936400091259</v>
      </c>
      <c r="BH59" s="59">
        <f t="shared" si="8"/>
        <v>571.82269733424596</v>
      </c>
      <c r="BI59" s="59">
        <f ca="1">AVERAGE(OFFSET($BH$3,0,0,'Données projet'!$E$11+1,1))-AVERAGE(OFFSET($H$3,0,0,'Données projet'!$E$11+1,1))</f>
        <v>138.8931001150624</v>
      </c>
      <c r="BJ59" s="59">
        <f t="shared" si="38"/>
        <v>48.964659354096625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5.5</v>
      </c>
      <c r="BY59" s="12">
        <f>IF('Données projet'!$A$114&gt;35,BY58+BX59-CG58,IF(A59&lt;'Données projet'!$A$114,$BV$205^A59,IF(A59='Données projet'!$A$114,'Données projet'!$B$114,BY58+BX59-CG58)))</f>
        <v>139.99999999999997</v>
      </c>
      <c r="BZ59" s="13">
        <f>BY59*VLOOKUP('Données projet'!$B$12,Paramètres!$A$1:$I$89,3,0)*VLOOKUP('Données projet'!$B$12,Paramètres!$A$1:$I$89,5,0)</f>
        <v>141.95999999999998</v>
      </c>
      <c r="CA59" s="13">
        <f t="shared" si="39"/>
        <v>36.745650011720485</v>
      </c>
      <c r="CB59" s="20">
        <f t="shared" si="10"/>
        <v>311.24567377041313</v>
      </c>
      <c r="CC59" s="59">
        <f t="shared" si="11"/>
        <v>604.57900710374645</v>
      </c>
      <c r="CD59" s="59">
        <f ca="1">AVERAGE(OFFSET($CC$3,0,0,'Données projet'!$E$12+1,1))-AVERAGE(OFFSET($H$3,0,0,'Données projet'!$E$12+1,1))</f>
        <v>169.2757878405003</v>
      </c>
      <c r="CE59" s="59">
        <f t="shared" si="40"/>
        <v>61.876502626609977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4.4000000000000004</v>
      </c>
      <c r="CT59" s="12">
        <f>IF('Données projet'!$A$140&gt;35,CT58+CS59-DB58,IF(A59&lt;'Données projet'!$A$140,$CQ$205^A59,IF(A59='Données projet'!$A$140,'Données projet'!$B$140,CT58+CS59-DB58)))</f>
        <v>187.4</v>
      </c>
      <c r="CU59" s="17">
        <f>CT59*VLOOKUP('Données projet'!$B$13,Paramètres!$A$1:$I$89,3,0)*VLOOKUP('Données projet'!$B$13,Paramètres!$A$1:$I$89,5,0)</f>
        <v>149.09544</v>
      </c>
      <c r="CV59" s="13">
        <f t="shared" si="41"/>
        <v>38.37294880571244</v>
      </c>
      <c r="CW59" s="20">
        <f t="shared" si="13"/>
        <v>326.50744383661578</v>
      </c>
      <c r="CX59" s="59">
        <f t="shared" si="14"/>
        <v>619.84077716994909</v>
      </c>
      <c r="CY59" s="59">
        <f ca="1">AVERAGE(OFFSET($CX$3,0,0,'Données projet'!$E$13+1,1))-AVERAGE(OFFSET($H$3,0,0,'Données projet'!$E$13+1,1))</f>
        <v>141.12810728817544</v>
      </c>
      <c r="CZ59" s="59">
        <f t="shared" si="42"/>
        <v>176.01405805137551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>
        <f>EXP(-LN(2)/35)*DF58+(1-EXP(-LN(2)/35))/(LN(2)/35)*DB59*DC59*VLOOKUP('Données projet'!$B$13,Paramètres!$A$1:$I$89,3,0)*0.475*44/12</f>
        <v>0</v>
      </c>
      <c r="DG59" s="21">
        <f>EXP(-LN(2)/25)*DG58+(1-EXP(-LN(2)/25))/(LN(2)/25)*Calculateur!DB59*Calculateur!DD59*VLOOKUP('Données projet'!$B$13,Paramètres!$A$1:$I$89,3,0)*0.475*44/12</f>
        <v>3.269372834744575</v>
      </c>
      <c r="DH59" s="21">
        <f>EXP(-LN(2)/2)*DH58+(1-EXP(-LN(2)/2))/(LN(2)/2)*DB59*DE59*VLOOKUP('Données projet'!$B$13,Paramètres!$A$1:$I$89,3,0)*0.475*44/12</f>
        <v>9.7719628152843864E-4</v>
      </c>
      <c r="DI59" s="22">
        <f t="shared" si="15"/>
        <v>3.2703500310261036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9.6</v>
      </c>
      <c r="DO59" s="12">
        <f>IF('Données projet'!$A$166&gt;35,DO58+DN59-DW58,IF(A59&lt;'Données projet'!$A$166,$DL$205^A59,IF(A59='Données projet'!$A$166,'Données projet'!$B$166,DO58+DN59-DW58)))</f>
        <v>285.59999999999997</v>
      </c>
      <c r="DP59" s="17">
        <f>DO59*VLOOKUP('Données projet'!$B$14,Paramètres!$A$1:$I$89,3,0)*VLOOKUP('Données projet'!$B$14,Paramètres!$A$1:$I$89,5,0)</f>
        <v>170.78879999999998</v>
      </c>
      <c r="DQ59" s="13">
        <f t="shared" si="43"/>
        <v>43.26664091952621</v>
      </c>
      <c r="DR59" s="20">
        <f t="shared" si="16"/>
        <v>372.81322626817473</v>
      </c>
      <c r="DS59" s="59">
        <f t="shared" si="17"/>
        <v>666.14655960150799</v>
      </c>
      <c r="DT59" s="59">
        <f ca="1">AVERAGE(OFFSET($DS$3,0,0,'Données projet'!$E$14+1,1))-AVERAGE(OFFSET($H$3,0,0,'Données projet'!$E$14+1,1))</f>
        <v>165.39579887388538</v>
      </c>
      <c r="DU59" s="59">
        <f t="shared" si="44"/>
        <v>155.89639262545802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>
        <f>EXP(-LN(2)/35)*EA58+(1-EXP(-LN(2)/35))/(LN(2)/35)*DW59*DX59*VLOOKUP('Données projet'!$B$14,Paramètres!$A$1:$I$89,3,0)*0.475*44/12</f>
        <v>0</v>
      </c>
      <c r="EB59" s="21">
        <f>EXP(-LN(2)/25)*EB58+(1-EXP(-LN(2)/25))/(LN(2)/25)*Calculateur!DW59*Calculateur!DY59*VLOOKUP('Données projet'!$B$14,Paramètres!$A$1:$I$89,3,0)*0.475*44/12</f>
        <v>3.5449601835935298</v>
      </c>
      <c r="EC59" s="21">
        <f>EXP(-LN(2)/2)*EC58+(1-EXP(-LN(2)/2))/(LN(2)/2)*DW59*DZ59*VLOOKUP('Données projet'!$B$14,Paramètres!$A$1:$I$89,3,0)*0.475*44/12</f>
        <v>1.6943402997286318E-3</v>
      </c>
      <c r="ED59" s="22">
        <f t="shared" si="18"/>
        <v>3.5466545238932583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5.5</v>
      </c>
      <c r="EJ59" s="12">
        <f>IF('Données projet'!$A$192&gt;35,EJ58+EI59-ER58,IF(A59&lt;'Données projet'!$A$192,$EG$205^A59,IF(A59='Données projet'!$A$192,'Données projet'!$B$192,EJ58+EI59-ER58)))</f>
        <v>139.99999999999997</v>
      </c>
      <c r="EK59" s="17">
        <f>EJ59*VLOOKUP('Données projet'!$B$15,Paramètres!$A$1:$I$89,3,0)*VLOOKUP('Données projet'!$B$15,Paramètres!$A$1:$I$89,5,0)</f>
        <v>109.19999999999999</v>
      </c>
      <c r="EL59" s="13">
        <f t="shared" si="45"/>
        <v>29.142418334948612</v>
      </c>
      <c r="EM59" s="20">
        <f t="shared" si="19"/>
        <v>240.94637860003544</v>
      </c>
      <c r="EN59" s="59">
        <f t="shared" si="20"/>
        <v>534.27971193336873</v>
      </c>
      <c r="EO59" s="59">
        <f ca="1">AVERAGE(OFFSET($EN$3,0,0,'Données projet'!$E$15+1,1))-AVERAGE(OFFSET($H$3,0,0,'Données projet'!$E$15+1,1))</f>
        <v>104.07220236158577</v>
      </c>
      <c r="EP59" s="59">
        <f t="shared" si="46"/>
        <v>34.162068257911756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>
        <f>EXP(-LN(2)/35)*EV58+(1-EXP(-LN(2)/35))/(LN(2)/35)*ER59*ES59*VLOOKUP('Données projet'!$B$15,Paramètres!$A$1:$I$89,3,0)*0.475*44/12</f>
        <v>0</v>
      </c>
      <c r="EW59" s="21">
        <f>EXP(-LN(2)/25)*EW58+(1-EXP(-LN(2)/25))/(LN(2)/25)*Calculateur!ER59*Calculateur!ET59*VLOOKUP('Données projet'!$B$15,Paramètres!$A$1:$I$89,3,0)*0.475*44/12</f>
        <v>0</v>
      </c>
      <c r="EX59" s="21">
        <f>EXP(-LN(2)/2)*EX58+(1-EXP(-LN(2)/2))/(LN(2)/2)*ER59*EU59*VLOOKUP('Données projet'!$B$15,Paramètres!$A$1:$I$89,3,0)*0.475*44/12</f>
        <v>0</v>
      </c>
      <c r="EY59" s="22">
        <f t="shared" si="21"/>
        <v>0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5.6843418860808015E-14</v>
      </c>
      <c r="FF59" s="17">
        <f>FE59*VLOOKUP('Données projet'!$B$16,Paramètres!$A$1:$I$89,3,0)*VLOOKUP('Données projet'!$B$16,Paramètres!$A$1:$I$89,5,0)</f>
        <v>5.1431925385259088E-14</v>
      </c>
      <c r="FG59" s="13">
        <f t="shared" si="47"/>
        <v>8.3482866290946129E-13</v>
      </c>
      <c r="FH59" s="20">
        <f t="shared" si="22"/>
        <v>1.5435705246133045E-12</v>
      </c>
      <c r="FI59" s="59">
        <f t="shared" si="23"/>
        <v>293.33333333333485</v>
      </c>
      <c r="FJ59" s="59">
        <f ca="1">AVERAGE(OFFSET($FI$3,0,0,'Données projet'!$E$16+1,1))-AVERAGE(OFFSET($H$3,0,0,'Données projet'!$E$16+1,1))</f>
        <v>179.50097986986123</v>
      </c>
      <c r="FK59" s="59">
        <f t="shared" si="48"/>
        <v>287.11838730637578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>
        <f>EXP(-LN(2)/35)*FQ58+(1-EXP(-LN(2)/35))/(LN(2)/35)*FM59*FN59*VLOOKUP('Données projet'!$B$16,Paramètres!$A$1:$I$89,3,0)*0.475*44/12</f>
        <v>0.37250089763598626</v>
      </c>
      <c r="FR59" s="21">
        <f>EXP(-LN(2)/25)*FR58+(1-EXP(-LN(2)/25))/(LN(2)/25)*Calculateur!FM59*Calculateur!FO59*VLOOKUP('Données projet'!$B$16,Paramètres!$A$1:$I$89,3,0)*0.475*44/12</f>
        <v>3.0607670758731542</v>
      </c>
      <c r="FS59" s="21">
        <f>EXP(-LN(2)/2)*FS58+(1-EXP(-LN(2)/2))/(LN(2)/2)*FM59*FP59*VLOOKUP('Données projet'!$B$16,Paramètres!$A$1:$I$89,3,0)*0.475*44/12</f>
        <v>5.5185498358465953E-4</v>
      </c>
      <c r="FT59" s="22">
        <f t="shared" si="24"/>
        <v>3.4338198284927253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9.6</v>
      </c>
      <c r="FZ59" s="12">
        <f>IF('Données projet'!$A$244&gt;35,FZ58+FY59-GH58,IF(A59&lt;'Données projet'!$A$244,$FW$205^A59,IF(A59='Données projet'!$A$244,'Données projet'!$B$244,FZ58+FY59-GH58)))</f>
        <v>285.59999999999997</v>
      </c>
      <c r="GA59" s="17">
        <f>FZ59*VLOOKUP('Données projet'!$B$17,Paramètres!$A$1:$I$89,3,0)*VLOOKUP('Données projet'!$B$17,Paramètres!$A$1:$I$89,5,0)</f>
        <v>170.78879999999998</v>
      </c>
      <c r="GB59" s="13">
        <f t="shared" si="49"/>
        <v>43.26664091952621</v>
      </c>
      <c r="GC59" s="20">
        <f t="shared" si="25"/>
        <v>372.81322626817473</v>
      </c>
      <c r="GD59" s="59">
        <f t="shared" si="26"/>
        <v>666.14655960150799</v>
      </c>
      <c r="GE59" s="59">
        <f ca="1">AVERAGE(OFFSET($GD$3,0,0,'Données projet'!$E$17+1,1))-AVERAGE(OFFSET($H$3,0,0,'Données projet'!$E$17+1,1))</f>
        <v>165.39579887388538</v>
      </c>
      <c r="GF59" s="59">
        <f t="shared" si="50"/>
        <v>155.89639262545802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>
        <f>EXP(-LN(2)/35)*GL58+(1-EXP(-LN(2)/35))/(LN(2)/35)*GH59*GI59*VLOOKUP('Données projet'!$B$17,Paramètres!$A$1:$I$89,3,0)*0.475*44/12</f>
        <v>0</v>
      </c>
      <c r="GM59" s="21">
        <f>EXP(-LN(2)/25)*GM58+(1-EXP(-LN(2)/25))/(LN(2)/25)*Calculateur!GH59*Calculateur!GJ59*VLOOKUP('Données projet'!$B$17,Paramètres!$A$1:$I$89,3,0)*0.475*44/12</f>
        <v>3.5449601835935298</v>
      </c>
      <c r="GN59" s="21">
        <f>EXP(-LN(2)/2)*GN58+(1-EXP(-LN(2)/2))/(LN(2)/2)*GH59*GK59*VLOOKUP('Données projet'!$B$17,Paramètres!$A$1:$I$89,3,0)*0.475*44/12</f>
        <v>1.6943402997286318E-3</v>
      </c>
      <c r="GO59" s="21">
        <f t="shared" si="27"/>
        <v>3.5466545238932583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13.2</v>
      </c>
      <c r="N60" s="13">
        <f>IF('Données projet'!$A$36&gt;35,N59+M60-V59,IF(A60&lt;'Données projet'!$A$36,$K$205^A60,IF(A60='Données projet'!$A$36,'Données projet'!$B$36,N59+M60-V59)))</f>
        <v>408.40000000000003</v>
      </c>
      <c r="O60" s="13">
        <f>N60*VLOOKUP('Données projet'!$B$9,Paramètres!$A$1:$I$89,3,0)*VLOOKUP('Données projet'!$B$9,Paramètres!$A$1:$I$89,5,0)</f>
        <v>228.29560000000004</v>
      </c>
      <c r="P60" s="13">
        <f t="shared" si="33"/>
        <v>55.913991019426796</v>
      </c>
      <c r="Q60" s="20">
        <f t="shared" si="53"/>
        <v>494.99837102550174</v>
      </c>
      <c r="R60" s="59">
        <f t="shared" si="0"/>
        <v>788.33170435883505</v>
      </c>
      <c r="S60" s="59">
        <f ca="1">AVERAGE(OFFSET($R$3,0,0,'Données projet'!$E$9+1,1))-AVERAGE(OFFSET($H$3,0,0,'Données projet'!$E$9+1,1))</f>
        <v>235.10258076192054</v>
      </c>
      <c r="T60" s="59">
        <f t="shared" si="34"/>
        <v>233.47316052603765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2.0070537365086514</v>
      </c>
      <c r="AA60" s="21">
        <f>EXP(-LN(2)/25)*AA59+(1-EXP(-LN(2)/25))/(LN(2)/25)*Calculateur!V60*Calculateur!X60*VLOOKUP('Données projet'!$B$9,Paramètres!$A$1:$I$89,3,0)*0.475*44/12</f>
        <v>8.7202317942520278</v>
      </c>
      <c r="AB60" s="21">
        <f>EXP(-LN(2)/2)*AB59+(1-EXP(-LN(2)/2))/(LN(2)/2)*V60*Y60*VLOOKUP('Données projet'!$B$9,Paramètres!$A$1:$I$89,3,0)*0.475*44/12</f>
        <v>2.0821395950237479E-3</v>
      </c>
      <c r="AC60" s="22">
        <f t="shared" si="3"/>
        <v>10.729367670355701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5.6</v>
      </c>
      <c r="AI60" s="13">
        <f>IF('Données projet'!$A$62&gt;35,AI59+AH60-AQ59,IF(A60&lt;'Données projet'!$A$62,$AF$205^A60,IF(A60='Données projet'!$A$62,'Données projet'!$B$62,AI59+AH60-AQ59)))</f>
        <v>203.1999999999997</v>
      </c>
      <c r="AJ60" s="13">
        <f>AI60*VLOOKUP('Données projet'!$B$10,Paramètres!$A$1:$I$89,3,0)*VLOOKUP('Données projet'!$B$10,Paramètres!$A$1:$I$89,5,0)</f>
        <v>177.51551999999975</v>
      </c>
      <c r="AK60" s="13">
        <f t="shared" si="35"/>
        <v>44.768988809542861</v>
      </c>
      <c r="AL60" s="20">
        <f t="shared" si="4"/>
        <v>387.14551950995337</v>
      </c>
      <c r="AM60" s="59">
        <f t="shared" si="5"/>
        <v>680.47885284328663</v>
      </c>
      <c r="AN60" s="59">
        <f ca="1">AVERAGE(OFFSET($AM$3,0,0,'Données projet'!$E$10+1,1))-AVERAGE(OFFSET($H$3,0,0,'Données projet'!$E$10+1,1))</f>
        <v>191.94797389630673</v>
      </c>
      <c r="AO60" s="59">
        <f t="shared" si="36"/>
        <v>273.52540822767878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1.5083312928913513</v>
      </c>
      <c r="AV60" s="21">
        <f>EXP(-LN(2)/25)*AV59+(1-EXP(-LN(2)/25))/(LN(2)/25)*Calculateur!AQ60*Calculateur!AS60*VLOOKUP('Données projet'!$B$10,Paramètres!$A$1:$I$89,3,0)*0.475*44/12</f>
        <v>6.6451803608344928</v>
      </c>
      <c r="AW60" s="21">
        <f>EXP(-LN(2)/2)*AW59+(1-EXP(-LN(2)/2))/(LN(2)/2)*AQ60*AT60*VLOOKUP('Données projet'!$B$10,Paramètres!$A$1:$I$89,3,0)*0.475*44/12</f>
        <v>2.0028128826655696E-3</v>
      </c>
      <c r="AX60" s="21">
        <f t="shared" si="6"/>
        <v>8.1555144666085084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5.5</v>
      </c>
      <c r="BD60" s="12">
        <f>IF('Données projet'!$A$88&gt;35,BD59+BC60-BL59,IF(A60&lt;'Données projet'!$A$88,$BA$205^A60,IF(A60='Données projet'!$A$88,'Données projet'!$B$88,BD59+BC60-BL59)))</f>
        <v>145.49999999999997</v>
      </c>
      <c r="BE60" s="13">
        <f>BD60*VLOOKUP('Données projet'!$B$11,Paramètres!$A$1:$I$89,3,0)*VLOOKUP('Données projet'!$B$11,Paramètres!$A$1:$I$89,5,0)</f>
        <v>131.64839999999995</v>
      </c>
      <c r="BF60" s="13">
        <f t="shared" si="37"/>
        <v>34.376976398956401</v>
      </c>
      <c r="BG60" s="20">
        <f t="shared" si="7"/>
        <v>289.16086389484894</v>
      </c>
      <c r="BH60" s="59">
        <f t="shared" si="8"/>
        <v>582.4941972281822</v>
      </c>
      <c r="BI60" s="59">
        <f ca="1">AVERAGE(OFFSET($BH$3,0,0,'Données projet'!$E$11+1,1))-AVERAGE(OFFSET($H$3,0,0,'Données projet'!$E$11+1,1))</f>
        <v>138.8931001150624</v>
      </c>
      <c r="BJ60" s="59">
        <f t="shared" si="38"/>
        <v>48.964659354096625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5.5</v>
      </c>
      <c r="BY60" s="12">
        <f>IF('Données projet'!$A$114&gt;35,BY59+BX60-CG59,IF(A60&lt;'Données projet'!$A$114,$BV$205^A60,IF(A60='Données projet'!$A$114,'Données projet'!$B$114,BY59+BX60-CG59)))</f>
        <v>145.49999999999997</v>
      </c>
      <c r="BZ60" s="13">
        <f>BY60*VLOOKUP('Données projet'!$B$12,Paramètres!$A$1:$I$89,3,0)*VLOOKUP('Données projet'!$B$12,Paramètres!$A$1:$I$89,5,0)</f>
        <v>147.53699999999998</v>
      </c>
      <c r="CA60" s="13">
        <f t="shared" si="39"/>
        <v>38.018321837164834</v>
      </c>
      <c r="CB60" s="20">
        <f t="shared" si="10"/>
        <v>323.17551886639535</v>
      </c>
      <c r="CC60" s="59">
        <f t="shared" si="11"/>
        <v>616.50885219972861</v>
      </c>
      <c r="CD60" s="59">
        <f ca="1">AVERAGE(OFFSET($CC$3,0,0,'Données projet'!$E$12+1,1))-AVERAGE(OFFSET($H$3,0,0,'Données projet'!$E$12+1,1))</f>
        <v>169.2757878405003</v>
      </c>
      <c r="CE60" s="59">
        <f t="shared" si="40"/>
        <v>61.876502626609977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4.4000000000000004</v>
      </c>
      <c r="CT60" s="12">
        <f>IF('Données projet'!$A$140&gt;35,CT59+CS60-DB59,IF(A60&lt;'Données projet'!$A$140,$CQ$205^A60,IF(A60='Données projet'!$A$140,'Données projet'!$B$140,CT59+CS60-DB59)))</f>
        <v>191.8</v>
      </c>
      <c r="CU60" s="17">
        <f>CT60*VLOOKUP('Données projet'!$B$13,Paramètres!$A$1:$I$89,3,0)*VLOOKUP('Données projet'!$B$13,Paramètres!$A$1:$I$89,5,0)</f>
        <v>152.59608000000003</v>
      </c>
      <c r="CV60" s="13">
        <f t="shared" si="41"/>
        <v>39.167963646360036</v>
      </c>
      <c r="CW60" s="20">
        <f t="shared" si="13"/>
        <v>333.98904268407705</v>
      </c>
      <c r="CX60" s="59">
        <f t="shared" si="14"/>
        <v>627.32237601741031</v>
      </c>
      <c r="CY60" s="59">
        <f ca="1">AVERAGE(OFFSET($CX$3,0,0,'Données projet'!$E$13+1,1))-AVERAGE(OFFSET($H$3,0,0,'Données projet'!$E$13+1,1))</f>
        <v>141.12810728817544</v>
      </c>
      <c r="CZ60" s="59">
        <f t="shared" si="42"/>
        <v>176.01405805137551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>
        <f>EXP(-LN(2)/35)*DF59+(1-EXP(-LN(2)/35))/(LN(2)/35)*DB60*DC60*VLOOKUP('Données projet'!$B$13,Paramètres!$A$1:$I$89,3,0)*0.475*44/12</f>
        <v>0</v>
      </c>
      <c r="DG60" s="21">
        <f>EXP(-LN(2)/25)*DG59+(1-EXP(-LN(2)/25))/(LN(2)/25)*Calculateur!DB60*Calculateur!DD60*VLOOKUP('Données projet'!$B$13,Paramètres!$A$1:$I$89,3,0)*0.475*44/12</f>
        <v>3.1799716626496393</v>
      </c>
      <c r="DH60" s="21">
        <f>EXP(-LN(2)/2)*DH59+(1-EXP(-LN(2)/2))/(LN(2)/2)*DB60*DE60*VLOOKUP('Données projet'!$B$13,Paramètres!$A$1:$I$89,3,0)*0.475*44/12</f>
        <v>6.9098211721903757E-4</v>
      </c>
      <c r="DI60" s="22">
        <f t="shared" si="15"/>
        <v>3.1806626447668584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9.6</v>
      </c>
      <c r="DO60" s="12">
        <f>IF('Données projet'!$A$166&gt;35,DO59+DN60-DW59,IF(A60&lt;'Données projet'!$A$166,$DL$205^A60,IF(A60='Données projet'!$A$166,'Données projet'!$B$166,DO59+DN60-DW59)))</f>
        <v>295.2</v>
      </c>
      <c r="DP60" s="17">
        <f>DO60*VLOOKUP('Données projet'!$B$14,Paramètres!$A$1:$I$89,3,0)*VLOOKUP('Données projet'!$B$14,Paramètres!$A$1:$I$89,5,0)</f>
        <v>176.52960000000002</v>
      </c>
      <c r="DQ60" s="13">
        <f t="shared" si="43"/>
        <v>44.549213454343487</v>
      </c>
      <c r="DR60" s="20">
        <f t="shared" si="16"/>
        <v>385.04560009964825</v>
      </c>
      <c r="DS60" s="59">
        <f t="shared" si="17"/>
        <v>678.37893343298151</v>
      </c>
      <c r="DT60" s="59">
        <f ca="1">AVERAGE(OFFSET($DS$3,0,0,'Données projet'!$E$14+1,1))-AVERAGE(OFFSET($H$3,0,0,'Données projet'!$E$14+1,1))</f>
        <v>165.39579887388538</v>
      </c>
      <c r="DU60" s="59">
        <f t="shared" si="44"/>
        <v>155.89639262545802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>
        <f>EXP(-LN(2)/35)*EA59+(1-EXP(-LN(2)/35))/(LN(2)/35)*DW60*DX60*VLOOKUP('Données projet'!$B$14,Paramètres!$A$1:$I$89,3,0)*0.475*44/12</f>
        <v>0</v>
      </c>
      <c r="EB60" s="21">
        <f>EXP(-LN(2)/25)*EB59+(1-EXP(-LN(2)/25))/(LN(2)/25)*Calculateur!DW60*Calculateur!DY60*VLOOKUP('Données projet'!$B$14,Paramètres!$A$1:$I$89,3,0)*0.475*44/12</f>
        <v>3.4480230609518108</v>
      </c>
      <c r="EC60" s="21">
        <f>EXP(-LN(2)/2)*EC59+(1-EXP(-LN(2)/2))/(LN(2)/2)*DW60*DZ60*VLOOKUP('Données projet'!$B$14,Paramètres!$A$1:$I$89,3,0)*0.475*44/12</f>
        <v>1.198079515575763E-3</v>
      </c>
      <c r="ED60" s="22">
        <f t="shared" si="18"/>
        <v>3.4492211404673867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5.5</v>
      </c>
      <c r="EJ60" s="12">
        <f>IF('Données projet'!$A$192&gt;35,EJ59+EI60-ER59,IF(A60&lt;'Données projet'!$A$192,$EG$205^A60,IF(A60='Données projet'!$A$192,'Données projet'!$B$192,EJ59+EI60-ER59)))</f>
        <v>145.49999999999997</v>
      </c>
      <c r="EK60" s="17">
        <f>EJ60*VLOOKUP('Données projet'!$B$15,Paramètres!$A$1:$I$89,3,0)*VLOOKUP('Données projet'!$B$15,Paramètres!$A$1:$I$89,5,0)</f>
        <v>113.48999999999998</v>
      </c>
      <c r="EL60" s="13">
        <f t="shared" si="45"/>
        <v>30.151755078981495</v>
      </c>
      <c r="EM60" s="20">
        <f t="shared" si="19"/>
        <v>250.1760567625594</v>
      </c>
      <c r="EN60" s="59">
        <f t="shared" si="20"/>
        <v>543.50939009589274</v>
      </c>
      <c r="EO60" s="59">
        <f ca="1">AVERAGE(OFFSET($EN$3,0,0,'Données projet'!$E$15+1,1))-AVERAGE(OFFSET($H$3,0,0,'Données projet'!$E$15+1,1))</f>
        <v>104.07220236158577</v>
      </c>
      <c r="EP60" s="59">
        <f t="shared" si="46"/>
        <v>34.162068257911756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>
        <f>EXP(-LN(2)/35)*EV59+(1-EXP(-LN(2)/35))/(LN(2)/35)*ER60*ES60*VLOOKUP('Données projet'!$B$15,Paramètres!$A$1:$I$89,3,0)*0.475*44/12</f>
        <v>0</v>
      </c>
      <c r="EW60" s="21">
        <f>EXP(-LN(2)/25)*EW59+(1-EXP(-LN(2)/25))/(LN(2)/25)*Calculateur!ER60*Calculateur!ET60*VLOOKUP('Données projet'!$B$15,Paramètres!$A$1:$I$89,3,0)*0.475*44/12</f>
        <v>0</v>
      </c>
      <c r="EX60" s="21">
        <f>EXP(-LN(2)/2)*EX59+(1-EXP(-LN(2)/2))/(LN(2)/2)*ER60*EU60*VLOOKUP('Données projet'!$B$15,Paramètres!$A$1:$I$89,3,0)*0.475*44/12</f>
        <v>0</v>
      </c>
      <c r="EY60" s="22">
        <f t="shared" si="21"/>
        <v>0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5.6843418860808015E-14</v>
      </c>
      <c r="FF60" s="17">
        <f>FE60*VLOOKUP('Données projet'!$B$16,Paramètres!$A$1:$I$89,3,0)*VLOOKUP('Données projet'!$B$16,Paramètres!$A$1:$I$89,5,0)</f>
        <v>5.1431925385259088E-14</v>
      </c>
      <c r="FG60" s="13">
        <f t="shared" si="47"/>
        <v>8.3482866290946129E-13</v>
      </c>
      <c r="FH60" s="20">
        <f t="shared" si="22"/>
        <v>1.5435705246133045E-12</v>
      </c>
      <c r="FI60" s="59">
        <f t="shared" si="23"/>
        <v>293.33333333333485</v>
      </c>
      <c r="FJ60" s="59">
        <f ca="1">AVERAGE(OFFSET($FI$3,0,0,'Données projet'!$E$16+1,1))-AVERAGE(OFFSET($H$3,0,0,'Données projet'!$E$16+1,1))</f>
        <v>179.50097986986123</v>
      </c>
      <c r="FK60" s="59">
        <f t="shared" si="48"/>
        <v>287.11838730637578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>
        <f>EXP(-LN(2)/35)*FQ59+(1-EXP(-LN(2)/35))/(LN(2)/35)*FM60*FN60*VLOOKUP('Données projet'!$B$16,Paramètres!$A$1:$I$89,3,0)*0.475*44/12</f>
        <v>0.36519638223645767</v>
      </c>
      <c r="FR60" s="21">
        <f>EXP(-LN(2)/25)*FR59+(1-EXP(-LN(2)/25))/(LN(2)/25)*Calculateur!FM60*Calculateur!FO60*VLOOKUP('Données projet'!$B$16,Paramètres!$A$1:$I$89,3,0)*0.475*44/12</f>
        <v>2.9770702392246577</v>
      </c>
      <c r="FS60" s="21">
        <f>EXP(-LN(2)/2)*FS59+(1-EXP(-LN(2)/2))/(LN(2)/2)*FM60*FP60*VLOOKUP('Données projet'!$B$16,Paramètres!$A$1:$I$89,3,0)*0.475*44/12</f>
        <v>3.9022040112430363E-4</v>
      </c>
      <c r="FT60" s="22">
        <f t="shared" si="24"/>
        <v>3.3426568418622398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9.6</v>
      </c>
      <c r="FZ60" s="12">
        <f>IF('Données projet'!$A$244&gt;35,FZ59+FY60-GH59,IF(A60&lt;'Données projet'!$A$244,$FW$205^A60,IF(A60='Données projet'!$A$244,'Données projet'!$B$244,FZ59+FY60-GH59)))</f>
        <v>295.2</v>
      </c>
      <c r="GA60" s="17">
        <f>FZ60*VLOOKUP('Données projet'!$B$17,Paramètres!$A$1:$I$89,3,0)*VLOOKUP('Données projet'!$B$17,Paramètres!$A$1:$I$89,5,0)</f>
        <v>176.52960000000002</v>
      </c>
      <c r="GB60" s="13">
        <f t="shared" si="49"/>
        <v>44.549213454343487</v>
      </c>
      <c r="GC60" s="20">
        <f t="shared" si="25"/>
        <v>385.04560009964825</v>
      </c>
      <c r="GD60" s="59">
        <f t="shared" si="26"/>
        <v>678.37893343298151</v>
      </c>
      <c r="GE60" s="59">
        <f ca="1">AVERAGE(OFFSET($GD$3,0,0,'Données projet'!$E$17+1,1))-AVERAGE(OFFSET($H$3,0,0,'Données projet'!$E$17+1,1))</f>
        <v>165.39579887388538</v>
      </c>
      <c r="GF60" s="59">
        <f t="shared" si="50"/>
        <v>155.89639262545802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>
        <f>EXP(-LN(2)/35)*GL59+(1-EXP(-LN(2)/35))/(LN(2)/35)*GH60*GI60*VLOOKUP('Données projet'!$B$17,Paramètres!$A$1:$I$89,3,0)*0.475*44/12</f>
        <v>0</v>
      </c>
      <c r="GM60" s="21">
        <f>EXP(-LN(2)/25)*GM59+(1-EXP(-LN(2)/25))/(LN(2)/25)*Calculateur!GH60*Calculateur!GJ60*VLOOKUP('Données projet'!$B$17,Paramètres!$A$1:$I$89,3,0)*0.475*44/12</f>
        <v>3.4480230609518108</v>
      </c>
      <c r="GN60" s="21">
        <f>EXP(-LN(2)/2)*GN59+(1-EXP(-LN(2)/2))/(LN(2)/2)*GH60*GK60*VLOOKUP('Données projet'!$B$17,Paramètres!$A$1:$I$89,3,0)*0.475*44/12</f>
        <v>1.198079515575763E-3</v>
      </c>
      <c r="GO60" s="21">
        <f t="shared" si="27"/>
        <v>3.4492211404673867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13.2</v>
      </c>
      <c r="N61" s="13">
        <f>IF('Données projet'!$A$36&gt;35,N60+M61-V60,IF(A61&lt;'Données projet'!$A$36,$K$205^A61,IF(A61='Données projet'!$A$36,'Données projet'!$B$36,N60+M61-V60)))</f>
        <v>421.6</v>
      </c>
      <c r="O61" s="13">
        <f>N61*VLOOKUP('Données projet'!$B$9,Paramètres!$A$1:$I$89,3,0)*VLOOKUP('Données projet'!$B$9,Paramètres!$A$1:$I$89,5,0)</f>
        <v>235.67440000000002</v>
      </c>
      <c r="P61" s="13">
        <f t="shared" si="33"/>
        <v>57.507873721817681</v>
      </c>
      <c r="Q61" s="20">
        <f t="shared" si="53"/>
        <v>510.62579339883246</v>
      </c>
      <c r="R61" s="59">
        <f t="shared" si="0"/>
        <v>803.95912673216571</v>
      </c>
      <c r="S61" s="59">
        <f ca="1">AVERAGE(OFFSET($R$3,0,0,'Données projet'!$E$9+1,1))-AVERAGE(OFFSET($H$3,0,0,'Données projet'!$E$9+1,1))</f>
        <v>235.10258076192054</v>
      </c>
      <c r="T61" s="59">
        <f t="shared" si="34"/>
        <v>233.47316052603765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1.9676966369176181</v>
      </c>
      <c r="AA61" s="21">
        <f>EXP(-LN(2)/25)*AA60+(1-EXP(-LN(2)/25))/(LN(2)/25)*Calculateur!V61*Calculateur!X61*VLOOKUP('Données projet'!$B$9,Paramètres!$A$1:$I$89,3,0)*0.475*44/12</f>
        <v>8.4817765972611472</v>
      </c>
      <c r="AB61" s="21">
        <f>EXP(-LN(2)/2)*AB60+(1-EXP(-LN(2)/2))/(LN(2)/2)*V61*Y61*VLOOKUP('Données projet'!$B$9,Paramètres!$A$1:$I$89,3,0)*0.475*44/12</f>
        <v>1.472295027018304E-3</v>
      </c>
      <c r="AC61" s="22">
        <f t="shared" si="3"/>
        <v>10.450945529205782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5.6</v>
      </c>
      <c r="AI61" s="13">
        <f>IF('Données projet'!$A$62&gt;35,AI60+AH61-AQ60,IF(A61&lt;'Données projet'!$A$62,$AF$205^A61,IF(A61='Données projet'!$A$62,'Données projet'!$B$62,AI60+AH61-AQ60)))</f>
        <v>208.7999999999997</v>
      </c>
      <c r="AJ61" s="13">
        <f>AI61*VLOOKUP('Données projet'!$B$10,Paramètres!$A$1:$I$89,3,0)*VLOOKUP('Données projet'!$B$10,Paramètres!$A$1:$I$89,5,0)</f>
        <v>182.40767999999977</v>
      </c>
      <c r="AK61" s="13">
        <f t="shared" si="35"/>
        <v>45.857435663065878</v>
      </c>
      <c r="AL61" s="20">
        <f t="shared" si="4"/>
        <v>397.56174311317267</v>
      </c>
      <c r="AM61" s="59">
        <f t="shared" si="5"/>
        <v>690.89507644650598</v>
      </c>
      <c r="AN61" s="59">
        <f ca="1">AVERAGE(OFFSET($AM$3,0,0,'Données projet'!$E$10+1,1))-AVERAGE(OFFSET($H$3,0,0,'Données projet'!$E$10+1,1))</f>
        <v>191.94797389630673</v>
      </c>
      <c r="AO61" s="59">
        <f t="shared" si="36"/>
        <v>273.52540822767878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1.4787538362289989</v>
      </c>
      <c r="AV61" s="21">
        <f>EXP(-LN(2)/25)*AV60+(1-EXP(-LN(2)/25))/(LN(2)/25)*Calculateur!AQ61*Calculateur!AS61*VLOOKUP('Données projet'!$B$10,Paramètres!$A$1:$I$89,3,0)*0.475*44/12</f>
        <v>6.4634675544126265</v>
      </c>
      <c r="AW61" s="21">
        <f>EXP(-LN(2)/2)*AW60+(1-EXP(-LN(2)/2))/(LN(2)/2)*AQ61*AT61*VLOOKUP('Données projet'!$B$10,Paramètres!$A$1:$I$89,3,0)*0.475*44/12</f>
        <v>1.4162025707806015E-3</v>
      </c>
      <c r="AX61" s="21">
        <f t="shared" si="6"/>
        <v>7.9436375932124061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5.5</v>
      </c>
      <c r="BD61" s="12">
        <f>IF('Données projet'!$A$88&gt;35,BD60+BC61-BL60,IF(A61&lt;'Données projet'!$A$88,$BA$205^A61,IF(A61='Données projet'!$A$88,'Données projet'!$B$88,BD60+BC61-BL60)))</f>
        <v>150.99999999999997</v>
      </c>
      <c r="BE61" s="13">
        <f>BD61*VLOOKUP('Données projet'!$B$11,Paramètres!$A$1:$I$89,3,0)*VLOOKUP('Données projet'!$B$11,Paramètres!$A$1:$I$89,5,0)</f>
        <v>136.62479999999999</v>
      </c>
      <c r="BF61" s="13">
        <f t="shared" si="37"/>
        <v>35.522699804888632</v>
      </c>
      <c r="BG61" s="20">
        <f t="shared" si="7"/>
        <v>299.82356216018104</v>
      </c>
      <c r="BH61" s="59">
        <f t="shared" si="8"/>
        <v>593.15689549351441</v>
      </c>
      <c r="BI61" s="59">
        <f ca="1">AVERAGE(OFFSET($BH$3,0,0,'Données projet'!$E$11+1,1))-AVERAGE(OFFSET($H$3,0,0,'Données projet'!$E$11+1,1))</f>
        <v>138.8931001150624</v>
      </c>
      <c r="BJ61" s="59">
        <f t="shared" si="38"/>
        <v>48.964659354096625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5.5</v>
      </c>
      <c r="BY61" s="12">
        <f>IF('Données projet'!$A$114&gt;35,BY60+BX61-CG60,IF(A61&lt;'Données projet'!$A$114,$BV$205^A61,IF(A61='Données projet'!$A$114,'Données projet'!$B$114,BY60+BX61-CG60)))</f>
        <v>150.99999999999997</v>
      </c>
      <c r="BZ61" s="13">
        <f>BY61*VLOOKUP('Données projet'!$B$12,Paramètres!$A$1:$I$89,3,0)*VLOOKUP('Données projet'!$B$12,Paramètres!$A$1:$I$89,5,0)</f>
        <v>153.114</v>
      </c>
      <c r="CA61" s="13">
        <f t="shared" si="39"/>
        <v>39.285404802158418</v>
      </c>
      <c r="CB61" s="20">
        <f t="shared" si="10"/>
        <v>335.09563003042587</v>
      </c>
      <c r="CC61" s="59">
        <f t="shared" si="11"/>
        <v>628.42896336375918</v>
      </c>
      <c r="CD61" s="59">
        <f ca="1">AVERAGE(OFFSET($CC$3,0,0,'Données projet'!$E$12+1,1))-AVERAGE(OFFSET($H$3,0,0,'Données projet'!$E$12+1,1))</f>
        <v>169.2757878405003</v>
      </c>
      <c r="CE61" s="59">
        <f t="shared" si="40"/>
        <v>61.876502626609977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4.4000000000000004</v>
      </c>
      <c r="CT61" s="12">
        <f>IF('Données projet'!$A$140&gt;35,CT60+CS61-DB60,IF(A61&lt;'Données projet'!$A$140,$CQ$205^A61,IF(A61='Données projet'!$A$140,'Données projet'!$B$140,CT60+CS61-DB60)))</f>
        <v>196.20000000000002</v>
      </c>
      <c r="CU61" s="17">
        <f>CT61*VLOOKUP('Données projet'!$B$13,Paramètres!$A$1:$I$89,3,0)*VLOOKUP('Données projet'!$B$13,Paramètres!$A$1:$I$89,5,0)</f>
        <v>156.09672000000003</v>
      </c>
      <c r="CV61" s="13">
        <f t="shared" si="41"/>
        <v>39.960858208860166</v>
      </c>
      <c r="CW61" s="20">
        <f t="shared" si="13"/>
        <v>341.46694871376485</v>
      </c>
      <c r="CX61" s="59">
        <f t="shared" si="14"/>
        <v>634.80028204709811</v>
      </c>
      <c r="CY61" s="59">
        <f ca="1">AVERAGE(OFFSET($CX$3,0,0,'Données projet'!$E$13+1,1))-AVERAGE(OFFSET($H$3,0,0,'Données projet'!$E$13+1,1))</f>
        <v>141.12810728817544</v>
      </c>
      <c r="CZ61" s="59">
        <f t="shared" si="42"/>
        <v>176.01405805137551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>
        <f>EXP(-LN(2)/35)*DF60+(1-EXP(-LN(2)/35))/(LN(2)/35)*DB61*DC61*VLOOKUP('Données projet'!$B$13,Paramètres!$A$1:$I$89,3,0)*0.475*44/12</f>
        <v>0</v>
      </c>
      <c r="DG61" s="21">
        <f>EXP(-LN(2)/25)*DG60+(1-EXP(-LN(2)/25))/(LN(2)/25)*Calculateur!DB61*Calculateur!DD61*VLOOKUP('Données projet'!$B$13,Paramètres!$A$1:$I$89,3,0)*0.475*44/12</f>
        <v>3.093015170307043</v>
      </c>
      <c r="DH61" s="21">
        <f>EXP(-LN(2)/2)*DH60+(1-EXP(-LN(2)/2))/(LN(2)/2)*DB61*DE61*VLOOKUP('Données projet'!$B$13,Paramètres!$A$1:$I$89,3,0)*0.475*44/12</f>
        <v>4.8859814076421932E-4</v>
      </c>
      <c r="DI61" s="22">
        <f t="shared" si="15"/>
        <v>3.0935037684478073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9.6</v>
      </c>
      <c r="DO61" s="12">
        <f>IF('Données projet'!$A$166&gt;35,DO60+DN61-DW60,IF(A61&lt;'Données projet'!$A$166,$DL$205^A61,IF(A61='Données projet'!$A$166,'Données projet'!$B$166,DO60+DN61-DW60)))</f>
        <v>304.8</v>
      </c>
      <c r="DP61" s="17">
        <f>DO61*VLOOKUP('Données projet'!$B$14,Paramètres!$A$1:$I$89,3,0)*VLOOKUP('Données projet'!$B$14,Paramètres!$A$1:$I$89,5,0)</f>
        <v>182.2704</v>
      </c>
      <c r="DQ61" s="13">
        <f t="shared" si="43"/>
        <v>45.826939257750922</v>
      </c>
      <c r="DR61" s="20">
        <f t="shared" si="16"/>
        <v>397.26953254058282</v>
      </c>
      <c r="DS61" s="59">
        <f t="shared" si="17"/>
        <v>690.60286587391613</v>
      </c>
      <c r="DT61" s="59">
        <f ca="1">AVERAGE(OFFSET($DS$3,0,0,'Données projet'!$E$14+1,1))-AVERAGE(OFFSET($H$3,0,0,'Données projet'!$E$14+1,1))</f>
        <v>165.39579887388538</v>
      </c>
      <c r="DU61" s="59">
        <f t="shared" si="44"/>
        <v>155.89639262545802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>
        <f>EXP(-LN(2)/35)*EA60+(1-EXP(-LN(2)/35))/(LN(2)/35)*DW61*DX61*VLOOKUP('Données projet'!$B$14,Paramètres!$A$1:$I$89,3,0)*0.475*44/12</f>
        <v>0</v>
      </c>
      <c r="EB61" s="21">
        <f>EXP(-LN(2)/25)*EB60+(1-EXP(-LN(2)/25))/(LN(2)/25)*Calculateur!DW61*Calculateur!DY61*VLOOKUP('Données projet'!$B$14,Paramètres!$A$1:$I$89,3,0)*0.475*44/12</f>
        <v>3.3537366890264311</v>
      </c>
      <c r="EC61" s="21">
        <f>EXP(-LN(2)/2)*EC60+(1-EXP(-LN(2)/2))/(LN(2)/2)*DW61*DZ61*VLOOKUP('Données projet'!$B$14,Paramètres!$A$1:$I$89,3,0)*0.475*44/12</f>
        <v>8.471701498643159E-4</v>
      </c>
      <c r="ED61" s="22">
        <f t="shared" si="18"/>
        <v>3.3545838591762953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5.5</v>
      </c>
      <c r="EJ61" s="12">
        <f>IF('Données projet'!$A$192&gt;35,EJ60+EI61-ER60,IF(A61&lt;'Données projet'!$A$192,$EG$205^A61,IF(A61='Données projet'!$A$192,'Données projet'!$B$192,EJ60+EI61-ER60)))</f>
        <v>150.99999999999997</v>
      </c>
      <c r="EK61" s="17">
        <f>EJ61*VLOOKUP('Données projet'!$B$15,Paramètres!$A$1:$I$89,3,0)*VLOOKUP('Données projet'!$B$15,Paramètres!$A$1:$I$89,5,0)</f>
        <v>117.77999999999999</v>
      </c>
      <c r="EL61" s="13">
        <f t="shared" si="45"/>
        <v>31.156659382461012</v>
      </c>
      <c r="EM61" s="20">
        <f t="shared" si="19"/>
        <v>259.39801509111953</v>
      </c>
      <c r="EN61" s="59">
        <f t="shared" si="20"/>
        <v>552.73134842445279</v>
      </c>
      <c r="EO61" s="59">
        <f ca="1">AVERAGE(OFFSET($EN$3,0,0,'Données projet'!$E$15+1,1))-AVERAGE(OFFSET($H$3,0,0,'Données projet'!$E$15+1,1))</f>
        <v>104.07220236158577</v>
      </c>
      <c r="EP61" s="59">
        <f t="shared" si="46"/>
        <v>34.162068257911756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>
        <f>EXP(-LN(2)/35)*EV60+(1-EXP(-LN(2)/35))/(LN(2)/35)*ER61*ES61*VLOOKUP('Données projet'!$B$15,Paramètres!$A$1:$I$89,3,0)*0.475*44/12</f>
        <v>0</v>
      </c>
      <c r="EW61" s="21">
        <f>EXP(-LN(2)/25)*EW60+(1-EXP(-LN(2)/25))/(LN(2)/25)*Calculateur!ER61*Calculateur!ET61*VLOOKUP('Données projet'!$B$15,Paramètres!$A$1:$I$89,3,0)*0.475*44/12</f>
        <v>0</v>
      </c>
      <c r="EX61" s="21">
        <f>EXP(-LN(2)/2)*EX60+(1-EXP(-LN(2)/2))/(LN(2)/2)*ER61*EU61*VLOOKUP('Données projet'!$B$15,Paramètres!$A$1:$I$89,3,0)*0.475*44/12</f>
        <v>0</v>
      </c>
      <c r="EY61" s="22">
        <f t="shared" si="21"/>
        <v>0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5.6843418860808015E-14</v>
      </c>
      <c r="FF61" s="17">
        <f>FE61*VLOOKUP('Données projet'!$B$16,Paramètres!$A$1:$I$89,3,0)*VLOOKUP('Données projet'!$B$16,Paramètres!$A$1:$I$89,5,0)</f>
        <v>5.1431925385259088E-14</v>
      </c>
      <c r="FG61" s="13">
        <f t="shared" si="47"/>
        <v>8.3482866290946129E-13</v>
      </c>
      <c r="FH61" s="20">
        <f t="shared" si="22"/>
        <v>1.5435705246133045E-12</v>
      </c>
      <c r="FI61" s="59">
        <f t="shared" si="23"/>
        <v>293.33333333333485</v>
      </c>
      <c r="FJ61" s="59">
        <f ca="1">AVERAGE(OFFSET($FI$3,0,0,'Données projet'!$E$16+1,1))-AVERAGE(OFFSET($H$3,0,0,'Données projet'!$E$16+1,1))</f>
        <v>179.50097986986123</v>
      </c>
      <c r="FK61" s="59">
        <f t="shared" si="48"/>
        <v>287.11838730637578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>
        <f>EXP(-LN(2)/35)*FQ60+(1-EXP(-LN(2)/35))/(LN(2)/35)*FM61*FN61*VLOOKUP('Données projet'!$B$16,Paramètres!$A$1:$I$89,3,0)*0.475*44/12</f>
        <v>0.35803510392859939</v>
      </c>
      <c r="FR61" s="21">
        <f>EXP(-LN(2)/25)*FR60+(1-EXP(-LN(2)/25))/(LN(2)/25)*Calculateur!FM61*Calculateur!FO61*VLOOKUP('Données projet'!$B$16,Paramètres!$A$1:$I$89,3,0)*0.475*44/12</f>
        <v>2.8956620969757396</v>
      </c>
      <c r="FS61" s="21">
        <f>EXP(-LN(2)/2)*FS60+(1-EXP(-LN(2)/2))/(LN(2)/2)*FM61*FP61*VLOOKUP('Données projet'!$B$16,Paramètres!$A$1:$I$89,3,0)*0.475*44/12</f>
        <v>2.7592749179232976E-4</v>
      </c>
      <c r="FT61" s="22">
        <f t="shared" si="24"/>
        <v>3.2539731283961317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9.6</v>
      </c>
      <c r="FZ61" s="12">
        <f>IF('Données projet'!$A$244&gt;35,FZ60+FY61-GH60,IF(A61&lt;'Données projet'!$A$244,$FW$205^A61,IF(A61='Données projet'!$A$244,'Données projet'!$B$244,FZ60+FY61-GH60)))</f>
        <v>304.8</v>
      </c>
      <c r="GA61" s="17">
        <f>FZ61*VLOOKUP('Données projet'!$B$17,Paramètres!$A$1:$I$89,3,0)*VLOOKUP('Données projet'!$B$17,Paramètres!$A$1:$I$89,5,0)</f>
        <v>182.2704</v>
      </c>
      <c r="GB61" s="13">
        <f t="shared" si="49"/>
        <v>45.826939257750922</v>
      </c>
      <c r="GC61" s="20">
        <f t="shared" si="25"/>
        <v>397.26953254058282</v>
      </c>
      <c r="GD61" s="59">
        <f t="shared" si="26"/>
        <v>690.60286587391613</v>
      </c>
      <c r="GE61" s="59">
        <f ca="1">AVERAGE(OFFSET($GD$3,0,0,'Données projet'!$E$17+1,1))-AVERAGE(OFFSET($H$3,0,0,'Données projet'!$E$17+1,1))</f>
        <v>165.39579887388538</v>
      </c>
      <c r="GF61" s="59">
        <f t="shared" si="50"/>
        <v>155.89639262545802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>
        <f>EXP(-LN(2)/35)*GL60+(1-EXP(-LN(2)/35))/(LN(2)/35)*GH61*GI61*VLOOKUP('Données projet'!$B$17,Paramètres!$A$1:$I$89,3,0)*0.475*44/12</f>
        <v>0</v>
      </c>
      <c r="GM61" s="21">
        <f>EXP(-LN(2)/25)*GM60+(1-EXP(-LN(2)/25))/(LN(2)/25)*Calculateur!GH61*Calculateur!GJ61*VLOOKUP('Données projet'!$B$17,Paramètres!$A$1:$I$89,3,0)*0.475*44/12</f>
        <v>3.3537366890264311</v>
      </c>
      <c r="GN61" s="21">
        <f>EXP(-LN(2)/2)*GN60+(1-EXP(-LN(2)/2))/(LN(2)/2)*GH61*GK61*VLOOKUP('Données projet'!$B$17,Paramètres!$A$1:$I$89,3,0)*0.475*44/12</f>
        <v>8.471701498643159E-4</v>
      </c>
      <c r="GO61" s="21">
        <f t="shared" si="27"/>
        <v>3.3545838591762953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13.2</v>
      </c>
      <c r="N62" s="13">
        <f>IF('Données projet'!$A$36&gt;35,N61+M62-V61,IF(A62&lt;'Données projet'!$A$36,$K$205^A62,IF(A62='Données projet'!$A$36,'Données projet'!$B$36,N61+M62-V61)))</f>
        <v>434.8</v>
      </c>
      <c r="O62" s="13">
        <f>N62*VLOOKUP('Données projet'!$B$9,Paramètres!$A$1:$I$89,3,0)*VLOOKUP('Données projet'!$B$9,Paramètres!$A$1:$I$89,5,0)</f>
        <v>243.0532</v>
      </c>
      <c r="P62" s="13">
        <f t="shared" si="33"/>
        <v>59.095957245305804</v>
      </c>
      <c r="Q62" s="20">
        <f t="shared" si="53"/>
        <v>526.24311553557425</v>
      </c>
      <c r="R62" s="59">
        <f t="shared" si="0"/>
        <v>819.57644886890762</v>
      </c>
      <c r="S62" s="59">
        <f ca="1">AVERAGE(OFFSET($R$3,0,0,'Données projet'!$E$9+1,1))-AVERAGE(OFFSET($H$3,0,0,'Données projet'!$E$9+1,1))</f>
        <v>235.10258076192054</v>
      </c>
      <c r="T62" s="59">
        <f t="shared" si="34"/>
        <v>233.47316052603765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1.9291113060441045</v>
      </c>
      <c r="AA62" s="21">
        <f>EXP(-LN(2)/25)*AA61+(1-EXP(-LN(2)/25))/(LN(2)/25)*Calculateur!V62*Calculateur!X62*VLOOKUP('Données projet'!$B$9,Paramètres!$A$1:$I$89,3,0)*0.475*44/12</f>
        <v>8.2498419701717953</v>
      </c>
      <c r="AB62" s="21">
        <f>EXP(-LN(2)/2)*AB61+(1-EXP(-LN(2)/2))/(LN(2)/2)*V62*Y62*VLOOKUP('Données projet'!$B$9,Paramètres!$A$1:$I$89,3,0)*0.475*44/12</f>
        <v>1.041069797511874E-3</v>
      </c>
      <c r="AC62" s="22">
        <f t="shared" si="3"/>
        <v>10.179994346013412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5.6</v>
      </c>
      <c r="AI62" s="13">
        <f>IF('Données projet'!$A$62&gt;35,AI61+AH62-AQ61,IF(A62&lt;'Données projet'!$A$62,$AF$205^A62,IF(A62='Données projet'!$A$62,'Données projet'!$B$62,AI61+AH62-AQ61)))</f>
        <v>214.39999999999969</v>
      </c>
      <c r="AJ62" s="13">
        <f>AI62*VLOOKUP('Données projet'!$B$10,Paramètres!$A$1:$I$89,3,0)*VLOOKUP('Données projet'!$B$10,Paramètres!$A$1:$I$89,5,0)</f>
        <v>187.29983999999976</v>
      </c>
      <c r="AK62" s="13">
        <f t="shared" si="35"/>
        <v>46.942489429228068</v>
      </c>
      <c r="AL62" s="20">
        <f t="shared" si="4"/>
        <v>407.97205708923843</v>
      </c>
      <c r="AM62" s="59">
        <f t="shared" si="5"/>
        <v>701.30539042257169</v>
      </c>
      <c r="AN62" s="59">
        <f ca="1">AVERAGE(OFFSET($AM$3,0,0,'Données projet'!$E$10+1,1))-AVERAGE(OFFSET($H$3,0,0,'Données projet'!$E$10+1,1))</f>
        <v>191.94797389630673</v>
      </c>
      <c r="AO62" s="59">
        <f t="shared" si="36"/>
        <v>273.52540822767878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1.4497563754513281</v>
      </c>
      <c r="AV62" s="21">
        <f>EXP(-LN(2)/25)*AV61+(1-EXP(-LN(2)/25))/(LN(2)/25)*Calculateur!AQ62*Calculateur!AS62*VLOOKUP('Données projet'!$B$10,Paramètres!$A$1:$I$89,3,0)*0.475*44/12</f>
        <v>6.2867236942382272</v>
      </c>
      <c r="AW62" s="21">
        <f>EXP(-LN(2)/2)*AW61+(1-EXP(-LN(2)/2))/(LN(2)/2)*AQ62*AT62*VLOOKUP('Données projet'!$B$10,Paramètres!$A$1:$I$89,3,0)*0.475*44/12</f>
        <v>1.0014064413327848E-3</v>
      </c>
      <c r="AX62" s="21">
        <f t="shared" si="6"/>
        <v>7.7374814761308883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5.5</v>
      </c>
      <c r="BD62" s="12">
        <f>IF('Données projet'!$A$88&gt;35,BD61+BC62-BL61,IF(A62&lt;'Données projet'!$A$88,$BA$205^A62,IF(A62='Données projet'!$A$88,'Données projet'!$B$88,BD61+BC62-BL61)))</f>
        <v>156.49999999999997</v>
      </c>
      <c r="BE62" s="13">
        <f>BD62*VLOOKUP('Données projet'!$B$11,Paramètres!$A$1:$I$89,3,0)*VLOOKUP('Données projet'!$B$11,Paramètres!$A$1:$I$89,5,0)</f>
        <v>141.60119999999998</v>
      </c>
      <c r="BF62" s="13">
        <f t="shared" si="37"/>
        <v>36.66357479752002</v>
      </c>
      <c r="BG62" s="20">
        <f t="shared" si="7"/>
        <v>310.47781610568063</v>
      </c>
      <c r="BH62" s="59">
        <f t="shared" si="8"/>
        <v>603.81114943901389</v>
      </c>
      <c r="BI62" s="59">
        <f ca="1">AVERAGE(OFFSET($BH$3,0,0,'Données projet'!$E$11+1,1))-AVERAGE(OFFSET($H$3,0,0,'Données projet'!$E$11+1,1))</f>
        <v>138.8931001150624</v>
      </c>
      <c r="BJ62" s="59">
        <f t="shared" si="38"/>
        <v>48.964659354096625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5.5</v>
      </c>
      <c r="BY62" s="12">
        <f>IF('Données projet'!$A$114&gt;35,BY61+BX62-CG61,IF(A62&lt;'Données projet'!$A$114,$BV$205^A62,IF(A62='Données projet'!$A$114,'Données projet'!$B$114,BY61+BX62-CG61)))</f>
        <v>156.49999999999997</v>
      </c>
      <c r="BZ62" s="13">
        <f>BY62*VLOOKUP('Données projet'!$B$12,Paramètres!$A$1:$I$89,3,0)*VLOOKUP('Données projet'!$B$12,Paramètres!$A$1:$I$89,5,0)</f>
        <v>158.69099999999997</v>
      </c>
      <c r="CA62" s="13">
        <f t="shared" si="39"/>
        <v>40.547125790719562</v>
      </c>
      <c r="CB62" s="20">
        <f t="shared" si="10"/>
        <v>347.00640241883656</v>
      </c>
      <c r="CC62" s="59">
        <f t="shared" si="11"/>
        <v>640.33973575216987</v>
      </c>
      <c r="CD62" s="59">
        <f ca="1">AVERAGE(OFFSET($CC$3,0,0,'Données projet'!$E$12+1,1))-AVERAGE(OFFSET($H$3,0,0,'Données projet'!$E$12+1,1))</f>
        <v>169.2757878405003</v>
      </c>
      <c r="CE62" s="59">
        <f t="shared" si="40"/>
        <v>61.876502626609977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4.4000000000000004</v>
      </c>
      <c r="CT62" s="12">
        <f>IF('Données projet'!$A$140&gt;35,CT61+CS62-DB61,IF(A62&lt;'Données projet'!$A$140,$CQ$205^A62,IF(A62='Données projet'!$A$140,'Données projet'!$B$140,CT61+CS62-DB61)))</f>
        <v>200.60000000000002</v>
      </c>
      <c r="CU62" s="17">
        <f>CT62*VLOOKUP('Données projet'!$B$13,Paramètres!$A$1:$I$89,3,0)*VLOOKUP('Données projet'!$B$13,Paramètres!$A$1:$I$89,5,0)</f>
        <v>159.59736000000004</v>
      </c>
      <c r="CV62" s="13">
        <f t="shared" si="41"/>
        <v>40.751685517297737</v>
      </c>
      <c r="CW62" s="20">
        <f t="shared" si="13"/>
        <v>348.94125427596026</v>
      </c>
      <c r="CX62" s="59">
        <f t="shared" si="14"/>
        <v>642.27458760929358</v>
      </c>
      <c r="CY62" s="59">
        <f ca="1">AVERAGE(OFFSET($CX$3,0,0,'Données projet'!$E$13+1,1))-AVERAGE(OFFSET($H$3,0,0,'Données projet'!$E$13+1,1))</f>
        <v>141.12810728817544</v>
      </c>
      <c r="CZ62" s="59">
        <f t="shared" si="42"/>
        <v>176.01405805137551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>
        <f>EXP(-LN(2)/35)*DF61+(1-EXP(-LN(2)/35))/(LN(2)/35)*DB62*DC62*VLOOKUP('Données projet'!$B$13,Paramètres!$A$1:$I$89,3,0)*0.475*44/12</f>
        <v>0</v>
      </c>
      <c r="DG62" s="21">
        <f>EXP(-LN(2)/25)*DG61+(1-EXP(-LN(2)/25))/(LN(2)/25)*Calculateur!DB62*Calculateur!DD62*VLOOKUP('Données projet'!$B$13,Paramètres!$A$1:$I$89,3,0)*0.475*44/12</f>
        <v>3.0084365078203983</v>
      </c>
      <c r="DH62" s="21">
        <f>EXP(-LN(2)/2)*DH61+(1-EXP(-LN(2)/2))/(LN(2)/2)*DB62*DE62*VLOOKUP('Données projet'!$B$13,Paramètres!$A$1:$I$89,3,0)*0.475*44/12</f>
        <v>3.4549105860951878E-4</v>
      </c>
      <c r="DI62" s="22">
        <f t="shared" si="15"/>
        <v>3.0087819988790079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9.6</v>
      </c>
      <c r="DO62" s="12">
        <f>IF('Données projet'!$A$166&gt;35,DO61+DN62-DW61,IF(A62&lt;'Données projet'!$A$166,$DL$205^A62,IF(A62='Données projet'!$A$166,'Données projet'!$B$166,DO61+DN62-DW61)))</f>
        <v>314.40000000000003</v>
      </c>
      <c r="DP62" s="17">
        <f>DO62*VLOOKUP('Données projet'!$B$14,Paramètres!$A$1:$I$89,3,0)*VLOOKUP('Données projet'!$B$14,Paramètres!$A$1:$I$89,5,0)</f>
        <v>188.01120000000003</v>
      </c>
      <c r="DQ62" s="13">
        <f t="shared" si="43"/>
        <v>47.099988496590989</v>
      </c>
      <c r="DR62" s="20">
        <f t="shared" si="16"/>
        <v>409.48531996489601</v>
      </c>
      <c r="DS62" s="59">
        <f t="shared" si="17"/>
        <v>702.81865329822926</v>
      </c>
      <c r="DT62" s="59">
        <f ca="1">AVERAGE(OFFSET($DS$3,0,0,'Données projet'!$E$14+1,1))-AVERAGE(OFFSET($H$3,0,0,'Données projet'!$E$14+1,1))</f>
        <v>165.39579887388538</v>
      </c>
      <c r="DU62" s="59">
        <f t="shared" si="44"/>
        <v>155.89639262545802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>
        <f>EXP(-LN(2)/35)*EA61+(1-EXP(-LN(2)/35))/(LN(2)/35)*DW62*DX62*VLOOKUP('Données projet'!$B$14,Paramètres!$A$1:$I$89,3,0)*0.475*44/12</f>
        <v>0</v>
      </c>
      <c r="EB62" s="21">
        <f>EXP(-LN(2)/25)*EB61+(1-EXP(-LN(2)/25))/(LN(2)/25)*Calculateur!DW62*Calculateur!DY62*VLOOKUP('Données projet'!$B$14,Paramètres!$A$1:$I$89,3,0)*0.475*44/12</f>
        <v>3.262028582899656</v>
      </c>
      <c r="EC62" s="21">
        <f>EXP(-LN(2)/2)*EC61+(1-EXP(-LN(2)/2))/(LN(2)/2)*DW62*DZ62*VLOOKUP('Données projet'!$B$14,Paramètres!$A$1:$I$89,3,0)*0.475*44/12</f>
        <v>5.9903975778788148E-4</v>
      </c>
      <c r="ED62" s="22">
        <f t="shared" si="18"/>
        <v>3.262627622657444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5.5</v>
      </c>
      <c r="EJ62" s="12">
        <f>IF('Données projet'!$A$192&gt;35,EJ61+EI62-ER61,IF(A62&lt;'Données projet'!$A$192,$EG$205^A62,IF(A62='Données projet'!$A$192,'Données projet'!$B$192,EJ61+EI62-ER61)))</f>
        <v>156.49999999999997</v>
      </c>
      <c r="EK62" s="17">
        <f>EJ62*VLOOKUP('Données projet'!$B$15,Paramètres!$A$1:$I$89,3,0)*VLOOKUP('Données projet'!$B$15,Paramètres!$A$1:$I$89,5,0)</f>
        <v>122.06999999999998</v>
      </c>
      <c r="EL62" s="13">
        <f t="shared" si="45"/>
        <v>32.157311183664817</v>
      </c>
      <c r="EM62" s="20">
        <f t="shared" si="19"/>
        <v>268.61256697821619</v>
      </c>
      <c r="EN62" s="59">
        <f t="shared" si="20"/>
        <v>561.94590031154951</v>
      </c>
      <c r="EO62" s="59">
        <f ca="1">AVERAGE(OFFSET($EN$3,0,0,'Données projet'!$E$15+1,1))-AVERAGE(OFFSET($H$3,0,0,'Données projet'!$E$15+1,1))</f>
        <v>104.07220236158577</v>
      </c>
      <c r="EP62" s="59">
        <f t="shared" si="46"/>
        <v>34.162068257911756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>
        <f>EXP(-LN(2)/35)*EV61+(1-EXP(-LN(2)/35))/(LN(2)/35)*ER62*ES62*VLOOKUP('Données projet'!$B$15,Paramètres!$A$1:$I$89,3,0)*0.475*44/12</f>
        <v>0</v>
      </c>
      <c r="EW62" s="21">
        <f>EXP(-LN(2)/25)*EW61+(1-EXP(-LN(2)/25))/(LN(2)/25)*Calculateur!ER62*Calculateur!ET62*VLOOKUP('Données projet'!$B$15,Paramètres!$A$1:$I$89,3,0)*0.475*44/12</f>
        <v>0</v>
      </c>
      <c r="EX62" s="21">
        <f>EXP(-LN(2)/2)*EX61+(1-EXP(-LN(2)/2))/(LN(2)/2)*ER62*EU62*VLOOKUP('Données projet'!$B$15,Paramètres!$A$1:$I$89,3,0)*0.475*44/12</f>
        <v>0</v>
      </c>
      <c r="EY62" s="22">
        <f t="shared" si="21"/>
        <v>0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5.6843418860808015E-14</v>
      </c>
      <c r="FF62" s="17">
        <f>FE62*VLOOKUP('Données projet'!$B$16,Paramètres!$A$1:$I$89,3,0)*VLOOKUP('Données projet'!$B$16,Paramètres!$A$1:$I$89,5,0)</f>
        <v>5.1431925385259088E-14</v>
      </c>
      <c r="FG62" s="13">
        <f t="shared" si="47"/>
        <v>8.3482866290946129E-13</v>
      </c>
      <c r="FH62" s="20">
        <f t="shared" si="22"/>
        <v>1.5435705246133045E-12</v>
      </c>
      <c r="FI62" s="59">
        <f t="shared" si="23"/>
        <v>293.33333333333485</v>
      </c>
      <c r="FJ62" s="59">
        <f ca="1">AVERAGE(OFFSET($FI$3,0,0,'Données projet'!$E$16+1,1))-AVERAGE(OFFSET($H$3,0,0,'Données projet'!$E$16+1,1))</f>
        <v>179.50097986986123</v>
      </c>
      <c r="FK62" s="59">
        <f t="shared" si="48"/>
        <v>287.11838730637578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>
        <f>EXP(-LN(2)/35)*FQ61+(1-EXP(-LN(2)/35))/(LN(2)/35)*FM62*FN62*VLOOKUP('Données projet'!$B$16,Paramètres!$A$1:$I$89,3,0)*0.475*44/12</f>
        <v>0.35101425392040975</v>
      </c>
      <c r="FR62" s="21">
        <f>EXP(-LN(2)/25)*FR61+(1-EXP(-LN(2)/25))/(LN(2)/25)*Calculateur!FM62*Calculateur!FO62*VLOOKUP('Données projet'!$B$16,Paramètres!$A$1:$I$89,3,0)*0.475*44/12</f>
        <v>2.8164800646576866</v>
      </c>
      <c r="FS62" s="21">
        <f>EXP(-LN(2)/2)*FS61+(1-EXP(-LN(2)/2))/(LN(2)/2)*FM62*FP62*VLOOKUP('Données projet'!$B$16,Paramètres!$A$1:$I$89,3,0)*0.475*44/12</f>
        <v>1.9511020056215181E-4</v>
      </c>
      <c r="FT62" s="22">
        <f t="shared" si="24"/>
        <v>3.1676894287786586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9.6</v>
      </c>
      <c r="FZ62" s="12">
        <f>IF('Données projet'!$A$244&gt;35,FZ61+FY62-GH61,IF(A62&lt;'Données projet'!$A$244,$FW$205^A62,IF(A62='Données projet'!$A$244,'Données projet'!$B$244,FZ61+FY62-GH61)))</f>
        <v>314.40000000000003</v>
      </c>
      <c r="GA62" s="17">
        <f>FZ62*VLOOKUP('Données projet'!$B$17,Paramètres!$A$1:$I$89,3,0)*VLOOKUP('Données projet'!$B$17,Paramètres!$A$1:$I$89,5,0)</f>
        <v>188.01120000000003</v>
      </c>
      <c r="GB62" s="13">
        <f t="shared" si="49"/>
        <v>47.099988496590989</v>
      </c>
      <c r="GC62" s="20">
        <f t="shared" si="25"/>
        <v>409.48531996489601</v>
      </c>
      <c r="GD62" s="59">
        <f t="shared" si="26"/>
        <v>702.81865329822926</v>
      </c>
      <c r="GE62" s="59">
        <f ca="1">AVERAGE(OFFSET($GD$3,0,0,'Données projet'!$E$17+1,1))-AVERAGE(OFFSET($H$3,0,0,'Données projet'!$E$17+1,1))</f>
        <v>165.39579887388538</v>
      </c>
      <c r="GF62" s="59">
        <f t="shared" si="50"/>
        <v>155.89639262545802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>
        <f>EXP(-LN(2)/35)*GL61+(1-EXP(-LN(2)/35))/(LN(2)/35)*GH62*GI62*VLOOKUP('Données projet'!$B$17,Paramètres!$A$1:$I$89,3,0)*0.475*44/12</f>
        <v>0</v>
      </c>
      <c r="GM62" s="21">
        <f>EXP(-LN(2)/25)*GM61+(1-EXP(-LN(2)/25))/(LN(2)/25)*Calculateur!GH62*Calculateur!GJ62*VLOOKUP('Données projet'!$B$17,Paramètres!$A$1:$I$89,3,0)*0.475*44/12</f>
        <v>3.262028582899656</v>
      </c>
      <c r="GN62" s="21">
        <f>EXP(-LN(2)/2)*GN61+(1-EXP(-LN(2)/2))/(LN(2)/2)*GH62*GK62*VLOOKUP('Données projet'!$B$17,Paramètres!$A$1:$I$89,3,0)*0.475*44/12</f>
        <v>5.9903975778788148E-4</v>
      </c>
      <c r="GO62" s="21">
        <f t="shared" si="27"/>
        <v>3.262627622657444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>
        <f>VLOOKUP(A63,'Données projet'!$A$35:$I$55,2,0)</f>
        <v>448</v>
      </c>
      <c r="L63" s="12">
        <f>VLOOKUP(A63,'Données projet'!$A$35:$I$55,9,0)</f>
        <v>13.2</v>
      </c>
      <c r="M63" s="12">
        <f t="array" ref="M63">INDEX(L:L,MIN(IF(ISNUMBER(L63:L259),ROW(L63:L259),"")))</f>
        <v>13.2</v>
      </c>
      <c r="N63" s="13">
        <f>IF('Données projet'!$A$36&gt;35,N62+M63-V62,IF(A63&lt;'Données projet'!$A$36,$K$205^A63,IF(A63='Données projet'!$A$36,'Données projet'!$B$36,N62+M63-V62)))</f>
        <v>448</v>
      </c>
      <c r="O63" s="13">
        <f>N63*VLOOKUP('Données projet'!$B$9,Paramètres!$A$1:$I$89,3,0)*VLOOKUP('Données projet'!$B$9,Paramètres!$A$1:$I$89,5,0)</f>
        <v>250.43199999999999</v>
      </c>
      <c r="P63" s="13">
        <f t="shared" si="33"/>
        <v>60.67843785311895</v>
      </c>
      <c r="Q63" s="20">
        <f t="shared" si="53"/>
        <v>541.85067926084878</v>
      </c>
      <c r="R63" s="59">
        <f t="shared" si="0"/>
        <v>835.18401259418215</v>
      </c>
      <c r="S63" s="59">
        <f ca="1">AVERAGE(OFFSET($R$3,0,0,'Données projet'!$E$9+1,1))-AVERAGE(OFFSET($H$3,0,0,'Données projet'!$E$9+1,1))</f>
        <v>235.10258076192054</v>
      </c>
      <c r="T63" s="59">
        <f t="shared" si="34"/>
        <v>233.47316052603765</v>
      </c>
      <c r="U63" s="15">
        <f>IF(ISNA(VLOOKUP(A63,'Données projet'!$A$35:$I$55,3,0)),0,VLOOKUP(A63,'Données projet'!$A$35:$I$55,3,0))</f>
        <v>5</v>
      </c>
      <c r="V63" s="15">
        <f>IF(ISNA(VLOOKUP(A63,'Données projet'!$A$35:$I$55,4,0)),0,VLOOKUP(A63,'Données projet'!$A$35:$I$55,4,0))</f>
        <v>69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1.8912826099742925</v>
      </c>
      <c r="AA63" s="21">
        <f>EXP(-LN(2)/25)*AA62+(1-EXP(-LN(2)/25))/(LN(2)/25)*Calculateur!V63*Calculateur!X63*VLOOKUP('Données projet'!$B$9,Paramètres!$A$1:$I$89,3,0)*0.475*44/12</f>
        <v>8.0242496076571133</v>
      </c>
      <c r="AB63" s="21">
        <f>EXP(-LN(2)/2)*AB62+(1-EXP(-LN(2)/2))/(LN(2)/2)*V63*Y63*VLOOKUP('Données projet'!$B$9,Paramètres!$A$1:$I$89,3,0)*0.475*44/12</f>
        <v>7.3614751350915201E-4</v>
      </c>
      <c r="AC63" s="22">
        <f t="shared" si="3"/>
        <v>9.9162683651449139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220</v>
      </c>
      <c r="AG63" s="12">
        <f>VLOOKUP(A63,'Données projet'!$A$61:$I$81,9,0)</f>
        <v>5.6</v>
      </c>
      <c r="AH63" s="12">
        <f t="array" ref="AH63">INDEX(AG:AG,MIN(IF(ISNUMBER(AG63:AG259),ROW(AG63:AG259),"")))</f>
        <v>5.6</v>
      </c>
      <c r="AI63" s="13">
        <f>IF('Données projet'!$A$62&gt;35,AI62+AH63-AQ62,IF(A63&lt;'Données projet'!$A$62,$AF$205^A63,IF(A63='Données projet'!$A$62,'Données projet'!$B$62,AI62+AH63-AQ62)))</f>
        <v>219.99999999999969</v>
      </c>
      <c r="AJ63" s="13">
        <f>AI63*VLOOKUP('Données projet'!$B$10,Paramètres!$A$1:$I$89,3,0)*VLOOKUP('Données projet'!$B$10,Paramètres!$A$1:$I$89,5,0)</f>
        <v>192.19199999999975</v>
      </c>
      <c r="AK63" s="13">
        <f t="shared" si="35"/>
        <v>48.024248921932397</v>
      </c>
      <c r="AL63" s="20">
        <f t="shared" si="4"/>
        <v>418.37663353903184</v>
      </c>
      <c r="AM63" s="59">
        <f t="shared" si="5"/>
        <v>711.70996687236516</v>
      </c>
      <c r="AN63" s="59">
        <f ca="1">AVERAGE(OFFSET($AM$3,0,0,'Données projet'!$E$10+1,1))-AVERAGE(OFFSET($H$3,0,0,'Données projet'!$E$10+1,1))</f>
        <v>191.94797389630673</v>
      </c>
      <c r="AO63" s="59">
        <f t="shared" si="36"/>
        <v>273.52540822767878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40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1.4213275371928027</v>
      </c>
      <c r="AV63" s="21">
        <f>EXP(-LN(2)/25)*AV62+(1-EXP(-LN(2)/25))/(LN(2)/25)*Calculateur!AQ63*Calculateur!AS63*VLOOKUP('Données projet'!$B$10,Paramètres!$A$1:$I$89,3,0)*0.475*44/12</f>
        <v>6.114812904214852</v>
      </c>
      <c r="AW63" s="21">
        <f>EXP(-LN(2)/2)*AW62+(1-EXP(-LN(2)/2))/(LN(2)/2)*AQ63*AT63*VLOOKUP('Données projet'!$B$10,Paramètres!$A$1:$I$89,3,0)*0.475*44/12</f>
        <v>7.0810128539030074E-4</v>
      </c>
      <c r="AX63" s="21">
        <f t="shared" si="6"/>
        <v>7.5368485426930452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162</v>
      </c>
      <c r="BB63" s="12">
        <f>VLOOKUP(A63,'Données projet'!$A$87:$I$107,9,0)</f>
        <v>5.5</v>
      </c>
      <c r="BC63" s="12">
        <f t="array" ref="BC63">INDEX(BB:BB,MIN(IF(ISNUMBER(BB63:BB259),ROW(BB63:BB259),"")))</f>
        <v>5.5</v>
      </c>
      <c r="BD63" s="12">
        <f>IF('Données projet'!$A$88&gt;35,BD62+BC63-BL62,IF(A63&lt;'Données projet'!$A$88,$BA$205^A63,IF(A63='Données projet'!$A$88,'Données projet'!$B$88,BD62+BC63-BL62)))</f>
        <v>161.99999999999997</v>
      </c>
      <c r="BE63" s="13">
        <f>BD63*VLOOKUP('Données projet'!$B$11,Paramètres!$A$1:$I$89,3,0)*VLOOKUP('Données projet'!$B$11,Paramètres!$A$1:$I$89,5,0)</f>
        <v>146.57759999999996</v>
      </c>
      <c r="BF63" s="13">
        <f t="shared" si="37"/>
        <v>37.799791292871213</v>
      </c>
      <c r="BG63" s="20">
        <f t="shared" si="7"/>
        <v>321.12395650175063</v>
      </c>
      <c r="BH63" s="59">
        <f t="shared" si="8"/>
        <v>614.45728983508388</v>
      </c>
      <c r="BI63" s="59">
        <f ca="1">AVERAGE(OFFSET($BH$3,0,0,'Données projet'!$E$11+1,1))-AVERAGE(OFFSET($H$3,0,0,'Données projet'!$E$11+1,1))</f>
        <v>138.8931001150624</v>
      </c>
      <c r="BJ63" s="59">
        <f t="shared" si="38"/>
        <v>48.964659354096625</v>
      </c>
      <c r="BK63" s="15">
        <f>IF(ISNA(VLOOKUP(A63,'Données projet'!$A$87:$I$107,3,0)),0,VLOOKUP(A63,'Données projet'!$A$87:$I$107,3,0))</f>
        <v>3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162</v>
      </c>
      <c r="BW63" s="12">
        <f>VLOOKUP(A63,'Données projet'!$A$113:$I$133,9,0)</f>
        <v>5.5</v>
      </c>
      <c r="BX63" s="12">
        <f t="array" ref="BX63">INDEX(BW:BW,MIN(IF(ISNUMBER(BW63:BW259),ROW(BW63:BW259),"")))</f>
        <v>5.5</v>
      </c>
      <c r="BY63" s="12">
        <f>IF('Données projet'!$A$114&gt;35,BY62+BX63-CG62,IF(A63&lt;'Données projet'!$A$114,$BV$205^A63,IF(A63='Données projet'!$A$114,'Données projet'!$B$114,BY62+BX63-CG62)))</f>
        <v>161.99999999999997</v>
      </c>
      <c r="BZ63" s="13">
        <f>BY63*VLOOKUP('Données projet'!$B$12,Paramètres!$A$1:$I$89,3,0)*VLOOKUP('Données projet'!$B$12,Paramètres!$A$1:$I$89,5,0)</f>
        <v>164.26799999999997</v>
      </c>
      <c r="CA63" s="13">
        <f t="shared" si="39"/>
        <v>41.803694835525619</v>
      </c>
      <c r="CB63" s="20">
        <f t="shared" si="10"/>
        <v>358.90820183854038</v>
      </c>
      <c r="CC63" s="59">
        <f t="shared" si="11"/>
        <v>652.24153517187369</v>
      </c>
      <c r="CD63" s="59">
        <f ca="1">AVERAGE(OFFSET($CC$3,0,0,'Données projet'!$E$12+1,1))-AVERAGE(OFFSET($H$3,0,0,'Données projet'!$E$12+1,1))</f>
        <v>169.2757878405003</v>
      </c>
      <c r="CE63" s="59">
        <f t="shared" si="40"/>
        <v>61.876502626609977</v>
      </c>
      <c r="CF63" s="15">
        <f>IF(ISNA(VLOOKUP(A63,'Données projet'!$A$113:$I$133,3,0)),0,VLOOKUP(A63,'Données projet'!$A$113:$I$133,3,0))</f>
        <v>3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>
        <f>VLOOKUP(A63,'Données projet'!$A$139:$I$159,2,0)</f>
        <v>205</v>
      </c>
      <c r="CR63" s="12">
        <f>VLOOKUP(A63,'Données projet'!$A$139:$I$159,9,0)</f>
        <v>4.4000000000000004</v>
      </c>
      <c r="CS63" s="12">
        <f t="array" ref="CS63">INDEX(CR:CR,MIN(IF(ISNUMBER(CR63:CR259),ROW(CR63:CR259),"")))</f>
        <v>4.4000000000000004</v>
      </c>
      <c r="CT63" s="12">
        <f>IF('Données projet'!$A$140&gt;35,CT62+CS63-DB62,IF(A63&lt;'Données projet'!$A$140,$CQ$205^A63,IF(A63='Données projet'!$A$140,'Données projet'!$B$140,CT62+CS63-DB62)))</f>
        <v>205.00000000000003</v>
      </c>
      <c r="CU63" s="17">
        <f>CT63*VLOOKUP('Données projet'!$B$13,Paramètres!$A$1:$I$89,3,0)*VLOOKUP('Données projet'!$B$13,Paramètres!$A$1:$I$89,5,0)</f>
        <v>163.09800000000001</v>
      </c>
      <c r="CV63" s="13">
        <f t="shared" si="41"/>
        <v>41.540496136845142</v>
      </c>
      <c r="CW63" s="20">
        <f t="shared" si="13"/>
        <v>356.41204743833867</v>
      </c>
      <c r="CX63" s="59">
        <f t="shared" si="14"/>
        <v>649.74538077167199</v>
      </c>
      <c r="CY63" s="59">
        <f ca="1">AVERAGE(OFFSET($CX$3,0,0,'Données projet'!$E$13+1,1))-AVERAGE(OFFSET($H$3,0,0,'Données projet'!$E$13+1,1))</f>
        <v>141.12810728817544</v>
      </c>
      <c r="CZ63" s="59">
        <f t="shared" si="42"/>
        <v>176.01405805137551</v>
      </c>
      <c r="DA63" s="15">
        <f>IF(ISNA(VLOOKUP(A63,'Données projet'!$A$139:$I$159,3,0)),0,VLOOKUP(A63,'Données projet'!$A$139:$I$159,3,0))</f>
        <v>5</v>
      </c>
      <c r="DB63" s="15">
        <f>IF(ISNA(VLOOKUP(A63,'Données projet'!$A$139:$I$159,4,0)),0,VLOOKUP(A63,'Données projet'!$A$139:$I$159,4,0))</f>
        <v>20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>
        <f>EXP(-LN(2)/35)*DF62+(1-EXP(-LN(2)/35))/(LN(2)/35)*DB63*DC63*VLOOKUP('Données projet'!$B$13,Paramètres!$A$1:$I$89,3,0)*0.475*44/12</f>
        <v>0</v>
      </c>
      <c r="DG63" s="21">
        <f>EXP(-LN(2)/25)*DG62+(1-EXP(-LN(2)/25))/(LN(2)/25)*Calculateur!DB63*Calculateur!DD63*VLOOKUP('Données projet'!$B$13,Paramètres!$A$1:$I$89,3,0)*0.475*44/12</f>
        <v>2.9261706533072496</v>
      </c>
      <c r="DH63" s="21">
        <f>EXP(-LN(2)/2)*DH62+(1-EXP(-LN(2)/2))/(LN(2)/2)*DB63*DE63*VLOOKUP('Données projet'!$B$13,Paramètres!$A$1:$I$89,3,0)*0.475*44/12</f>
        <v>2.4429907038210966E-4</v>
      </c>
      <c r="DI63" s="22">
        <f t="shared" si="15"/>
        <v>2.9264149523776317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>
        <f>VLOOKUP(A63,'Données projet'!$A$165:$I$185,2,0)</f>
        <v>324</v>
      </c>
      <c r="DM63" s="12">
        <f>VLOOKUP(A63,'Données projet'!$A$165:$I$185,9,0)</f>
        <v>9.6</v>
      </c>
      <c r="DN63" s="12">
        <f t="array" ref="DN63">INDEX(DM:DM,MIN(IF(ISNUMBER(DM63:DM259),ROW(DM63:DM259),"")))</f>
        <v>9.6</v>
      </c>
      <c r="DO63" s="12">
        <f>IF('Données projet'!$A$166&gt;35,DO62+DN63-DW62,IF(A63&lt;'Données projet'!$A$166,$DL$205^A63,IF(A63='Données projet'!$A$166,'Données projet'!$B$166,DO62+DN63-DW62)))</f>
        <v>324.00000000000006</v>
      </c>
      <c r="DP63" s="17">
        <f>DO63*VLOOKUP('Données projet'!$B$14,Paramètres!$A$1:$I$89,3,0)*VLOOKUP('Données projet'!$B$14,Paramètres!$A$1:$I$89,5,0)</f>
        <v>193.75200000000004</v>
      </c>
      <c r="DQ63" s="13">
        <f t="shared" si="43"/>
        <v>48.368520355376113</v>
      </c>
      <c r="DR63" s="20">
        <f t="shared" si="16"/>
        <v>421.69323961894679</v>
      </c>
      <c r="DS63" s="59">
        <f t="shared" si="17"/>
        <v>715.02657295228005</v>
      </c>
      <c r="DT63" s="59">
        <f ca="1">AVERAGE(OFFSET($DS$3,0,0,'Données projet'!$E$14+1,1))-AVERAGE(OFFSET($H$3,0,0,'Données projet'!$E$14+1,1))</f>
        <v>165.39579887388538</v>
      </c>
      <c r="DU63" s="59">
        <f t="shared" si="44"/>
        <v>155.89639262545802</v>
      </c>
      <c r="DV63" s="15">
        <f>IF(ISNA(VLOOKUP(A63,'Données projet'!$A$165:$I$185,3,0)),0,VLOOKUP(A63,'Données projet'!$A$165:$I$185,3,0))</f>
        <v>4</v>
      </c>
      <c r="DW63" s="15">
        <f>IF(ISNA(VLOOKUP(A63,'Données projet'!$A$165:$I$185,4,0)),0,VLOOKUP(A63,'Données projet'!$A$165:$I$185,4,0))</f>
        <v>49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>
        <f>EXP(-LN(2)/35)*EA62+(1-EXP(-LN(2)/35))/(LN(2)/35)*DW63*DX63*VLOOKUP('Données projet'!$B$14,Paramètres!$A$1:$I$89,3,0)*0.475*44/12</f>
        <v>0</v>
      </c>
      <c r="EB63" s="21">
        <f>EXP(-LN(2)/25)*EB62+(1-EXP(-LN(2)/25))/(LN(2)/25)*Calculateur!DW63*Calculateur!DY63*VLOOKUP('Données projet'!$B$14,Paramètres!$A$1:$I$89,3,0)*0.475*44/12</f>
        <v>3.1728282397576373</v>
      </c>
      <c r="EC63" s="21">
        <f>EXP(-LN(2)/2)*EC62+(1-EXP(-LN(2)/2))/(LN(2)/2)*DW63*DZ63*VLOOKUP('Données projet'!$B$14,Paramètres!$A$1:$I$89,3,0)*0.475*44/12</f>
        <v>4.2358507493215795E-4</v>
      </c>
      <c r="ED63" s="22">
        <f t="shared" si="18"/>
        <v>3.1732518248325694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>
        <f>VLOOKUP(A63,'Données projet'!$A$191:$I$211,2,0)</f>
        <v>162</v>
      </c>
      <c r="EH63" s="12">
        <f>VLOOKUP(A63,'Données projet'!$A$191:$I$211,9,0)</f>
        <v>5.5</v>
      </c>
      <c r="EI63" s="12">
        <f t="array" ref="EI63">INDEX(EH:EH,MIN(IF(ISNUMBER(EH63:EH259),ROW(EH63:EH259),"")))</f>
        <v>5.5</v>
      </c>
      <c r="EJ63" s="12">
        <f>IF('Données projet'!$A$192&gt;35,EJ62+EI63-ER62,IF(A63&lt;'Données projet'!$A$192,$EG$205^A63,IF(A63='Données projet'!$A$192,'Données projet'!$B$192,EJ62+EI63-ER62)))</f>
        <v>161.99999999999997</v>
      </c>
      <c r="EK63" s="17">
        <f>EJ63*VLOOKUP('Données projet'!$B$15,Paramètres!$A$1:$I$89,3,0)*VLOOKUP('Données projet'!$B$15,Paramètres!$A$1:$I$89,5,0)</f>
        <v>126.35999999999999</v>
      </c>
      <c r="EL63" s="13">
        <f t="shared" si="45"/>
        <v>33.153877056327453</v>
      </c>
      <c r="EM63" s="20">
        <f t="shared" si="19"/>
        <v>277.82000253977026</v>
      </c>
      <c r="EN63" s="59">
        <f t="shared" si="20"/>
        <v>571.15333587310352</v>
      </c>
      <c r="EO63" s="59">
        <f ca="1">AVERAGE(OFFSET($EN$3,0,0,'Données projet'!$E$15+1,1))-AVERAGE(OFFSET($H$3,0,0,'Données projet'!$E$15+1,1))</f>
        <v>104.07220236158577</v>
      </c>
      <c r="EP63" s="59">
        <f t="shared" si="46"/>
        <v>34.162068257911756</v>
      </c>
      <c r="EQ63" s="15">
        <f>IF(ISNA(VLOOKUP(A63,'Données projet'!$A$191:$I$211,3,0)),0,VLOOKUP(A63,'Données projet'!$A$191:$I$211,3,0))</f>
        <v>3</v>
      </c>
      <c r="ER63" s="15">
        <f>IF(ISNA(VLOOKUP(A63,'Données projet'!$A$191:$I$211,4,0)),0,VLOOKUP(A63,'Données projet'!$A$191:$I$211,4,0))</f>
        <v>28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>
        <f>EXP(-LN(2)/35)*EV62+(1-EXP(-LN(2)/35))/(LN(2)/35)*ER63*ES63*VLOOKUP('Données projet'!$B$15,Paramètres!$A$1:$I$89,3,0)*0.475*44/12</f>
        <v>0</v>
      </c>
      <c r="EW63" s="21">
        <f>EXP(-LN(2)/25)*EW62+(1-EXP(-LN(2)/25))/(LN(2)/25)*Calculateur!ER63*Calculateur!ET63*VLOOKUP('Données projet'!$B$15,Paramètres!$A$1:$I$89,3,0)*0.475*44/12</f>
        <v>0</v>
      </c>
      <c r="EX63" s="21">
        <f>EXP(-LN(2)/2)*EX62+(1-EXP(-LN(2)/2))/(LN(2)/2)*ER63*EU63*VLOOKUP('Données projet'!$B$15,Paramètres!$A$1:$I$89,3,0)*0.475*44/12</f>
        <v>0</v>
      </c>
      <c r="EY63" s="22">
        <f t="shared" si="21"/>
        <v>0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5.6843418860808015E-14</v>
      </c>
      <c r="FF63" s="17">
        <f>FE63*VLOOKUP('Données projet'!$B$16,Paramètres!$A$1:$I$89,3,0)*VLOOKUP('Données projet'!$B$16,Paramètres!$A$1:$I$89,5,0)</f>
        <v>5.1431925385259088E-14</v>
      </c>
      <c r="FG63" s="13">
        <f t="shared" si="47"/>
        <v>8.3482866290946129E-13</v>
      </c>
      <c r="FH63" s="20">
        <f t="shared" si="22"/>
        <v>1.5435705246133045E-12</v>
      </c>
      <c r="FI63" s="59">
        <f t="shared" si="23"/>
        <v>293.33333333333485</v>
      </c>
      <c r="FJ63" s="59">
        <f ca="1">AVERAGE(OFFSET($FI$3,0,0,'Données projet'!$E$16+1,1))-AVERAGE(OFFSET($H$3,0,0,'Données projet'!$E$16+1,1))</f>
        <v>179.50097986986123</v>
      </c>
      <c r="FK63" s="59">
        <f t="shared" si="48"/>
        <v>287.11838730637578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>
        <f>EXP(-LN(2)/35)*FQ62+(1-EXP(-LN(2)/35))/(LN(2)/35)*FM63*FN63*VLOOKUP('Données projet'!$B$16,Paramètres!$A$1:$I$89,3,0)*0.475*44/12</f>
        <v>0.34413107849858504</v>
      </c>
      <c r="FR63" s="21">
        <f>EXP(-LN(2)/25)*FR62+(1-EXP(-LN(2)/25))/(LN(2)/25)*Calculateur!FM63*Calculateur!FO63*VLOOKUP('Données projet'!$B$16,Paramètres!$A$1:$I$89,3,0)*0.475*44/12</f>
        <v>2.7394632691773726</v>
      </c>
      <c r="FS63" s="21">
        <f>EXP(-LN(2)/2)*FS62+(1-EXP(-LN(2)/2))/(LN(2)/2)*FM63*FP63*VLOOKUP('Données projet'!$B$16,Paramètres!$A$1:$I$89,3,0)*0.475*44/12</f>
        <v>1.3796374589616488E-4</v>
      </c>
      <c r="FT63" s="22">
        <f t="shared" si="24"/>
        <v>3.0837323114218536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>
        <f>VLOOKUP(A63,'Données projet'!$A$243:$I$263,2,0)</f>
        <v>324</v>
      </c>
      <c r="FX63" s="12">
        <f>VLOOKUP(A63,'Données projet'!$A$243:$I$263,9,0)</f>
        <v>9.6</v>
      </c>
      <c r="FY63" s="12">
        <f t="array" ref="FY63">INDEX(FX:FX,MIN(IF(ISNUMBER(FX63:FX259),ROW(FX63:FX259),"")))</f>
        <v>9.6</v>
      </c>
      <c r="FZ63" s="12">
        <f>IF('Données projet'!$A$244&gt;35,FZ62+FY63-GH62,IF(A63&lt;'Données projet'!$A$244,$FW$205^A63,IF(A63='Données projet'!$A$244,'Données projet'!$B$244,FZ62+FY63-GH62)))</f>
        <v>324.00000000000006</v>
      </c>
      <c r="GA63" s="17">
        <f>FZ63*VLOOKUP('Données projet'!$B$17,Paramètres!$A$1:$I$89,3,0)*VLOOKUP('Données projet'!$B$17,Paramètres!$A$1:$I$89,5,0)</f>
        <v>193.75200000000004</v>
      </c>
      <c r="GB63" s="13">
        <f t="shared" si="49"/>
        <v>48.368520355376113</v>
      </c>
      <c r="GC63" s="20">
        <f t="shared" si="25"/>
        <v>421.69323961894679</v>
      </c>
      <c r="GD63" s="59">
        <f t="shared" si="26"/>
        <v>715.02657295228005</v>
      </c>
      <c r="GE63" s="59">
        <f ca="1">AVERAGE(OFFSET($GD$3,0,0,'Données projet'!$E$17+1,1))-AVERAGE(OFFSET($H$3,0,0,'Données projet'!$E$17+1,1))</f>
        <v>165.39579887388538</v>
      </c>
      <c r="GF63" s="59">
        <f t="shared" si="50"/>
        <v>155.89639262545802</v>
      </c>
      <c r="GG63" s="15">
        <f>IF(ISNA(VLOOKUP(A63,'Données projet'!$A$243:$I$263,3,0)),0,VLOOKUP(A63,'Données projet'!$A$243:$I$263,3,0))</f>
        <v>4</v>
      </c>
      <c r="GH63" s="15">
        <f>IF(ISNA(VLOOKUP(A63,'Données projet'!$A$243:$I$263,4,0)),0,VLOOKUP(A63,'Données projet'!$A$243:$I$263,4,0))</f>
        <v>49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>
        <f>EXP(-LN(2)/35)*GL62+(1-EXP(-LN(2)/35))/(LN(2)/35)*GH63*GI63*VLOOKUP('Données projet'!$B$17,Paramètres!$A$1:$I$89,3,0)*0.475*44/12</f>
        <v>0</v>
      </c>
      <c r="GM63" s="21">
        <f>EXP(-LN(2)/25)*GM62+(1-EXP(-LN(2)/25))/(LN(2)/25)*Calculateur!GH63*Calculateur!GJ63*VLOOKUP('Données projet'!$B$17,Paramètres!$A$1:$I$89,3,0)*0.475*44/12</f>
        <v>3.1728282397576373</v>
      </c>
      <c r="GN63" s="21">
        <f>EXP(-LN(2)/2)*GN62+(1-EXP(-LN(2)/2))/(LN(2)/2)*GH63*GK63*VLOOKUP('Données projet'!$B$17,Paramètres!$A$1:$I$89,3,0)*0.475*44/12</f>
        <v>4.2358507493215795E-4</v>
      </c>
      <c r="GO63" s="21">
        <f t="shared" si="27"/>
        <v>3.1732518248325694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10.6</v>
      </c>
      <c r="N64" s="13">
        <f>IF('Données projet'!$A$36&gt;35,N63+M64-V63,IF(A64&lt;'Données projet'!$A$36,$K$205^A64,IF(A64='Données projet'!$A$36,'Données projet'!$B$36,N63+M64-V63)))</f>
        <v>389.6</v>
      </c>
      <c r="O64" s="13">
        <f>N64*VLOOKUP('Données projet'!$B$9,Paramètres!$A$1:$I$89,3,0)*VLOOKUP('Données projet'!$B$9,Paramètres!$A$1:$I$89,5,0)</f>
        <v>217.78640000000004</v>
      </c>
      <c r="P64" s="13">
        <f t="shared" si="33"/>
        <v>53.633487897074971</v>
      </c>
      <c r="Q64" s="20">
        <f t="shared" si="53"/>
        <v>472.72297142073893</v>
      </c>
      <c r="R64" s="59">
        <f t="shared" si="0"/>
        <v>766.05630475407224</v>
      </c>
      <c r="S64" s="59">
        <f ca="1">AVERAGE(OFFSET($R$3,0,0,'Données projet'!$E$9+1,1))-AVERAGE(OFFSET($H$3,0,0,'Données projet'!$E$9+1,1))</f>
        <v>235.10258076192054</v>
      </c>
      <c r="T64" s="59">
        <f t="shared" si="34"/>
        <v>233.47316052603765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1.8541957115611833</v>
      </c>
      <c r="AA64" s="21">
        <f>EXP(-LN(2)/25)*AA63+(1-EXP(-LN(2)/25))/(LN(2)/25)*Calculateur!V64*Calculateur!X64*VLOOKUP('Données projet'!$B$9,Paramètres!$A$1:$I$89,3,0)*0.475*44/12</f>
        <v>7.8048260801587821</v>
      </c>
      <c r="AB64" s="21">
        <f>EXP(-LN(2)/2)*AB63+(1-EXP(-LN(2)/2))/(LN(2)/2)*V64*Y64*VLOOKUP('Données projet'!$B$9,Paramètres!$A$1:$I$89,3,0)*0.475*44/12</f>
        <v>5.2053489875593698E-4</v>
      </c>
      <c r="AC64" s="22">
        <f t="shared" si="3"/>
        <v>9.6595423266187215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4.3</v>
      </c>
      <c r="AI64" s="13">
        <f>IF('Données projet'!$A$62&gt;35,AI63+AH64-AQ63,IF(A64&lt;'Données projet'!$A$62,$AF$205^A64,IF(A64='Données projet'!$A$62,'Données projet'!$B$62,AI63+AH64-AQ63)))</f>
        <v>184.2999999999997</v>
      </c>
      <c r="AJ64" s="13">
        <f>AI64*VLOOKUP('Données projet'!$B$10,Paramètres!$A$1:$I$89,3,0)*VLOOKUP('Données projet'!$B$10,Paramètres!$A$1:$I$89,5,0)</f>
        <v>161.00447999999975</v>
      </c>
      <c r="AK64" s="13">
        <f t="shared" si="35"/>
        <v>41.068996085697087</v>
      </c>
      <c r="AL64" s="20">
        <f t="shared" si="4"/>
        <v>351.9446375159219</v>
      </c>
      <c r="AM64" s="59">
        <f t="shared" si="5"/>
        <v>645.27797084925521</v>
      </c>
      <c r="AN64" s="59">
        <f ca="1">AVERAGE(OFFSET($AM$3,0,0,'Données projet'!$E$10+1,1))-AVERAGE(OFFSET($H$3,0,0,'Données projet'!$E$10+1,1))</f>
        <v>191.94797389630673</v>
      </c>
      <c r="AO64" s="59">
        <f t="shared" si="36"/>
        <v>273.52540822767878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1.3934561711126479</v>
      </c>
      <c r="AV64" s="21">
        <f>EXP(-LN(2)/25)*AV63+(1-EXP(-LN(2)/25))/(LN(2)/25)*Calculateur!AQ64*Calculateur!AS64*VLOOKUP('Données projet'!$B$10,Paramètres!$A$1:$I$89,3,0)*0.475*44/12</f>
        <v>5.9476030237850619</v>
      </c>
      <c r="AW64" s="21">
        <f>EXP(-LN(2)/2)*AW63+(1-EXP(-LN(2)/2))/(LN(2)/2)*AQ64*AT64*VLOOKUP('Données projet'!$B$10,Paramètres!$A$1:$I$89,3,0)*0.475*44/12</f>
        <v>5.0070322066639241E-4</v>
      </c>
      <c r="AX64" s="21">
        <f t="shared" si="6"/>
        <v>7.3415598981183763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139.19999999999996</v>
      </c>
      <c r="BE64" s="13">
        <f>BD64*VLOOKUP('Données projet'!$B$11,Paramètres!$A$1:$I$89,3,0)*VLOOKUP('Données projet'!$B$11,Paramètres!$A$1:$I$89,5,0)</f>
        <v>125.94815999999997</v>
      </c>
      <c r="BF64" s="13">
        <f t="shared" si="37"/>
        <v>33.058379686398482</v>
      </c>
      <c r="BG64" s="20">
        <f t="shared" si="7"/>
        <v>276.93638995381065</v>
      </c>
      <c r="BH64" s="59">
        <f t="shared" si="8"/>
        <v>570.26972328714396</v>
      </c>
      <c r="BI64" s="59">
        <f ca="1">AVERAGE(OFFSET($BH$3,0,0,'Données projet'!$E$11+1,1))-AVERAGE(OFFSET($H$3,0,0,'Données projet'!$E$11+1,1))</f>
        <v>138.8931001150624</v>
      </c>
      <c r="BJ64" s="59">
        <f t="shared" si="38"/>
        <v>48.964659354096625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139.19999999999996</v>
      </c>
      <c r="BZ64" s="13">
        <f>BY64*VLOOKUP('Données projet'!$B$12,Paramètres!$A$1:$I$89,3,0)*VLOOKUP('Données projet'!$B$12,Paramètres!$A$1:$I$89,5,0)</f>
        <v>141.14879999999997</v>
      </c>
      <c r="CA64" s="13">
        <f t="shared" si="39"/>
        <v>36.560054140504484</v>
      </c>
      <c r="CB64" s="20">
        <f t="shared" si="10"/>
        <v>309.50958762804527</v>
      </c>
      <c r="CC64" s="59">
        <f t="shared" si="11"/>
        <v>602.84292096137858</v>
      </c>
      <c r="CD64" s="59">
        <f ca="1">AVERAGE(OFFSET($CC$3,0,0,'Données projet'!$E$12+1,1))-AVERAGE(OFFSET($H$3,0,0,'Données projet'!$E$12+1,1))</f>
        <v>169.2757878405003</v>
      </c>
      <c r="CE64" s="59">
        <f t="shared" si="40"/>
        <v>61.876502626609977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3.2</v>
      </c>
      <c r="CT64" s="12">
        <f>IF('Données projet'!$A$140&gt;35,CT63+CS64-DB63,IF(A64&lt;'Données projet'!$A$140,$CQ$205^A64,IF(A64='Données projet'!$A$140,'Données projet'!$B$140,CT63+CS64-DB63)))</f>
        <v>188.20000000000002</v>
      </c>
      <c r="CU64" s="17">
        <f>CT64*VLOOKUP('Données projet'!$B$13,Paramètres!$A$1:$I$89,3,0)*VLOOKUP('Données projet'!$B$13,Paramètres!$A$1:$I$89,5,0)</f>
        <v>149.73192000000003</v>
      </c>
      <c r="CV64" s="13">
        <f t="shared" si="41"/>
        <v>38.517657137847586</v>
      </c>
      <c r="CW64" s="20">
        <f t="shared" si="13"/>
        <v>327.86801351508456</v>
      </c>
      <c r="CX64" s="59">
        <f t="shared" si="14"/>
        <v>621.20134684841787</v>
      </c>
      <c r="CY64" s="59">
        <f ca="1">AVERAGE(OFFSET($CX$3,0,0,'Données projet'!$E$13+1,1))-AVERAGE(OFFSET($H$3,0,0,'Données projet'!$E$13+1,1))</f>
        <v>141.12810728817544</v>
      </c>
      <c r="CZ64" s="59">
        <f t="shared" si="42"/>
        <v>176.01405805137551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>
        <f>EXP(-LN(2)/35)*DF63+(1-EXP(-LN(2)/35))/(LN(2)/35)*DB64*DC64*VLOOKUP('Données projet'!$B$13,Paramètres!$A$1:$I$89,3,0)*0.475*44/12</f>
        <v>0</v>
      </c>
      <c r="DG64" s="21">
        <f>EXP(-LN(2)/25)*DG63+(1-EXP(-LN(2)/25))/(LN(2)/25)*Calculateur!DB64*Calculateur!DD64*VLOOKUP('Données projet'!$B$13,Paramètres!$A$1:$I$89,3,0)*0.475*44/12</f>
        <v>2.8461543629119359</v>
      </c>
      <c r="DH64" s="21">
        <f>EXP(-LN(2)/2)*DH63+(1-EXP(-LN(2)/2))/(LN(2)/2)*DB64*DE64*VLOOKUP('Données projet'!$B$13,Paramètres!$A$1:$I$89,3,0)*0.475*44/12</f>
        <v>1.7274552930475939E-4</v>
      </c>
      <c r="DI64" s="22">
        <f t="shared" si="15"/>
        <v>2.8463271084412405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8</v>
      </c>
      <c r="DO64" s="12">
        <f>IF('Données projet'!$A$166&gt;35,DO63+DN64-DW63,IF(A64&lt;'Données projet'!$A$166,$DL$205^A64,IF(A64='Données projet'!$A$166,'Données projet'!$B$166,DO63+DN64-DW63)))</f>
        <v>283.00000000000006</v>
      </c>
      <c r="DP64" s="17">
        <f>DO64*VLOOKUP('Données projet'!$B$14,Paramètres!$A$1:$I$89,3,0)*VLOOKUP('Données projet'!$B$14,Paramètres!$A$1:$I$89,5,0)</f>
        <v>169.23400000000007</v>
      </c>
      <c r="DQ64" s="13">
        <f t="shared" si="43"/>
        <v>42.918420001269354</v>
      </c>
      <c r="DR64" s="20">
        <f t="shared" si="16"/>
        <v>369.49879816887756</v>
      </c>
      <c r="DS64" s="59">
        <f t="shared" si="17"/>
        <v>662.83213150221081</v>
      </c>
      <c r="DT64" s="59">
        <f ca="1">AVERAGE(OFFSET($DS$3,0,0,'Données projet'!$E$14+1,1))-AVERAGE(OFFSET($H$3,0,0,'Données projet'!$E$14+1,1))</f>
        <v>165.39579887388538</v>
      </c>
      <c r="DU64" s="59">
        <f t="shared" si="44"/>
        <v>155.89639262545802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>
        <f>EXP(-LN(2)/35)*EA63+(1-EXP(-LN(2)/35))/(LN(2)/35)*DW64*DX64*VLOOKUP('Données projet'!$B$14,Paramètres!$A$1:$I$89,3,0)*0.475*44/12</f>
        <v>0</v>
      </c>
      <c r="EB64" s="21">
        <f>EXP(-LN(2)/25)*EB63+(1-EXP(-LN(2)/25))/(LN(2)/25)*Calculateur!DW64*Calculateur!DY64*VLOOKUP('Données projet'!$B$14,Paramètres!$A$1:$I$89,3,0)*0.475*44/12</f>
        <v>3.0860670846896792</v>
      </c>
      <c r="EC64" s="21">
        <f>EXP(-LN(2)/2)*EC63+(1-EXP(-LN(2)/2))/(LN(2)/2)*DW64*DZ64*VLOOKUP('Données projet'!$B$14,Paramètres!$A$1:$I$89,3,0)*0.475*44/12</f>
        <v>2.9951987889394074E-4</v>
      </c>
      <c r="ED64" s="22">
        <f t="shared" si="18"/>
        <v>3.0863666045685729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5.2</v>
      </c>
      <c r="EJ64" s="12">
        <f>IF('Données projet'!$A$192&gt;35,EJ63+EI64-ER63,IF(A64&lt;'Données projet'!$A$192,$EG$205^A64,IF(A64='Données projet'!$A$192,'Données projet'!$B$192,EJ63+EI64-ER63)))</f>
        <v>139.19999999999996</v>
      </c>
      <c r="EK64" s="17">
        <f>EJ64*VLOOKUP('Données projet'!$B$15,Paramètres!$A$1:$I$89,3,0)*VLOOKUP('Données projet'!$B$15,Paramètres!$A$1:$I$89,5,0)</f>
        <v>108.57599999999998</v>
      </c>
      <c r="EL64" s="13">
        <f t="shared" si="45"/>
        <v>28.995225061228002</v>
      </c>
      <c r="EM64" s="20">
        <f t="shared" si="19"/>
        <v>239.60321698163872</v>
      </c>
      <c r="EN64" s="59">
        <f t="shared" si="20"/>
        <v>532.93655031497201</v>
      </c>
      <c r="EO64" s="59">
        <f ca="1">AVERAGE(OFFSET($EN$3,0,0,'Données projet'!$E$15+1,1))-AVERAGE(OFFSET($H$3,0,0,'Données projet'!$E$15+1,1))</f>
        <v>104.07220236158577</v>
      </c>
      <c r="EP64" s="59">
        <f t="shared" si="46"/>
        <v>34.162068257911756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>
        <f>EXP(-LN(2)/35)*EV63+(1-EXP(-LN(2)/35))/(LN(2)/35)*ER64*ES64*VLOOKUP('Données projet'!$B$15,Paramètres!$A$1:$I$89,3,0)*0.475*44/12</f>
        <v>0</v>
      </c>
      <c r="EW64" s="21">
        <f>EXP(-LN(2)/25)*EW63+(1-EXP(-LN(2)/25))/(LN(2)/25)*Calculateur!ER64*Calculateur!ET64*VLOOKUP('Données projet'!$B$15,Paramètres!$A$1:$I$89,3,0)*0.475*44/12</f>
        <v>0</v>
      </c>
      <c r="EX64" s="21">
        <f>EXP(-LN(2)/2)*EX63+(1-EXP(-LN(2)/2))/(LN(2)/2)*ER64*EU64*VLOOKUP('Données projet'!$B$15,Paramètres!$A$1:$I$89,3,0)*0.475*44/12</f>
        <v>0</v>
      </c>
      <c r="EY64" s="22">
        <f t="shared" si="21"/>
        <v>0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5.6843418860808015E-14</v>
      </c>
      <c r="FF64" s="17">
        <f>FE64*VLOOKUP('Données projet'!$B$16,Paramètres!$A$1:$I$89,3,0)*VLOOKUP('Données projet'!$B$16,Paramètres!$A$1:$I$89,5,0)</f>
        <v>5.1431925385259088E-14</v>
      </c>
      <c r="FG64" s="13">
        <f t="shared" si="47"/>
        <v>8.3482866290946129E-13</v>
      </c>
      <c r="FH64" s="20">
        <f t="shared" si="22"/>
        <v>1.5435705246133045E-12</v>
      </c>
      <c r="FI64" s="59">
        <f t="shared" si="23"/>
        <v>293.33333333333485</v>
      </c>
      <c r="FJ64" s="59">
        <f ca="1">AVERAGE(OFFSET($FI$3,0,0,'Données projet'!$E$16+1,1))-AVERAGE(OFFSET($H$3,0,0,'Données projet'!$E$16+1,1))</f>
        <v>179.50097986986123</v>
      </c>
      <c r="FK64" s="59">
        <f t="shared" si="48"/>
        <v>287.11838730637578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>
        <f>EXP(-LN(2)/35)*FQ63+(1-EXP(-LN(2)/35))/(LN(2)/35)*FM64*FN64*VLOOKUP('Données projet'!$B$16,Paramètres!$A$1:$I$89,3,0)*0.475*44/12</f>
        <v>0.33738287794845984</v>
      </c>
      <c r="FR64" s="21">
        <f>EXP(-LN(2)/25)*FR63+(1-EXP(-LN(2)/25))/(LN(2)/25)*Calculateur!FM64*Calculateur!FO64*VLOOKUP('Données projet'!$B$16,Paramètres!$A$1:$I$89,3,0)*0.475*44/12</f>
        <v>2.664552502019605</v>
      </c>
      <c r="FS64" s="21">
        <f>EXP(-LN(2)/2)*FS63+(1-EXP(-LN(2)/2))/(LN(2)/2)*FM64*FP64*VLOOKUP('Données projet'!$B$16,Paramètres!$A$1:$I$89,3,0)*0.475*44/12</f>
        <v>9.7555100281075907E-5</v>
      </c>
      <c r="FT64" s="22">
        <f t="shared" si="24"/>
        <v>3.0020329350683461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8</v>
      </c>
      <c r="FZ64" s="12">
        <f>IF('Données projet'!$A$244&gt;35,FZ63+FY64-GH63,IF(A64&lt;'Données projet'!$A$244,$FW$205^A64,IF(A64='Données projet'!$A$244,'Données projet'!$B$244,FZ63+FY64-GH63)))</f>
        <v>283.00000000000006</v>
      </c>
      <c r="GA64" s="17">
        <f>FZ64*VLOOKUP('Données projet'!$B$17,Paramètres!$A$1:$I$89,3,0)*VLOOKUP('Données projet'!$B$17,Paramètres!$A$1:$I$89,5,0)</f>
        <v>169.23400000000007</v>
      </c>
      <c r="GB64" s="13">
        <f t="shared" si="49"/>
        <v>42.918420001269354</v>
      </c>
      <c r="GC64" s="20">
        <f t="shared" si="25"/>
        <v>369.49879816887756</v>
      </c>
      <c r="GD64" s="59">
        <f t="shared" si="26"/>
        <v>662.83213150221081</v>
      </c>
      <c r="GE64" s="59">
        <f ca="1">AVERAGE(OFFSET($GD$3,0,0,'Données projet'!$E$17+1,1))-AVERAGE(OFFSET($H$3,0,0,'Données projet'!$E$17+1,1))</f>
        <v>165.39579887388538</v>
      </c>
      <c r="GF64" s="59">
        <f t="shared" si="50"/>
        <v>155.89639262545802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>
        <f>EXP(-LN(2)/35)*GL63+(1-EXP(-LN(2)/35))/(LN(2)/35)*GH64*GI64*VLOOKUP('Données projet'!$B$17,Paramètres!$A$1:$I$89,3,0)*0.475*44/12</f>
        <v>0</v>
      </c>
      <c r="GM64" s="21">
        <f>EXP(-LN(2)/25)*GM63+(1-EXP(-LN(2)/25))/(LN(2)/25)*Calculateur!GH64*Calculateur!GJ64*VLOOKUP('Données projet'!$B$17,Paramètres!$A$1:$I$89,3,0)*0.475*44/12</f>
        <v>3.0860670846896792</v>
      </c>
      <c r="GN64" s="21">
        <f>EXP(-LN(2)/2)*GN63+(1-EXP(-LN(2)/2))/(LN(2)/2)*GH64*GK64*VLOOKUP('Données projet'!$B$17,Paramètres!$A$1:$I$89,3,0)*0.475*44/12</f>
        <v>2.9951987889394074E-4</v>
      </c>
      <c r="GO64" s="21">
        <f t="shared" si="27"/>
        <v>3.0863666045685729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10.6</v>
      </c>
      <c r="N65" s="13">
        <f>IF('Données projet'!$A$36&gt;35,N64+M65-V64,IF(A65&lt;'Données projet'!$A$36,$K$205^A65,IF(A65='Données projet'!$A$36,'Données projet'!$B$36,N64+M65-V64)))</f>
        <v>400.20000000000005</v>
      </c>
      <c r="O65" s="13">
        <f>N65*VLOOKUP('Données projet'!$B$9,Paramètres!$A$1:$I$89,3,0)*VLOOKUP('Données projet'!$B$9,Paramètres!$A$1:$I$89,5,0)</f>
        <v>223.71180000000001</v>
      </c>
      <c r="P65" s="13">
        <f t="shared" si="33"/>
        <v>54.920839869581336</v>
      </c>
      <c r="Q65" s="20">
        <f t="shared" si="53"/>
        <v>485.28518110618751</v>
      </c>
      <c r="R65" s="59">
        <f t="shared" si="0"/>
        <v>778.61851443952082</v>
      </c>
      <c r="S65" s="59">
        <f ca="1">AVERAGE(OFFSET($R$3,0,0,'Données projet'!$E$9+1,1))-AVERAGE(OFFSET($H$3,0,0,'Données projet'!$E$9+1,1))</f>
        <v>235.10258076192054</v>
      </c>
      <c r="T65" s="59">
        <f t="shared" si="34"/>
        <v>233.47316052603765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1.8178360646051808</v>
      </c>
      <c r="AA65" s="21">
        <f>EXP(-LN(2)/25)*AA64+(1-EXP(-LN(2)/25))/(LN(2)/25)*Calculateur!V65*Calculateur!X65*VLOOKUP('Données projet'!$B$9,Paramètres!$A$1:$I$89,3,0)*0.475*44/12</f>
        <v>7.5914027005588745</v>
      </c>
      <c r="AB65" s="21">
        <f>EXP(-LN(2)/2)*AB64+(1-EXP(-LN(2)/2))/(LN(2)/2)*V65*Y65*VLOOKUP('Données projet'!$B$9,Paramètres!$A$1:$I$89,3,0)*0.475*44/12</f>
        <v>3.6807375675457601E-4</v>
      </c>
      <c r="AC65" s="22">
        <f t="shared" si="3"/>
        <v>9.4096068389208103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4.3</v>
      </c>
      <c r="AI65" s="13">
        <f>IF('Données projet'!$A$62&gt;35,AI64+AH65-AQ64,IF(A65&lt;'Données projet'!$A$62,$AF$205^A65,IF(A65='Données projet'!$A$62,'Données projet'!$B$62,AI64+AH65-AQ64)))</f>
        <v>188.59999999999971</v>
      </c>
      <c r="AJ65" s="13">
        <f>AI65*VLOOKUP('Données projet'!$B$10,Paramètres!$A$1:$I$89,3,0)*VLOOKUP('Données projet'!$B$10,Paramètres!$A$1:$I$89,5,0)</f>
        <v>164.76095999999976</v>
      </c>
      <c r="AK65" s="13">
        <f t="shared" si="35"/>
        <v>41.914523809719867</v>
      </c>
      <c r="AL65" s="20">
        <f t="shared" si="4"/>
        <v>359.95980096859495</v>
      </c>
      <c r="AM65" s="59">
        <f t="shared" si="5"/>
        <v>653.29313430192826</v>
      </c>
      <c r="AN65" s="59">
        <f ca="1">AVERAGE(OFFSET($AM$3,0,0,'Données projet'!$E$10+1,1))-AVERAGE(OFFSET($H$3,0,0,'Données projet'!$E$10+1,1))</f>
        <v>191.94797389630673</v>
      </c>
      <c r="AO65" s="59">
        <f t="shared" si="36"/>
        <v>273.52540822767878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1.3661313455214701</v>
      </c>
      <c r="AV65" s="21">
        <f>EXP(-LN(2)/25)*AV64+(1-EXP(-LN(2)/25))/(LN(2)/25)*Calculateur!AQ65*Calculateur!AS65*VLOOKUP('Données projet'!$B$10,Paramètres!$A$1:$I$89,3,0)*0.475*44/12</f>
        <v>5.7849655063288097</v>
      </c>
      <c r="AW65" s="21">
        <f>EXP(-LN(2)/2)*AW64+(1-EXP(-LN(2)/2))/(LN(2)/2)*AQ65*AT65*VLOOKUP('Données projet'!$B$10,Paramètres!$A$1:$I$89,3,0)*0.475*44/12</f>
        <v>3.5405064269515037E-4</v>
      </c>
      <c r="AX65" s="21">
        <f t="shared" si="6"/>
        <v>7.1514509024929751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144.39999999999995</v>
      </c>
      <c r="BE65" s="13">
        <f>BD65*VLOOKUP('Données projet'!$B$11,Paramètres!$A$1:$I$89,3,0)*VLOOKUP('Données projet'!$B$11,Paramètres!$A$1:$I$89,5,0)</f>
        <v>130.65311999999994</v>
      </c>
      <c r="BF65" s="13">
        <f t="shared" si="37"/>
        <v>34.147232142951147</v>
      </c>
      <c r="BG65" s="20">
        <f t="shared" si="7"/>
        <v>287.02727998230642</v>
      </c>
      <c r="BH65" s="59">
        <f t="shared" si="8"/>
        <v>580.36061331563974</v>
      </c>
      <c r="BI65" s="59">
        <f ca="1">AVERAGE(OFFSET($BH$3,0,0,'Données projet'!$E$11+1,1))-AVERAGE(OFFSET($H$3,0,0,'Données projet'!$E$11+1,1))</f>
        <v>138.8931001150624</v>
      </c>
      <c r="BJ65" s="59">
        <f t="shared" si="38"/>
        <v>48.964659354096625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144.39999999999995</v>
      </c>
      <c r="BZ65" s="13">
        <f>BY65*VLOOKUP('Données projet'!$B$12,Paramètres!$A$1:$I$89,3,0)*VLOOKUP('Données projet'!$B$12,Paramètres!$A$1:$I$89,5,0)</f>
        <v>146.42159999999996</v>
      </c>
      <c r="CA65" s="13">
        <f t="shared" si="39"/>
        <v>37.764242160008784</v>
      </c>
      <c r="CB65" s="20">
        <f t="shared" si="10"/>
        <v>320.7903417620152</v>
      </c>
      <c r="CC65" s="59">
        <f t="shared" si="11"/>
        <v>614.12367509534852</v>
      </c>
      <c r="CD65" s="59">
        <f ca="1">AVERAGE(OFFSET($CC$3,0,0,'Données projet'!$E$12+1,1))-AVERAGE(OFFSET($H$3,0,0,'Données projet'!$E$12+1,1))</f>
        <v>169.2757878405003</v>
      </c>
      <c r="CE65" s="59">
        <f t="shared" si="40"/>
        <v>61.876502626609977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3.2</v>
      </c>
      <c r="CT65" s="12">
        <f>IF('Données projet'!$A$140&gt;35,CT64+CS65-DB64,IF(A65&lt;'Données projet'!$A$140,$CQ$205^A65,IF(A65='Données projet'!$A$140,'Données projet'!$B$140,CT64+CS65-DB64)))</f>
        <v>191.4</v>
      </c>
      <c r="CU65" s="17">
        <f>CT65*VLOOKUP('Données projet'!$B$13,Paramètres!$A$1:$I$89,3,0)*VLOOKUP('Données projet'!$B$13,Paramètres!$A$1:$I$89,5,0)</f>
        <v>152.27784000000003</v>
      </c>
      <c r="CV65" s="13">
        <f t="shared" si="41"/>
        <v>39.09577800165539</v>
      </c>
      <c r="CW65" s="20">
        <f t="shared" si="13"/>
        <v>333.30905135288316</v>
      </c>
      <c r="CX65" s="59">
        <f t="shared" si="14"/>
        <v>626.64238468621647</v>
      </c>
      <c r="CY65" s="59">
        <f ca="1">AVERAGE(OFFSET($CX$3,0,0,'Données projet'!$E$13+1,1))-AVERAGE(OFFSET($H$3,0,0,'Données projet'!$E$13+1,1))</f>
        <v>141.12810728817544</v>
      </c>
      <c r="CZ65" s="59">
        <f t="shared" si="42"/>
        <v>176.01405805137551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>
        <f>EXP(-LN(2)/35)*DF64+(1-EXP(-LN(2)/35))/(LN(2)/35)*DB65*DC65*VLOOKUP('Données projet'!$B$13,Paramètres!$A$1:$I$89,3,0)*0.475*44/12</f>
        <v>0</v>
      </c>
      <c r="DG65" s="21">
        <f>EXP(-LN(2)/25)*DG64+(1-EXP(-LN(2)/25))/(LN(2)/25)*Calculateur!DB65*Calculateur!DD65*VLOOKUP('Données projet'!$B$13,Paramètres!$A$1:$I$89,3,0)*0.475*44/12</f>
        <v>2.7683261221853561</v>
      </c>
      <c r="DH65" s="21">
        <f>EXP(-LN(2)/2)*DH64+(1-EXP(-LN(2)/2))/(LN(2)/2)*DB65*DE65*VLOOKUP('Données projet'!$B$13,Paramètres!$A$1:$I$89,3,0)*0.475*44/12</f>
        <v>1.2214953519105483E-4</v>
      </c>
      <c r="DI65" s="22">
        <f t="shared" si="15"/>
        <v>2.7684482717205472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8</v>
      </c>
      <c r="DO65" s="12">
        <f>IF('Données projet'!$A$166&gt;35,DO64+DN65-DW64,IF(A65&lt;'Données projet'!$A$166,$DL$205^A65,IF(A65='Données projet'!$A$166,'Données projet'!$B$166,DO64+DN65-DW64)))</f>
        <v>291.00000000000006</v>
      </c>
      <c r="DP65" s="17">
        <f>DO65*VLOOKUP('Données projet'!$B$14,Paramètres!$A$1:$I$89,3,0)*VLOOKUP('Données projet'!$B$14,Paramètres!$A$1:$I$89,5,0)</f>
        <v>174.01800000000006</v>
      </c>
      <c r="DQ65" s="13">
        <f t="shared" si="43"/>
        <v>43.988694800618951</v>
      </c>
      <c r="DR65" s="20">
        <f t="shared" si="16"/>
        <v>379.69499344441147</v>
      </c>
      <c r="DS65" s="59">
        <f t="shared" si="17"/>
        <v>673.02832677774472</v>
      </c>
      <c r="DT65" s="59">
        <f ca="1">AVERAGE(OFFSET($DS$3,0,0,'Données projet'!$E$14+1,1))-AVERAGE(OFFSET($H$3,0,0,'Données projet'!$E$14+1,1))</f>
        <v>165.39579887388538</v>
      </c>
      <c r="DU65" s="59">
        <f t="shared" si="44"/>
        <v>155.89639262545802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>
        <f>EXP(-LN(2)/35)*EA64+(1-EXP(-LN(2)/35))/(LN(2)/35)*DW65*DX65*VLOOKUP('Données projet'!$B$14,Paramètres!$A$1:$I$89,3,0)*0.475*44/12</f>
        <v>0</v>
      </c>
      <c r="EB65" s="21">
        <f>EXP(-LN(2)/25)*EB64+(1-EXP(-LN(2)/25))/(LN(2)/25)*Calculateur!DW65*Calculateur!DY65*VLOOKUP('Données projet'!$B$14,Paramètres!$A$1:$I$89,3,0)*0.475*44/12</f>
        <v>3.0016784179696252</v>
      </c>
      <c r="EC65" s="21">
        <f>EXP(-LN(2)/2)*EC64+(1-EXP(-LN(2)/2))/(LN(2)/2)*DW65*DZ65*VLOOKUP('Données projet'!$B$14,Paramètres!$A$1:$I$89,3,0)*0.475*44/12</f>
        <v>2.1179253746607897E-4</v>
      </c>
      <c r="ED65" s="22">
        <f t="shared" si="18"/>
        <v>3.0018902105070913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5.2</v>
      </c>
      <c r="EJ65" s="12">
        <f>IF('Données projet'!$A$192&gt;35,EJ64+EI65-ER64,IF(A65&lt;'Données projet'!$A$192,$EG$205^A65,IF(A65='Données projet'!$A$192,'Données projet'!$B$192,EJ64+EI65-ER64)))</f>
        <v>144.39999999999995</v>
      </c>
      <c r="EK65" s="17">
        <f>EJ65*VLOOKUP('Données projet'!$B$15,Paramètres!$A$1:$I$89,3,0)*VLOOKUP('Données projet'!$B$15,Paramètres!$A$1:$I$89,5,0)</f>
        <v>112.63199999999996</v>
      </c>
      <c r="EL65" s="13">
        <f t="shared" si="45"/>
        <v>29.950248336286034</v>
      </c>
      <c r="EM65" s="20">
        <f t="shared" si="19"/>
        <v>248.3307491856981</v>
      </c>
      <c r="EN65" s="59">
        <f t="shared" si="20"/>
        <v>541.66408251903135</v>
      </c>
      <c r="EO65" s="59">
        <f ca="1">AVERAGE(OFFSET($EN$3,0,0,'Données projet'!$E$15+1,1))-AVERAGE(OFFSET($H$3,0,0,'Données projet'!$E$15+1,1))</f>
        <v>104.07220236158577</v>
      </c>
      <c r="EP65" s="59">
        <f t="shared" si="46"/>
        <v>34.162068257911756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>
        <f>EXP(-LN(2)/35)*EV64+(1-EXP(-LN(2)/35))/(LN(2)/35)*ER65*ES65*VLOOKUP('Données projet'!$B$15,Paramètres!$A$1:$I$89,3,0)*0.475*44/12</f>
        <v>0</v>
      </c>
      <c r="EW65" s="21">
        <f>EXP(-LN(2)/25)*EW64+(1-EXP(-LN(2)/25))/(LN(2)/25)*Calculateur!ER65*Calculateur!ET65*VLOOKUP('Données projet'!$B$15,Paramètres!$A$1:$I$89,3,0)*0.475*44/12</f>
        <v>0</v>
      </c>
      <c r="EX65" s="21">
        <f>EXP(-LN(2)/2)*EX64+(1-EXP(-LN(2)/2))/(LN(2)/2)*ER65*EU65*VLOOKUP('Données projet'!$B$15,Paramètres!$A$1:$I$89,3,0)*0.475*44/12</f>
        <v>0</v>
      </c>
      <c r="EY65" s="22">
        <f t="shared" si="21"/>
        <v>0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5.6843418860808015E-14</v>
      </c>
      <c r="FF65" s="17">
        <f>FE65*VLOOKUP('Données projet'!$B$16,Paramètres!$A$1:$I$89,3,0)*VLOOKUP('Données projet'!$B$16,Paramètres!$A$1:$I$89,5,0)</f>
        <v>5.1431925385259088E-14</v>
      </c>
      <c r="FG65" s="13">
        <f t="shared" si="47"/>
        <v>8.3482866290946129E-13</v>
      </c>
      <c r="FH65" s="20">
        <f t="shared" si="22"/>
        <v>1.5435705246133045E-12</v>
      </c>
      <c r="FI65" s="59">
        <f t="shared" si="23"/>
        <v>293.33333333333485</v>
      </c>
      <c r="FJ65" s="59">
        <f ca="1">AVERAGE(OFFSET($FI$3,0,0,'Données projet'!$E$16+1,1))-AVERAGE(OFFSET($H$3,0,0,'Données projet'!$E$16+1,1))</f>
        <v>179.50097986986123</v>
      </c>
      <c r="FK65" s="59">
        <f t="shared" si="48"/>
        <v>287.11838730637578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>
        <f>EXP(-LN(2)/35)*FQ64+(1-EXP(-LN(2)/35))/(LN(2)/35)*FM65*FN65*VLOOKUP('Données projet'!$B$16,Paramètres!$A$1:$I$89,3,0)*0.475*44/12</f>
        <v>0.33076700549512666</v>
      </c>
      <c r="FR65" s="21">
        <f>EXP(-LN(2)/25)*FR64+(1-EXP(-LN(2)/25))/(LN(2)/25)*Calculateur!FM65*Calculateur!FO65*VLOOKUP('Données projet'!$B$16,Paramètres!$A$1:$I$89,3,0)*0.475*44/12</f>
        <v>2.5916901737291527</v>
      </c>
      <c r="FS65" s="21">
        <f>EXP(-LN(2)/2)*FS64+(1-EXP(-LN(2)/2))/(LN(2)/2)*FM65*FP65*VLOOKUP('Données projet'!$B$16,Paramètres!$A$1:$I$89,3,0)*0.475*44/12</f>
        <v>6.8981872948082441E-5</v>
      </c>
      <c r="FT65" s="22">
        <f t="shared" si="24"/>
        <v>2.9225261610972275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8</v>
      </c>
      <c r="FZ65" s="12">
        <f>IF('Données projet'!$A$244&gt;35,FZ64+FY65-GH64,IF(A65&lt;'Données projet'!$A$244,$FW$205^A65,IF(A65='Données projet'!$A$244,'Données projet'!$B$244,FZ64+FY65-GH64)))</f>
        <v>291.00000000000006</v>
      </c>
      <c r="GA65" s="17">
        <f>FZ65*VLOOKUP('Données projet'!$B$17,Paramètres!$A$1:$I$89,3,0)*VLOOKUP('Données projet'!$B$17,Paramètres!$A$1:$I$89,5,0)</f>
        <v>174.01800000000006</v>
      </c>
      <c r="GB65" s="13">
        <f t="shared" si="49"/>
        <v>43.988694800618951</v>
      </c>
      <c r="GC65" s="20">
        <f t="shared" si="25"/>
        <v>379.69499344441147</v>
      </c>
      <c r="GD65" s="59">
        <f t="shared" si="26"/>
        <v>673.02832677774472</v>
      </c>
      <c r="GE65" s="59">
        <f ca="1">AVERAGE(OFFSET($GD$3,0,0,'Données projet'!$E$17+1,1))-AVERAGE(OFFSET($H$3,0,0,'Données projet'!$E$17+1,1))</f>
        <v>165.39579887388538</v>
      </c>
      <c r="GF65" s="59">
        <f t="shared" si="50"/>
        <v>155.89639262545802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>
        <f>EXP(-LN(2)/35)*GL64+(1-EXP(-LN(2)/35))/(LN(2)/35)*GH65*GI65*VLOOKUP('Données projet'!$B$17,Paramètres!$A$1:$I$89,3,0)*0.475*44/12</f>
        <v>0</v>
      </c>
      <c r="GM65" s="21">
        <f>EXP(-LN(2)/25)*GM64+(1-EXP(-LN(2)/25))/(LN(2)/25)*Calculateur!GH65*Calculateur!GJ65*VLOOKUP('Données projet'!$B$17,Paramètres!$A$1:$I$89,3,0)*0.475*44/12</f>
        <v>3.0016784179696252</v>
      </c>
      <c r="GN65" s="21">
        <f>EXP(-LN(2)/2)*GN64+(1-EXP(-LN(2)/2))/(LN(2)/2)*GH65*GK65*VLOOKUP('Données projet'!$B$17,Paramètres!$A$1:$I$89,3,0)*0.475*44/12</f>
        <v>2.1179253746607897E-4</v>
      </c>
      <c r="GO65" s="21">
        <f t="shared" si="27"/>
        <v>3.0018902105070913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10.6</v>
      </c>
      <c r="N66" s="13">
        <f>IF('Données projet'!$A$36&gt;35,N65+M66-V65,IF(A66&lt;'Données projet'!$A$36,$K$205^A66,IF(A66='Données projet'!$A$36,'Données projet'!$B$36,N65+M66-V65)))</f>
        <v>410.80000000000007</v>
      </c>
      <c r="O66" s="13">
        <f>N66*VLOOKUP('Données projet'!$B$9,Paramètres!$A$1:$I$89,3,0)*VLOOKUP('Données projet'!$B$9,Paramètres!$A$1:$I$89,5,0)</f>
        <v>229.63720000000006</v>
      </c>
      <c r="P66" s="13">
        <f t="shared" si="33"/>
        <v>56.204228482988938</v>
      </c>
      <c r="Q66" s="20">
        <f t="shared" si="53"/>
        <v>497.84048794120577</v>
      </c>
      <c r="R66" s="59">
        <f t="shared" si="0"/>
        <v>791.17382127453902</v>
      </c>
      <c r="S66" s="59">
        <f ca="1">AVERAGE(OFFSET($R$3,0,0,'Données projet'!$E$9+1,1))-AVERAGE(OFFSET($H$3,0,0,'Données projet'!$E$9+1,1))</f>
        <v>235.10258076192054</v>
      </c>
      <c r="T66" s="59">
        <f t="shared" si="34"/>
        <v>233.47316052603765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1.7821894081487906</v>
      </c>
      <c r="AA66" s="21">
        <f>EXP(-LN(2)/25)*AA65+(1-EXP(-LN(2)/25))/(LN(2)/25)*Calculateur!V66*Calculateur!X66*VLOOKUP('Données projet'!$B$9,Paramètres!$A$1:$I$89,3,0)*0.475*44/12</f>
        <v>7.3838153944975744</v>
      </c>
      <c r="AB66" s="21">
        <f>EXP(-LN(2)/2)*AB65+(1-EXP(-LN(2)/2))/(LN(2)/2)*V66*Y66*VLOOKUP('Données projet'!$B$9,Paramètres!$A$1:$I$89,3,0)*0.475*44/12</f>
        <v>2.6026744937796849E-4</v>
      </c>
      <c r="AC66" s="22">
        <f t="shared" si="3"/>
        <v>9.1662650700957418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4.3</v>
      </c>
      <c r="AI66" s="13">
        <f>IF('Données projet'!$A$62&gt;35,AI65+AH66-AQ65,IF(A66&lt;'Données projet'!$A$62,$AF$205^A66,IF(A66='Données projet'!$A$62,'Données projet'!$B$62,AI65+AH66-AQ65)))</f>
        <v>192.89999999999972</v>
      </c>
      <c r="AJ66" s="13">
        <f>AI66*VLOOKUP('Données projet'!$B$10,Paramètres!$A$1:$I$89,3,0)*VLOOKUP('Données projet'!$B$10,Paramètres!$A$1:$I$89,5,0)</f>
        <v>168.51743999999979</v>
      </c>
      <c r="AK66" s="13">
        <f t="shared" si="35"/>
        <v>42.757810382238745</v>
      </c>
      <c r="AL66" s="20">
        <f t="shared" si="4"/>
        <v>367.97106108239876</v>
      </c>
      <c r="AM66" s="59">
        <f t="shared" si="5"/>
        <v>661.30439441573208</v>
      </c>
      <c r="AN66" s="59">
        <f ca="1">AVERAGE(OFFSET($AM$3,0,0,'Données projet'!$E$10+1,1))-AVERAGE(OFFSET($H$3,0,0,'Données projet'!$E$10+1,1))</f>
        <v>191.94797389630673</v>
      </c>
      <c r="AO66" s="59">
        <f t="shared" si="36"/>
        <v>273.52540822767878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1.3393423430936375</v>
      </c>
      <c r="AV66" s="21">
        <f>EXP(-LN(2)/25)*AV65+(1-EXP(-LN(2)/25))/(LN(2)/25)*Calculateur!AQ66*Calculateur!AS66*VLOOKUP('Données projet'!$B$10,Paramètres!$A$1:$I$89,3,0)*0.475*44/12</f>
        <v>5.6267753203401343</v>
      </c>
      <c r="AW66" s="21">
        <f>EXP(-LN(2)/2)*AW65+(1-EXP(-LN(2)/2))/(LN(2)/2)*AQ66*AT66*VLOOKUP('Données projet'!$B$10,Paramètres!$A$1:$I$89,3,0)*0.475*44/12</f>
        <v>2.503516103331962E-4</v>
      </c>
      <c r="AX66" s="21">
        <f t="shared" si="6"/>
        <v>6.9663680150441047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149.59999999999994</v>
      </c>
      <c r="BE66" s="13">
        <f>BD66*VLOOKUP('Données projet'!$B$11,Paramètres!$A$1:$I$89,3,0)*VLOOKUP('Données projet'!$B$11,Paramètres!$A$1:$I$89,5,0)</f>
        <v>135.35807999999994</v>
      </c>
      <c r="BF66" s="13">
        <f t="shared" si="37"/>
        <v>35.231528980112806</v>
      </c>
      <c r="BG66" s="20">
        <f t="shared" si="7"/>
        <v>297.11023564036304</v>
      </c>
      <c r="BH66" s="59">
        <f t="shared" si="8"/>
        <v>590.4435689736963</v>
      </c>
      <c r="BI66" s="59">
        <f ca="1">AVERAGE(OFFSET($BH$3,0,0,'Données projet'!$E$11+1,1))-AVERAGE(OFFSET($H$3,0,0,'Données projet'!$E$11+1,1))</f>
        <v>138.8931001150624</v>
      </c>
      <c r="BJ66" s="59">
        <f t="shared" si="38"/>
        <v>48.964659354096625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149.59999999999994</v>
      </c>
      <c r="BZ66" s="13">
        <f>BY66*VLOOKUP('Données projet'!$B$12,Paramètres!$A$1:$I$89,3,0)*VLOOKUP('Données projet'!$B$12,Paramètres!$A$1:$I$89,5,0)</f>
        <v>151.69439999999994</v>
      </c>
      <c r="CA66" s="13">
        <f t="shared" si="39"/>
        <v>38.963392010880654</v>
      </c>
      <c r="CB66" s="20">
        <f t="shared" si="10"/>
        <v>332.06232108561704</v>
      </c>
      <c r="CC66" s="59">
        <f t="shared" si="11"/>
        <v>625.39565441895036</v>
      </c>
      <c r="CD66" s="59">
        <f ca="1">AVERAGE(OFFSET($CC$3,0,0,'Données projet'!$E$12+1,1))-AVERAGE(OFFSET($H$3,0,0,'Données projet'!$E$12+1,1))</f>
        <v>169.2757878405003</v>
      </c>
      <c r="CE66" s="59">
        <f t="shared" si="40"/>
        <v>61.876502626609977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3.2</v>
      </c>
      <c r="CT66" s="12">
        <f>IF('Données projet'!$A$140&gt;35,CT65+CS66-DB65,IF(A66&lt;'Données projet'!$A$140,$CQ$205^A66,IF(A66='Données projet'!$A$140,'Données projet'!$B$140,CT65+CS66-DB65)))</f>
        <v>194.6</v>
      </c>
      <c r="CU66" s="17">
        <f>CT66*VLOOKUP('Données projet'!$B$13,Paramètres!$A$1:$I$89,3,0)*VLOOKUP('Données projet'!$B$13,Paramètres!$A$1:$I$89,5,0)</f>
        <v>154.82375999999999</v>
      </c>
      <c r="CV66" s="13">
        <f t="shared" si="41"/>
        <v>39.672774833809314</v>
      </c>
      <c r="CW66" s="20">
        <f t="shared" si="13"/>
        <v>338.74813150221786</v>
      </c>
      <c r="CX66" s="59">
        <f t="shared" si="14"/>
        <v>632.08146483555117</v>
      </c>
      <c r="CY66" s="59">
        <f ca="1">AVERAGE(OFFSET($CX$3,0,0,'Données projet'!$E$13+1,1))-AVERAGE(OFFSET($H$3,0,0,'Données projet'!$E$13+1,1))</f>
        <v>141.12810728817544</v>
      </c>
      <c r="CZ66" s="59">
        <f t="shared" si="42"/>
        <v>176.01405805137551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>
        <f>EXP(-LN(2)/35)*DF65+(1-EXP(-LN(2)/35))/(LN(2)/35)*DB66*DC66*VLOOKUP('Données projet'!$B$13,Paramètres!$A$1:$I$89,3,0)*0.475*44/12</f>
        <v>0</v>
      </c>
      <c r="DG66" s="21">
        <f>EXP(-LN(2)/25)*DG65+(1-EXP(-LN(2)/25))/(LN(2)/25)*Calculateur!DB66*Calculateur!DD66*VLOOKUP('Données projet'!$B$13,Paramètres!$A$1:$I$89,3,0)*0.475*44/12</f>
        <v>2.6926260987942539</v>
      </c>
      <c r="DH66" s="21">
        <f>EXP(-LN(2)/2)*DH65+(1-EXP(-LN(2)/2))/(LN(2)/2)*DB66*DE66*VLOOKUP('Données projet'!$B$13,Paramètres!$A$1:$I$89,3,0)*0.475*44/12</f>
        <v>8.6372764652379696E-5</v>
      </c>
      <c r="DI66" s="22">
        <f t="shared" si="15"/>
        <v>2.6927124715589064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8</v>
      </c>
      <c r="DO66" s="12">
        <f>IF('Données projet'!$A$166&gt;35,DO65+DN66-DW65,IF(A66&lt;'Données projet'!$A$166,$DL$205^A66,IF(A66='Données projet'!$A$166,'Données projet'!$B$166,DO65+DN66-DW65)))</f>
        <v>299.00000000000006</v>
      </c>
      <c r="DP66" s="17">
        <f>DO66*VLOOKUP('Données projet'!$B$14,Paramètres!$A$1:$I$89,3,0)*VLOOKUP('Données projet'!$B$14,Paramètres!$A$1:$I$89,5,0)</f>
        <v>178.80200000000002</v>
      </c>
      <c r="DQ66" s="13">
        <f t="shared" si="43"/>
        <v>45.055549739375941</v>
      </c>
      <c r="DR66" s="20">
        <f t="shared" si="16"/>
        <v>389.88523246274644</v>
      </c>
      <c r="DS66" s="59">
        <f t="shared" si="17"/>
        <v>683.2185657960797</v>
      </c>
      <c r="DT66" s="59">
        <f ca="1">AVERAGE(OFFSET($DS$3,0,0,'Données projet'!$E$14+1,1))-AVERAGE(OFFSET($H$3,0,0,'Données projet'!$E$14+1,1))</f>
        <v>165.39579887388538</v>
      </c>
      <c r="DU66" s="59">
        <f t="shared" si="44"/>
        <v>155.89639262545802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>
        <f>EXP(-LN(2)/35)*EA65+(1-EXP(-LN(2)/35))/(LN(2)/35)*DW66*DX66*VLOOKUP('Données projet'!$B$14,Paramètres!$A$1:$I$89,3,0)*0.475*44/12</f>
        <v>0</v>
      </c>
      <c r="EB66" s="21">
        <f>EXP(-LN(2)/25)*EB65+(1-EXP(-LN(2)/25))/(LN(2)/25)*Calculateur!DW66*Calculateur!DY66*VLOOKUP('Données projet'!$B$14,Paramètres!$A$1:$I$89,3,0)*0.475*44/12</f>
        <v>2.9195973637788382</v>
      </c>
      <c r="EC66" s="21">
        <f>EXP(-LN(2)/2)*EC65+(1-EXP(-LN(2)/2))/(LN(2)/2)*DW66*DZ66*VLOOKUP('Données projet'!$B$14,Paramètres!$A$1:$I$89,3,0)*0.475*44/12</f>
        <v>1.4975993944697037E-4</v>
      </c>
      <c r="ED66" s="22">
        <f t="shared" si="18"/>
        <v>2.919747123718285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5.2</v>
      </c>
      <c r="EJ66" s="12">
        <f>IF('Données projet'!$A$192&gt;35,EJ65+EI66-ER65,IF(A66&lt;'Données projet'!$A$192,$EG$205^A66,IF(A66='Données projet'!$A$192,'Données projet'!$B$192,EJ65+EI66-ER65)))</f>
        <v>149.59999999999994</v>
      </c>
      <c r="EK66" s="17">
        <f>EJ66*VLOOKUP('Données projet'!$B$15,Paramètres!$A$1:$I$89,3,0)*VLOOKUP('Données projet'!$B$15,Paramètres!$A$1:$I$89,5,0)</f>
        <v>116.68799999999996</v>
      </c>
      <c r="EL66" s="13">
        <f t="shared" si="45"/>
        <v>30.901275916128835</v>
      </c>
      <c r="EM66" s="20">
        <f t="shared" si="19"/>
        <v>257.05132222059098</v>
      </c>
      <c r="EN66" s="59">
        <f t="shared" si="20"/>
        <v>550.38465555392429</v>
      </c>
      <c r="EO66" s="59">
        <f ca="1">AVERAGE(OFFSET($EN$3,0,0,'Données projet'!$E$15+1,1))-AVERAGE(OFFSET($H$3,0,0,'Données projet'!$E$15+1,1))</f>
        <v>104.07220236158577</v>
      </c>
      <c r="EP66" s="59">
        <f t="shared" si="46"/>
        <v>34.162068257911756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>
        <f>EXP(-LN(2)/35)*EV65+(1-EXP(-LN(2)/35))/(LN(2)/35)*ER66*ES66*VLOOKUP('Données projet'!$B$15,Paramètres!$A$1:$I$89,3,0)*0.475*44/12</f>
        <v>0</v>
      </c>
      <c r="EW66" s="21">
        <f>EXP(-LN(2)/25)*EW65+(1-EXP(-LN(2)/25))/(LN(2)/25)*Calculateur!ER66*Calculateur!ET66*VLOOKUP('Données projet'!$B$15,Paramètres!$A$1:$I$89,3,0)*0.475*44/12</f>
        <v>0</v>
      </c>
      <c r="EX66" s="21">
        <f>EXP(-LN(2)/2)*EX65+(1-EXP(-LN(2)/2))/(LN(2)/2)*ER66*EU66*VLOOKUP('Données projet'!$B$15,Paramètres!$A$1:$I$89,3,0)*0.475*44/12</f>
        <v>0</v>
      </c>
      <c r="EY66" s="22">
        <f t="shared" si="21"/>
        <v>0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5.6843418860808015E-14</v>
      </c>
      <c r="FF66" s="17">
        <f>FE66*VLOOKUP('Données projet'!$B$16,Paramètres!$A$1:$I$89,3,0)*VLOOKUP('Données projet'!$B$16,Paramètres!$A$1:$I$89,5,0)</f>
        <v>5.1431925385259088E-14</v>
      </c>
      <c r="FG66" s="13">
        <f t="shared" si="47"/>
        <v>8.3482866290946129E-13</v>
      </c>
      <c r="FH66" s="20">
        <f t="shared" si="22"/>
        <v>1.5435705246133045E-12</v>
      </c>
      <c r="FI66" s="59">
        <f t="shared" si="23"/>
        <v>293.33333333333485</v>
      </c>
      <c r="FJ66" s="59">
        <f ca="1">AVERAGE(OFFSET($FI$3,0,0,'Données projet'!$E$16+1,1))-AVERAGE(OFFSET($H$3,0,0,'Données projet'!$E$16+1,1))</f>
        <v>179.50097986986123</v>
      </c>
      <c r="FK66" s="59">
        <f t="shared" si="48"/>
        <v>287.11838730637578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>
        <f>EXP(-LN(2)/35)*FQ65+(1-EXP(-LN(2)/35))/(LN(2)/35)*FM66*FN66*VLOOKUP('Données projet'!$B$16,Paramètres!$A$1:$I$89,3,0)*0.475*44/12</f>
        <v>0.3242808662653196</v>
      </c>
      <c r="FR66" s="21">
        <f>EXP(-LN(2)/25)*FR65+(1-EXP(-LN(2)/25))/(LN(2)/25)*Calculateur!FM66*Calculateur!FO66*VLOOKUP('Données projet'!$B$16,Paramètres!$A$1:$I$89,3,0)*0.475*44/12</f>
        <v>2.5208202696374662</v>
      </c>
      <c r="FS66" s="21">
        <f>EXP(-LN(2)/2)*FS65+(1-EXP(-LN(2)/2))/(LN(2)/2)*FM66*FP66*VLOOKUP('Données projet'!$B$16,Paramètres!$A$1:$I$89,3,0)*0.475*44/12</f>
        <v>4.8777550140537953E-5</v>
      </c>
      <c r="FT66" s="22">
        <f t="shared" si="24"/>
        <v>2.8451499134529259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8</v>
      </c>
      <c r="FZ66" s="12">
        <f>IF('Données projet'!$A$244&gt;35,FZ65+FY66-GH65,IF(A66&lt;'Données projet'!$A$244,$FW$205^A66,IF(A66='Données projet'!$A$244,'Données projet'!$B$244,FZ65+FY66-GH65)))</f>
        <v>299.00000000000006</v>
      </c>
      <c r="GA66" s="17">
        <f>FZ66*VLOOKUP('Données projet'!$B$17,Paramètres!$A$1:$I$89,3,0)*VLOOKUP('Données projet'!$B$17,Paramètres!$A$1:$I$89,5,0)</f>
        <v>178.80200000000002</v>
      </c>
      <c r="GB66" s="13">
        <f t="shared" si="49"/>
        <v>45.055549739375941</v>
      </c>
      <c r="GC66" s="20">
        <f t="shared" si="25"/>
        <v>389.88523246274644</v>
      </c>
      <c r="GD66" s="59">
        <f t="shared" si="26"/>
        <v>683.2185657960797</v>
      </c>
      <c r="GE66" s="59">
        <f ca="1">AVERAGE(OFFSET($GD$3,0,0,'Données projet'!$E$17+1,1))-AVERAGE(OFFSET($H$3,0,0,'Données projet'!$E$17+1,1))</f>
        <v>165.39579887388538</v>
      </c>
      <c r="GF66" s="59">
        <f t="shared" si="50"/>
        <v>155.89639262545802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>
        <f>EXP(-LN(2)/35)*GL65+(1-EXP(-LN(2)/35))/(LN(2)/35)*GH66*GI66*VLOOKUP('Données projet'!$B$17,Paramètres!$A$1:$I$89,3,0)*0.475*44/12</f>
        <v>0</v>
      </c>
      <c r="GM66" s="21">
        <f>EXP(-LN(2)/25)*GM65+(1-EXP(-LN(2)/25))/(LN(2)/25)*Calculateur!GH66*Calculateur!GJ66*VLOOKUP('Données projet'!$B$17,Paramètres!$A$1:$I$89,3,0)*0.475*44/12</f>
        <v>2.9195973637788382</v>
      </c>
      <c r="GN66" s="21">
        <f>EXP(-LN(2)/2)*GN65+(1-EXP(-LN(2)/2))/(LN(2)/2)*GH66*GK66*VLOOKUP('Données projet'!$B$17,Paramètres!$A$1:$I$89,3,0)*0.475*44/12</f>
        <v>1.4975993944697037E-4</v>
      </c>
      <c r="GO66" s="21">
        <f t="shared" si="27"/>
        <v>2.919747123718285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10.6</v>
      </c>
      <c r="N67" s="13">
        <f>IF('Données projet'!$A$36&gt;35,N66+M67-V66,IF(A67&lt;'Données projet'!$A$36,$K$205^A67,IF(A67='Données projet'!$A$36,'Données projet'!$B$36,N66+M67-V66)))</f>
        <v>421.40000000000009</v>
      </c>
      <c r="O67" s="13">
        <f>N67*VLOOKUP('Données projet'!$B$9,Paramètres!$A$1:$I$89,3,0)*VLOOKUP('Données projet'!$B$9,Paramètres!$A$1:$I$89,5,0)</f>
        <v>235.56260000000003</v>
      </c>
      <c r="P67" s="13">
        <f t="shared" si="33"/>
        <v>57.48376776337534</v>
      </c>
      <c r="Q67" s="20">
        <f t="shared" ref="Q67:Q98" si="54">(O67+P67)*0.475*44/12</f>
        <v>510.38909052121204</v>
      </c>
      <c r="R67" s="59">
        <f t="shared" ref="R67:R130" si="55">Q67+(I67+J67)*44/12</f>
        <v>803.72242385454535</v>
      </c>
      <c r="S67" s="59">
        <f ca="1">AVERAGE(OFFSET($R$3,0,0,'Données projet'!$E$9+1,1))-AVERAGE(OFFSET($H$3,0,0,'Données projet'!$E$9+1,1))</f>
        <v>235.10258076192054</v>
      </c>
      <c r="T67" s="59">
        <f t="shared" si="34"/>
        <v>233.47316052603765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1.7472417608831967</v>
      </c>
      <c r="AA67" s="21">
        <f>EXP(-LN(2)/25)*AA66+(1-EXP(-LN(2)/25))/(LN(2)/25)*Calculateur!V67*Calculateur!X67*VLOOKUP('Données projet'!$B$9,Paramètres!$A$1:$I$89,3,0)*0.475*44/12</f>
        <v>7.1819045742370626</v>
      </c>
      <c r="AB67" s="21">
        <f>EXP(-LN(2)/2)*AB66+(1-EXP(-LN(2)/2))/(LN(2)/2)*V67*Y67*VLOOKUP('Données projet'!$B$9,Paramètres!$A$1:$I$89,3,0)*0.475*44/12</f>
        <v>1.84036878377288E-4</v>
      </c>
      <c r="AC67" s="22">
        <f t="shared" si="3"/>
        <v>8.9293303719986366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4.3</v>
      </c>
      <c r="AI67" s="13">
        <f>IF('Données projet'!$A$62&gt;35,AI66+AH67-AQ66,IF(A67&lt;'Données projet'!$A$62,$AF$205^A67,IF(A67='Données projet'!$A$62,'Données projet'!$B$62,AI66+AH67-AQ66)))</f>
        <v>197.19999999999973</v>
      </c>
      <c r="AJ67" s="13">
        <f>AI67*VLOOKUP('Données projet'!$B$10,Paramètres!$A$1:$I$89,3,0)*VLOOKUP('Données projet'!$B$10,Paramètres!$A$1:$I$89,5,0)</f>
        <v>172.27391999999978</v>
      </c>
      <c r="AK67" s="13">
        <f t="shared" si="35"/>
        <v>43.598911513699527</v>
      </c>
      <c r="AL67" s="20">
        <f t="shared" si="4"/>
        <v>375.97851488635962</v>
      </c>
      <c r="AM67" s="59">
        <f t="shared" si="5"/>
        <v>669.31184821969293</v>
      </c>
      <c r="AN67" s="59">
        <f ca="1">AVERAGE(OFFSET($AM$3,0,0,'Données projet'!$E$10+1,1))-AVERAGE(OFFSET($H$3,0,0,'Données projet'!$E$10+1,1))</f>
        <v>191.94797389630673</v>
      </c>
      <c r="AO67" s="59">
        <f t="shared" si="36"/>
        <v>273.52540822767878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1.3130786566637367</v>
      </c>
      <c r="AV67" s="21">
        <f>EXP(-LN(2)/25)*AV66+(1-EXP(-LN(2)/25))/(LN(2)/25)*Calculateur!AQ67*Calculateur!AS67*VLOOKUP('Données projet'!$B$10,Paramètres!$A$1:$I$89,3,0)*0.475*44/12</f>
        <v>5.4729108533061792</v>
      </c>
      <c r="AW67" s="21">
        <f>EXP(-LN(2)/2)*AW66+(1-EXP(-LN(2)/2))/(LN(2)/2)*AQ67*AT67*VLOOKUP('Données projet'!$B$10,Paramètres!$A$1:$I$89,3,0)*0.475*44/12</f>
        <v>1.7702532134757518E-4</v>
      </c>
      <c r="AX67" s="21">
        <f t="shared" si="6"/>
        <v>6.7861665352912635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154.79999999999993</v>
      </c>
      <c r="BE67" s="13">
        <f>BD67*VLOOKUP('Données projet'!$B$11,Paramètres!$A$1:$I$89,3,0)*VLOOKUP('Données projet'!$B$11,Paramètres!$A$1:$I$89,5,0)</f>
        <v>140.06303999999992</v>
      </c>
      <c r="BF67" s="13">
        <f t="shared" si="37"/>
        <v>36.311446695369504</v>
      </c>
      <c r="BG67" s="20">
        <f t="shared" si="7"/>
        <v>307.18556432776842</v>
      </c>
      <c r="BH67" s="59">
        <f t="shared" si="8"/>
        <v>600.51889766110173</v>
      </c>
      <c r="BI67" s="59">
        <f ca="1">AVERAGE(OFFSET($BH$3,0,0,'Données projet'!$E$11+1,1))-AVERAGE(OFFSET($H$3,0,0,'Données projet'!$E$11+1,1))</f>
        <v>138.8931001150624</v>
      </c>
      <c r="BJ67" s="59">
        <f t="shared" si="38"/>
        <v>48.964659354096625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154.79999999999993</v>
      </c>
      <c r="BZ67" s="13">
        <f>BY67*VLOOKUP('Données projet'!$B$12,Paramètres!$A$1:$I$89,3,0)*VLOOKUP('Données projet'!$B$12,Paramètres!$A$1:$I$89,5,0)</f>
        <v>156.96719999999993</v>
      </c>
      <c r="CA67" s="13">
        <f t="shared" si="39"/>
        <v>40.1576988859184</v>
      </c>
      <c r="CB67" s="20">
        <f t="shared" si="10"/>
        <v>343.32586555964104</v>
      </c>
      <c r="CC67" s="59">
        <f t="shared" si="11"/>
        <v>636.65919889297436</v>
      </c>
      <c r="CD67" s="59">
        <f ca="1">AVERAGE(OFFSET($CC$3,0,0,'Données projet'!$E$12+1,1))-AVERAGE(OFFSET($H$3,0,0,'Données projet'!$E$12+1,1))</f>
        <v>169.2757878405003</v>
      </c>
      <c r="CE67" s="59">
        <f t="shared" si="40"/>
        <v>61.876502626609977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3.2</v>
      </c>
      <c r="CT67" s="12">
        <f>IF('Données projet'!$A$140&gt;35,CT66+CS67-DB66,IF(A67&lt;'Données projet'!$A$140,$CQ$205^A67,IF(A67='Données projet'!$A$140,'Données projet'!$B$140,CT66+CS67-DB66)))</f>
        <v>197.79999999999998</v>
      </c>
      <c r="CU67" s="17">
        <f>CT67*VLOOKUP('Données projet'!$B$13,Paramètres!$A$1:$I$89,3,0)*VLOOKUP('Données projet'!$B$13,Paramètres!$A$1:$I$89,5,0)</f>
        <v>157.36968000000002</v>
      </c>
      <c r="CV67" s="13">
        <f t="shared" si="41"/>
        <v>40.248668251494934</v>
      </c>
      <c r="CW67" s="20">
        <f t="shared" si="13"/>
        <v>344.18528987135369</v>
      </c>
      <c r="CX67" s="59">
        <f t="shared" si="14"/>
        <v>637.51862320468695</v>
      </c>
      <c r="CY67" s="59">
        <f ca="1">AVERAGE(OFFSET($CX$3,0,0,'Données projet'!$E$13+1,1))-AVERAGE(OFFSET($H$3,0,0,'Données projet'!$E$13+1,1))</f>
        <v>141.12810728817544</v>
      </c>
      <c r="CZ67" s="59">
        <f t="shared" si="42"/>
        <v>176.01405805137551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>
        <f>EXP(-LN(2)/35)*DF66+(1-EXP(-LN(2)/35))/(LN(2)/35)*DB67*DC67*VLOOKUP('Données projet'!$B$13,Paramètres!$A$1:$I$89,3,0)*0.475*44/12</f>
        <v>0</v>
      </c>
      <c r="DG67" s="21">
        <f>EXP(-LN(2)/25)*DG66+(1-EXP(-LN(2)/25))/(LN(2)/25)*Calculateur!DB67*Calculateur!DD67*VLOOKUP('Données projet'!$B$13,Paramètres!$A$1:$I$89,3,0)*0.475*44/12</f>
        <v>2.6189960965236727</v>
      </c>
      <c r="DH67" s="21">
        <f>EXP(-LN(2)/2)*DH66+(1-EXP(-LN(2)/2))/(LN(2)/2)*DB67*DE67*VLOOKUP('Données projet'!$B$13,Paramètres!$A$1:$I$89,3,0)*0.475*44/12</f>
        <v>6.1074767595527415E-5</v>
      </c>
      <c r="DI67" s="22">
        <f t="shared" si="15"/>
        <v>2.619057171291268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8</v>
      </c>
      <c r="DO67" s="12">
        <f>IF('Données projet'!$A$166&gt;35,DO66+DN67-DW66,IF(A67&lt;'Données projet'!$A$166,$DL$205^A67,IF(A67='Données projet'!$A$166,'Données projet'!$B$166,DO66+DN67-DW66)))</f>
        <v>307.00000000000006</v>
      </c>
      <c r="DP67" s="17">
        <f>DO67*VLOOKUP('Données projet'!$B$14,Paramètres!$A$1:$I$89,3,0)*VLOOKUP('Données projet'!$B$14,Paramètres!$A$1:$I$89,5,0)</f>
        <v>183.58600000000004</v>
      </c>
      <c r="DQ67" s="13">
        <f t="shared" si="43"/>
        <v>46.119086835316438</v>
      </c>
      <c r="DR67" s="20">
        <f t="shared" si="16"/>
        <v>400.0696929048429</v>
      </c>
      <c r="DS67" s="59">
        <f t="shared" si="17"/>
        <v>693.40302623817615</v>
      </c>
      <c r="DT67" s="59">
        <f ca="1">AVERAGE(OFFSET($DS$3,0,0,'Données projet'!$E$14+1,1))-AVERAGE(OFFSET($H$3,0,0,'Données projet'!$E$14+1,1))</f>
        <v>165.39579887388538</v>
      </c>
      <c r="DU67" s="59">
        <f t="shared" si="44"/>
        <v>155.89639262545802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>
        <f>EXP(-LN(2)/35)*EA66+(1-EXP(-LN(2)/35))/(LN(2)/35)*DW67*DX67*VLOOKUP('Données projet'!$B$14,Paramètres!$A$1:$I$89,3,0)*0.475*44/12</f>
        <v>0</v>
      </c>
      <c r="EB67" s="21">
        <f>EXP(-LN(2)/25)*EB66+(1-EXP(-LN(2)/25))/(LN(2)/25)*Calculateur!DW67*Calculateur!DY67*VLOOKUP('Données projet'!$B$14,Paramètres!$A$1:$I$89,3,0)*0.475*44/12</f>
        <v>2.8397608203313531</v>
      </c>
      <c r="EC67" s="21">
        <f>EXP(-LN(2)/2)*EC66+(1-EXP(-LN(2)/2))/(LN(2)/2)*DW67*DZ67*VLOOKUP('Données projet'!$B$14,Paramètres!$A$1:$I$89,3,0)*0.475*44/12</f>
        <v>1.0589626873303949E-4</v>
      </c>
      <c r="ED67" s="22">
        <f t="shared" si="18"/>
        <v>2.8398667166000862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5.2</v>
      </c>
      <c r="EJ67" s="12">
        <f>IF('Données projet'!$A$192&gt;35,EJ66+EI67-ER66,IF(A67&lt;'Données projet'!$A$192,$EG$205^A67,IF(A67='Données projet'!$A$192,'Données projet'!$B$192,EJ66+EI67-ER66)))</f>
        <v>154.79999999999993</v>
      </c>
      <c r="EK67" s="17">
        <f>EJ67*VLOOKUP('Données projet'!$B$15,Paramètres!$A$1:$I$89,3,0)*VLOOKUP('Données projet'!$B$15,Paramètres!$A$1:$I$89,5,0)</f>
        <v>120.74399999999994</v>
      </c>
      <c r="EL67" s="13">
        <f t="shared" si="45"/>
        <v>31.848462605207807</v>
      </c>
      <c r="EM67" s="20">
        <f t="shared" si="19"/>
        <v>265.76520570407013</v>
      </c>
      <c r="EN67" s="59">
        <f t="shared" si="20"/>
        <v>559.0985390374035</v>
      </c>
      <c r="EO67" s="59">
        <f ca="1">AVERAGE(OFFSET($EN$3,0,0,'Données projet'!$E$15+1,1))-AVERAGE(OFFSET($H$3,0,0,'Données projet'!$E$15+1,1))</f>
        <v>104.07220236158577</v>
      </c>
      <c r="EP67" s="59">
        <f t="shared" si="46"/>
        <v>34.162068257911756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>
        <f>EXP(-LN(2)/35)*EV66+(1-EXP(-LN(2)/35))/(LN(2)/35)*ER67*ES67*VLOOKUP('Données projet'!$B$15,Paramètres!$A$1:$I$89,3,0)*0.475*44/12</f>
        <v>0</v>
      </c>
      <c r="EW67" s="21">
        <f>EXP(-LN(2)/25)*EW66+(1-EXP(-LN(2)/25))/(LN(2)/25)*Calculateur!ER67*Calculateur!ET67*VLOOKUP('Données projet'!$B$15,Paramètres!$A$1:$I$89,3,0)*0.475*44/12</f>
        <v>0</v>
      </c>
      <c r="EX67" s="21">
        <f>EXP(-LN(2)/2)*EX66+(1-EXP(-LN(2)/2))/(LN(2)/2)*ER67*EU67*VLOOKUP('Données projet'!$B$15,Paramètres!$A$1:$I$89,3,0)*0.475*44/12</f>
        <v>0</v>
      </c>
      <c r="EY67" s="22">
        <f t="shared" si="21"/>
        <v>0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5.6843418860808015E-14</v>
      </c>
      <c r="FF67" s="17">
        <f>FE67*VLOOKUP('Données projet'!$B$16,Paramètres!$A$1:$I$89,3,0)*VLOOKUP('Données projet'!$B$16,Paramètres!$A$1:$I$89,5,0)</f>
        <v>5.1431925385259088E-14</v>
      </c>
      <c r="FG67" s="13">
        <f t="shared" si="47"/>
        <v>8.3482866290946129E-13</v>
      </c>
      <c r="FH67" s="20">
        <f t="shared" si="22"/>
        <v>1.5435705246133045E-12</v>
      </c>
      <c r="FI67" s="59">
        <f t="shared" si="23"/>
        <v>293.33333333333485</v>
      </c>
      <c r="FJ67" s="59">
        <f ca="1">AVERAGE(OFFSET($FI$3,0,0,'Données projet'!$E$16+1,1))-AVERAGE(OFFSET($H$3,0,0,'Données projet'!$E$16+1,1))</f>
        <v>179.50097986986123</v>
      </c>
      <c r="FK67" s="59">
        <f t="shared" si="48"/>
        <v>287.11838730637578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>
        <f>EXP(-LN(2)/35)*FQ66+(1-EXP(-LN(2)/35))/(LN(2)/35)*FM67*FN67*VLOOKUP('Données projet'!$B$16,Paramètres!$A$1:$I$89,3,0)*0.475*44/12</f>
        <v>0.31792191626965477</v>
      </c>
      <c r="FR67" s="21">
        <f>EXP(-LN(2)/25)*FR66+(1-EXP(-LN(2)/25))/(LN(2)/25)*Calculateur!FM67*Calculateur!FO67*VLOOKUP('Données projet'!$B$16,Paramètres!$A$1:$I$89,3,0)*0.475*44/12</f>
        <v>2.4518883068000532</v>
      </c>
      <c r="FS67" s="21">
        <f>EXP(-LN(2)/2)*FS66+(1-EXP(-LN(2)/2))/(LN(2)/2)*FM67*FP67*VLOOKUP('Données projet'!$B$16,Paramètres!$A$1:$I$89,3,0)*0.475*44/12</f>
        <v>3.449093647404122E-5</v>
      </c>
      <c r="FT67" s="22">
        <f t="shared" si="24"/>
        <v>2.7698447140061822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8</v>
      </c>
      <c r="FZ67" s="12">
        <f>IF('Données projet'!$A$244&gt;35,FZ66+FY67-GH66,IF(A67&lt;'Données projet'!$A$244,$FW$205^A67,IF(A67='Données projet'!$A$244,'Données projet'!$B$244,FZ66+FY67-GH66)))</f>
        <v>307.00000000000006</v>
      </c>
      <c r="GA67" s="17">
        <f>FZ67*VLOOKUP('Données projet'!$B$17,Paramètres!$A$1:$I$89,3,0)*VLOOKUP('Données projet'!$B$17,Paramètres!$A$1:$I$89,5,0)</f>
        <v>183.58600000000004</v>
      </c>
      <c r="GB67" s="13">
        <f t="shared" si="49"/>
        <v>46.119086835316438</v>
      </c>
      <c r="GC67" s="20">
        <f t="shared" si="25"/>
        <v>400.0696929048429</v>
      </c>
      <c r="GD67" s="59">
        <f t="shared" si="26"/>
        <v>693.40302623817615</v>
      </c>
      <c r="GE67" s="59">
        <f ca="1">AVERAGE(OFFSET($GD$3,0,0,'Données projet'!$E$17+1,1))-AVERAGE(OFFSET($H$3,0,0,'Données projet'!$E$17+1,1))</f>
        <v>165.39579887388538</v>
      </c>
      <c r="GF67" s="59">
        <f t="shared" si="50"/>
        <v>155.89639262545802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>
        <f>EXP(-LN(2)/35)*GL66+(1-EXP(-LN(2)/35))/(LN(2)/35)*GH67*GI67*VLOOKUP('Données projet'!$B$17,Paramètres!$A$1:$I$89,3,0)*0.475*44/12</f>
        <v>0</v>
      </c>
      <c r="GM67" s="21">
        <f>EXP(-LN(2)/25)*GM66+(1-EXP(-LN(2)/25))/(LN(2)/25)*Calculateur!GH67*Calculateur!GJ67*VLOOKUP('Données projet'!$B$17,Paramètres!$A$1:$I$89,3,0)*0.475*44/12</f>
        <v>2.8397608203313531</v>
      </c>
      <c r="GN67" s="21">
        <f>EXP(-LN(2)/2)*GN66+(1-EXP(-LN(2)/2))/(LN(2)/2)*GH67*GK67*VLOOKUP('Données projet'!$B$17,Paramètres!$A$1:$I$89,3,0)*0.475*44/12</f>
        <v>1.0589626873303949E-4</v>
      </c>
      <c r="GO67" s="21">
        <f t="shared" si="27"/>
        <v>2.8398667166000862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10.6</v>
      </c>
      <c r="N68" s="13">
        <f>IF('Données projet'!$A$36&gt;35,N67+M68-V67,IF(A68&lt;'Données projet'!$A$36,$K$205^A68,IF(A68='Données projet'!$A$36,'Données projet'!$B$36,N67+M68-V67)))</f>
        <v>432.00000000000011</v>
      </c>
      <c r="O68" s="13">
        <f>N68*VLOOKUP('Données projet'!$B$9,Paramètres!$A$1:$I$89,3,0)*VLOOKUP('Données projet'!$B$9,Paramètres!$A$1:$I$89,5,0)</f>
        <v>241.48800000000006</v>
      </c>
      <c r="P68" s="13">
        <f t="shared" si="33"/>
        <v>58.759565673424966</v>
      </c>
      <c r="Q68" s="20">
        <f t="shared" si="54"/>
        <v>522.93117688121526</v>
      </c>
      <c r="R68" s="59">
        <f t="shared" si="55"/>
        <v>816.26451021454864</v>
      </c>
      <c r="S68" s="59">
        <f ca="1">AVERAGE(OFFSET($R$3,0,0,'Données projet'!$E$9+1,1))-AVERAGE(OFFSET($H$3,0,0,'Données projet'!$E$9+1,1))</f>
        <v>235.10258076192054</v>
      </c>
      <c r="T68" s="59">
        <f t="shared" si="34"/>
        <v>233.47316052603765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1.7129794156645211</v>
      </c>
      <c r="AA68" s="21">
        <f>EXP(-LN(2)/25)*AA67+(1-EXP(-LN(2)/25))/(LN(2)/25)*Calculateur!V68*Calculateur!X68*VLOOKUP('Données projet'!$B$9,Paramètres!$A$1:$I$89,3,0)*0.475*44/12</f>
        <v>6.9855150159746033</v>
      </c>
      <c r="AB68" s="21">
        <f>EXP(-LN(2)/2)*AB67+(1-EXP(-LN(2)/2))/(LN(2)/2)*V68*Y68*VLOOKUP('Données projet'!$B$9,Paramètres!$A$1:$I$89,3,0)*0.475*44/12</f>
        <v>1.3013372468898425E-4</v>
      </c>
      <c r="AC68" s="22">
        <f t="shared" ref="AC68:AC131" si="57">SUM(Z68:AB68)</f>
        <v>8.6986245653638132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4.3</v>
      </c>
      <c r="AI68" s="13">
        <f>IF('Données projet'!$A$62&gt;35,AI67+AH68-AQ67,IF(A68&lt;'Données projet'!$A$62,$AF$205^A68,IF(A68='Données projet'!$A$62,'Données projet'!$B$62,AI67+AH68-AQ67)))</f>
        <v>201.49999999999974</v>
      </c>
      <c r="AJ68" s="13">
        <f>AI68*VLOOKUP('Données projet'!$B$10,Paramètres!$A$1:$I$89,3,0)*VLOOKUP('Données projet'!$B$10,Paramètres!$A$1:$I$89,5,0)</f>
        <v>176.03039999999979</v>
      </c>
      <c r="AK68" s="13">
        <f t="shared" si="35"/>
        <v>44.437880346232902</v>
      </c>
      <c r="AL68" s="20">
        <f t="shared" ref="AL68:AL131" si="58">(AJ68+AK68)*0.475*44/12</f>
        <v>383.98225493635528</v>
      </c>
      <c r="AM68" s="59">
        <f t="shared" ref="AM68:AM131" si="59">AL68+(AD68+AE68)*44/12</f>
        <v>677.31558826968853</v>
      </c>
      <c r="AN68" s="59">
        <f ca="1">AVERAGE(OFFSET($AM$3,0,0,'Données projet'!$E$10+1,1))-AVERAGE(OFFSET($H$3,0,0,'Données projet'!$E$10+1,1))</f>
        <v>191.94797389630673</v>
      </c>
      <c r="AO68" s="59">
        <f t="shared" si="36"/>
        <v>273.52540822767878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1.2873299851054592</v>
      </c>
      <c r="AV68" s="21">
        <f>EXP(-LN(2)/25)*AV67+(1-EXP(-LN(2)/25))/(LN(2)/25)*Calculateur!AQ68*Calculateur!AS68*VLOOKUP('Données projet'!$B$10,Paramètres!$A$1:$I$89,3,0)*0.475*44/12</f>
        <v>5.3232538182146483</v>
      </c>
      <c r="AW68" s="21">
        <f>EXP(-LN(2)/2)*AW67+(1-EXP(-LN(2)/2))/(LN(2)/2)*AQ68*AT68*VLOOKUP('Données projet'!$B$10,Paramètres!$A$1:$I$89,3,0)*0.475*44/12</f>
        <v>1.251758051665981E-4</v>
      </c>
      <c r="AX68" s="21">
        <f t="shared" ref="AX68:AX131" si="60">SUM(AU68:AW68)</f>
        <v>6.610708979125274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159.99999999999991</v>
      </c>
      <c r="BE68" s="13">
        <f>BD68*VLOOKUP('Données projet'!$B$11,Paramètres!$A$1:$I$89,3,0)*VLOOKUP('Données projet'!$B$11,Paramètres!$A$1:$I$89,5,0)</f>
        <v>144.76799999999992</v>
      </c>
      <c r="BF68" s="13">
        <f t="shared" si="37"/>
        <v>37.387149255707826</v>
      </c>
      <c r="BG68" s="20">
        <f t="shared" ref="BG68:BG131" si="61">(BE68+BF68)*0.475*44/12</f>
        <v>317.2535516203576</v>
      </c>
      <c r="BH68" s="59">
        <f t="shared" ref="BH68:BH131" si="62">BG68+(AY68+AZ68)*44/12</f>
        <v>610.58688495369097</v>
      </c>
      <c r="BI68" s="59">
        <f ca="1">AVERAGE(OFFSET($BH$3,0,0,'Données projet'!$E$11+1,1))-AVERAGE(OFFSET($H$3,0,0,'Données projet'!$E$11+1,1))</f>
        <v>138.8931001150624</v>
      </c>
      <c r="BJ68" s="59">
        <f t="shared" si="38"/>
        <v>48.964659354096625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159.99999999999991</v>
      </c>
      <c r="BZ68" s="13">
        <f>BY68*VLOOKUP('Données projet'!$B$12,Paramètres!$A$1:$I$89,3,0)*VLOOKUP('Données projet'!$B$12,Paramètres!$A$1:$I$89,5,0)</f>
        <v>162.23999999999992</v>
      </c>
      <c r="CA68" s="13">
        <f t="shared" si="39"/>
        <v>41.347344120141052</v>
      </c>
      <c r="CB68" s="20">
        <f t="shared" ref="CB68:CB131" si="64">(BZ68+CA68)*0.475*44/12</f>
        <v>354.58129100924549</v>
      </c>
      <c r="CC68" s="59">
        <f t="shared" ref="CC68:CC131" si="65">CB68+(BT68+BU68)*44/12</f>
        <v>647.9146243425788</v>
      </c>
      <c r="CD68" s="59">
        <f ca="1">AVERAGE(OFFSET($CC$3,0,0,'Données projet'!$E$12+1,1))-AVERAGE(OFFSET($H$3,0,0,'Données projet'!$E$12+1,1))</f>
        <v>169.2757878405003</v>
      </c>
      <c r="CE68" s="59">
        <f t="shared" si="40"/>
        <v>61.876502626609977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3.2</v>
      </c>
      <c r="CT68" s="12">
        <f>IF('Données projet'!$A$140&gt;35,CT67+CS68-DB67,IF(A68&lt;'Données projet'!$A$140,$CQ$205^A68,IF(A68='Données projet'!$A$140,'Données projet'!$B$140,CT67+CS68-DB67)))</f>
        <v>200.99999999999997</v>
      </c>
      <c r="CU68" s="17">
        <f>CT68*VLOOKUP('Données projet'!$B$13,Paramètres!$A$1:$I$89,3,0)*VLOOKUP('Données projet'!$B$13,Paramètres!$A$1:$I$89,5,0)</f>
        <v>159.91559999999998</v>
      </c>
      <c r="CV68" s="13">
        <f t="shared" si="41"/>
        <v>40.823478166557685</v>
      </c>
      <c r="CW68" s="20">
        <f t="shared" ref="CW68:CW131" si="67">(CU68+CV68)*0.475*44/12</f>
        <v>349.620561140088</v>
      </c>
      <c r="CX68" s="59">
        <f t="shared" ref="CX68:CX131" si="68">CW68+(CO68+CP68)*44/12</f>
        <v>642.95389447342131</v>
      </c>
      <c r="CY68" s="59">
        <f ca="1">AVERAGE(OFFSET($CX$3,0,0,'Données projet'!$E$13+1,1))-AVERAGE(OFFSET($H$3,0,0,'Données projet'!$E$13+1,1))</f>
        <v>141.12810728817544</v>
      </c>
      <c r="CZ68" s="59">
        <f t="shared" si="42"/>
        <v>176.01405805137551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>
        <f>EXP(-LN(2)/35)*DF67+(1-EXP(-LN(2)/35))/(LN(2)/35)*DB68*DC68*VLOOKUP('Données projet'!$B$13,Paramètres!$A$1:$I$89,3,0)*0.475*44/12</f>
        <v>0</v>
      </c>
      <c r="DG68" s="21">
        <f>EXP(-LN(2)/25)*DG67+(1-EXP(-LN(2)/25))/(LN(2)/25)*Calculateur!DB68*Calculateur!DD68*VLOOKUP('Données projet'!$B$13,Paramètres!$A$1:$I$89,3,0)*0.475*44/12</f>
        <v>2.5473795105372141</v>
      </c>
      <c r="DH68" s="21">
        <f>EXP(-LN(2)/2)*DH67+(1-EXP(-LN(2)/2))/(LN(2)/2)*DB68*DE68*VLOOKUP('Données projet'!$B$13,Paramètres!$A$1:$I$89,3,0)*0.475*44/12</f>
        <v>4.3186382326189848E-5</v>
      </c>
      <c r="DI68" s="22">
        <f t="shared" ref="DI68:DI131" si="69">SUM(DF68:DH68)</f>
        <v>2.5474226969195404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8</v>
      </c>
      <c r="DO68" s="12">
        <f>IF('Données projet'!$A$166&gt;35,DO67+DN68-DW67,IF(A68&lt;'Données projet'!$A$166,$DL$205^A68,IF(A68='Données projet'!$A$166,'Données projet'!$B$166,DO67+DN68-DW67)))</f>
        <v>315.00000000000006</v>
      </c>
      <c r="DP68" s="17">
        <f>DO68*VLOOKUP('Données projet'!$B$14,Paramètres!$A$1:$I$89,3,0)*VLOOKUP('Données projet'!$B$14,Paramètres!$A$1:$I$89,5,0)</f>
        <v>188.37000000000006</v>
      </c>
      <c r="DQ68" s="13">
        <f t="shared" si="43"/>
        <v>47.179402486491298</v>
      </c>
      <c r="DR68" s="20">
        <f t="shared" ref="DR68:DR131" si="70">(DP68+DQ68)*0.475*44/12</f>
        <v>410.2485426639725</v>
      </c>
      <c r="DS68" s="59">
        <f t="shared" ref="DS68:DS131" si="71">DR68+(DJ68+DK68)*44/12</f>
        <v>703.58187599730581</v>
      </c>
      <c r="DT68" s="59">
        <f ca="1">AVERAGE(OFFSET($DS$3,0,0,'Données projet'!$E$14+1,1))-AVERAGE(OFFSET($H$3,0,0,'Données projet'!$E$14+1,1))</f>
        <v>165.39579887388538</v>
      </c>
      <c r="DU68" s="59">
        <f t="shared" si="44"/>
        <v>155.89639262545802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>
        <f>EXP(-LN(2)/35)*EA67+(1-EXP(-LN(2)/35))/(LN(2)/35)*DW68*DX68*VLOOKUP('Données projet'!$B$14,Paramètres!$A$1:$I$89,3,0)*0.475*44/12</f>
        <v>0</v>
      </c>
      <c r="EB68" s="21">
        <f>EXP(-LN(2)/25)*EB67+(1-EXP(-LN(2)/25))/(LN(2)/25)*Calculateur!DW68*Calculateur!DY68*VLOOKUP('Données projet'!$B$14,Paramètres!$A$1:$I$89,3,0)*0.475*44/12</f>
        <v>2.762107411362861</v>
      </c>
      <c r="EC68" s="21">
        <f>EXP(-LN(2)/2)*EC67+(1-EXP(-LN(2)/2))/(LN(2)/2)*DW68*DZ68*VLOOKUP('Données projet'!$B$14,Paramètres!$A$1:$I$89,3,0)*0.475*44/12</f>
        <v>7.4879969723485186E-5</v>
      </c>
      <c r="ED68" s="22">
        <f t="shared" ref="ED68:ED131" si="72">SUM(EA68:EC68)</f>
        <v>2.7621822913325844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5.2</v>
      </c>
      <c r="EJ68" s="12">
        <f>IF('Données projet'!$A$192&gt;35,EJ67+EI68-ER67,IF(A68&lt;'Données projet'!$A$192,$EG$205^A68,IF(A68='Données projet'!$A$192,'Données projet'!$B$192,EJ67+EI68-ER67)))</f>
        <v>159.99999999999991</v>
      </c>
      <c r="EK68" s="17">
        <f>EJ68*VLOOKUP('Données projet'!$B$15,Paramètres!$A$1:$I$89,3,0)*VLOOKUP('Données projet'!$B$15,Paramètres!$A$1:$I$89,5,0)</f>
        <v>124.79999999999994</v>
      </c>
      <c r="EL68" s="13">
        <f t="shared" si="45"/>
        <v>32.791952217579237</v>
      </c>
      <c r="EM68" s="20">
        <f t="shared" ref="EM68:EM131" si="73">(EK68+EL68)*0.475*44/12</f>
        <v>274.4726501122837</v>
      </c>
      <c r="EN68" s="59">
        <f t="shared" ref="EN68:EN131" si="74">EM68+(EE68+EF68)*44/12</f>
        <v>567.80598344561702</v>
      </c>
      <c r="EO68" s="59">
        <f ca="1">AVERAGE(OFFSET($EN$3,0,0,'Données projet'!$E$15+1,1))-AVERAGE(OFFSET($H$3,0,0,'Données projet'!$E$15+1,1))</f>
        <v>104.07220236158577</v>
      </c>
      <c r="EP68" s="59">
        <f t="shared" si="46"/>
        <v>34.162068257911756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>
        <f>EXP(-LN(2)/35)*EV67+(1-EXP(-LN(2)/35))/(LN(2)/35)*ER68*ES68*VLOOKUP('Données projet'!$B$15,Paramètres!$A$1:$I$89,3,0)*0.475*44/12</f>
        <v>0</v>
      </c>
      <c r="EW68" s="21">
        <f>EXP(-LN(2)/25)*EW67+(1-EXP(-LN(2)/25))/(LN(2)/25)*Calculateur!ER68*Calculateur!ET68*VLOOKUP('Données projet'!$B$15,Paramètres!$A$1:$I$89,3,0)*0.475*44/12</f>
        <v>0</v>
      </c>
      <c r="EX68" s="21">
        <f>EXP(-LN(2)/2)*EX67+(1-EXP(-LN(2)/2))/(LN(2)/2)*ER68*EU68*VLOOKUP('Données projet'!$B$15,Paramètres!$A$1:$I$89,3,0)*0.475*44/12</f>
        <v>0</v>
      </c>
      <c r="EY68" s="22">
        <f t="shared" ref="EY68:EY131" si="75">SUM(EV68:EX68)</f>
        <v>0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5.6843418860808015E-14</v>
      </c>
      <c r="FF68" s="17">
        <f>FE68*VLOOKUP('Données projet'!$B$16,Paramètres!$A$1:$I$89,3,0)*VLOOKUP('Données projet'!$B$16,Paramètres!$A$1:$I$89,5,0)</f>
        <v>5.1431925385259088E-14</v>
      </c>
      <c r="FG68" s="13">
        <f t="shared" si="47"/>
        <v>8.3482866290946129E-13</v>
      </c>
      <c r="FH68" s="20">
        <f t="shared" ref="FH68:FH131" si="76">(FF68+FG68)*0.475*44/12</f>
        <v>1.5435705246133045E-12</v>
      </c>
      <c r="FI68" s="59">
        <f t="shared" ref="FI68:FI131" si="77">FH68+(EZ68+FA68)*44/12</f>
        <v>293.33333333333485</v>
      </c>
      <c r="FJ68" s="59">
        <f ca="1">AVERAGE(OFFSET($FI$3,0,0,'Données projet'!$E$16+1,1))-AVERAGE(OFFSET($H$3,0,0,'Données projet'!$E$16+1,1))</f>
        <v>179.50097986986123</v>
      </c>
      <c r="FK68" s="59">
        <f t="shared" si="48"/>
        <v>287.11838730637578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>
        <f>EXP(-LN(2)/35)*FQ67+(1-EXP(-LN(2)/35))/(LN(2)/35)*FM68*FN68*VLOOKUP('Données projet'!$B$16,Paramètres!$A$1:$I$89,3,0)*0.475*44/12</f>
        <v>0.3116876614048284</v>
      </c>
      <c r="FR68" s="21">
        <f>EXP(-LN(2)/25)*FR67+(1-EXP(-LN(2)/25))/(LN(2)/25)*Calculateur!FM68*Calculateur!FO68*VLOOKUP('Données projet'!$B$16,Paramètres!$A$1:$I$89,3,0)*0.475*44/12</f>
        <v>2.3848412921114037</v>
      </c>
      <c r="FS68" s="21">
        <f>EXP(-LN(2)/2)*FS67+(1-EXP(-LN(2)/2))/(LN(2)/2)*FM68*FP68*VLOOKUP('Données projet'!$B$16,Paramètres!$A$1:$I$89,3,0)*0.475*44/12</f>
        <v>2.4388775070268977E-5</v>
      </c>
      <c r="FT68" s="22">
        <f t="shared" ref="FT68:FT131" si="78">SUM(FQ68:FS68)</f>
        <v>2.6965533422913022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8</v>
      </c>
      <c r="FZ68" s="12">
        <f>IF('Données projet'!$A$244&gt;35,FZ67+FY68-GH67,IF(A68&lt;'Données projet'!$A$244,$FW$205^A68,IF(A68='Données projet'!$A$244,'Données projet'!$B$244,FZ67+FY68-GH67)))</f>
        <v>315.00000000000006</v>
      </c>
      <c r="GA68" s="17">
        <f>FZ68*VLOOKUP('Données projet'!$B$17,Paramètres!$A$1:$I$89,3,0)*VLOOKUP('Données projet'!$B$17,Paramètres!$A$1:$I$89,5,0)</f>
        <v>188.37000000000006</v>
      </c>
      <c r="GB68" s="13">
        <f t="shared" si="49"/>
        <v>47.179402486491298</v>
      </c>
      <c r="GC68" s="20">
        <f t="shared" ref="GC68:GC131" si="79">(GA68+GB68)*0.475*44/12</f>
        <v>410.2485426639725</v>
      </c>
      <c r="GD68" s="59">
        <f t="shared" ref="GD68:GD131" si="80">GC68+(FU68+FV68)*44/12</f>
        <v>703.58187599730581</v>
      </c>
      <c r="GE68" s="59">
        <f ca="1">AVERAGE(OFFSET($GD$3,0,0,'Données projet'!$E$17+1,1))-AVERAGE(OFFSET($H$3,0,0,'Données projet'!$E$17+1,1))</f>
        <v>165.39579887388538</v>
      </c>
      <c r="GF68" s="59">
        <f t="shared" si="50"/>
        <v>155.89639262545802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>
        <f>EXP(-LN(2)/35)*GL67+(1-EXP(-LN(2)/35))/(LN(2)/35)*GH68*GI68*VLOOKUP('Données projet'!$B$17,Paramètres!$A$1:$I$89,3,0)*0.475*44/12</f>
        <v>0</v>
      </c>
      <c r="GM68" s="21">
        <f>EXP(-LN(2)/25)*GM67+(1-EXP(-LN(2)/25))/(LN(2)/25)*Calculateur!GH68*Calculateur!GJ68*VLOOKUP('Données projet'!$B$17,Paramètres!$A$1:$I$89,3,0)*0.475*44/12</f>
        <v>2.762107411362861</v>
      </c>
      <c r="GN68" s="21">
        <f>EXP(-LN(2)/2)*GN67+(1-EXP(-LN(2)/2))/(LN(2)/2)*GH68*GK68*VLOOKUP('Données projet'!$B$17,Paramètres!$A$1:$I$89,3,0)*0.475*44/12</f>
        <v>7.4879969723485186E-5</v>
      </c>
      <c r="GO68" s="21">
        <f t="shared" ref="GO68:GO131" si="81">SUM(GL68:GN68)</f>
        <v>2.7621822913325844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10.6</v>
      </c>
      <c r="N69" s="13">
        <f>IF('Données projet'!$A$36&gt;35,N68+M69-V68,IF(A69&lt;'Données projet'!$A$36,$K$205^A69,IF(A69='Données projet'!$A$36,'Données projet'!$B$36,N68+M69-V68)))</f>
        <v>442.60000000000014</v>
      </c>
      <c r="O69" s="13">
        <f>N69*VLOOKUP('Données projet'!$B$9,Paramètres!$A$1:$I$89,3,0)*VLOOKUP('Données projet'!$B$9,Paramètres!$A$1:$I$89,5,0)</f>
        <v>247.41340000000011</v>
      </c>
      <c r="P69" s="13">
        <f t="shared" ref="P69:P132" si="87">EXP(-1.0587+0.8836*LN(O69)+0.284)</f>
        <v>60.031724575605175</v>
      </c>
      <c r="Q69" s="20">
        <f t="shared" si="54"/>
        <v>535.46692530251255</v>
      </c>
      <c r="R69" s="59">
        <f t="shared" si="55"/>
        <v>828.80025863584592</v>
      </c>
      <c r="S69" s="59">
        <f ca="1">AVERAGE(OFFSET($R$3,0,0,'Données projet'!$E$9+1,1))-AVERAGE(OFFSET($H$3,0,0,'Données projet'!$E$9+1,1))</f>
        <v>235.10258076192054</v>
      </c>
      <c r="T69" s="59">
        <f t="shared" ref="T69:T132" si="88">$T$3</f>
        <v>233.47316052603765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1.6793889341376165</v>
      </c>
      <c r="AA69" s="21">
        <f>EXP(-LN(2)/25)*AA68+(1-EXP(-LN(2)/25))/(LN(2)/25)*Calculateur!V69*Calculateur!X69*VLOOKUP('Données projet'!$B$9,Paramètres!$A$1:$I$89,3,0)*0.475*44/12</f>
        <v>6.7944957405105084</v>
      </c>
      <c r="AB69" s="21">
        <f>EXP(-LN(2)/2)*AB68+(1-EXP(-LN(2)/2))/(LN(2)/2)*V69*Y69*VLOOKUP('Données projet'!$B$9,Paramètres!$A$1:$I$89,3,0)*0.475*44/12</f>
        <v>9.2018439188644002E-5</v>
      </c>
      <c r="AC69" s="22">
        <f t="shared" si="57"/>
        <v>8.4739766930873142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4.3</v>
      </c>
      <c r="AI69" s="13">
        <f>IF('Données projet'!$A$62&gt;35,AI68+AH69-AQ68,IF(A69&lt;'Données projet'!$A$62,$AF$205^A69,IF(A69='Données projet'!$A$62,'Données projet'!$B$62,AI68+AH69-AQ68)))</f>
        <v>205.79999999999976</v>
      </c>
      <c r="AJ69" s="13">
        <f>AI69*VLOOKUP('Données projet'!$B$10,Paramètres!$A$1:$I$89,3,0)*VLOOKUP('Données projet'!$B$10,Paramètres!$A$1:$I$89,5,0)</f>
        <v>179.78687999999983</v>
      </c>
      <c r="AK69" s="13">
        <f t="shared" ref="AK69:AK132" si="89">EXP(-1.0587+0.8836*LN(AJ69)+0.284)</f>
        <v>45.274767624296899</v>
      </c>
      <c r="AL69" s="20">
        <f t="shared" si="58"/>
        <v>391.98236961231675</v>
      </c>
      <c r="AM69" s="59">
        <f t="shared" si="59"/>
        <v>685.31570294565006</v>
      </c>
      <c r="AN69" s="59">
        <f ca="1">AVERAGE(OFFSET($AM$3,0,0,'Données projet'!$E$10+1,1))-AVERAGE(OFFSET($H$3,0,0,'Données projet'!$E$10+1,1))</f>
        <v>191.94797389630673</v>
      </c>
      <c r="AO69" s="59">
        <f t="shared" ref="AO69:AO132" si="90">$AO$3</f>
        <v>273.52540822767878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1.2620862292913007</v>
      </c>
      <c r="AV69" s="21">
        <f>EXP(-LN(2)/25)*AV68+(1-EXP(-LN(2)/25))/(LN(2)/25)*Calculateur!AQ69*Calculateur!AS69*VLOOKUP('Données projet'!$B$10,Paramètres!$A$1:$I$89,3,0)*0.475*44/12</f>
        <v>5.177689162617817</v>
      </c>
      <c r="AW69" s="21">
        <f>EXP(-LN(2)/2)*AW68+(1-EXP(-LN(2)/2))/(LN(2)/2)*AQ69*AT69*VLOOKUP('Données projet'!$B$10,Paramètres!$A$1:$I$89,3,0)*0.475*44/12</f>
        <v>8.8512660673787592E-5</v>
      </c>
      <c r="AX69" s="21">
        <f t="shared" si="60"/>
        <v>6.4398639045697914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165.1999999999999</v>
      </c>
      <c r="BE69" s="13">
        <f>BD69*VLOOKUP('Données projet'!$B$11,Paramètres!$A$1:$I$89,3,0)*VLOOKUP('Données projet'!$B$11,Paramètres!$A$1:$I$89,5,0)</f>
        <v>149.47295999999989</v>
      </c>
      <c r="BF69" s="13">
        <f t="shared" ref="BF69:BF132" si="91">EXP(-1.0587+0.8836*LN(BE69)+0.284)</f>
        <v>38.458789365254951</v>
      </c>
      <c r="BG69" s="20">
        <f t="shared" si="61"/>
        <v>327.31446347781883</v>
      </c>
      <c r="BH69" s="59">
        <f t="shared" si="62"/>
        <v>620.64779681115215</v>
      </c>
      <c r="BI69" s="59">
        <f ca="1">AVERAGE(OFFSET($BH$3,0,0,'Données projet'!$E$11+1,1))-AVERAGE(OFFSET($H$3,0,0,'Données projet'!$E$11+1,1))</f>
        <v>138.8931001150624</v>
      </c>
      <c r="BJ69" s="59">
        <f t="shared" ref="BJ69:BJ132" si="92">$BJ$3</f>
        <v>48.964659354096625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165.1999999999999</v>
      </c>
      <c r="BZ69" s="13">
        <f>BY69*VLOOKUP('Données projet'!$B$12,Paramètres!$A$1:$I$89,3,0)*VLOOKUP('Données projet'!$B$12,Paramètres!$A$1:$I$89,5,0)</f>
        <v>167.51279999999991</v>
      </c>
      <c r="CA69" s="13">
        <f t="shared" ref="CA69:CA132" si="93">EXP(-1.0587+0.8836*LN(BZ69)+0.284)</f>
        <v>42.532496592701555</v>
      </c>
      <c r="CB69" s="20">
        <f t="shared" si="64"/>
        <v>365.82889156562169</v>
      </c>
      <c r="CC69" s="59">
        <f t="shared" si="65"/>
        <v>659.16222489895495</v>
      </c>
      <c r="CD69" s="59">
        <f ca="1">AVERAGE(OFFSET($CC$3,0,0,'Données projet'!$E$12+1,1))-AVERAGE(OFFSET($H$3,0,0,'Données projet'!$E$12+1,1))</f>
        <v>169.2757878405003</v>
      </c>
      <c r="CE69" s="59">
        <f t="shared" ref="CE69:CE132" si="94">$CE$3</f>
        <v>61.876502626609977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3.2</v>
      </c>
      <c r="CT69" s="12">
        <f>IF('Données projet'!$A$140&gt;35,CT68+CS69-DB68,IF(A69&lt;'Données projet'!$A$140,$CQ$205^A69,IF(A69='Données projet'!$A$140,'Données projet'!$B$140,CT68+CS69-DB68)))</f>
        <v>204.19999999999996</v>
      </c>
      <c r="CU69" s="17">
        <f>CT69*VLOOKUP('Données projet'!$B$13,Paramètres!$A$1:$I$89,3,0)*VLOOKUP('Données projet'!$B$13,Paramètres!$A$1:$I$89,5,0)</f>
        <v>162.46151999999998</v>
      </c>
      <c r="CV69" s="13">
        <f t="shared" ref="CV69:CV132" si="95">EXP(-1.0587+0.8836*LN(CU69)+0.284)</f>
        <v>41.397223820471325</v>
      </c>
      <c r="CW69" s="20">
        <f t="shared" si="67"/>
        <v>355.05397882065421</v>
      </c>
      <c r="CX69" s="59">
        <f t="shared" si="68"/>
        <v>648.38731215398752</v>
      </c>
      <c r="CY69" s="59">
        <f ca="1">AVERAGE(OFFSET($CX$3,0,0,'Données projet'!$E$13+1,1))-AVERAGE(OFFSET($H$3,0,0,'Données projet'!$E$13+1,1))</f>
        <v>141.12810728817544</v>
      </c>
      <c r="CZ69" s="59">
        <f t="shared" ref="CZ69:CZ132" si="96">$CZ$3</f>
        <v>176.01405805137551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>
        <f>EXP(-LN(2)/35)*DF68+(1-EXP(-LN(2)/35))/(LN(2)/35)*DB69*DC69*VLOOKUP('Données projet'!$B$13,Paramètres!$A$1:$I$89,3,0)*0.475*44/12</f>
        <v>0</v>
      </c>
      <c r="DG69" s="21">
        <f>EXP(-LN(2)/25)*DG68+(1-EXP(-LN(2)/25))/(LN(2)/25)*Calculateur!DB69*Calculateur!DD69*VLOOKUP('Données projet'!$B$13,Paramètres!$A$1:$I$89,3,0)*0.475*44/12</f>
        <v>2.4777212838607077</v>
      </c>
      <c r="DH69" s="21">
        <f>EXP(-LN(2)/2)*DH68+(1-EXP(-LN(2)/2))/(LN(2)/2)*DB69*DE69*VLOOKUP('Données projet'!$B$13,Paramètres!$A$1:$I$89,3,0)*0.475*44/12</f>
        <v>3.0537383797763707E-5</v>
      </c>
      <c r="DI69" s="22">
        <f t="shared" si="69"/>
        <v>2.4777518212445053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8</v>
      </c>
      <c r="DO69" s="12">
        <f>IF('Données projet'!$A$166&gt;35,DO68+DN69-DW68,IF(A69&lt;'Données projet'!$A$166,$DL$205^A69,IF(A69='Données projet'!$A$166,'Données projet'!$B$166,DO68+DN69-DW68)))</f>
        <v>323.00000000000006</v>
      </c>
      <c r="DP69" s="17">
        <f>DO69*VLOOKUP('Données projet'!$B$14,Paramètres!$A$1:$I$89,3,0)*VLOOKUP('Données projet'!$B$14,Paramètres!$A$1:$I$89,5,0)</f>
        <v>193.15400000000005</v>
      </c>
      <c r="DQ69" s="13">
        <f t="shared" ref="DQ69:DQ132" si="97">EXP(-1.0587+0.8836*LN(DP69)+0.284)</f>
        <v>48.236587915544618</v>
      </c>
      <c r="DR69" s="20">
        <f t="shared" si="70"/>
        <v>420.42194061957366</v>
      </c>
      <c r="DS69" s="59">
        <f t="shared" si="71"/>
        <v>713.75527395290692</v>
      </c>
      <c r="DT69" s="59">
        <f ca="1">AVERAGE(OFFSET($DS$3,0,0,'Données projet'!$E$14+1,1))-AVERAGE(OFFSET($H$3,0,0,'Données projet'!$E$14+1,1))</f>
        <v>165.39579887388538</v>
      </c>
      <c r="DU69" s="59">
        <f t="shared" ref="DU69:DU132" si="98">$DU$3</f>
        <v>155.89639262545802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>
        <f>EXP(-LN(2)/35)*EA68+(1-EXP(-LN(2)/35))/(LN(2)/35)*DW69*DX69*VLOOKUP('Données projet'!$B$14,Paramètres!$A$1:$I$89,3,0)*0.475*44/12</f>
        <v>0</v>
      </c>
      <c r="EB69" s="21">
        <f>EXP(-LN(2)/25)*EB68+(1-EXP(-LN(2)/25))/(LN(2)/25)*Calculateur!DW69*Calculateur!DY69*VLOOKUP('Données projet'!$B$14,Paramètres!$A$1:$I$89,3,0)*0.475*44/12</f>
        <v>2.6865774389462276</v>
      </c>
      <c r="EC69" s="21">
        <f>EXP(-LN(2)/2)*EC68+(1-EXP(-LN(2)/2))/(LN(2)/2)*DW69*DZ69*VLOOKUP('Données projet'!$B$14,Paramètres!$A$1:$I$89,3,0)*0.475*44/12</f>
        <v>5.2948134366519744E-5</v>
      </c>
      <c r="ED69" s="22">
        <f t="shared" si="72"/>
        <v>2.6866303870805943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5.2</v>
      </c>
      <c r="EJ69" s="12">
        <f>IF('Données projet'!$A$192&gt;35,EJ68+EI69-ER68,IF(A69&lt;'Données projet'!$A$192,$EG$205^A69,IF(A69='Données projet'!$A$192,'Données projet'!$B$192,EJ68+EI69-ER68)))</f>
        <v>165.1999999999999</v>
      </c>
      <c r="EK69" s="17">
        <f>EJ69*VLOOKUP('Données projet'!$B$15,Paramètres!$A$1:$I$89,3,0)*VLOOKUP('Données projet'!$B$15,Paramètres!$A$1:$I$89,5,0)</f>
        <v>128.85599999999994</v>
      </c>
      <c r="EL69" s="13">
        <f t="shared" ref="EL69:EL132" si="99">EXP(-1.0587+0.8836*LN(EK69)+0.284)</f>
        <v>33.731878688740906</v>
      </c>
      <c r="EM69" s="20">
        <f t="shared" si="73"/>
        <v>283.17388871622359</v>
      </c>
      <c r="EN69" s="59">
        <f t="shared" si="74"/>
        <v>576.50722204955696</v>
      </c>
      <c r="EO69" s="59">
        <f ca="1">AVERAGE(OFFSET($EN$3,0,0,'Données projet'!$E$15+1,1))-AVERAGE(OFFSET($H$3,0,0,'Données projet'!$E$15+1,1))</f>
        <v>104.07220236158577</v>
      </c>
      <c r="EP69" s="59">
        <f t="shared" ref="EP69:EP132" si="100">$EP$3</f>
        <v>34.162068257911756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>
        <f>EXP(-LN(2)/35)*EV68+(1-EXP(-LN(2)/35))/(LN(2)/35)*ER69*ES69*VLOOKUP('Données projet'!$B$15,Paramètres!$A$1:$I$89,3,0)*0.475*44/12</f>
        <v>0</v>
      </c>
      <c r="EW69" s="21">
        <f>EXP(-LN(2)/25)*EW68+(1-EXP(-LN(2)/25))/(LN(2)/25)*Calculateur!ER69*Calculateur!ET69*VLOOKUP('Données projet'!$B$15,Paramètres!$A$1:$I$89,3,0)*0.475*44/12</f>
        <v>0</v>
      </c>
      <c r="EX69" s="21">
        <f>EXP(-LN(2)/2)*EX68+(1-EXP(-LN(2)/2))/(LN(2)/2)*ER69*EU69*VLOOKUP('Données projet'!$B$15,Paramètres!$A$1:$I$89,3,0)*0.475*44/12</f>
        <v>0</v>
      </c>
      <c r="EY69" s="22">
        <f t="shared" si="75"/>
        <v>0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5.6843418860808015E-14</v>
      </c>
      <c r="FF69" s="17">
        <f>FE69*VLOOKUP('Données projet'!$B$16,Paramètres!$A$1:$I$89,3,0)*VLOOKUP('Données projet'!$B$16,Paramètres!$A$1:$I$89,5,0)</f>
        <v>5.1431925385259088E-14</v>
      </c>
      <c r="FG69" s="13">
        <f t="shared" ref="FG69:FG132" si="101">EXP(-1.0587+0.8836*LN(FF69)+0.284)</f>
        <v>8.3482866290946129E-13</v>
      </c>
      <c r="FH69" s="20">
        <f t="shared" si="76"/>
        <v>1.5435705246133045E-12</v>
      </c>
      <c r="FI69" s="59">
        <f t="shared" si="77"/>
        <v>293.33333333333485</v>
      </c>
      <c r="FJ69" s="59">
        <f ca="1">AVERAGE(OFFSET($FI$3,0,0,'Données projet'!$E$16+1,1))-AVERAGE(OFFSET($H$3,0,0,'Données projet'!$E$16+1,1))</f>
        <v>179.50097986986123</v>
      </c>
      <c r="FK69" s="59">
        <f t="shared" ref="FK69:FK132" si="102">$FK$3</f>
        <v>287.11838730637578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>
        <f>EXP(-LN(2)/35)*FQ68+(1-EXP(-LN(2)/35))/(LN(2)/35)*FM69*FN69*VLOOKUP('Données projet'!$B$16,Paramètres!$A$1:$I$89,3,0)*0.475*44/12</f>
        <v>0.30557565647538132</v>
      </c>
      <c r="FR69" s="21">
        <f>EXP(-LN(2)/25)*FR68+(1-EXP(-LN(2)/25))/(LN(2)/25)*Calculateur!FM69*Calculateur!FO69*VLOOKUP('Données projet'!$B$16,Paramètres!$A$1:$I$89,3,0)*0.475*44/12</f>
        <v>2.3196276815652643</v>
      </c>
      <c r="FS69" s="21">
        <f>EXP(-LN(2)/2)*FS68+(1-EXP(-LN(2)/2))/(LN(2)/2)*FM69*FP69*VLOOKUP('Données projet'!$B$16,Paramètres!$A$1:$I$89,3,0)*0.475*44/12</f>
        <v>1.724546823702061E-5</v>
      </c>
      <c r="FT69" s="22">
        <f t="shared" si="78"/>
        <v>2.6252205835088827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8</v>
      </c>
      <c r="FZ69" s="12">
        <f>IF('Données projet'!$A$244&gt;35,FZ68+FY69-GH68,IF(A69&lt;'Données projet'!$A$244,$FW$205^A69,IF(A69='Données projet'!$A$244,'Données projet'!$B$244,FZ68+FY69-GH68)))</f>
        <v>323.00000000000006</v>
      </c>
      <c r="GA69" s="17">
        <f>FZ69*VLOOKUP('Données projet'!$B$17,Paramètres!$A$1:$I$89,3,0)*VLOOKUP('Données projet'!$B$17,Paramètres!$A$1:$I$89,5,0)</f>
        <v>193.15400000000005</v>
      </c>
      <c r="GB69" s="13">
        <f t="shared" ref="GB69:GB132" si="103">EXP(-1.0587+0.8836*LN(GA69)+0.284)</f>
        <v>48.236587915544618</v>
      </c>
      <c r="GC69" s="20">
        <f t="shared" si="79"/>
        <v>420.42194061957366</v>
      </c>
      <c r="GD69" s="59">
        <f t="shared" si="80"/>
        <v>713.75527395290692</v>
      </c>
      <c r="GE69" s="59">
        <f ca="1">AVERAGE(OFFSET($GD$3,0,0,'Données projet'!$E$17+1,1))-AVERAGE(OFFSET($H$3,0,0,'Données projet'!$E$17+1,1))</f>
        <v>165.39579887388538</v>
      </c>
      <c r="GF69" s="59">
        <f t="shared" ref="GF69:GF132" si="104">$GF$3</f>
        <v>155.89639262545802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>
        <f>EXP(-LN(2)/35)*GL68+(1-EXP(-LN(2)/35))/(LN(2)/35)*GH69*GI69*VLOOKUP('Données projet'!$B$17,Paramètres!$A$1:$I$89,3,0)*0.475*44/12</f>
        <v>0</v>
      </c>
      <c r="GM69" s="21">
        <f>EXP(-LN(2)/25)*GM68+(1-EXP(-LN(2)/25))/(LN(2)/25)*Calculateur!GH69*Calculateur!GJ69*VLOOKUP('Données projet'!$B$17,Paramètres!$A$1:$I$89,3,0)*0.475*44/12</f>
        <v>2.6865774389462276</v>
      </c>
      <c r="GN69" s="21">
        <f>EXP(-LN(2)/2)*GN68+(1-EXP(-LN(2)/2))/(LN(2)/2)*GH69*GK69*VLOOKUP('Données projet'!$B$17,Paramètres!$A$1:$I$89,3,0)*0.475*44/12</f>
        <v>5.2948134366519744E-5</v>
      </c>
      <c r="GO69" s="21">
        <f t="shared" si="81"/>
        <v>2.6866303870805943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10.6</v>
      </c>
      <c r="N70" s="13">
        <f>IF('Données projet'!$A$36&gt;35,N69+M70-V69,IF(A70&lt;'Données projet'!$A$36,$K$205^A70,IF(A70='Données projet'!$A$36,'Données projet'!$B$36,N69+M70-V69)))</f>
        <v>453.20000000000016</v>
      </c>
      <c r="O70" s="13">
        <f>N70*VLOOKUP('Données projet'!$B$9,Paramètres!$A$1:$I$89,3,0)*VLOOKUP('Données projet'!$B$9,Paramètres!$A$1:$I$89,5,0)</f>
        <v>253.33880000000008</v>
      </c>
      <c r="P70" s="13">
        <f t="shared" si="87"/>
        <v>61.300341649722711</v>
      </c>
      <c r="Q70" s="20">
        <f t="shared" si="54"/>
        <v>547.99650503993382</v>
      </c>
      <c r="R70" s="59">
        <f t="shared" si="55"/>
        <v>841.32983837326719</v>
      </c>
      <c r="S70" s="59">
        <f ca="1">AVERAGE(OFFSET($R$3,0,0,'Données projet'!$E$9+1,1))-AVERAGE(OFFSET($H$3,0,0,'Données projet'!$E$9+1,1))</f>
        <v>235.10258076192054</v>
      </c>
      <c r="T70" s="59">
        <f t="shared" si="88"/>
        <v>233.47316052603765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1.6464571414652838</v>
      </c>
      <c r="AA70" s="21">
        <f>EXP(-LN(2)/25)*AA69+(1-EXP(-LN(2)/25))/(LN(2)/25)*Calculateur!V70*Calculateur!X70*VLOOKUP('Données projet'!$B$9,Paramètres!$A$1:$I$89,3,0)*0.475*44/12</f>
        <v>6.608699897179247</v>
      </c>
      <c r="AB70" s="21">
        <f>EXP(-LN(2)/2)*AB69+(1-EXP(-LN(2)/2))/(LN(2)/2)*V70*Y70*VLOOKUP('Données projet'!$B$9,Paramètres!$A$1:$I$89,3,0)*0.475*44/12</f>
        <v>6.5066862344492123E-5</v>
      </c>
      <c r="AC70" s="22">
        <f t="shared" si="57"/>
        <v>8.2552221055068742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4.3</v>
      </c>
      <c r="AI70" s="13">
        <f>IF('Données projet'!$A$62&gt;35,AI69+AH70-AQ69,IF(A70&lt;'Données projet'!$A$62,$AF$205^A70,IF(A70='Données projet'!$A$62,'Données projet'!$B$62,AI69+AH70-AQ69)))</f>
        <v>210.09999999999977</v>
      </c>
      <c r="AJ70" s="13">
        <f>AI70*VLOOKUP('Données projet'!$B$10,Paramètres!$A$1:$I$89,3,0)*VLOOKUP('Données projet'!$B$10,Paramètres!$A$1:$I$89,5,0)</f>
        <v>183.54335999999981</v>
      </c>
      <c r="AK70" s="13">
        <f t="shared" si="89"/>
        <v>46.109621850655671</v>
      </c>
      <c r="AL70" s="20">
        <f t="shared" si="58"/>
        <v>399.97894338989158</v>
      </c>
      <c r="AM70" s="59">
        <f t="shared" si="59"/>
        <v>693.31227672322484</v>
      </c>
      <c r="AN70" s="59">
        <f ca="1">AVERAGE(OFFSET($AM$3,0,0,'Données projet'!$E$10+1,1))-AVERAGE(OFFSET($H$3,0,0,'Données projet'!$E$10+1,1))</f>
        <v>191.94797389630673</v>
      </c>
      <c r="AO70" s="59">
        <f t="shared" si="90"/>
        <v>273.52540822767878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1.2373374881314869</v>
      </c>
      <c r="AV70" s="21">
        <f>EXP(-LN(2)/25)*AV69+(1-EXP(-LN(2)/25))/(LN(2)/25)*Calculateur!AQ70*Calculateur!AS70*VLOOKUP('Données projet'!$B$10,Paramètres!$A$1:$I$89,3,0)*0.475*44/12</f>
        <v>5.0361049801831932</v>
      </c>
      <c r="AW70" s="21">
        <f>EXP(-LN(2)/2)*AW69+(1-EXP(-LN(2)/2))/(LN(2)/2)*AQ70*AT70*VLOOKUP('Données projet'!$B$10,Paramètres!$A$1:$I$89,3,0)*0.475*44/12</f>
        <v>6.2587902583299051E-5</v>
      </c>
      <c r="AX70" s="21">
        <f t="shared" si="60"/>
        <v>6.2735050562172638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170.39999999999989</v>
      </c>
      <c r="BE70" s="13">
        <f>BD70*VLOOKUP('Données projet'!$B$11,Paramètres!$A$1:$I$89,3,0)*VLOOKUP('Données projet'!$B$11,Paramètres!$A$1:$I$89,5,0)</f>
        <v>154.17791999999992</v>
      </c>
      <c r="BF70" s="13">
        <f t="shared" si="91"/>
        <v>39.526509568829233</v>
      </c>
      <c r="BG70" s="20">
        <f t="shared" si="61"/>
        <v>337.36854816571076</v>
      </c>
      <c r="BH70" s="59">
        <f t="shared" si="62"/>
        <v>630.70188149904402</v>
      </c>
      <c r="BI70" s="59">
        <f ca="1">AVERAGE(OFFSET($BH$3,0,0,'Données projet'!$E$11+1,1))-AVERAGE(OFFSET($H$3,0,0,'Données projet'!$E$11+1,1))</f>
        <v>138.8931001150624</v>
      </c>
      <c r="BJ70" s="59">
        <f t="shared" si="92"/>
        <v>48.964659354096625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170.39999999999989</v>
      </c>
      <c r="BZ70" s="13">
        <f>BY70*VLOOKUP('Données projet'!$B$12,Paramètres!$A$1:$I$89,3,0)*VLOOKUP('Données projet'!$B$12,Paramètres!$A$1:$I$89,5,0)</f>
        <v>172.7855999999999</v>
      </c>
      <c r="CA70" s="13">
        <f t="shared" si="93"/>
        <v>43.713313947329709</v>
      </c>
      <c r="CB70" s="20">
        <f t="shared" si="64"/>
        <v>377.068941791599</v>
      </c>
      <c r="CC70" s="59">
        <f t="shared" si="65"/>
        <v>670.40227512493232</v>
      </c>
      <c r="CD70" s="59">
        <f ca="1">AVERAGE(OFFSET($CC$3,0,0,'Données projet'!$E$12+1,1))-AVERAGE(OFFSET($H$3,0,0,'Données projet'!$E$12+1,1))</f>
        <v>169.2757878405003</v>
      </c>
      <c r="CE70" s="59">
        <f t="shared" si="94"/>
        <v>61.876502626609977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3.2</v>
      </c>
      <c r="CT70" s="12">
        <f>IF('Données projet'!$A$140&gt;35,CT69+CS70-DB69,IF(A70&lt;'Données projet'!$A$140,$CQ$205^A70,IF(A70='Données projet'!$A$140,'Données projet'!$B$140,CT69+CS70-DB69)))</f>
        <v>207.39999999999995</v>
      </c>
      <c r="CU70" s="17">
        <f>CT70*VLOOKUP('Données projet'!$B$13,Paramètres!$A$1:$I$89,3,0)*VLOOKUP('Données projet'!$B$13,Paramètres!$A$1:$I$89,5,0)</f>
        <v>165.00743999999997</v>
      </c>
      <c r="CV70" s="13">
        <f t="shared" si="95"/>
        <v>41.969923817052226</v>
      </c>
      <c r="CW70" s="20">
        <f t="shared" si="67"/>
        <v>360.48557531469925</v>
      </c>
      <c r="CX70" s="59">
        <f t="shared" si="68"/>
        <v>653.81890864803256</v>
      </c>
      <c r="CY70" s="59">
        <f ca="1">AVERAGE(OFFSET($CX$3,0,0,'Données projet'!$E$13+1,1))-AVERAGE(OFFSET($H$3,0,0,'Données projet'!$E$13+1,1))</f>
        <v>141.12810728817544</v>
      </c>
      <c r="CZ70" s="59">
        <f t="shared" si="96"/>
        <v>176.01405805137551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>
        <f>EXP(-LN(2)/35)*DF69+(1-EXP(-LN(2)/35))/(LN(2)/35)*DB70*DC70*VLOOKUP('Données projet'!$B$13,Paramètres!$A$1:$I$89,3,0)*0.475*44/12</f>
        <v>0</v>
      </c>
      <c r="DG70" s="21">
        <f>EXP(-LN(2)/25)*DG69+(1-EXP(-LN(2)/25))/(LN(2)/25)*Calculateur!DB70*Calculateur!DD70*VLOOKUP('Données projet'!$B$13,Paramètres!$A$1:$I$89,3,0)*0.475*44/12</f>
        <v>2.4099678650558372</v>
      </c>
      <c r="DH70" s="21">
        <f>EXP(-LN(2)/2)*DH69+(1-EXP(-LN(2)/2))/(LN(2)/2)*DB70*DE70*VLOOKUP('Données projet'!$B$13,Paramètres!$A$1:$I$89,3,0)*0.475*44/12</f>
        <v>2.1593191163094924E-5</v>
      </c>
      <c r="DI70" s="22">
        <f t="shared" si="69"/>
        <v>2.4099894582470003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8</v>
      </c>
      <c r="DO70" s="12">
        <f>IF('Données projet'!$A$166&gt;35,DO69+DN70-DW69,IF(A70&lt;'Données projet'!$A$166,$DL$205^A70,IF(A70='Données projet'!$A$166,'Données projet'!$B$166,DO69+DN70-DW69)))</f>
        <v>331.00000000000006</v>
      </c>
      <c r="DP70" s="17">
        <f>DO70*VLOOKUP('Données projet'!$B$14,Paramètres!$A$1:$I$89,3,0)*VLOOKUP('Données projet'!$B$14,Paramètres!$A$1:$I$89,5,0)</f>
        <v>197.93800000000005</v>
      </c>
      <c r="DQ70" s="13">
        <f t="shared" si="97"/>
        <v>49.290729568773614</v>
      </c>
      <c r="DR70" s="20">
        <f t="shared" si="70"/>
        <v>430.5900373322807</v>
      </c>
      <c r="DS70" s="59">
        <f t="shared" si="71"/>
        <v>723.92337066561402</v>
      </c>
      <c r="DT70" s="59">
        <f ca="1">AVERAGE(OFFSET($DS$3,0,0,'Données projet'!$E$14+1,1))-AVERAGE(OFFSET($H$3,0,0,'Données projet'!$E$14+1,1))</f>
        <v>165.39579887388538</v>
      </c>
      <c r="DU70" s="59">
        <f t="shared" si="98"/>
        <v>155.89639262545802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>
        <f>EXP(-LN(2)/35)*EA69+(1-EXP(-LN(2)/35))/(LN(2)/35)*DW70*DX70*VLOOKUP('Données projet'!$B$14,Paramètres!$A$1:$I$89,3,0)*0.475*44/12</f>
        <v>0</v>
      </c>
      <c r="EB70" s="21">
        <f>EXP(-LN(2)/25)*EB69+(1-EXP(-LN(2)/25))/(LN(2)/25)*Calculateur!DW70*Calculateur!DY70*VLOOKUP('Données projet'!$B$14,Paramètres!$A$1:$I$89,3,0)*0.475*44/12</f>
        <v>2.6131128375972756</v>
      </c>
      <c r="EC70" s="21">
        <f>EXP(-LN(2)/2)*EC69+(1-EXP(-LN(2)/2))/(LN(2)/2)*DW70*DZ70*VLOOKUP('Données projet'!$B$14,Paramètres!$A$1:$I$89,3,0)*0.475*44/12</f>
        <v>3.7439984861742593E-5</v>
      </c>
      <c r="ED70" s="22">
        <f t="shared" si="72"/>
        <v>2.6131502775821374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5.2</v>
      </c>
      <c r="EJ70" s="12">
        <f>IF('Données projet'!$A$192&gt;35,EJ69+EI70-ER69,IF(A70&lt;'Données projet'!$A$192,$EG$205^A70,IF(A70='Données projet'!$A$192,'Données projet'!$B$192,EJ69+EI70-ER69)))</f>
        <v>170.39999999999989</v>
      </c>
      <c r="EK70" s="17">
        <f>EJ70*VLOOKUP('Données projet'!$B$15,Paramètres!$A$1:$I$89,3,0)*VLOOKUP('Données projet'!$B$15,Paramètres!$A$1:$I$89,5,0)</f>
        <v>132.91199999999992</v>
      </c>
      <c r="EL70" s="13">
        <f t="shared" si="99"/>
        <v>34.668367043546546</v>
      </c>
      <c r="EM70" s="20">
        <f t="shared" si="73"/>
        <v>291.86913926751009</v>
      </c>
      <c r="EN70" s="59">
        <f t="shared" si="74"/>
        <v>585.20247260084341</v>
      </c>
      <c r="EO70" s="59">
        <f ca="1">AVERAGE(OFFSET($EN$3,0,0,'Données projet'!$E$15+1,1))-AVERAGE(OFFSET($H$3,0,0,'Données projet'!$E$15+1,1))</f>
        <v>104.07220236158577</v>
      </c>
      <c r="EP70" s="59">
        <f t="shared" si="100"/>
        <v>34.162068257911756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>
        <f>EXP(-LN(2)/35)*EV69+(1-EXP(-LN(2)/35))/(LN(2)/35)*ER70*ES70*VLOOKUP('Données projet'!$B$15,Paramètres!$A$1:$I$89,3,0)*0.475*44/12</f>
        <v>0</v>
      </c>
      <c r="EW70" s="21">
        <f>EXP(-LN(2)/25)*EW69+(1-EXP(-LN(2)/25))/(LN(2)/25)*Calculateur!ER70*Calculateur!ET70*VLOOKUP('Données projet'!$B$15,Paramètres!$A$1:$I$89,3,0)*0.475*44/12</f>
        <v>0</v>
      </c>
      <c r="EX70" s="21">
        <f>EXP(-LN(2)/2)*EX69+(1-EXP(-LN(2)/2))/(LN(2)/2)*ER70*EU70*VLOOKUP('Données projet'!$B$15,Paramètres!$A$1:$I$89,3,0)*0.475*44/12</f>
        <v>0</v>
      </c>
      <c r="EY70" s="22">
        <f t="shared" si="75"/>
        <v>0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5.6843418860808015E-14</v>
      </c>
      <c r="FF70" s="17">
        <f>FE70*VLOOKUP('Données projet'!$B$16,Paramètres!$A$1:$I$89,3,0)*VLOOKUP('Données projet'!$B$16,Paramètres!$A$1:$I$89,5,0)</f>
        <v>5.1431925385259088E-14</v>
      </c>
      <c r="FG70" s="13">
        <f t="shared" si="101"/>
        <v>8.3482866290946129E-13</v>
      </c>
      <c r="FH70" s="20">
        <f t="shared" si="76"/>
        <v>1.5435705246133045E-12</v>
      </c>
      <c r="FI70" s="59">
        <f t="shared" si="77"/>
        <v>293.33333333333485</v>
      </c>
      <c r="FJ70" s="59">
        <f ca="1">AVERAGE(OFFSET($FI$3,0,0,'Données projet'!$E$16+1,1))-AVERAGE(OFFSET($H$3,0,0,'Données projet'!$E$16+1,1))</f>
        <v>179.50097986986123</v>
      </c>
      <c r="FK70" s="59">
        <f t="shared" si="102"/>
        <v>287.11838730637578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>
        <f>EXP(-LN(2)/35)*FQ69+(1-EXP(-LN(2)/35))/(LN(2)/35)*FM70*FN70*VLOOKUP('Données projet'!$B$16,Paramètres!$A$1:$I$89,3,0)*0.475*44/12</f>
        <v>0.29958350423464575</v>
      </c>
      <c r="FR70" s="21">
        <f>EXP(-LN(2)/25)*FR69+(1-EXP(-LN(2)/25))/(LN(2)/25)*Calculateur!FM70*Calculateur!FO70*VLOOKUP('Données projet'!$B$16,Paramètres!$A$1:$I$89,3,0)*0.475*44/12</f>
        <v>2.2561973406289439</v>
      </c>
      <c r="FS70" s="21">
        <f>EXP(-LN(2)/2)*FS69+(1-EXP(-LN(2)/2))/(LN(2)/2)*FM70*FP70*VLOOKUP('Données projet'!$B$16,Paramètres!$A$1:$I$89,3,0)*0.475*44/12</f>
        <v>1.2194387535134488E-5</v>
      </c>
      <c r="FT70" s="22">
        <f t="shared" si="78"/>
        <v>2.555793039251125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8</v>
      </c>
      <c r="FZ70" s="12">
        <f>IF('Données projet'!$A$244&gt;35,FZ69+FY70-GH69,IF(A70&lt;'Données projet'!$A$244,$FW$205^A70,IF(A70='Données projet'!$A$244,'Données projet'!$B$244,FZ69+FY70-GH69)))</f>
        <v>331.00000000000006</v>
      </c>
      <c r="GA70" s="17">
        <f>FZ70*VLOOKUP('Données projet'!$B$17,Paramètres!$A$1:$I$89,3,0)*VLOOKUP('Données projet'!$B$17,Paramètres!$A$1:$I$89,5,0)</f>
        <v>197.93800000000005</v>
      </c>
      <c r="GB70" s="13">
        <f t="shared" si="103"/>
        <v>49.290729568773614</v>
      </c>
      <c r="GC70" s="20">
        <f t="shared" si="79"/>
        <v>430.5900373322807</v>
      </c>
      <c r="GD70" s="59">
        <f t="shared" si="80"/>
        <v>723.92337066561402</v>
      </c>
      <c r="GE70" s="59">
        <f ca="1">AVERAGE(OFFSET($GD$3,0,0,'Données projet'!$E$17+1,1))-AVERAGE(OFFSET($H$3,0,0,'Données projet'!$E$17+1,1))</f>
        <v>165.39579887388538</v>
      </c>
      <c r="GF70" s="59">
        <f t="shared" si="104"/>
        <v>155.89639262545802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>
        <f>EXP(-LN(2)/35)*GL69+(1-EXP(-LN(2)/35))/(LN(2)/35)*GH70*GI70*VLOOKUP('Données projet'!$B$17,Paramètres!$A$1:$I$89,3,0)*0.475*44/12</f>
        <v>0</v>
      </c>
      <c r="GM70" s="21">
        <f>EXP(-LN(2)/25)*GM69+(1-EXP(-LN(2)/25))/(LN(2)/25)*Calculateur!GH70*Calculateur!GJ70*VLOOKUP('Données projet'!$B$17,Paramètres!$A$1:$I$89,3,0)*0.475*44/12</f>
        <v>2.6131128375972756</v>
      </c>
      <c r="GN70" s="21">
        <f>EXP(-LN(2)/2)*GN69+(1-EXP(-LN(2)/2))/(LN(2)/2)*GH70*GK70*VLOOKUP('Données projet'!$B$17,Paramètres!$A$1:$I$89,3,0)*0.475*44/12</f>
        <v>3.7439984861742593E-5</v>
      </c>
      <c r="GO70" s="21">
        <f t="shared" si="81"/>
        <v>2.6131502775821374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10.6</v>
      </c>
      <c r="N71" s="13">
        <f>IF('Données projet'!$A$36&gt;35,N70+M71-V70,IF(A71&lt;'Données projet'!$A$36,$K$205^A71,IF(A71='Données projet'!$A$36,'Données projet'!$B$36,N70+M71-V70)))</f>
        <v>463.80000000000018</v>
      </c>
      <c r="O71" s="13">
        <f>N71*VLOOKUP('Données projet'!$B$9,Paramètres!$A$1:$I$89,3,0)*VLOOKUP('Données projet'!$B$9,Paramètres!$A$1:$I$89,5,0)</f>
        <v>259.26420000000013</v>
      </c>
      <c r="P71" s="13">
        <f t="shared" si="87"/>
        <v>62.565509270313164</v>
      </c>
      <c r="Q71" s="20">
        <f t="shared" si="54"/>
        <v>560.52007697912893</v>
      </c>
      <c r="R71" s="59">
        <f t="shared" si="55"/>
        <v>853.8534103124623</v>
      </c>
      <c r="S71" s="59">
        <f ca="1">AVERAGE(OFFSET($R$3,0,0,'Données projet'!$E$9+1,1))-AVERAGE(OFFSET($H$3,0,0,'Données projet'!$E$9+1,1))</f>
        <v>235.10258076192054</v>
      </c>
      <c r="T71" s="59">
        <f t="shared" si="88"/>
        <v>233.47316052603765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1.6141711211608454</v>
      </c>
      <c r="AA71" s="21">
        <f>EXP(-LN(2)/25)*AA70+(1-EXP(-LN(2)/25))/(LN(2)/25)*Calculateur!V71*Calculateur!X71*VLOOKUP('Données projet'!$B$9,Paramètres!$A$1:$I$89,3,0)*0.475*44/12</f>
        <v>6.4279846509544569</v>
      </c>
      <c r="AB71" s="21">
        <f>EXP(-LN(2)/2)*AB70+(1-EXP(-LN(2)/2))/(LN(2)/2)*V71*Y71*VLOOKUP('Données projet'!$B$9,Paramètres!$A$1:$I$89,3,0)*0.475*44/12</f>
        <v>4.6009219594322001E-5</v>
      </c>
      <c r="AC71" s="22">
        <f t="shared" si="57"/>
        <v>8.0422017813348976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4.3</v>
      </c>
      <c r="AI71" s="13">
        <f>IF('Données projet'!$A$62&gt;35,AI70+AH71-AQ70,IF(A71&lt;'Données projet'!$A$62,$AF$205^A71,IF(A71='Données projet'!$A$62,'Données projet'!$B$62,AI70+AH71-AQ70)))</f>
        <v>214.39999999999978</v>
      </c>
      <c r="AJ71" s="13">
        <f>AI71*VLOOKUP('Données projet'!$B$10,Paramètres!$A$1:$I$89,3,0)*VLOOKUP('Données projet'!$B$10,Paramètres!$A$1:$I$89,5,0)</f>
        <v>187.29983999999985</v>
      </c>
      <c r="AK71" s="13">
        <f t="shared" si="89"/>
        <v>46.942489429228111</v>
      </c>
      <c r="AL71" s="20">
        <f t="shared" si="58"/>
        <v>407.97205708923872</v>
      </c>
      <c r="AM71" s="59">
        <f t="shared" si="59"/>
        <v>701.30539042257203</v>
      </c>
      <c r="AN71" s="59">
        <f ca="1">AVERAGE(OFFSET($AM$3,0,0,'Données projet'!$E$10+1,1))-AVERAGE(OFFSET($H$3,0,0,'Données projet'!$E$10+1,1))</f>
        <v>191.94797389630673</v>
      </c>
      <c r="AO71" s="59">
        <f t="shared" si="90"/>
        <v>273.52540822767878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1.2130740546905756</v>
      </c>
      <c r="AV71" s="21">
        <f>EXP(-LN(2)/25)*AV70+(1-EXP(-LN(2)/25))/(LN(2)/25)*Calculateur!AQ71*Calculateur!AS71*VLOOKUP('Données projet'!$B$10,Paramètres!$A$1:$I$89,3,0)*0.475*44/12</f>
        <v>4.8983924246628332</v>
      </c>
      <c r="AW71" s="21">
        <f>EXP(-LN(2)/2)*AW70+(1-EXP(-LN(2)/2))/(LN(2)/2)*AQ71*AT71*VLOOKUP('Données projet'!$B$10,Paramètres!$A$1:$I$89,3,0)*0.475*44/12</f>
        <v>4.4256330336893796E-5</v>
      </c>
      <c r="AX71" s="21">
        <f t="shared" si="60"/>
        <v>6.1115107356837459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175.59999999999988</v>
      </c>
      <c r="BE71" s="13">
        <f>BD71*VLOOKUP('Données projet'!$B$11,Paramètres!$A$1:$I$89,3,0)*VLOOKUP('Données projet'!$B$11,Paramètres!$A$1:$I$89,5,0)</f>
        <v>158.88287999999989</v>
      </c>
      <c r="BF71" s="13">
        <f t="shared" si="91"/>
        <v>40.590443217000136</v>
      </c>
      <c r="BG71" s="20">
        <f t="shared" si="61"/>
        <v>347.41603793627502</v>
      </c>
      <c r="BH71" s="59">
        <f t="shared" si="62"/>
        <v>640.74937126960833</v>
      </c>
      <c r="BI71" s="59">
        <f ca="1">AVERAGE(OFFSET($BH$3,0,0,'Données projet'!$E$11+1,1))-AVERAGE(OFFSET($H$3,0,0,'Données projet'!$E$11+1,1))</f>
        <v>138.8931001150624</v>
      </c>
      <c r="BJ71" s="59">
        <f t="shared" si="92"/>
        <v>48.964659354096625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175.59999999999988</v>
      </c>
      <c r="BZ71" s="13">
        <f>BY71*VLOOKUP('Données projet'!$B$12,Paramètres!$A$1:$I$89,3,0)*VLOOKUP('Données projet'!$B$12,Paramètres!$A$1:$I$89,5,0)</f>
        <v>178.05839999999989</v>
      </c>
      <c r="CA71" s="13">
        <f t="shared" si="93"/>
        <v>44.889943659615234</v>
      </c>
      <c r="CB71" s="20">
        <f t="shared" si="64"/>
        <v>388.30169854049632</v>
      </c>
      <c r="CC71" s="59">
        <f t="shared" si="65"/>
        <v>681.63503187382958</v>
      </c>
      <c r="CD71" s="59">
        <f ca="1">AVERAGE(OFFSET($CC$3,0,0,'Données projet'!$E$12+1,1))-AVERAGE(OFFSET($H$3,0,0,'Données projet'!$E$12+1,1))</f>
        <v>169.2757878405003</v>
      </c>
      <c r="CE71" s="59">
        <f t="shared" si="94"/>
        <v>61.876502626609977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3.2</v>
      </c>
      <c r="CT71" s="12">
        <f>IF('Données projet'!$A$140&gt;35,CT70+CS71-DB70,IF(A71&lt;'Données projet'!$A$140,$CQ$205^A71,IF(A71='Données projet'!$A$140,'Données projet'!$B$140,CT70+CS71-DB70)))</f>
        <v>210.59999999999994</v>
      </c>
      <c r="CU71" s="17">
        <f>CT71*VLOOKUP('Données projet'!$B$13,Paramètres!$A$1:$I$89,3,0)*VLOOKUP('Données projet'!$B$13,Paramètres!$A$1:$I$89,5,0)</f>
        <v>167.55335999999994</v>
      </c>
      <c r="CV71" s="13">
        <f t="shared" si="95"/>
        <v>42.541596153097466</v>
      </c>
      <c r="CW71" s="20">
        <f t="shared" si="67"/>
        <v>365.91538196664465</v>
      </c>
      <c r="CX71" s="59">
        <f t="shared" si="68"/>
        <v>659.2487152999779</v>
      </c>
      <c r="CY71" s="59">
        <f ca="1">AVERAGE(OFFSET($CX$3,0,0,'Données projet'!$E$13+1,1))-AVERAGE(OFFSET($H$3,0,0,'Données projet'!$E$13+1,1))</f>
        <v>141.12810728817544</v>
      </c>
      <c r="CZ71" s="59">
        <f t="shared" si="96"/>
        <v>176.01405805137551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>
        <f>EXP(-LN(2)/35)*DF70+(1-EXP(-LN(2)/35))/(LN(2)/35)*DB71*DC71*VLOOKUP('Données projet'!$B$13,Paramètres!$A$1:$I$89,3,0)*0.475*44/12</f>
        <v>0</v>
      </c>
      <c r="DG71" s="21">
        <f>EXP(-LN(2)/25)*DG70+(1-EXP(-LN(2)/25))/(LN(2)/25)*Calculateur!DB71*Calculateur!DD71*VLOOKUP('Données projet'!$B$13,Paramètres!$A$1:$I$89,3,0)*0.475*44/12</f>
        <v>2.3440671670511835</v>
      </c>
      <c r="DH71" s="21">
        <f>EXP(-LN(2)/2)*DH70+(1-EXP(-LN(2)/2))/(LN(2)/2)*DB71*DE71*VLOOKUP('Données projet'!$B$13,Paramètres!$A$1:$I$89,3,0)*0.475*44/12</f>
        <v>1.5268691898881854E-5</v>
      </c>
      <c r="DI71" s="22">
        <f t="shared" si="69"/>
        <v>2.3440824357430823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8</v>
      </c>
      <c r="DO71" s="12">
        <f>IF('Données projet'!$A$166&gt;35,DO70+DN71-DW70,IF(A71&lt;'Données projet'!$A$166,$DL$205^A71,IF(A71='Données projet'!$A$166,'Données projet'!$B$166,DO70+DN71-DW70)))</f>
        <v>339.00000000000006</v>
      </c>
      <c r="DP71" s="17">
        <f>DO71*VLOOKUP('Données projet'!$B$14,Paramètres!$A$1:$I$89,3,0)*VLOOKUP('Données projet'!$B$14,Paramètres!$A$1:$I$89,5,0)</f>
        <v>202.72200000000004</v>
      </c>
      <c r="DQ71" s="13">
        <f t="shared" si="97"/>
        <v>50.341909475522883</v>
      </c>
      <c r="DR71" s="20">
        <f t="shared" si="70"/>
        <v>440.75297566986904</v>
      </c>
      <c r="DS71" s="59">
        <f t="shared" si="71"/>
        <v>734.08630900320236</v>
      </c>
      <c r="DT71" s="59">
        <f ca="1">AVERAGE(OFFSET($DS$3,0,0,'Données projet'!$E$14+1,1))-AVERAGE(OFFSET($H$3,0,0,'Données projet'!$E$14+1,1))</f>
        <v>165.39579887388538</v>
      </c>
      <c r="DU71" s="59">
        <f t="shared" si="98"/>
        <v>155.89639262545802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>
        <f>EXP(-LN(2)/35)*EA70+(1-EXP(-LN(2)/35))/(LN(2)/35)*DW71*DX71*VLOOKUP('Données projet'!$B$14,Paramètres!$A$1:$I$89,3,0)*0.475*44/12</f>
        <v>0</v>
      </c>
      <c r="EB71" s="21">
        <f>EXP(-LN(2)/25)*EB70+(1-EXP(-LN(2)/25))/(LN(2)/25)*Calculateur!DW71*Calculateur!DY71*VLOOKUP('Données projet'!$B$14,Paramètres!$A$1:$I$89,3,0)*0.475*44/12</f>
        <v>2.5416571296355466</v>
      </c>
      <c r="EC71" s="21">
        <f>EXP(-LN(2)/2)*EC70+(1-EXP(-LN(2)/2))/(LN(2)/2)*DW71*DZ71*VLOOKUP('Données projet'!$B$14,Paramètres!$A$1:$I$89,3,0)*0.475*44/12</f>
        <v>2.6474067183259872E-5</v>
      </c>
      <c r="ED71" s="22">
        <f t="shared" si="72"/>
        <v>2.5416836037027299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5.2</v>
      </c>
      <c r="EJ71" s="12">
        <f>IF('Données projet'!$A$192&gt;35,EJ70+EI71-ER70,IF(A71&lt;'Données projet'!$A$192,$EG$205^A71,IF(A71='Données projet'!$A$192,'Données projet'!$B$192,EJ70+EI71-ER70)))</f>
        <v>175.59999999999988</v>
      </c>
      <c r="EK71" s="17">
        <f>EJ71*VLOOKUP('Données projet'!$B$15,Paramètres!$A$1:$I$89,3,0)*VLOOKUP('Données projet'!$B$15,Paramètres!$A$1:$I$89,5,0)</f>
        <v>136.9679999999999</v>
      </c>
      <c r="EL71" s="13">
        <f t="shared" si="99"/>
        <v>35.601534242652264</v>
      </c>
      <c r="EM71" s="20">
        <f t="shared" si="73"/>
        <v>300.55860547261915</v>
      </c>
      <c r="EN71" s="59">
        <f t="shared" si="74"/>
        <v>593.89193880595246</v>
      </c>
      <c r="EO71" s="59">
        <f ca="1">AVERAGE(OFFSET($EN$3,0,0,'Données projet'!$E$15+1,1))-AVERAGE(OFFSET($H$3,0,0,'Données projet'!$E$15+1,1))</f>
        <v>104.07220236158577</v>
      </c>
      <c r="EP71" s="59">
        <f t="shared" si="100"/>
        <v>34.162068257911756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>
        <f>EXP(-LN(2)/35)*EV70+(1-EXP(-LN(2)/35))/(LN(2)/35)*ER71*ES71*VLOOKUP('Données projet'!$B$15,Paramètres!$A$1:$I$89,3,0)*0.475*44/12</f>
        <v>0</v>
      </c>
      <c r="EW71" s="21">
        <f>EXP(-LN(2)/25)*EW70+(1-EXP(-LN(2)/25))/(LN(2)/25)*Calculateur!ER71*Calculateur!ET71*VLOOKUP('Données projet'!$B$15,Paramètres!$A$1:$I$89,3,0)*0.475*44/12</f>
        <v>0</v>
      </c>
      <c r="EX71" s="21">
        <f>EXP(-LN(2)/2)*EX70+(1-EXP(-LN(2)/2))/(LN(2)/2)*ER71*EU71*VLOOKUP('Données projet'!$B$15,Paramètres!$A$1:$I$89,3,0)*0.475*44/12</f>
        <v>0</v>
      </c>
      <c r="EY71" s="22">
        <f t="shared" si="75"/>
        <v>0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5.6843418860808015E-14</v>
      </c>
      <c r="FF71" s="17">
        <f>FE71*VLOOKUP('Données projet'!$B$16,Paramètres!$A$1:$I$89,3,0)*VLOOKUP('Données projet'!$B$16,Paramètres!$A$1:$I$89,5,0)</f>
        <v>5.1431925385259088E-14</v>
      </c>
      <c r="FG71" s="13">
        <f t="shared" si="101"/>
        <v>8.3482866290946129E-13</v>
      </c>
      <c r="FH71" s="20">
        <f t="shared" si="76"/>
        <v>1.5435705246133045E-12</v>
      </c>
      <c r="FI71" s="59">
        <f t="shared" si="77"/>
        <v>293.33333333333485</v>
      </c>
      <c r="FJ71" s="59">
        <f ca="1">AVERAGE(OFFSET($FI$3,0,0,'Données projet'!$E$16+1,1))-AVERAGE(OFFSET($H$3,0,0,'Données projet'!$E$16+1,1))</f>
        <v>179.50097986986123</v>
      </c>
      <c r="FK71" s="59">
        <f t="shared" si="102"/>
        <v>287.11838730637578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>
        <f>EXP(-LN(2)/35)*FQ70+(1-EXP(-LN(2)/35))/(LN(2)/35)*FM71*FN71*VLOOKUP('Données projet'!$B$16,Paramètres!$A$1:$I$89,3,0)*0.475*44/12</f>
        <v>0.29370885444449907</v>
      </c>
      <c r="FR71" s="21">
        <f>EXP(-LN(2)/25)*FR70+(1-EXP(-LN(2)/25))/(LN(2)/25)*Calculateur!FM71*Calculateur!FO71*VLOOKUP('Données projet'!$B$16,Paramètres!$A$1:$I$89,3,0)*0.475*44/12</f>
        <v>2.1945015057011839</v>
      </c>
      <c r="FS71" s="21">
        <f>EXP(-LN(2)/2)*FS70+(1-EXP(-LN(2)/2))/(LN(2)/2)*FM71*FP71*VLOOKUP('Données projet'!$B$16,Paramètres!$A$1:$I$89,3,0)*0.475*44/12</f>
        <v>8.6227341185103051E-6</v>
      </c>
      <c r="FT71" s="22">
        <f t="shared" si="78"/>
        <v>2.4882189828798018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8</v>
      </c>
      <c r="FZ71" s="12">
        <f>IF('Données projet'!$A$244&gt;35,FZ70+FY71-GH70,IF(A71&lt;'Données projet'!$A$244,$FW$205^A71,IF(A71='Données projet'!$A$244,'Données projet'!$B$244,FZ70+FY71-GH70)))</f>
        <v>339.00000000000006</v>
      </c>
      <c r="GA71" s="17">
        <f>FZ71*VLOOKUP('Données projet'!$B$17,Paramètres!$A$1:$I$89,3,0)*VLOOKUP('Données projet'!$B$17,Paramètres!$A$1:$I$89,5,0)</f>
        <v>202.72200000000004</v>
      </c>
      <c r="GB71" s="13">
        <f t="shared" si="103"/>
        <v>50.341909475522883</v>
      </c>
      <c r="GC71" s="20">
        <f t="shared" si="79"/>
        <v>440.75297566986904</v>
      </c>
      <c r="GD71" s="59">
        <f t="shared" si="80"/>
        <v>734.08630900320236</v>
      </c>
      <c r="GE71" s="59">
        <f ca="1">AVERAGE(OFFSET($GD$3,0,0,'Données projet'!$E$17+1,1))-AVERAGE(OFFSET($H$3,0,0,'Données projet'!$E$17+1,1))</f>
        <v>165.39579887388538</v>
      </c>
      <c r="GF71" s="59">
        <f t="shared" si="104"/>
        <v>155.89639262545802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>
        <f>EXP(-LN(2)/35)*GL70+(1-EXP(-LN(2)/35))/(LN(2)/35)*GH71*GI71*VLOOKUP('Données projet'!$B$17,Paramètres!$A$1:$I$89,3,0)*0.475*44/12</f>
        <v>0</v>
      </c>
      <c r="GM71" s="21">
        <f>EXP(-LN(2)/25)*GM70+(1-EXP(-LN(2)/25))/(LN(2)/25)*Calculateur!GH71*Calculateur!GJ71*VLOOKUP('Données projet'!$B$17,Paramètres!$A$1:$I$89,3,0)*0.475*44/12</f>
        <v>2.5416571296355466</v>
      </c>
      <c r="GN71" s="21">
        <f>EXP(-LN(2)/2)*GN70+(1-EXP(-LN(2)/2))/(LN(2)/2)*GH71*GK71*VLOOKUP('Données projet'!$B$17,Paramètres!$A$1:$I$89,3,0)*0.475*44/12</f>
        <v>2.6474067183259872E-5</v>
      </c>
      <c r="GO71" s="21">
        <f t="shared" si="81"/>
        <v>2.5416836037027299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10.6</v>
      </c>
      <c r="N72" s="13">
        <f>IF('Données projet'!$A$36&gt;35,N71+M72-V71,IF(A72&lt;'Données projet'!$A$36,$K$205^A72,IF(A72='Données projet'!$A$36,'Données projet'!$B$36,N71+M72-V71)))</f>
        <v>474.4000000000002</v>
      </c>
      <c r="O72" s="13">
        <f>N72*VLOOKUP('Données projet'!$B$9,Paramètres!$A$1:$I$89,3,0)*VLOOKUP('Données projet'!$B$9,Paramètres!$A$1:$I$89,5,0)</f>
        <v>265.1896000000001</v>
      </c>
      <c r="P72" s="13">
        <f t="shared" si="87"/>
        <v>63.827315348557988</v>
      </c>
      <c r="Q72" s="20">
        <f t="shared" si="54"/>
        <v>573.03779423207209</v>
      </c>
      <c r="R72" s="59">
        <f t="shared" si="55"/>
        <v>866.37112756540546</v>
      </c>
      <c r="S72" s="59">
        <f ca="1">AVERAGE(OFFSET($R$3,0,0,'Données projet'!$E$9+1,1))-AVERAGE(OFFSET($H$3,0,0,'Données projet'!$E$9+1,1))</f>
        <v>235.10258076192054</v>
      </c>
      <c r="T72" s="59">
        <f t="shared" si="88"/>
        <v>233.47316052603765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1.5825182100220492</v>
      </c>
      <c r="AA72" s="21">
        <f>EXP(-LN(2)/25)*AA71+(1-EXP(-LN(2)/25))/(LN(2)/25)*Calculateur!V72*Calculateur!X72*VLOOKUP('Données projet'!$B$9,Paramètres!$A$1:$I$89,3,0)*0.475*44/12</f>
        <v>6.252211072641086</v>
      </c>
      <c r="AB72" s="21">
        <f>EXP(-LN(2)/2)*AB71+(1-EXP(-LN(2)/2))/(LN(2)/2)*V72*Y72*VLOOKUP('Données projet'!$B$9,Paramètres!$A$1:$I$89,3,0)*0.475*44/12</f>
        <v>3.2533431172246061E-5</v>
      </c>
      <c r="AC72" s="22">
        <f t="shared" si="57"/>
        <v>7.8347618160943071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4.3</v>
      </c>
      <c r="AI72" s="13">
        <f>IF('Données projet'!$A$62&gt;35,AI71+AH72-AQ71,IF(A72&lt;'Données projet'!$A$62,$AF$205^A72,IF(A72='Données projet'!$A$62,'Données projet'!$B$62,AI71+AH72-AQ71)))</f>
        <v>218.69999999999979</v>
      </c>
      <c r="AJ72" s="13">
        <f>AI72*VLOOKUP('Données projet'!$B$10,Paramètres!$A$1:$I$89,3,0)*VLOOKUP('Données projet'!$B$10,Paramètres!$A$1:$I$89,5,0)</f>
        <v>191.05631999999983</v>
      </c>
      <c r="AK72" s="13">
        <f t="shared" si="89"/>
        <v>47.773414796152679</v>
      </c>
      <c r="AL72" s="20">
        <f t="shared" si="58"/>
        <v>415.96178810329894</v>
      </c>
      <c r="AM72" s="59">
        <f t="shared" si="59"/>
        <v>709.29512143663226</v>
      </c>
      <c r="AN72" s="59">
        <f ca="1">AVERAGE(OFFSET($AM$3,0,0,'Données projet'!$E$10+1,1))-AVERAGE(OFFSET($H$3,0,0,'Données projet'!$E$10+1,1))</f>
        <v>191.94797389630673</v>
      </c>
      <c r="AO72" s="59">
        <f t="shared" si="90"/>
        <v>273.52540822767878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1.1892864123802076</v>
      </c>
      <c r="AV72" s="21">
        <f>EXP(-LN(2)/25)*AV71+(1-EXP(-LN(2)/25))/(LN(2)/25)*Calculateur!AQ72*Calculateur!AS72*VLOOKUP('Données projet'!$B$10,Paramètres!$A$1:$I$89,3,0)*0.475*44/12</f>
        <v>4.7644456262151662</v>
      </c>
      <c r="AW72" s="21">
        <f>EXP(-LN(2)/2)*AW71+(1-EXP(-LN(2)/2))/(LN(2)/2)*AQ72*AT72*VLOOKUP('Données projet'!$B$10,Paramètres!$A$1:$I$89,3,0)*0.475*44/12</f>
        <v>3.1293951291649525E-5</v>
      </c>
      <c r="AX72" s="21">
        <f t="shared" si="60"/>
        <v>5.9537633325466652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180.79999999999987</v>
      </c>
      <c r="BE72" s="13">
        <f>BD72*VLOOKUP('Données projet'!$B$11,Paramètres!$A$1:$I$89,3,0)*VLOOKUP('Données projet'!$B$11,Paramètres!$A$1:$I$89,5,0)</f>
        <v>163.58783999999989</v>
      </c>
      <c r="BF72" s="13">
        <f t="shared" si="91"/>
        <v>41.650715313623969</v>
      </c>
      <c r="BG72" s="20">
        <f t="shared" si="61"/>
        <v>357.45715050456153</v>
      </c>
      <c r="BH72" s="59">
        <f t="shared" si="62"/>
        <v>650.79048383789484</v>
      </c>
      <c r="BI72" s="59">
        <f ca="1">AVERAGE(OFFSET($BH$3,0,0,'Données projet'!$E$11+1,1))-AVERAGE(OFFSET($H$3,0,0,'Données projet'!$E$11+1,1))</f>
        <v>138.8931001150624</v>
      </c>
      <c r="BJ72" s="59">
        <f t="shared" si="92"/>
        <v>48.964659354096625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180.79999999999987</v>
      </c>
      <c r="BZ72" s="13">
        <f>BY72*VLOOKUP('Données projet'!$B$12,Paramètres!$A$1:$I$89,3,0)*VLOOKUP('Données projet'!$B$12,Paramètres!$A$1:$I$89,5,0)</f>
        <v>183.33119999999988</v>
      </c>
      <c r="CA72" s="13">
        <f t="shared" si="93"/>
        <v>46.062523974317784</v>
      </c>
      <c r="CB72" s="20">
        <f t="shared" si="64"/>
        <v>399.52740258860325</v>
      </c>
      <c r="CC72" s="59">
        <f t="shared" si="65"/>
        <v>692.86073592193657</v>
      </c>
      <c r="CD72" s="59">
        <f ca="1">AVERAGE(OFFSET($CC$3,0,0,'Données projet'!$E$12+1,1))-AVERAGE(OFFSET($H$3,0,0,'Données projet'!$E$12+1,1))</f>
        <v>169.2757878405003</v>
      </c>
      <c r="CE72" s="59">
        <f t="shared" si="94"/>
        <v>61.876502626609977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3.2</v>
      </c>
      <c r="CT72" s="12">
        <f>IF('Données projet'!$A$140&gt;35,CT71+CS72-DB71,IF(A72&lt;'Données projet'!$A$140,$CQ$205^A72,IF(A72='Données projet'!$A$140,'Données projet'!$B$140,CT71+CS72-DB71)))</f>
        <v>213.79999999999993</v>
      </c>
      <c r="CU72" s="17">
        <f>CT72*VLOOKUP('Données projet'!$B$13,Paramètres!$A$1:$I$89,3,0)*VLOOKUP('Données projet'!$B$13,Paramètres!$A$1:$I$89,5,0)</f>
        <v>170.09927999999996</v>
      </c>
      <c r="CV72" s="13">
        <f t="shared" si="95"/>
        <v>43.112258247107711</v>
      </c>
      <c r="CW72" s="20">
        <f t="shared" si="67"/>
        <v>371.34342911371255</v>
      </c>
      <c r="CX72" s="59">
        <f t="shared" si="68"/>
        <v>664.6767624470458</v>
      </c>
      <c r="CY72" s="59">
        <f ca="1">AVERAGE(OFFSET($CX$3,0,0,'Données projet'!$E$13+1,1))-AVERAGE(OFFSET($H$3,0,0,'Données projet'!$E$13+1,1))</f>
        <v>141.12810728817544</v>
      </c>
      <c r="CZ72" s="59">
        <f t="shared" si="96"/>
        <v>176.01405805137551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>
        <f>EXP(-LN(2)/35)*DF71+(1-EXP(-LN(2)/35))/(LN(2)/35)*DB72*DC72*VLOOKUP('Données projet'!$B$13,Paramètres!$A$1:$I$89,3,0)*0.475*44/12</f>
        <v>0</v>
      </c>
      <c r="DG72" s="21">
        <f>EXP(-LN(2)/25)*DG71+(1-EXP(-LN(2)/25))/(LN(2)/25)*Calculateur!DB72*Calculateur!DD72*VLOOKUP('Données projet'!$B$13,Paramètres!$A$1:$I$89,3,0)*0.475*44/12</f>
        <v>2.279968527099034</v>
      </c>
      <c r="DH72" s="21">
        <f>EXP(-LN(2)/2)*DH71+(1-EXP(-LN(2)/2))/(LN(2)/2)*DB72*DE72*VLOOKUP('Données projet'!$B$13,Paramètres!$A$1:$I$89,3,0)*0.475*44/12</f>
        <v>1.0796595581547462E-5</v>
      </c>
      <c r="DI72" s="22">
        <f t="shared" si="69"/>
        <v>2.2799793236946155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8</v>
      </c>
      <c r="DO72" s="12">
        <f>IF('Données projet'!$A$166&gt;35,DO71+DN72-DW71,IF(A72&lt;'Données projet'!$A$166,$DL$205^A72,IF(A72='Données projet'!$A$166,'Données projet'!$B$166,DO71+DN72-DW71)))</f>
        <v>347.00000000000006</v>
      </c>
      <c r="DP72" s="17">
        <f>DO72*VLOOKUP('Données projet'!$B$14,Paramètres!$A$1:$I$89,3,0)*VLOOKUP('Données projet'!$B$14,Paramètres!$A$1:$I$89,5,0)</f>
        <v>207.50600000000006</v>
      </c>
      <c r="DQ72" s="13">
        <f t="shared" si="97"/>
        <v>51.3902055726969</v>
      </c>
      <c r="DR72" s="20">
        <f t="shared" si="70"/>
        <v>450.91089137244717</v>
      </c>
      <c r="DS72" s="59">
        <f t="shared" si="71"/>
        <v>744.24422470578043</v>
      </c>
      <c r="DT72" s="59">
        <f ca="1">AVERAGE(OFFSET($DS$3,0,0,'Données projet'!$E$14+1,1))-AVERAGE(OFFSET($H$3,0,0,'Données projet'!$E$14+1,1))</f>
        <v>165.39579887388538</v>
      </c>
      <c r="DU72" s="59">
        <f t="shared" si="98"/>
        <v>155.89639262545802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>
        <f>EXP(-LN(2)/35)*EA71+(1-EXP(-LN(2)/35))/(LN(2)/35)*DW72*DX72*VLOOKUP('Données projet'!$B$14,Paramètres!$A$1:$I$89,3,0)*0.475*44/12</f>
        <v>0</v>
      </c>
      <c r="EB72" s="21">
        <f>EXP(-LN(2)/25)*EB71+(1-EXP(-LN(2)/25))/(LN(2)/25)*Calculateur!DW72*Calculateur!DY72*VLOOKUP('Données projet'!$B$14,Paramètres!$A$1:$I$89,3,0)*0.475*44/12</f>
        <v>2.4721553817657234</v>
      </c>
      <c r="EC72" s="21">
        <f>EXP(-LN(2)/2)*EC71+(1-EXP(-LN(2)/2))/(LN(2)/2)*DW72*DZ72*VLOOKUP('Données projet'!$B$14,Paramètres!$A$1:$I$89,3,0)*0.475*44/12</f>
        <v>1.8719992430871296E-5</v>
      </c>
      <c r="ED72" s="22">
        <f t="shared" si="72"/>
        <v>2.4721741017581542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5.2</v>
      </c>
      <c r="EJ72" s="12">
        <f>IF('Données projet'!$A$192&gt;35,EJ71+EI72-ER71,IF(A72&lt;'Données projet'!$A$192,$EG$205^A72,IF(A72='Données projet'!$A$192,'Données projet'!$B$192,EJ71+EI72-ER71)))</f>
        <v>180.79999999999987</v>
      </c>
      <c r="EK72" s="17">
        <f>EJ72*VLOOKUP('Données projet'!$B$15,Paramètres!$A$1:$I$89,3,0)*VLOOKUP('Données projet'!$B$15,Paramètres!$A$1:$I$89,5,0)</f>
        <v>141.02399999999992</v>
      </c>
      <c r="EL72" s="13">
        <f t="shared" si="99"/>
        <v>36.531489925882433</v>
      </c>
      <c r="EM72" s="20">
        <f t="shared" si="73"/>
        <v>309.24247828757836</v>
      </c>
      <c r="EN72" s="59">
        <f t="shared" si="74"/>
        <v>602.57581162091174</v>
      </c>
      <c r="EO72" s="59">
        <f ca="1">AVERAGE(OFFSET($EN$3,0,0,'Données projet'!$E$15+1,1))-AVERAGE(OFFSET($H$3,0,0,'Données projet'!$E$15+1,1))</f>
        <v>104.07220236158577</v>
      </c>
      <c r="EP72" s="59">
        <f t="shared" si="100"/>
        <v>34.162068257911756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>
        <f>EXP(-LN(2)/35)*EV71+(1-EXP(-LN(2)/35))/(LN(2)/35)*ER72*ES72*VLOOKUP('Données projet'!$B$15,Paramètres!$A$1:$I$89,3,0)*0.475*44/12</f>
        <v>0</v>
      </c>
      <c r="EW72" s="21">
        <f>EXP(-LN(2)/25)*EW71+(1-EXP(-LN(2)/25))/(LN(2)/25)*Calculateur!ER72*Calculateur!ET72*VLOOKUP('Données projet'!$B$15,Paramètres!$A$1:$I$89,3,0)*0.475*44/12</f>
        <v>0</v>
      </c>
      <c r="EX72" s="21">
        <f>EXP(-LN(2)/2)*EX71+(1-EXP(-LN(2)/2))/(LN(2)/2)*ER72*EU72*VLOOKUP('Données projet'!$B$15,Paramètres!$A$1:$I$89,3,0)*0.475*44/12</f>
        <v>0</v>
      </c>
      <c r="EY72" s="22">
        <f t="shared" si="75"/>
        <v>0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5.6843418860808015E-14</v>
      </c>
      <c r="FF72" s="17">
        <f>FE72*VLOOKUP('Données projet'!$B$16,Paramètres!$A$1:$I$89,3,0)*VLOOKUP('Données projet'!$B$16,Paramètres!$A$1:$I$89,5,0)</f>
        <v>5.1431925385259088E-14</v>
      </c>
      <c r="FG72" s="13">
        <f t="shared" si="101"/>
        <v>8.3482866290946129E-13</v>
      </c>
      <c r="FH72" s="20">
        <f t="shared" si="76"/>
        <v>1.5435705246133045E-12</v>
      </c>
      <c r="FI72" s="59">
        <f t="shared" si="77"/>
        <v>293.33333333333485</v>
      </c>
      <c r="FJ72" s="59">
        <f ca="1">AVERAGE(OFFSET($FI$3,0,0,'Données projet'!$E$16+1,1))-AVERAGE(OFFSET($H$3,0,0,'Données projet'!$E$16+1,1))</f>
        <v>179.50097986986123</v>
      </c>
      <c r="FK72" s="59">
        <f t="shared" si="102"/>
        <v>287.11838730637578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>
        <f>EXP(-LN(2)/35)*FQ71+(1-EXP(-LN(2)/35))/(LN(2)/35)*FM72*FN72*VLOOKUP('Données projet'!$B$16,Paramètres!$A$1:$I$89,3,0)*0.475*44/12</f>
        <v>0.28794940295355459</v>
      </c>
      <c r="FR72" s="21">
        <f>EXP(-LN(2)/25)*FR71+(1-EXP(-LN(2)/25))/(LN(2)/25)*Calculateur!FM72*Calculateur!FO72*VLOOKUP('Données projet'!$B$16,Paramètres!$A$1:$I$89,3,0)*0.475*44/12</f>
        <v>2.1344927466239665</v>
      </c>
      <c r="FS72" s="21">
        <f>EXP(-LN(2)/2)*FS71+(1-EXP(-LN(2)/2))/(LN(2)/2)*FM72*FP72*VLOOKUP('Données projet'!$B$16,Paramètres!$A$1:$I$89,3,0)*0.475*44/12</f>
        <v>6.0971937675672442E-6</v>
      </c>
      <c r="FT72" s="22">
        <f t="shared" si="78"/>
        <v>2.4224482467712889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8</v>
      </c>
      <c r="FZ72" s="12">
        <f>IF('Données projet'!$A$244&gt;35,FZ71+FY72-GH71,IF(A72&lt;'Données projet'!$A$244,$FW$205^A72,IF(A72='Données projet'!$A$244,'Données projet'!$B$244,FZ71+FY72-GH71)))</f>
        <v>347.00000000000006</v>
      </c>
      <c r="GA72" s="17">
        <f>FZ72*VLOOKUP('Données projet'!$B$17,Paramètres!$A$1:$I$89,3,0)*VLOOKUP('Données projet'!$B$17,Paramètres!$A$1:$I$89,5,0)</f>
        <v>207.50600000000006</v>
      </c>
      <c r="GB72" s="13">
        <f t="shared" si="103"/>
        <v>51.3902055726969</v>
      </c>
      <c r="GC72" s="20">
        <f t="shared" si="79"/>
        <v>450.91089137244717</v>
      </c>
      <c r="GD72" s="59">
        <f t="shared" si="80"/>
        <v>744.24422470578043</v>
      </c>
      <c r="GE72" s="59">
        <f ca="1">AVERAGE(OFFSET($GD$3,0,0,'Données projet'!$E$17+1,1))-AVERAGE(OFFSET($H$3,0,0,'Données projet'!$E$17+1,1))</f>
        <v>165.39579887388538</v>
      </c>
      <c r="GF72" s="59">
        <f t="shared" si="104"/>
        <v>155.89639262545802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>
        <f>EXP(-LN(2)/35)*GL71+(1-EXP(-LN(2)/35))/(LN(2)/35)*GH72*GI72*VLOOKUP('Données projet'!$B$17,Paramètres!$A$1:$I$89,3,0)*0.475*44/12</f>
        <v>0</v>
      </c>
      <c r="GM72" s="21">
        <f>EXP(-LN(2)/25)*GM71+(1-EXP(-LN(2)/25))/(LN(2)/25)*Calculateur!GH72*Calculateur!GJ72*VLOOKUP('Données projet'!$B$17,Paramètres!$A$1:$I$89,3,0)*0.475*44/12</f>
        <v>2.4721553817657234</v>
      </c>
      <c r="GN72" s="21">
        <f>EXP(-LN(2)/2)*GN71+(1-EXP(-LN(2)/2))/(LN(2)/2)*GH72*GK72*VLOOKUP('Données projet'!$B$17,Paramètres!$A$1:$I$89,3,0)*0.475*44/12</f>
        <v>1.8719992430871296E-5</v>
      </c>
      <c r="GO72" s="21">
        <f t="shared" si="81"/>
        <v>2.4721741017581542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>
        <f>VLOOKUP(A73,'Données projet'!$A$35:$I$55,2,0)</f>
        <v>485</v>
      </c>
      <c r="L73" s="12">
        <f>VLOOKUP(A73,'Données projet'!$A$35:$I$55,9,0)</f>
        <v>10.6</v>
      </c>
      <c r="M73" s="12">
        <f t="array" ref="M73">INDEX(L:L,MIN(IF(ISNUMBER(L73:L269),ROW(L73:L269),"")))</f>
        <v>10.6</v>
      </c>
      <c r="N73" s="13">
        <f>IF('Données projet'!$A$36&gt;35,N72+M73-V72,IF(A73&lt;'Données projet'!$A$36,$K$205^A73,IF(A73='Données projet'!$A$36,'Données projet'!$B$36,N72+M73-V72)))</f>
        <v>485.00000000000023</v>
      </c>
      <c r="O73" s="13">
        <f>N73*VLOOKUP('Données projet'!$B$9,Paramètres!$A$1:$I$89,3,0)*VLOOKUP('Données projet'!$B$9,Paramètres!$A$1:$I$89,5,0)</f>
        <v>271.11500000000012</v>
      </c>
      <c r="P73" s="13">
        <f t="shared" si="87"/>
        <v>65.085843642780702</v>
      </c>
      <c r="Q73" s="20">
        <f t="shared" si="54"/>
        <v>585.54980267784322</v>
      </c>
      <c r="R73" s="59">
        <f t="shared" si="55"/>
        <v>878.88313601117648</v>
      </c>
      <c r="S73" s="59">
        <f ca="1">AVERAGE(OFFSET($R$3,0,0,'Données projet'!$E$9+1,1))-AVERAGE(OFFSET($H$3,0,0,'Données projet'!$E$9+1,1))</f>
        <v>235.10258076192054</v>
      </c>
      <c r="T73" s="59">
        <f t="shared" si="88"/>
        <v>233.47316052603765</v>
      </c>
      <c r="U73" s="15">
        <f>IF(ISNA(VLOOKUP(A73,'Données projet'!$A$35:$I$55,3,0)),0,VLOOKUP(A73,'Données projet'!$A$35:$I$55,3,0))</f>
        <v>6</v>
      </c>
      <c r="V73" s="15">
        <f>IF(ISNA(VLOOKUP(A73,'Données projet'!$A$35:$I$55,4,0)),0,VLOOKUP(A73,'Données projet'!$A$35:$I$55,4,0))</f>
        <v>54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1.5514859931643152</v>
      </c>
      <c r="AA73" s="21">
        <f>EXP(-LN(2)/25)*AA72+(1-EXP(-LN(2)/25))/(LN(2)/25)*Calculateur!V73*Calculateur!X73*VLOOKUP('Données projet'!$B$9,Paramètres!$A$1:$I$89,3,0)*0.475*44/12</f>
        <v>6.0812440320702246</v>
      </c>
      <c r="AB73" s="21">
        <f>EXP(-LN(2)/2)*AB72+(1-EXP(-LN(2)/2))/(LN(2)/2)*V73*Y73*VLOOKUP('Données projet'!$B$9,Paramètres!$A$1:$I$89,3,0)*0.475*44/12</f>
        <v>2.3004609797161E-5</v>
      </c>
      <c r="AC73" s="22">
        <f t="shared" si="57"/>
        <v>7.6327530298443378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223</v>
      </c>
      <c r="AG73" s="12">
        <f>VLOOKUP(A73,'Données projet'!$A$61:$I$81,9,0)</f>
        <v>4.3</v>
      </c>
      <c r="AH73" s="12">
        <f t="array" ref="AH73">INDEX(AG:AG,MIN(IF(ISNUMBER(AG73:AG269),ROW(AG73:AG269),"")))</f>
        <v>4.3</v>
      </c>
      <c r="AI73" s="13">
        <f>IF('Données projet'!$A$62&gt;35,AI72+AH73-AQ72,IF(A73&lt;'Données projet'!$A$62,$AF$205^A73,IF(A73='Données projet'!$A$62,'Données projet'!$B$62,AI72+AH73-AQ72)))</f>
        <v>222.9999999999998</v>
      </c>
      <c r="AJ73" s="13">
        <f>AI73*VLOOKUP('Données projet'!$B$10,Paramètres!$A$1:$I$89,3,0)*VLOOKUP('Données projet'!$B$10,Paramètres!$A$1:$I$89,5,0)</f>
        <v>194.81279999999984</v>
      </c>
      <c r="AK73" s="13">
        <f t="shared" si="89"/>
        <v>48.602440540253809</v>
      </c>
      <c r="AL73" s="20">
        <f t="shared" si="58"/>
        <v>423.94821060760842</v>
      </c>
      <c r="AM73" s="59">
        <f t="shared" si="59"/>
        <v>717.28154394094167</v>
      </c>
      <c r="AN73" s="59">
        <f ca="1">AVERAGE(OFFSET($AM$3,0,0,'Données projet'!$E$10+1,1))-AVERAGE(OFFSET($H$3,0,0,'Données projet'!$E$10+1,1))</f>
        <v>191.94797389630673</v>
      </c>
      <c r="AO73" s="59">
        <f t="shared" si="90"/>
        <v>273.52540822767878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32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1.1659652312265167</v>
      </c>
      <c r="AV73" s="21">
        <f>EXP(-LN(2)/25)*AV72+(1-EXP(-LN(2)/25))/(LN(2)/25)*Calculateur!AQ73*Calculateur!AS73*VLOOKUP('Données projet'!$B$10,Paramètres!$A$1:$I$89,3,0)*0.475*44/12</f>
        <v>4.6341616100150063</v>
      </c>
      <c r="AW73" s="21">
        <f>EXP(-LN(2)/2)*AW72+(1-EXP(-LN(2)/2))/(LN(2)/2)*AQ73*AT73*VLOOKUP('Données projet'!$B$10,Paramètres!$A$1:$I$89,3,0)*0.475*44/12</f>
        <v>2.2128165168446898E-5</v>
      </c>
      <c r="AX73" s="21">
        <f t="shared" si="60"/>
        <v>5.8001489694066919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186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185.99999999999986</v>
      </c>
      <c r="BE73" s="13">
        <f>BD73*VLOOKUP('Données projet'!$B$11,Paramètres!$A$1:$I$89,3,0)*VLOOKUP('Données projet'!$B$11,Paramètres!$A$1:$I$89,5,0)</f>
        <v>168.29279999999986</v>
      </c>
      <c r="BF73" s="13">
        <f t="shared" si="91"/>
        <v>42.707443263135069</v>
      </c>
      <c r="BG73" s="20">
        <f t="shared" si="61"/>
        <v>367.49209034995994</v>
      </c>
      <c r="BH73" s="59">
        <f t="shared" si="62"/>
        <v>660.82542368329325</v>
      </c>
      <c r="BI73" s="59">
        <f ca="1">AVERAGE(OFFSET($BH$3,0,0,'Données projet'!$E$11+1,1))-AVERAGE(OFFSET($H$3,0,0,'Données projet'!$E$11+1,1))</f>
        <v>138.8931001150624</v>
      </c>
      <c r="BJ73" s="59">
        <f t="shared" si="92"/>
        <v>48.964659354096625</v>
      </c>
      <c r="BK73" s="15">
        <f>IF(ISNA(VLOOKUP(A73,'Données projet'!$A$87:$I$107,3,0)),0,VLOOKUP(A73,'Données projet'!$A$87:$I$107,3,0))</f>
        <v>4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186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185.99999999999986</v>
      </c>
      <c r="BZ73" s="13">
        <f>BY73*VLOOKUP('Données projet'!$B$12,Paramètres!$A$1:$I$89,3,0)*VLOOKUP('Données projet'!$B$12,Paramètres!$A$1:$I$89,5,0)</f>
        <v>188.60399999999987</v>
      </c>
      <c r="CA73" s="13">
        <f t="shared" si="93"/>
        <v>47.231184731814182</v>
      </c>
      <c r="CB73" s="20">
        <f t="shared" si="64"/>
        <v>410.74628007457613</v>
      </c>
      <c r="CC73" s="59">
        <f t="shared" si="65"/>
        <v>704.07961340790939</v>
      </c>
      <c r="CD73" s="59">
        <f ca="1">AVERAGE(OFFSET($CC$3,0,0,'Données projet'!$E$12+1,1))-AVERAGE(OFFSET($H$3,0,0,'Données projet'!$E$12+1,1))</f>
        <v>169.2757878405003</v>
      </c>
      <c r="CE73" s="59">
        <f t="shared" si="94"/>
        <v>61.876502626609977</v>
      </c>
      <c r="CF73" s="15">
        <f>IF(ISNA(VLOOKUP(A73,'Données projet'!$A$113:$I$133,3,0)),0,VLOOKUP(A73,'Données projet'!$A$113:$I$133,3,0))</f>
        <v>4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>
        <f>VLOOKUP(A73,'Données projet'!$A$139:$I$159,2,0)</f>
        <v>217</v>
      </c>
      <c r="CR73" s="12">
        <f>VLOOKUP(A73,'Données projet'!$A$139:$I$159,9,0)</f>
        <v>3.2</v>
      </c>
      <c r="CS73" s="12">
        <f t="array" ref="CS73">INDEX(CR:CR,MIN(IF(ISNUMBER(CR73:CR269),ROW(CR73:CR269),"")))</f>
        <v>3.2</v>
      </c>
      <c r="CT73" s="12">
        <f>IF('Données projet'!$A$140&gt;35,CT72+CS73-DB72,IF(A73&lt;'Données projet'!$A$140,$CQ$205^A73,IF(A73='Données projet'!$A$140,'Données projet'!$B$140,CT72+CS73-DB72)))</f>
        <v>216.99999999999991</v>
      </c>
      <c r="CU73" s="17">
        <f>CT73*VLOOKUP('Données projet'!$B$13,Paramètres!$A$1:$I$89,3,0)*VLOOKUP('Données projet'!$B$13,Paramètres!$A$1:$I$89,5,0)</f>
        <v>172.64519999999993</v>
      </c>
      <c r="CV73" s="13">
        <f t="shared" si="95"/>
        <v>43.681926966241704</v>
      </c>
      <c r="CW73" s="20">
        <f t="shared" si="67"/>
        <v>376.76974613287081</v>
      </c>
      <c r="CX73" s="59">
        <f t="shared" si="68"/>
        <v>670.10307946620412</v>
      </c>
      <c r="CY73" s="59">
        <f ca="1">AVERAGE(OFFSET($CX$3,0,0,'Données projet'!$E$13+1,1))-AVERAGE(OFFSET($H$3,0,0,'Données projet'!$E$13+1,1))</f>
        <v>141.12810728817544</v>
      </c>
      <c r="CZ73" s="59">
        <f t="shared" si="96"/>
        <v>176.01405805137551</v>
      </c>
      <c r="DA73" s="15">
        <f>IF(ISNA(VLOOKUP(A73,'Données projet'!$A$139:$I$159,3,0)),0,VLOOKUP(A73,'Données projet'!$A$139:$I$159,3,0))</f>
        <v>6</v>
      </c>
      <c r="DB73" s="15">
        <f>IF(ISNA(VLOOKUP(A73,'Données projet'!$A$139:$I$159,4,0)),0,VLOOKUP(A73,'Données projet'!$A$139:$I$159,4,0))</f>
        <v>16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>
        <f>EXP(-LN(2)/35)*DF72+(1-EXP(-LN(2)/35))/(LN(2)/35)*DB73*DC73*VLOOKUP('Données projet'!$B$13,Paramètres!$A$1:$I$89,3,0)*0.475*44/12</f>
        <v>0</v>
      </c>
      <c r="DG73" s="21">
        <f>EXP(-LN(2)/25)*DG72+(1-EXP(-LN(2)/25))/(LN(2)/25)*Calculateur!DB73*Calculateur!DD73*VLOOKUP('Données projet'!$B$13,Paramètres!$A$1:$I$89,3,0)*0.475*44/12</f>
        <v>2.2176226678271771</v>
      </c>
      <c r="DH73" s="21">
        <f>EXP(-LN(2)/2)*DH72+(1-EXP(-LN(2)/2))/(LN(2)/2)*DB73*DE73*VLOOKUP('Données projet'!$B$13,Paramètres!$A$1:$I$89,3,0)*0.475*44/12</f>
        <v>7.6343459494409268E-6</v>
      </c>
      <c r="DI73" s="22">
        <f t="shared" si="69"/>
        <v>2.2176303021731267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>
        <f>VLOOKUP(A73,'Données projet'!$A$165:$I$185,2,0)</f>
        <v>355</v>
      </c>
      <c r="DM73" s="12">
        <f>VLOOKUP(A73,'Données projet'!$A$165:$I$185,9,0)</f>
        <v>8</v>
      </c>
      <c r="DN73" s="12">
        <f t="array" ref="DN73">INDEX(DM:DM,MIN(IF(ISNUMBER(DM73:DM269),ROW(DM73:DM269),"")))</f>
        <v>8</v>
      </c>
      <c r="DO73" s="12">
        <f>IF('Données projet'!$A$166&gt;35,DO72+DN73-DW72,IF(A73&lt;'Données projet'!$A$166,$DL$205^A73,IF(A73='Données projet'!$A$166,'Données projet'!$B$166,DO72+DN73-DW72)))</f>
        <v>355.00000000000006</v>
      </c>
      <c r="DP73" s="17">
        <f>DO73*VLOOKUP('Données projet'!$B$14,Paramètres!$A$1:$I$89,3,0)*VLOOKUP('Données projet'!$B$14,Paramètres!$A$1:$I$89,5,0)</f>
        <v>212.29000000000005</v>
      </c>
      <c r="DQ73" s="13">
        <f t="shared" si="97"/>
        <v>52.435691998503984</v>
      </c>
      <c r="DR73" s="20">
        <f t="shared" si="70"/>
        <v>461.06391356406112</v>
      </c>
      <c r="DS73" s="59">
        <f t="shared" si="71"/>
        <v>754.39724689739444</v>
      </c>
      <c r="DT73" s="59">
        <f ca="1">AVERAGE(OFFSET($DS$3,0,0,'Données projet'!$E$14+1,1))-AVERAGE(OFFSET($H$3,0,0,'Données projet'!$E$14+1,1))</f>
        <v>165.39579887388538</v>
      </c>
      <c r="DU73" s="59">
        <f t="shared" si="98"/>
        <v>155.89639262545802</v>
      </c>
      <c r="DV73" s="15">
        <f>IF(ISNA(VLOOKUP(A73,'Données projet'!$A$165:$I$185,3,0)),0,VLOOKUP(A73,'Données projet'!$A$165:$I$185,3,0))</f>
        <v>5</v>
      </c>
      <c r="DW73" s="15">
        <f>IF(ISNA(VLOOKUP(A73,'Données projet'!$A$165:$I$185,4,0)),0,VLOOKUP(A73,'Données projet'!$A$165:$I$185,4,0))</f>
        <v>38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>
        <f>EXP(-LN(2)/35)*EA72+(1-EXP(-LN(2)/35))/(LN(2)/35)*DW73*DX73*VLOOKUP('Données projet'!$B$14,Paramètres!$A$1:$I$89,3,0)*0.475*44/12</f>
        <v>0</v>
      </c>
      <c r="EB73" s="21">
        <f>EXP(-LN(2)/25)*EB72+(1-EXP(-LN(2)/25))/(LN(2)/25)*Calculateur!DW73*Calculateur!DY73*VLOOKUP('Données projet'!$B$14,Paramètres!$A$1:$I$89,3,0)*0.475*44/12</f>
        <v>2.4045541628463383</v>
      </c>
      <c r="EC73" s="21">
        <f>EXP(-LN(2)/2)*EC72+(1-EXP(-LN(2)/2))/(LN(2)/2)*DW73*DZ73*VLOOKUP('Données projet'!$B$14,Paramètres!$A$1:$I$89,3,0)*0.475*44/12</f>
        <v>1.3237033591629936E-5</v>
      </c>
      <c r="ED73" s="22">
        <f t="shared" si="72"/>
        <v>2.4045673998799297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>
        <f>VLOOKUP(A73,'Données projet'!$A$191:$I$211,2,0)</f>
        <v>186</v>
      </c>
      <c r="EH73" s="12">
        <f>VLOOKUP(A73,'Données projet'!$A$191:$I$211,9,0)</f>
        <v>5.2</v>
      </c>
      <c r="EI73" s="12">
        <f t="array" ref="EI73">INDEX(EH:EH,MIN(IF(ISNUMBER(EH73:EH269),ROW(EH73:EH269),"")))</f>
        <v>5.2</v>
      </c>
      <c r="EJ73" s="12">
        <f>IF('Données projet'!$A$192&gt;35,EJ72+EI73-ER72,IF(A73&lt;'Données projet'!$A$192,$EG$205^A73,IF(A73='Données projet'!$A$192,'Données projet'!$B$192,EJ72+EI73-ER72)))</f>
        <v>185.99999999999986</v>
      </c>
      <c r="EK73" s="17">
        <f>EJ73*VLOOKUP('Données projet'!$B$15,Paramètres!$A$1:$I$89,3,0)*VLOOKUP('Données projet'!$B$15,Paramètres!$A$1:$I$89,5,0)</f>
        <v>145.0799999999999</v>
      </c>
      <c r="EL73" s="13">
        <f t="shared" si="99"/>
        <v>37.45833706767295</v>
      </c>
      <c r="EM73" s="20">
        <f t="shared" si="73"/>
        <v>317.92093705953022</v>
      </c>
      <c r="EN73" s="59">
        <f t="shared" si="74"/>
        <v>611.25427039286353</v>
      </c>
      <c r="EO73" s="59">
        <f ca="1">AVERAGE(OFFSET($EN$3,0,0,'Données projet'!$E$15+1,1))-AVERAGE(OFFSET($H$3,0,0,'Données projet'!$E$15+1,1))</f>
        <v>104.07220236158577</v>
      </c>
      <c r="EP73" s="59">
        <f t="shared" si="100"/>
        <v>34.162068257911756</v>
      </c>
      <c r="EQ73" s="15">
        <f>IF(ISNA(VLOOKUP(A73,'Données projet'!$A$191:$I$211,3,0)),0,VLOOKUP(A73,'Données projet'!$A$191:$I$211,3,0))</f>
        <v>4</v>
      </c>
      <c r="ER73" s="15">
        <f>IF(ISNA(VLOOKUP(A73,'Données projet'!$A$191:$I$211,4,0)),0,VLOOKUP(A73,'Données projet'!$A$191:$I$211,4,0))</f>
        <v>28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>
        <f>EXP(-LN(2)/35)*EV72+(1-EXP(-LN(2)/35))/(LN(2)/35)*ER73*ES73*VLOOKUP('Données projet'!$B$15,Paramètres!$A$1:$I$89,3,0)*0.475*44/12</f>
        <v>0</v>
      </c>
      <c r="EW73" s="21">
        <f>EXP(-LN(2)/25)*EW72+(1-EXP(-LN(2)/25))/(LN(2)/25)*Calculateur!ER73*Calculateur!ET73*VLOOKUP('Données projet'!$B$15,Paramètres!$A$1:$I$89,3,0)*0.475*44/12</f>
        <v>0</v>
      </c>
      <c r="EX73" s="21">
        <f>EXP(-LN(2)/2)*EX72+(1-EXP(-LN(2)/2))/(LN(2)/2)*ER73*EU73*VLOOKUP('Données projet'!$B$15,Paramètres!$A$1:$I$89,3,0)*0.475*44/12</f>
        <v>0</v>
      </c>
      <c r="EY73" s="22">
        <f t="shared" si="75"/>
        <v>0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5.6843418860808015E-14</v>
      </c>
      <c r="FF73" s="17">
        <f>FE73*VLOOKUP('Données projet'!$B$16,Paramètres!$A$1:$I$89,3,0)*VLOOKUP('Données projet'!$B$16,Paramètres!$A$1:$I$89,5,0)</f>
        <v>5.1431925385259088E-14</v>
      </c>
      <c r="FG73" s="13">
        <f t="shared" si="101"/>
        <v>8.3482866290946129E-13</v>
      </c>
      <c r="FH73" s="20">
        <f t="shared" si="76"/>
        <v>1.5435705246133045E-12</v>
      </c>
      <c r="FI73" s="59">
        <f t="shared" si="77"/>
        <v>293.33333333333485</v>
      </c>
      <c r="FJ73" s="59">
        <f ca="1">AVERAGE(OFFSET($FI$3,0,0,'Données projet'!$E$16+1,1))-AVERAGE(OFFSET($H$3,0,0,'Données projet'!$E$16+1,1))</f>
        <v>179.50097986986123</v>
      </c>
      <c r="FK73" s="59">
        <f t="shared" si="102"/>
        <v>287.11838730637578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>
        <f>EXP(-LN(2)/35)*FQ72+(1-EXP(-LN(2)/35))/(LN(2)/35)*FM73*FN73*VLOOKUP('Données projet'!$B$16,Paramètres!$A$1:$I$89,3,0)*0.475*44/12</f>
        <v>0.28230289079342896</v>
      </c>
      <c r="FR73" s="21">
        <f>EXP(-LN(2)/25)*FR72+(1-EXP(-LN(2)/25))/(LN(2)/25)*Calculateur!FM73*Calculateur!FO73*VLOOKUP('Données projet'!$B$16,Paramètres!$A$1:$I$89,3,0)*0.475*44/12</f>
        <v>2.0761249302194389</v>
      </c>
      <c r="FS73" s="21">
        <f>EXP(-LN(2)/2)*FS72+(1-EXP(-LN(2)/2))/(LN(2)/2)*FM73*FP73*VLOOKUP('Données projet'!$B$16,Paramètres!$A$1:$I$89,3,0)*0.475*44/12</f>
        <v>4.3113670592551525E-6</v>
      </c>
      <c r="FT73" s="22">
        <f t="shared" si="78"/>
        <v>2.3584321323799271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>
        <f>VLOOKUP(A73,'Données projet'!$A$243:$I$263,2,0)</f>
        <v>355</v>
      </c>
      <c r="FX73" s="12">
        <f>VLOOKUP(A73,'Données projet'!$A$243:$I$263,9,0)</f>
        <v>8</v>
      </c>
      <c r="FY73" s="12">
        <f t="array" ref="FY73">INDEX(FX:FX,MIN(IF(ISNUMBER(FX73:FX269),ROW(FX73:FX269),"")))</f>
        <v>8</v>
      </c>
      <c r="FZ73" s="12">
        <f>IF('Données projet'!$A$244&gt;35,FZ72+FY73-GH72,IF(A73&lt;'Données projet'!$A$244,$FW$205^A73,IF(A73='Données projet'!$A$244,'Données projet'!$B$244,FZ72+FY73-GH72)))</f>
        <v>355.00000000000006</v>
      </c>
      <c r="GA73" s="17">
        <f>FZ73*VLOOKUP('Données projet'!$B$17,Paramètres!$A$1:$I$89,3,0)*VLOOKUP('Données projet'!$B$17,Paramètres!$A$1:$I$89,5,0)</f>
        <v>212.29000000000005</v>
      </c>
      <c r="GB73" s="13">
        <f t="shared" si="103"/>
        <v>52.435691998503984</v>
      </c>
      <c r="GC73" s="20">
        <f t="shared" si="79"/>
        <v>461.06391356406112</v>
      </c>
      <c r="GD73" s="59">
        <f t="shared" si="80"/>
        <v>754.39724689739444</v>
      </c>
      <c r="GE73" s="59">
        <f ca="1">AVERAGE(OFFSET($GD$3,0,0,'Données projet'!$E$17+1,1))-AVERAGE(OFFSET($H$3,0,0,'Données projet'!$E$17+1,1))</f>
        <v>165.39579887388538</v>
      </c>
      <c r="GF73" s="59">
        <f t="shared" si="104"/>
        <v>155.89639262545802</v>
      </c>
      <c r="GG73" s="15">
        <f>IF(ISNA(VLOOKUP(A73,'Données projet'!$A$243:$I$263,3,0)),0,VLOOKUP(A73,'Données projet'!$A$243:$I$263,3,0))</f>
        <v>5</v>
      </c>
      <c r="GH73" s="15">
        <f>IF(ISNA(VLOOKUP(A73,'Données projet'!$A$243:$I$263,4,0)),0,VLOOKUP(A73,'Données projet'!$A$243:$I$263,4,0))</f>
        <v>38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>
        <f>EXP(-LN(2)/35)*GL72+(1-EXP(-LN(2)/35))/(LN(2)/35)*GH73*GI73*VLOOKUP('Données projet'!$B$17,Paramètres!$A$1:$I$89,3,0)*0.475*44/12</f>
        <v>0</v>
      </c>
      <c r="GM73" s="21">
        <f>EXP(-LN(2)/25)*GM72+(1-EXP(-LN(2)/25))/(LN(2)/25)*Calculateur!GH73*Calculateur!GJ73*VLOOKUP('Données projet'!$B$17,Paramètres!$A$1:$I$89,3,0)*0.475*44/12</f>
        <v>2.4045541628463383</v>
      </c>
      <c r="GN73" s="21">
        <f>EXP(-LN(2)/2)*GN72+(1-EXP(-LN(2)/2))/(LN(2)/2)*GH73*GK73*VLOOKUP('Données projet'!$B$17,Paramètres!$A$1:$I$89,3,0)*0.475*44/12</f>
        <v>1.3237033591629936E-5</v>
      </c>
      <c r="GO73" s="21">
        <f t="shared" si="81"/>
        <v>2.4045673998799297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8.3000000000000007</v>
      </c>
      <c r="N74" s="13">
        <f>IF('Données projet'!$A$36&gt;35,N73+M74-V73,IF(A74&lt;'Données projet'!$A$36,$K$205^A74,IF(A74='Données projet'!$A$36,'Données projet'!$B$36,N73+M74-V73)))</f>
        <v>439.30000000000024</v>
      </c>
      <c r="O74" s="13">
        <f>N74*VLOOKUP('Données projet'!$B$9,Paramètres!$A$1:$I$89,3,0)*VLOOKUP('Données projet'!$B$9,Paramètres!$A$1:$I$89,5,0)</f>
        <v>245.56870000000012</v>
      </c>
      <c r="P74" s="13">
        <f t="shared" si="87"/>
        <v>59.636059245564958</v>
      </c>
      <c r="Q74" s="20">
        <f t="shared" si="54"/>
        <v>531.56495568602577</v>
      </c>
      <c r="R74" s="59">
        <f t="shared" si="55"/>
        <v>824.89828901935903</v>
      </c>
      <c r="S74" s="59">
        <f ca="1">AVERAGE(OFFSET($R$3,0,0,'Données projet'!$E$9+1,1))-AVERAGE(OFFSET($H$3,0,0,'Données projet'!$E$9+1,1))</f>
        <v>235.10258076192054</v>
      </c>
      <c r="T74" s="59">
        <f t="shared" si="88"/>
        <v>233.47316052603765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1.5210622991513782</v>
      </c>
      <c r="AA74" s="21">
        <f>EXP(-LN(2)/25)*AA73+(1-EXP(-LN(2)/25))/(LN(2)/25)*Calculateur!V74*Calculateur!X74*VLOOKUP('Données projet'!$B$9,Paramètres!$A$1:$I$89,3,0)*0.475*44/12</f>
        <v>5.9149520942145397</v>
      </c>
      <c r="AB74" s="21">
        <f>EXP(-LN(2)/2)*AB73+(1-EXP(-LN(2)/2))/(LN(2)/2)*V74*Y74*VLOOKUP('Données projet'!$B$9,Paramètres!$A$1:$I$89,3,0)*0.475*44/12</f>
        <v>1.6266715586123031E-5</v>
      </c>
      <c r="AC74" s="22">
        <f t="shared" si="57"/>
        <v>7.4360306600815038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3.3</v>
      </c>
      <c r="AI74" s="13">
        <f>IF('Données projet'!$A$62&gt;35,AI73+AH74-AQ73,IF(A74&lt;'Données projet'!$A$62,$AF$205^A74,IF(A74='Données projet'!$A$62,'Données projet'!$B$62,AI73+AH74-AQ73)))</f>
        <v>194.29999999999981</v>
      </c>
      <c r="AJ74" s="13">
        <f>AI74*VLOOKUP('Données projet'!$B$10,Paramètres!$A$1:$I$89,3,0)*VLOOKUP('Données projet'!$B$10,Paramètres!$A$1:$I$89,5,0)</f>
        <v>169.74047999999985</v>
      </c>
      <c r="AK74" s="13">
        <f t="shared" si="89"/>
        <v>43.03189457132202</v>
      </c>
      <c r="AL74" s="20">
        <f t="shared" si="58"/>
        <v>370.57855237838561</v>
      </c>
      <c r="AM74" s="59">
        <f t="shared" si="59"/>
        <v>663.91188571171892</v>
      </c>
      <c r="AN74" s="59">
        <f ca="1">AVERAGE(OFFSET($AM$3,0,0,'Données projet'!$E$10+1,1))-AVERAGE(OFFSET($H$3,0,0,'Données projet'!$E$10+1,1))</f>
        <v>191.94797389630673</v>
      </c>
      <c r="AO74" s="59">
        <f t="shared" si="90"/>
        <v>273.52540822767878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1.1431013642107337</v>
      </c>
      <c r="AV74" s="21">
        <f>EXP(-LN(2)/25)*AV73+(1-EXP(-LN(2)/25))/(LN(2)/25)*Calculateur!AQ74*Calculateur!AS74*VLOOKUP('Données projet'!$B$10,Paramètres!$A$1:$I$89,3,0)*0.475*44/12</f>
        <v>4.5074402170891785</v>
      </c>
      <c r="AW74" s="21">
        <f>EXP(-LN(2)/2)*AW73+(1-EXP(-LN(2)/2))/(LN(2)/2)*AQ74*AT74*VLOOKUP('Données projet'!$B$10,Paramètres!$A$1:$I$89,3,0)*0.475*44/12</f>
        <v>1.5646975645824763E-5</v>
      </c>
      <c r="AX74" s="21">
        <f t="shared" si="60"/>
        <v>5.6505572282755576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162.79999999999987</v>
      </c>
      <c r="BE74" s="13">
        <f>BD74*VLOOKUP('Données projet'!$B$11,Paramètres!$A$1:$I$89,3,0)*VLOOKUP('Données projet'!$B$11,Paramètres!$A$1:$I$89,5,0)</f>
        <v>147.30143999999987</v>
      </c>
      <c r="BF74" s="13">
        <f t="shared" si="91"/>
        <v>37.964681731408312</v>
      </c>
      <c r="BG74" s="20">
        <f t="shared" si="61"/>
        <v>322.6718286822026</v>
      </c>
      <c r="BH74" s="59">
        <f t="shared" si="62"/>
        <v>616.00516201553592</v>
      </c>
      <c r="BI74" s="59">
        <f ca="1">AVERAGE(OFFSET($BH$3,0,0,'Données projet'!$E$11+1,1))-AVERAGE(OFFSET($H$3,0,0,'Données projet'!$E$11+1,1))</f>
        <v>138.8931001150624</v>
      </c>
      <c r="BJ74" s="59">
        <f t="shared" si="92"/>
        <v>48.964659354096625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162.79999999999987</v>
      </c>
      <c r="BZ74" s="13">
        <f>BY74*VLOOKUP('Données projet'!$B$12,Paramètres!$A$1:$I$89,3,0)*VLOOKUP('Données projet'!$B$12,Paramètres!$A$1:$I$89,5,0)</f>
        <v>165.07919999999987</v>
      </c>
      <c r="CA74" s="13">
        <f t="shared" si="93"/>
        <v>41.986051122111817</v>
      </c>
      <c r="CB74" s="20">
        <f t="shared" si="64"/>
        <v>360.63864570434453</v>
      </c>
      <c r="CC74" s="59">
        <f t="shared" si="65"/>
        <v>653.97197903767778</v>
      </c>
      <c r="CD74" s="59">
        <f ca="1">AVERAGE(OFFSET($CC$3,0,0,'Données projet'!$E$12+1,1))-AVERAGE(OFFSET($H$3,0,0,'Données projet'!$E$12+1,1))</f>
        <v>169.2757878405003</v>
      </c>
      <c r="CE74" s="59">
        <f t="shared" si="94"/>
        <v>61.876502626609977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2.5</v>
      </c>
      <c r="CT74" s="12">
        <f>IF('Données projet'!$A$140&gt;35,CT73+CS74-DB73,IF(A74&lt;'Données projet'!$A$140,$CQ$205^A74,IF(A74='Données projet'!$A$140,'Données projet'!$B$140,CT73+CS74-DB73)))</f>
        <v>203.49999999999991</v>
      </c>
      <c r="CU74" s="17">
        <f>CT74*VLOOKUP('Données projet'!$B$13,Paramètres!$A$1:$I$89,3,0)*VLOOKUP('Données projet'!$B$13,Paramètres!$A$1:$I$89,5,0)</f>
        <v>161.90459999999993</v>
      </c>
      <c r="CV74" s="13">
        <f t="shared" si="95"/>
        <v>41.271806945500579</v>
      </c>
      <c r="CW74" s="20">
        <f t="shared" si="67"/>
        <v>353.86557543008007</v>
      </c>
      <c r="CX74" s="59">
        <f t="shared" si="68"/>
        <v>647.19890876341333</v>
      </c>
      <c r="CY74" s="59">
        <f ca="1">AVERAGE(OFFSET($CX$3,0,0,'Données projet'!$E$13+1,1))-AVERAGE(OFFSET($H$3,0,0,'Données projet'!$E$13+1,1))</f>
        <v>141.12810728817544</v>
      </c>
      <c r="CZ74" s="59">
        <f t="shared" si="96"/>
        <v>176.01405805137551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>
        <f>EXP(-LN(2)/35)*DF73+(1-EXP(-LN(2)/35))/(LN(2)/35)*DB74*DC74*VLOOKUP('Données projet'!$B$13,Paramètres!$A$1:$I$89,3,0)*0.475*44/12</f>
        <v>0</v>
      </c>
      <c r="DG74" s="21">
        <f>EXP(-LN(2)/25)*DG73+(1-EXP(-LN(2)/25))/(LN(2)/25)*Calculateur!DB74*Calculateur!DD74*VLOOKUP('Données projet'!$B$13,Paramètres!$A$1:$I$89,3,0)*0.475*44/12</f>
        <v>2.1569816593557354</v>
      </c>
      <c r="DH74" s="21">
        <f>EXP(-LN(2)/2)*DH73+(1-EXP(-LN(2)/2))/(LN(2)/2)*DB74*DE74*VLOOKUP('Données projet'!$B$13,Paramètres!$A$1:$I$89,3,0)*0.475*44/12</f>
        <v>5.398297790773731E-6</v>
      </c>
      <c r="DI74" s="22">
        <f t="shared" si="69"/>
        <v>2.1569870576535259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6</v>
      </c>
      <c r="DO74" s="12">
        <f>IF('Données projet'!$A$166&gt;35,DO73+DN74-DW73,IF(A74&lt;'Données projet'!$A$166,$DL$205^A74,IF(A74='Données projet'!$A$166,'Données projet'!$B$166,DO73+DN74-DW73)))</f>
        <v>323.00000000000006</v>
      </c>
      <c r="DP74" s="17">
        <f>DO74*VLOOKUP('Données projet'!$B$14,Paramètres!$A$1:$I$89,3,0)*VLOOKUP('Données projet'!$B$14,Paramètres!$A$1:$I$89,5,0)</f>
        <v>193.15400000000005</v>
      </c>
      <c r="DQ74" s="13">
        <f t="shared" si="97"/>
        <v>48.236587915544618</v>
      </c>
      <c r="DR74" s="20">
        <f t="shared" si="70"/>
        <v>420.42194061957366</v>
      </c>
      <c r="DS74" s="59">
        <f t="shared" si="71"/>
        <v>713.75527395290692</v>
      </c>
      <c r="DT74" s="59">
        <f ca="1">AVERAGE(OFFSET($DS$3,0,0,'Données projet'!$E$14+1,1))-AVERAGE(OFFSET($H$3,0,0,'Données projet'!$E$14+1,1))</f>
        <v>165.39579887388538</v>
      </c>
      <c r="DU74" s="59">
        <f t="shared" si="98"/>
        <v>155.89639262545802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>
        <f>EXP(-LN(2)/35)*EA73+(1-EXP(-LN(2)/35))/(LN(2)/35)*DW74*DX74*VLOOKUP('Données projet'!$B$14,Paramètres!$A$1:$I$89,3,0)*0.475*44/12</f>
        <v>0</v>
      </c>
      <c r="EB74" s="21">
        <f>EXP(-LN(2)/25)*EB73+(1-EXP(-LN(2)/25))/(LN(2)/25)*Calculateur!DW74*Calculateur!DY74*VLOOKUP('Données projet'!$B$14,Paramètres!$A$1:$I$89,3,0)*0.475*44/12</f>
        <v>2.3388015028132974</v>
      </c>
      <c r="EC74" s="21">
        <f>EXP(-LN(2)/2)*EC73+(1-EXP(-LN(2)/2))/(LN(2)/2)*DW74*DZ74*VLOOKUP('Données projet'!$B$14,Paramètres!$A$1:$I$89,3,0)*0.475*44/12</f>
        <v>9.3599962154356482E-6</v>
      </c>
      <c r="ED74" s="22">
        <f t="shared" si="72"/>
        <v>2.3388108628095128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4.8</v>
      </c>
      <c r="EJ74" s="12">
        <f>IF('Données projet'!$A$192&gt;35,EJ73+EI74-ER73,IF(A74&lt;'Données projet'!$A$192,$EG$205^A74,IF(A74='Données projet'!$A$192,'Données projet'!$B$192,EJ73+EI74-ER73)))</f>
        <v>162.79999999999987</v>
      </c>
      <c r="EK74" s="17">
        <f>EJ74*VLOOKUP('Données projet'!$B$15,Paramètres!$A$1:$I$89,3,0)*VLOOKUP('Données projet'!$B$15,Paramètres!$A$1:$I$89,5,0)</f>
        <v>126.98399999999991</v>
      </c>
      <c r="EL74" s="13">
        <f t="shared" si="99"/>
        <v>33.298501064557179</v>
      </c>
      <c r="EM74" s="20">
        <f t="shared" si="73"/>
        <v>279.15868935410361</v>
      </c>
      <c r="EN74" s="59">
        <f t="shared" si="74"/>
        <v>572.49202268743693</v>
      </c>
      <c r="EO74" s="59">
        <f ca="1">AVERAGE(OFFSET($EN$3,0,0,'Données projet'!$E$15+1,1))-AVERAGE(OFFSET($H$3,0,0,'Données projet'!$E$15+1,1))</f>
        <v>104.07220236158577</v>
      </c>
      <c r="EP74" s="59">
        <f t="shared" si="100"/>
        <v>34.162068257911756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>
        <f>EXP(-LN(2)/35)*EV73+(1-EXP(-LN(2)/35))/(LN(2)/35)*ER74*ES74*VLOOKUP('Données projet'!$B$15,Paramètres!$A$1:$I$89,3,0)*0.475*44/12</f>
        <v>0</v>
      </c>
      <c r="EW74" s="21">
        <f>EXP(-LN(2)/25)*EW73+(1-EXP(-LN(2)/25))/(LN(2)/25)*Calculateur!ER74*Calculateur!ET74*VLOOKUP('Données projet'!$B$15,Paramètres!$A$1:$I$89,3,0)*0.475*44/12</f>
        <v>0</v>
      </c>
      <c r="EX74" s="21">
        <f>EXP(-LN(2)/2)*EX73+(1-EXP(-LN(2)/2))/(LN(2)/2)*ER74*EU74*VLOOKUP('Données projet'!$B$15,Paramètres!$A$1:$I$89,3,0)*0.475*44/12</f>
        <v>0</v>
      </c>
      <c r="EY74" s="22">
        <f t="shared" si="75"/>
        <v>0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5.6843418860808015E-14</v>
      </c>
      <c r="FF74" s="17">
        <f>FE74*VLOOKUP('Données projet'!$B$16,Paramètres!$A$1:$I$89,3,0)*VLOOKUP('Données projet'!$B$16,Paramètres!$A$1:$I$89,5,0)</f>
        <v>5.1431925385259088E-14</v>
      </c>
      <c r="FG74" s="13">
        <f t="shared" si="101"/>
        <v>8.3482866290946129E-13</v>
      </c>
      <c r="FH74" s="20">
        <f t="shared" si="76"/>
        <v>1.5435705246133045E-12</v>
      </c>
      <c r="FI74" s="59">
        <f t="shared" si="77"/>
        <v>293.33333333333485</v>
      </c>
      <c r="FJ74" s="59">
        <f ca="1">AVERAGE(OFFSET($FI$3,0,0,'Données projet'!$E$16+1,1))-AVERAGE(OFFSET($H$3,0,0,'Données projet'!$E$16+1,1))</f>
        <v>179.50097986986123</v>
      </c>
      <c r="FK74" s="59">
        <f t="shared" si="102"/>
        <v>287.11838730637578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>
        <f>EXP(-LN(2)/35)*FQ73+(1-EXP(-LN(2)/35))/(LN(2)/35)*FM74*FN74*VLOOKUP('Données projet'!$B$16,Paramètres!$A$1:$I$89,3,0)*0.475*44/12</f>
        <v>0.27676710329273108</v>
      </c>
      <c r="FR74" s="21">
        <f>EXP(-LN(2)/25)*FR73+(1-EXP(-LN(2)/25))/(LN(2)/25)*Calculateur!FM74*Calculateur!FO74*VLOOKUP('Données projet'!$B$16,Paramètres!$A$1:$I$89,3,0)*0.475*44/12</f>
        <v>2.0193531848239235</v>
      </c>
      <c r="FS74" s="21">
        <f>EXP(-LN(2)/2)*FS73+(1-EXP(-LN(2)/2))/(LN(2)/2)*FM74*FP74*VLOOKUP('Données projet'!$B$16,Paramètres!$A$1:$I$89,3,0)*0.475*44/12</f>
        <v>3.0485968837836221E-6</v>
      </c>
      <c r="FT74" s="22">
        <f t="shared" si="78"/>
        <v>2.2961233367135385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6</v>
      </c>
      <c r="FZ74" s="12">
        <f>IF('Données projet'!$A$244&gt;35,FZ73+FY74-GH73,IF(A74&lt;'Données projet'!$A$244,$FW$205^A74,IF(A74='Données projet'!$A$244,'Données projet'!$B$244,FZ73+FY74-GH73)))</f>
        <v>323.00000000000006</v>
      </c>
      <c r="GA74" s="17">
        <f>FZ74*VLOOKUP('Données projet'!$B$17,Paramètres!$A$1:$I$89,3,0)*VLOOKUP('Données projet'!$B$17,Paramètres!$A$1:$I$89,5,0)</f>
        <v>193.15400000000005</v>
      </c>
      <c r="GB74" s="13">
        <f t="shared" si="103"/>
        <v>48.236587915544618</v>
      </c>
      <c r="GC74" s="20">
        <f t="shared" si="79"/>
        <v>420.42194061957366</v>
      </c>
      <c r="GD74" s="59">
        <f t="shared" si="80"/>
        <v>713.75527395290692</v>
      </c>
      <c r="GE74" s="59">
        <f ca="1">AVERAGE(OFFSET($GD$3,0,0,'Données projet'!$E$17+1,1))-AVERAGE(OFFSET($H$3,0,0,'Données projet'!$E$17+1,1))</f>
        <v>165.39579887388538</v>
      </c>
      <c r="GF74" s="59">
        <f t="shared" si="104"/>
        <v>155.89639262545802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>
        <f>EXP(-LN(2)/35)*GL73+(1-EXP(-LN(2)/35))/(LN(2)/35)*GH74*GI74*VLOOKUP('Données projet'!$B$17,Paramètres!$A$1:$I$89,3,0)*0.475*44/12</f>
        <v>0</v>
      </c>
      <c r="GM74" s="21">
        <f>EXP(-LN(2)/25)*GM73+(1-EXP(-LN(2)/25))/(LN(2)/25)*Calculateur!GH74*Calculateur!GJ74*VLOOKUP('Données projet'!$B$17,Paramètres!$A$1:$I$89,3,0)*0.475*44/12</f>
        <v>2.3388015028132974</v>
      </c>
      <c r="GN74" s="21">
        <f>EXP(-LN(2)/2)*GN73+(1-EXP(-LN(2)/2))/(LN(2)/2)*GH74*GK74*VLOOKUP('Données projet'!$B$17,Paramètres!$A$1:$I$89,3,0)*0.475*44/12</f>
        <v>9.3599962154356482E-6</v>
      </c>
      <c r="GO74" s="21">
        <f t="shared" si="81"/>
        <v>2.3388108628095128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8.3000000000000007</v>
      </c>
      <c r="N75" s="13">
        <f>IF('Données projet'!$A$36&gt;35,N74+M75-V74,IF(A75&lt;'Données projet'!$A$36,$K$205^A75,IF(A75='Données projet'!$A$36,'Données projet'!$B$36,N74+M75-V74)))</f>
        <v>447.60000000000025</v>
      </c>
      <c r="O75" s="13">
        <f>N75*VLOOKUP('Données projet'!$B$9,Paramètres!$A$1:$I$89,3,0)*VLOOKUP('Données projet'!$B$9,Paramètres!$A$1:$I$89,5,0)</f>
        <v>250.20840000000015</v>
      </c>
      <c r="P75" s="13">
        <f t="shared" si="87"/>
        <v>60.630564411420188</v>
      </c>
      <c r="Q75" s="20">
        <f t="shared" si="54"/>
        <v>541.37786301655706</v>
      </c>
      <c r="R75" s="59">
        <f t="shared" si="55"/>
        <v>834.71119634989032</v>
      </c>
      <c r="S75" s="59">
        <f ca="1">AVERAGE(OFFSET($R$3,0,0,'Données projet'!$E$9+1,1))-AVERAGE(OFFSET($H$3,0,0,'Données projet'!$E$9+1,1))</f>
        <v>235.10258076192054</v>
      </c>
      <c r="T75" s="59">
        <f t="shared" si="88"/>
        <v>233.47316052603765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1.4912351952214138</v>
      </c>
      <c r="AA75" s="21">
        <f>EXP(-LN(2)/25)*AA74+(1-EXP(-LN(2)/25))/(LN(2)/25)*Calculateur!V75*Calculateur!X75*VLOOKUP('Données projet'!$B$9,Paramètres!$A$1:$I$89,3,0)*0.475*44/12</f>
        <v>5.7532074181444317</v>
      </c>
      <c r="AB75" s="21">
        <f>EXP(-LN(2)/2)*AB74+(1-EXP(-LN(2)/2))/(LN(2)/2)*V75*Y75*VLOOKUP('Données projet'!$B$9,Paramètres!$A$1:$I$89,3,0)*0.475*44/12</f>
        <v>1.15023048985805E-5</v>
      </c>
      <c r="AC75" s="22">
        <f t="shared" si="57"/>
        <v>7.2444541156707443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3.3</v>
      </c>
      <c r="AI75" s="13">
        <f>IF('Données projet'!$A$62&gt;35,AI74+AH75-AQ74,IF(A75&lt;'Données projet'!$A$62,$AF$205^A75,IF(A75='Données projet'!$A$62,'Données projet'!$B$62,AI74+AH75-AQ74)))</f>
        <v>197.59999999999982</v>
      </c>
      <c r="AJ75" s="13">
        <f>AI75*VLOOKUP('Données projet'!$B$10,Paramètres!$A$1:$I$89,3,0)*VLOOKUP('Données projet'!$B$10,Paramètres!$A$1:$I$89,5,0)</f>
        <v>172.62335999999985</v>
      </c>
      <c r="AK75" s="13">
        <f t="shared" si="89"/>
        <v>43.677044279986035</v>
      </c>
      <c r="AL75" s="20">
        <f t="shared" si="58"/>
        <v>376.72320412097542</v>
      </c>
      <c r="AM75" s="59">
        <f t="shared" si="59"/>
        <v>670.05653745430868</v>
      </c>
      <c r="AN75" s="59">
        <f ca="1">AVERAGE(OFFSET($AM$3,0,0,'Données projet'!$E$10+1,1))-AVERAGE(OFFSET($H$3,0,0,'Données projet'!$E$10+1,1))</f>
        <v>191.94797389630673</v>
      </c>
      <c r="AO75" s="59">
        <f t="shared" si="90"/>
        <v>273.52540822767878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1.1206858436815483</v>
      </c>
      <c r="AV75" s="21">
        <f>EXP(-LN(2)/25)*AV74+(1-EXP(-LN(2)/25))/(LN(2)/25)*Calculateur!AQ75*Calculateur!AS75*VLOOKUP('Données projet'!$B$10,Paramètres!$A$1:$I$89,3,0)*0.475*44/12</f>
        <v>4.3841840273168957</v>
      </c>
      <c r="AW75" s="21">
        <f>EXP(-LN(2)/2)*AW74+(1-EXP(-LN(2)/2))/(LN(2)/2)*AQ75*AT75*VLOOKUP('Données projet'!$B$10,Paramètres!$A$1:$I$89,3,0)*0.475*44/12</f>
        <v>1.1064082584223449E-5</v>
      </c>
      <c r="AX75" s="21">
        <f t="shared" si="60"/>
        <v>5.5048809350810286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167.59999999999988</v>
      </c>
      <c r="BE75" s="13">
        <f>BD75*VLOOKUP('Données projet'!$B$11,Paramètres!$A$1:$I$89,3,0)*VLOOKUP('Données projet'!$B$11,Paramètres!$A$1:$I$89,5,0)</f>
        <v>151.6444799999999</v>
      </c>
      <c r="BF75" s="13">
        <f t="shared" si="91"/>
        <v>38.952062117783541</v>
      </c>
      <c r="BG75" s="20">
        <f t="shared" si="61"/>
        <v>331.95564418847277</v>
      </c>
      <c r="BH75" s="59">
        <f t="shared" si="62"/>
        <v>625.28897752180615</v>
      </c>
      <c r="BI75" s="59">
        <f ca="1">AVERAGE(OFFSET($BH$3,0,0,'Données projet'!$E$11+1,1))-AVERAGE(OFFSET($H$3,0,0,'Données projet'!$E$11+1,1))</f>
        <v>138.8931001150624</v>
      </c>
      <c r="BJ75" s="59">
        <f t="shared" si="92"/>
        <v>48.964659354096625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167.59999999999988</v>
      </c>
      <c r="BZ75" s="13">
        <f>BY75*VLOOKUP('Données projet'!$B$12,Paramètres!$A$1:$I$89,3,0)*VLOOKUP('Données projet'!$B$12,Paramètres!$A$1:$I$89,5,0)</f>
        <v>169.9463999999999</v>
      </c>
      <c r="CA75" s="13">
        <f t="shared" si="93"/>
        <v>43.078018748038787</v>
      </c>
      <c r="CB75" s="20">
        <f t="shared" si="64"/>
        <v>371.01752931950068</v>
      </c>
      <c r="CC75" s="59">
        <f t="shared" si="65"/>
        <v>664.35086265283394</v>
      </c>
      <c r="CD75" s="59">
        <f ca="1">AVERAGE(OFFSET($CC$3,0,0,'Données projet'!$E$12+1,1))-AVERAGE(OFFSET($H$3,0,0,'Données projet'!$E$12+1,1))</f>
        <v>169.2757878405003</v>
      </c>
      <c r="CE75" s="59">
        <f t="shared" si="94"/>
        <v>61.876502626609977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2.5</v>
      </c>
      <c r="CT75" s="12">
        <f>IF('Données projet'!$A$140&gt;35,CT74+CS75-DB74,IF(A75&lt;'Données projet'!$A$140,$CQ$205^A75,IF(A75='Données projet'!$A$140,'Données projet'!$B$140,CT74+CS75-DB74)))</f>
        <v>205.99999999999991</v>
      </c>
      <c r="CU75" s="17">
        <f>CT75*VLOOKUP('Données projet'!$B$13,Paramètres!$A$1:$I$89,3,0)*VLOOKUP('Données projet'!$B$13,Paramètres!$A$1:$I$89,5,0)</f>
        <v>163.89359999999994</v>
      </c>
      <c r="CV75" s="13">
        <f t="shared" si="95"/>
        <v>41.71949506642347</v>
      </c>
      <c r="CW75" s="20">
        <f t="shared" si="67"/>
        <v>358.10947390735402</v>
      </c>
      <c r="CX75" s="59">
        <f t="shared" si="68"/>
        <v>651.44280724068733</v>
      </c>
      <c r="CY75" s="59">
        <f ca="1">AVERAGE(OFFSET($CX$3,0,0,'Données projet'!$E$13+1,1))-AVERAGE(OFFSET($H$3,0,0,'Données projet'!$E$13+1,1))</f>
        <v>141.12810728817544</v>
      </c>
      <c r="CZ75" s="59">
        <f t="shared" si="96"/>
        <v>176.01405805137551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>
        <f>EXP(-LN(2)/35)*DF74+(1-EXP(-LN(2)/35))/(LN(2)/35)*DB75*DC75*VLOOKUP('Données projet'!$B$13,Paramètres!$A$1:$I$89,3,0)*0.475*44/12</f>
        <v>0</v>
      </c>
      <c r="DG75" s="21">
        <f>EXP(-LN(2)/25)*DG74+(1-EXP(-LN(2)/25))/(LN(2)/25)*Calculateur!DB75*Calculateur!DD75*VLOOKUP('Données projet'!$B$13,Paramètres!$A$1:$I$89,3,0)*0.475*44/12</f>
        <v>2.0979988824499172</v>
      </c>
      <c r="DH75" s="21">
        <f>EXP(-LN(2)/2)*DH74+(1-EXP(-LN(2)/2))/(LN(2)/2)*DB75*DE75*VLOOKUP('Données projet'!$B$13,Paramètres!$A$1:$I$89,3,0)*0.475*44/12</f>
        <v>3.8171729747204634E-6</v>
      </c>
      <c r="DI75" s="22">
        <f t="shared" si="69"/>
        <v>2.0980026996228918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6</v>
      </c>
      <c r="DO75" s="12">
        <f>IF('Données projet'!$A$166&gt;35,DO74+DN75-DW74,IF(A75&lt;'Données projet'!$A$166,$DL$205^A75,IF(A75='Données projet'!$A$166,'Données projet'!$B$166,DO74+DN75-DW74)))</f>
        <v>329.00000000000006</v>
      </c>
      <c r="DP75" s="17">
        <f>DO75*VLOOKUP('Données projet'!$B$14,Paramètres!$A$1:$I$89,3,0)*VLOOKUP('Données projet'!$B$14,Paramètres!$A$1:$I$89,5,0)</f>
        <v>196.74200000000005</v>
      </c>
      <c r="DQ75" s="13">
        <f t="shared" si="97"/>
        <v>49.027474951150033</v>
      </c>
      <c r="DR75" s="20">
        <f t="shared" si="70"/>
        <v>428.04850220658636</v>
      </c>
      <c r="DS75" s="59">
        <f t="shared" si="71"/>
        <v>721.38183553991962</v>
      </c>
      <c r="DT75" s="59">
        <f ca="1">AVERAGE(OFFSET($DS$3,0,0,'Données projet'!$E$14+1,1))-AVERAGE(OFFSET($H$3,0,0,'Données projet'!$E$14+1,1))</f>
        <v>165.39579887388538</v>
      </c>
      <c r="DU75" s="59">
        <f t="shared" si="98"/>
        <v>155.89639262545802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>
        <f>EXP(-LN(2)/35)*EA74+(1-EXP(-LN(2)/35))/(LN(2)/35)*DW75*DX75*VLOOKUP('Données projet'!$B$14,Paramètres!$A$1:$I$89,3,0)*0.475*44/12</f>
        <v>0</v>
      </c>
      <c r="EB75" s="21">
        <f>EXP(-LN(2)/25)*EB74+(1-EXP(-LN(2)/25))/(LN(2)/25)*Calculateur!DW75*Calculateur!DY75*VLOOKUP('Données projet'!$B$14,Paramètres!$A$1:$I$89,3,0)*0.475*44/12</f>
        <v>2.2748468527266419</v>
      </c>
      <c r="EC75" s="21">
        <f>EXP(-LN(2)/2)*EC74+(1-EXP(-LN(2)/2))/(LN(2)/2)*DW75*DZ75*VLOOKUP('Données projet'!$B$14,Paramètres!$A$1:$I$89,3,0)*0.475*44/12</f>
        <v>6.618516795814968E-6</v>
      </c>
      <c r="ED75" s="22">
        <f t="shared" si="72"/>
        <v>2.2748534712434378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4.8</v>
      </c>
      <c r="EJ75" s="12">
        <f>IF('Données projet'!$A$192&gt;35,EJ74+EI75-ER74,IF(A75&lt;'Données projet'!$A$192,$EG$205^A75,IF(A75='Données projet'!$A$192,'Données projet'!$B$192,EJ74+EI75-ER74)))</f>
        <v>167.59999999999988</v>
      </c>
      <c r="EK75" s="17">
        <f>EJ75*VLOOKUP('Données projet'!$B$15,Paramètres!$A$1:$I$89,3,0)*VLOOKUP('Données projet'!$B$15,Paramètres!$A$1:$I$89,5,0)</f>
        <v>130.72799999999992</v>
      </c>
      <c r="EL75" s="13">
        <f t="shared" si="99"/>
        <v>34.164524045585829</v>
      </c>
      <c r="EM75" s="20">
        <f t="shared" si="73"/>
        <v>287.18781271272849</v>
      </c>
      <c r="EN75" s="59">
        <f t="shared" si="74"/>
        <v>580.52114604606186</v>
      </c>
      <c r="EO75" s="59">
        <f ca="1">AVERAGE(OFFSET($EN$3,0,0,'Données projet'!$E$15+1,1))-AVERAGE(OFFSET($H$3,0,0,'Données projet'!$E$15+1,1))</f>
        <v>104.07220236158577</v>
      </c>
      <c r="EP75" s="59">
        <f t="shared" si="100"/>
        <v>34.162068257911756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>
        <f>EXP(-LN(2)/35)*EV74+(1-EXP(-LN(2)/35))/(LN(2)/35)*ER75*ES75*VLOOKUP('Données projet'!$B$15,Paramètres!$A$1:$I$89,3,0)*0.475*44/12</f>
        <v>0</v>
      </c>
      <c r="EW75" s="21">
        <f>EXP(-LN(2)/25)*EW74+(1-EXP(-LN(2)/25))/(LN(2)/25)*Calculateur!ER75*Calculateur!ET75*VLOOKUP('Données projet'!$B$15,Paramètres!$A$1:$I$89,3,0)*0.475*44/12</f>
        <v>0</v>
      </c>
      <c r="EX75" s="21">
        <f>EXP(-LN(2)/2)*EX74+(1-EXP(-LN(2)/2))/(LN(2)/2)*ER75*EU75*VLOOKUP('Données projet'!$B$15,Paramètres!$A$1:$I$89,3,0)*0.475*44/12</f>
        <v>0</v>
      </c>
      <c r="EY75" s="22">
        <f t="shared" si="75"/>
        <v>0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5.6843418860808015E-14</v>
      </c>
      <c r="FF75" s="17">
        <f>FE75*VLOOKUP('Données projet'!$B$16,Paramètres!$A$1:$I$89,3,0)*VLOOKUP('Données projet'!$B$16,Paramètres!$A$1:$I$89,5,0)</f>
        <v>5.1431925385259088E-14</v>
      </c>
      <c r="FG75" s="13">
        <f t="shared" si="101"/>
        <v>8.3482866290946129E-13</v>
      </c>
      <c r="FH75" s="20">
        <f t="shared" si="76"/>
        <v>1.5435705246133045E-12</v>
      </c>
      <c r="FI75" s="59">
        <f t="shared" si="77"/>
        <v>293.33333333333485</v>
      </c>
      <c r="FJ75" s="59">
        <f ca="1">AVERAGE(OFFSET($FI$3,0,0,'Données projet'!$E$16+1,1))-AVERAGE(OFFSET($H$3,0,0,'Données projet'!$E$16+1,1))</f>
        <v>179.50097986986123</v>
      </c>
      <c r="FK75" s="59">
        <f t="shared" si="102"/>
        <v>287.11838730637578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>
        <f>EXP(-LN(2)/35)*FQ74+(1-EXP(-LN(2)/35))/(LN(2)/35)*FM75*FN75*VLOOKUP('Données projet'!$B$16,Paramètres!$A$1:$I$89,3,0)*0.475*44/12</f>
        <v>0.2713398692084249</v>
      </c>
      <c r="FR75" s="21">
        <f>EXP(-LN(2)/25)*FR74+(1-EXP(-LN(2)/25))/(LN(2)/25)*Calculateur!FM75*Calculateur!FO75*VLOOKUP('Données projet'!$B$16,Paramètres!$A$1:$I$89,3,0)*0.475*44/12</f>
        <v>1.9641338657917446</v>
      </c>
      <c r="FS75" s="21">
        <f>EXP(-LN(2)/2)*FS74+(1-EXP(-LN(2)/2))/(LN(2)/2)*FM75*FP75*VLOOKUP('Données projet'!$B$16,Paramètres!$A$1:$I$89,3,0)*0.475*44/12</f>
        <v>2.1556835296275763E-6</v>
      </c>
      <c r="FT75" s="22">
        <f t="shared" si="78"/>
        <v>2.2354758906836989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6</v>
      </c>
      <c r="FZ75" s="12">
        <f>IF('Données projet'!$A$244&gt;35,FZ74+FY75-GH74,IF(A75&lt;'Données projet'!$A$244,$FW$205^A75,IF(A75='Données projet'!$A$244,'Données projet'!$B$244,FZ74+FY75-GH74)))</f>
        <v>329.00000000000006</v>
      </c>
      <c r="GA75" s="17">
        <f>FZ75*VLOOKUP('Données projet'!$B$17,Paramètres!$A$1:$I$89,3,0)*VLOOKUP('Données projet'!$B$17,Paramètres!$A$1:$I$89,5,0)</f>
        <v>196.74200000000005</v>
      </c>
      <c r="GB75" s="13">
        <f t="shared" si="103"/>
        <v>49.027474951150033</v>
      </c>
      <c r="GC75" s="20">
        <f t="shared" si="79"/>
        <v>428.04850220658636</v>
      </c>
      <c r="GD75" s="59">
        <f t="shared" si="80"/>
        <v>721.38183553991962</v>
      </c>
      <c r="GE75" s="59">
        <f ca="1">AVERAGE(OFFSET($GD$3,0,0,'Données projet'!$E$17+1,1))-AVERAGE(OFFSET($H$3,0,0,'Données projet'!$E$17+1,1))</f>
        <v>165.39579887388538</v>
      </c>
      <c r="GF75" s="59">
        <f t="shared" si="104"/>
        <v>155.89639262545802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>
        <f>EXP(-LN(2)/35)*GL74+(1-EXP(-LN(2)/35))/(LN(2)/35)*GH75*GI75*VLOOKUP('Données projet'!$B$17,Paramètres!$A$1:$I$89,3,0)*0.475*44/12</f>
        <v>0</v>
      </c>
      <c r="GM75" s="21">
        <f>EXP(-LN(2)/25)*GM74+(1-EXP(-LN(2)/25))/(LN(2)/25)*Calculateur!GH75*Calculateur!GJ75*VLOOKUP('Données projet'!$B$17,Paramètres!$A$1:$I$89,3,0)*0.475*44/12</f>
        <v>2.2748468527266419</v>
      </c>
      <c r="GN75" s="21">
        <f>EXP(-LN(2)/2)*GN74+(1-EXP(-LN(2)/2))/(LN(2)/2)*GH75*GK75*VLOOKUP('Données projet'!$B$17,Paramètres!$A$1:$I$89,3,0)*0.475*44/12</f>
        <v>6.618516795814968E-6</v>
      </c>
      <c r="GO75" s="21">
        <f t="shared" si="81"/>
        <v>2.2748534712434378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8.3000000000000007</v>
      </c>
      <c r="N76" s="13">
        <f>IF('Données projet'!$A$36&gt;35,N75+M76-V75,IF(A76&lt;'Données projet'!$A$36,$K$205^A76,IF(A76='Données projet'!$A$36,'Données projet'!$B$36,N75+M76-V75)))</f>
        <v>455.90000000000026</v>
      </c>
      <c r="O76" s="13">
        <f>N76*VLOOKUP('Données projet'!$B$9,Paramètres!$A$1:$I$89,3,0)*VLOOKUP('Données projet'!$B$9,Paramètres!$A$1:$I$89,5,0)</f>
        <v>254.84810000000016</v>
      </c>
      <c r="P76" s="13">
        <f t="shared" si="87"/>
        <v>61.622925177592492</v>
      </c>
      <c r="Q76" s="20">
        <f t="shared" si="54"/>
        <v>551.18703551764054</v>
      </c>
      <c r="R76" s="59">
        <f t="shared" si="55"/>
        <v>844.52036885097391</v>
      </c>
      <c r="S76" s="59">
        <f ca="1">AVERAGE(OFFSET($R$3,0,0,'Données projet'!$E$9+1,1))-AVERAGE(OFFSET($H$3,0,0,'Données projet'!$E$9+1,1))</f>
        <v>235.10258076192054</v>
      </c>
      <c r="T76" s="59">
        <f t="shared" si="88"/>
        <v>233.47316052603765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1.461992982606779</v>
      </c>
      <c r="AA76" s="21">
        <f>EXP(-LN(2)/25)*AA75+(1-EXP(-LN(2)/25))/(LN(2)/25)*Calculateur!V76*Calculateur!X76*VLOOKUP('Données projet'!$B$9,Paramètres!$A$1:$I$89,3,0)*0.475*44/12</f>
        <v>5.5958856587472434</v>
      </c>
      <c r="AB76" s="21">
        <f>EXP(-LN(2)/2)*AB75+(1-EXP(-LN(2)/2))/(LN(2)/2)*V76*Y76*VLOOKUP('Données projet'!$B$9,Paramètres!$A$1:$I$89,3,0)*0.475*44/12</f>
        <v>8.1333577930615154E-6</v>
      </c>
      <c r="AC76" s="22">
        <f t="shared" si="57"/>
        <v>7.0578867747118164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3.3</v>
      </c>
      <c r="AI76" s="13">
        <f>IF('Données projet'!$A$62&gt;35,AI75+AH76-AQ75,IF(A76&lt;'Données projet'!$A$62,$AF$205^A76,IF(A76='Données projet'!$A$62,'Données projet'!$B$62,AI75+AH76-AQ75)))</f>
        <v>200.89999999999984</v>
      </c>
      <c r="AJ76" s="13">
        <f>AI76*VLOOKUP('Données projet'!$B$10,Paramètres!$A$1:$I$89,3,0)*VLOOKUP('Données projet'!$B$10,Paramètres!$A$1:$I$89,5,0)</f>
        <v>175.50623999999988</v>
      </c>
      <c r="AK76" s="13">
        <f t="shared" si="89"/>
        <v>44.320941021227853</v>
      </c>
      <c r="AL76" s="20">
        <f t="shared" si="58"/>
        <v>382.86567361197154</v>
      </c>
      <c r="AM76" s="59">
        <f t="shared" si="59"/>
        <v>676.19900694530486</v>
      </c>
      <c r="AN76" s="59">
        <f ca="1">AVERAGE(OFFSET($AM$3,0,0,'Données projet'!$E$10+1,1))-AVERAGE(OFFSET($H$3,0,0,'Données projet'!$E$10+1,1))</f>
        <v>191.94797389630673</v>
      </c>
      <c r="AO76" s="59">
        <f t="shared" si="90"/>
        <v>273.52540822767878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1.0987098778378228</v>
      </c>
      <c r="AV76" s="21">
        <f>EXP(-LN(2)/25)*AV75+(1-EXP(-LN(2)/25))/(LN(2)/25)*Calculateur!AQ76*Calculateur!AS76*VLOOKUP('Données projet'!$B$10,Paramètres!$A$1:$I$89,3,0)*0.475*44/12</f>
        <v>4.2642982845356974</v>
      </c>
      <c r="AW76" s="21">
        <f>EXP(-LN(2)/2)*AW75+(1-EXP(-LN(2)/2))/(LN(2)/2)*AQ76*AT76*VLOOKUP('Données projet'!$B$10,Paramètres!$A$1:$I$89,3,0)*0.475*44/12</f>
        <v>7.8234878229123813E-6</v>
      </c>
      <c r="AX76" s="21">
        <f t="shared" si="60"/>
        <v>5.3630159858613426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172.39999999999989</v>
      </c>
      <c r="BE76" s="13">
        <f>BD76*VLOOKUP('Données projet'!$B$11,Paramètres!$A$1:$I$89,3,0)*VLOOKUP('Données projet'!$B$11,Paramètres!$A$1:$I$89,5,0)</f>
        <v>155.9875199999999</v>
      </c>
      <c r="BF76" s="13">
        <f t="shared" si="91"/>
        <v>39.936155927663087</v>
      </c>
      <c r="BG76" s="20">
        <f t="shared" si="61"/>
        <v>341.23373557401305</v>
      </c>
      <c r="BH76" s="59">
        <f t="shared" si="62"/>
        <v>634.56706890734631</v>
      </c>
      <c r="BI76" s="59">
        <f ca="1">AVERAGE(OFFSET($BH$3,0,0,'Données projet'!$E$11+1,1))-AVERAGE(OFFSET($H$3,0,0,'Données projet'!$E$11+1,1))</f>
        <v>138.8931001150624</v>
      </c>
      <c r="BJ76" s="59">
        <f t="shared" si="92"/>
        <v>48.964659354096625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172.39999999999989</v>
      </c>
      <c r="BZ76" s="13">
        <f>BY76*VLOOKUP('Données projet'!$B$12,Paramètres!$A$1:$I$89,3,0)*VLOOKUP('Données projet'!$B$12,Paramètres!$A$1:$I$89,5,0)</f>
        <v>174.81359999999989</v>
      </c>
      <c r="CA76" s="13">
        <f t="shared" si="93"/>
        <v>44.166351670276235</v>
      </c>
      <c r="CB76" s="20">
        <f t="shared" si="64"/>
        <v>381.3900824923976</v>
      </c>
      <c r="CC76" s="59">
        <f t="shared" si="65"/>
        <v>674.72341582573085</v>
      </c>
      <c r="CD76" s="59">
        <f ca="1">AVERAGE(OFFSET($CC$3,0,0,'Données projet'!$E$12+1,1))-AVERAGE(OFFSET($H$3,0,0,'Données projet'!$E$12+1,1))</f>
        <v>169.2757878405003</v>
      </c>
      <c r="CE76" s="59">
        <f t="shared" si="94"/>
        <v>61.876502626609977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2.5</v>
      </c>
      <c r="CT76" s="12">
        <f>IF('Données projet'!$A$140&gt;35,CT75+CS76-DB75,IF(A76&lt;'Données projet'!$A$140,$CQ$205^A76,IF(A76='Données projet'!$A$140,'Données projet'!$B$140,CT75+CS76-DB75)))</f>
        <v>208.49999999999991</v>
      </c>
      <c r="CU76" s="17">
        <f>CT76*VLOOKUP('Données projet'!$B$13,Paramètres!$A$1:$I$89,3,0)*VLOOKUP('Données projet'!$B$13,Paramètres!$A$1:$I$89,5,0)</f>
        <v>165.88259999999994</v>
      </c>
      <c r="CV76" s="13">
        <f t="shared" si="95"/>
        <v>42.166551203609785</v>
      </c>
      <c r="CW76" s="20">
        <f t="shared" si="67"/>
        <v>362.35227167962029</v>
      </c>
      <c r="CX76" s="59">
        <f t="shared" si="68"/>
        <v>655.6856050129536</v>
      </c>
      <c r="CY76" s="59">
        <f ca="1">AVERAGE(OFFSET($CX$3,0,0,'Données projet'!$E$13+1,1))-AVERAGE(OFFSET($H$3,0,0,'Données projet'!$E$13+1,1))</f>
        <v>141.12810728817544</v>
      </c>
      <c r="CZ76" s="59">
        <f t="shared" si="96"/>
        <v>176.01405805137551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>
        <f>EXP(-LN(2)/35)*DF75+(1-EXP(-LN(2)/35))/(LN(2)/35)*DB76*DC76*VLOOKUP('Données projet'!$B$13,Paramètres!$A$1:$I$89,3,0)*0.475*44/12</f>
        <v>0</v>
      </c>
      <c r="DG76" s="21">
        <f>EXP(-LN(2)/25)*DG75+(1-EXP(-LN(2)/25))/(LN(2)/25)*Calculateur!DB76*Calculateur!DD76*VLOOKUP('Données projet'!$B$13,Paramètres!$A$1:$I$89,3,0)*0.475*44/12</f>
        <v>2.0406289926803578</v>
      </c>
      <c r="DH76" s="21">
        <f>EXP(-LN(2)/2)*DH75+(1-EXP(-LN(2)/2))/(LN(2)/2)*DB76*DE76*VLOOKUP('Données projet'!$B$13,Paramètres!$A$1:$I$89,3,0)*0.475*44/12</f>
        <v>2.6991488953868655E-6</v>
      </c>
      <c r="DI76" s="22">
        <f t="shared" si="69"/>
        <v>2.0406316918292533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6</v>
      </c>
      <c r="DO76" s="12">
        <f>IF('Données projet'!$A$166&gt;35,DO75+DN76-DW75,IF(A76&lt;'Données projet'!$A$166,$DL$205^A76,IF(A76='Données projet'!$A$166,'Données projet'!$B$166,DO75+DN76-DW75)))</f>
        <v>335.00000000000006</v>
      </c>
      <c r="DP76" s="17">
        <f>DO76*VLOOKUP('Données projet'!$B$14,Paramètres!$A$1:$I$89,3,0)*VLOOKUP('Données projet'!$B$14,Paramètres!$A$1:$I$89,5,0)</f>
        <v>200.33000000000004</v>
      </c>
      <c r="DQ76" s="13">
        <f t="shared" si="97"/>
        <v>49.81668477706851</v>
      </c>
      <c r="DR76" s="20">
        <f t="shared" si="70"/>
        <v>435.67214265339436</v>
      </c>
      <c r="DS76" s="59">
        <f t="shared" si="71"/>
        <v>729.00547598672767</v>
      </c>
      <c r="DT76" s="59">
        <f ca="1">AVERAGE(OFFSET($DS$3,0,0,'Données projet'!$E$14+1,1))-AVERAGE(OFFSET($H$3,0,0,'Données projet'!$E$14+1,1))</f>
        <v>165.39579887388538</v>
      </c>
      <c r="DU76" s="59">
        <f t="shared" si="98"/>
        <v>155.89639262545802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>
        <f>EXP(-LN(2)/35)*EA75+(1-EXP(-LN(2)/35))/(LN(2)/35)*DW76*DX76*VLOOKUP('Données projet'!$B$14,Paramètres!$A$1:$I$89,3,0)*0.475*44/12</f>
        <v>0</v>
      </c>
      <c r="EB76" s="21">
        <f>EXP(-LN(2)/25)*EB75+(1-EXP(-LN(2)/25))/(LN(2)/25)*Calculateur!DW76*Calculateur!DY76*VLOOKUP('Données projet'!$B$14,Paramètres!$A$1:$I$89,3,0)*0.475*44/12</f>
        <v>2.2126410459098351</v>
      </c>
      <c r="EC76" s="21">
        <f>EXP(-LN(2)/2)*EC75+(1-EXP(-LN(2)/2))/(LN(2)/2)*DW76*DZ76*VLOOKUP('Données projet'!$B$14,Paramètres!$A$1:$I$89,3,0)*0.475*44/12</f>
        <v>4.6799981077178241E-6</v>
      </c>
      <c r="ED76" s="22">
        <f t="shared" si="72"/>
        <v>2.2126457259079428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4.8</v>
      </c>
      <c r="EJ76" s="12">
        <f>IF('Données projet'!$A$192&gt;35,EJ75+EI76-ER75,IF(A76&lt;'Données projet'!$A$192,$EG$205^A76,IF(A76='Données projet'!$A$192,'Données projet'!$B$192,EJ75+EI76-ER75)))</f>
        <v>172.39999999999989</v>
      </c>
      <c r="EK76" s="17">
        <f>EJ76*VLOOKUP('Données projet'!$B$15,Paramètres!$A$1:$I$89,3,0)*VLOOKUP('Données projet'!$B$15,Paramètres!$A$1:$I$89,5,0)</f>
        <v>134.47199999999992</v>
      </c>
      <c r="EL76" s="13">
        <f t="shared" si="99"/>
        <v>35.027664398183326</v>
      </c>
      <c r="EM76" s="20">
        <f t="shared" si="73"/>
        <v>295.21191549350249</v>
      </c>
      <c r="EN76" s="59">
        <f t="shared" si="74"/>
        <v>588.54524882683586</v>
      </c>
      <c r="EO76" s="59">
        <f ca="1">AVERAGE(OFFSET($EN$3,0,0,'Données projet'!$E$15+1,1))-AVERAGE(OFFSET($H$3,0,0,'Données projet'!$E$15+1,1))</f>
        <v>104.07220236158577</v>
      </c>
      <c r="EP76" s="59">
        <f t="shared" si="100"/>
        <v>34.162068257911756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>
        <f>EXP(-LN(2)/35)*EV75+(1-EXP(-LN(2)/35))/(LN(2)/35)*ER76*ES76*VLOOKUP('Données projet'!$B$15,Paramètres!$A$1:$I$89,3,0)*0.475*44/12</f>
        <v>0</v>
      </c>
      <c r="EW76" s="21">
        <f>EXP(-LN(2)/25)*EW75+(1-EXP(-LN(2)/25))/(LN(2)/25)*Calculateur!ER76*Calculateur!ET76*VLOOKUP('Données projet'!$B$15,Paramètres!$A$1:$I$89,3,0)*0.475*44/12</f>
        <v>0</v>
      </c>
      <c r="EX76" s="21">
        <f>EXP(-LN(2)/2)*EX75+(1-EXP(-LN(2)/2))/(LN(2)/2)*ER76*EU76*VLOOKUP('Données projet'!$B$15,Paramètres!$A$1:$I$89,3,0)*0.475*44/12</f>
        <v>0</v>
      </c>
      <c r="EY76" s="22">
        <f t="shared" si="75"/>
        <v>0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5.6843418860808015E-14</v>
      </c>
      <c r="FF76" s="17">
        <f>FE76*VLOOKUP('Données projet'!$B$16,Paramètres!$A$1:$I$89,3,0)*VLOOKUP('Données projet'!$B$16,Paramètres!$A$1:$I$89,5,0)</f>
        <v>5.1431925385259088E-14</v>
      </c>
      <c r="FG76" s="13">
        <f t="shared" si="101"/>
        <v>8.3482866290946129E-13</v>
      </c>
      <c r="FH76" s="20">
        <f t="shared" si="76"/>
        <v>1.5435705246133045E-12</v>
      </c>
      <c r="FI76" s="59">
        <f t="shared" si="77"/>
        <v>293.33333333333485</v>
      </c>
      <c r="FJ76" s="59">
        <f ca="1">AVERAGE(OFFSET($FI$3,0,0,'Données projet'!$E$16+1,1))-AVERAGE(OFFSET($H$3,0,0,'Données projet'!$E$16+1,1))</f>
        <v>179.50097986986123</v>
      </c>
      <c r="FK76" s="59">
        <f t="shared" si="102"/>
        <v>287.11838730637578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>
        <f>EXP(-LN(2)/35)*FQ75+(1-EXP(-LN(2)/35))/(LN(2)/35)*FM76*FN76*VLOOKUP('Données projet'!$B$16,Paramètres!$A$1:$I$89,3,0)*0.475*44/12</f>
        <v>0.26601905987422603</v>
      </c>
      <c r="FR76" s="21">
        <f>EXP(-LN(2)/25)*FR75+(1-EXP(-LN(2)/25))/(LN(2)/25)*Calculateur!FM76*Calculateur!FO76*VLOOKUP('Données projet'!$B$16,Paramètres!$A$1:$I$89,3,0)*0.475*44/12</f>
        <v>1.9104245219423586</v>
      </c>
      <c r="FS76" s="21">
        <f>EXP(-LN(2)/2)*FS75+(1-EXP(-LN(2)/2))/(LN(2)/2)*FM76*FP76*VLOOKUP('Données projet'!$B$16,Paramètres!$A$1:$I$89,3,0)*0.475*44/12</f>
        <v>1.524298441891811E-6</v>
      </c>
      <c r="FT76" s="22">
        <f t="shared" si="78"/>
        <v>2.1764451061150263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6</v>
      </c>
      <c r="FZ76" s="12">
        <f>IF('Données projet'!$A$244&gt;35,FZ75+FY76-GH75,IF(A76&lt;'Données projet'!$A$244,$FW$205^A76,IF(A76='Données projet'!$A$244,'Données projet'!$B$244,FZ75+FY76-GH75)))</f>
        <v>335.00000000000006</v>
      </c>
      <c r="GA76" s="17">
        <f>FZ76*VLOOKUP('Données projet'!$B$17,Paramètres!$A$1:$I$89,3,0)*VLOOKUP('Données projet'!$B$17,Paramètres!$A$1:$I$89,5,0)</f>
        <v>200.33000000000004</v>
      </c>
      <c r="GB76" s="13">
        <f t="shared" si="103"/>
        <v>49.81668477706851</v>
      </c>
      <c r="GC76" s="20">
        <f t="shared" si="79"/>
        <v>435.67214265339436</v>
      </c>
      <c r="GD76" s="59">
        <f t="shared" si="80"/>
        <v>729.00547598672767</v>
      </c>
      <c r="GE76" s="59">
        <f ca="1">AVERAGE(OFFSET($GD$3,0,0,'Données projet'!$E$17+1,1))-AVERAGE(OFFSET($H$3,0,0,'Données projet'!$E$17+1,1))</f>
        <v>165.39579887388538</v>
      </c>
      <c r="GF76" s="59">
        <f t="shared" si="104"/>
        <v>155.89639262545802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>
        <f>EXP(-LN(2)/35)*GL75+(1-EXP(-LN(2)/35))/(LN(2)/35)*GH76*GI76*VLOOKUP('Données projet'!$B$17,Paramètres!$A$1:$I$89,3,0)*0.475*44/12</f>
        <v>0</v>
      </c>
      <c r="GM76" s="21">
        <f>EXP(-LN(2)/25)*GM75+(1-EXP(-LN(2)/25))/(LN(2)/25)*Calculateur!GH76*Calculateur!GJ76*VLOOKUP('Données projet'!$B$17,Paramètres!$A$1:$I$89,3,0)*0.475*44/12</f>
        <v>2.2126410459098351</v>
      </c>
      <c r="GN76" s="21">
        <f>EXP(-LN(2)/2)*GN75+(1-EXP(-LN(2)/2))/(LN(2)/2)*GH76*GK76*VLOOKUP('Données projet'!$B$17,Paramètres!$A$1:$I$89,3,0)*0.475*44/12</f>
        <v>4.6799981077178241E-6</v>
      </c>
      <c r="GO76" s="21">
        <f t="shared" si="81"/>
        <v>2.2126457259079428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8.3000000000000007</v>
      </c>
      <c r="N77" s="13">
        <f>IF('Données projet'!$A$36&gt;35,N76+M77-V76,IF(A77&lt;'Données projet'!$A$36,$K$205^A77,IF(A77='Données projet'!$A$36,'Données projet'!$B$36,N76+M77-V76)))</f>
        <v>464.20000000000027</v>
      </c>
      <c r="O77" s="13">
        <f>N77*VLOOKUP('Données projet'!$B$9,Paramètres!$A$1:$I$89,3,0)*VLOOKUP('Données projet'!$B$9,Paramètres!$A$1:$I$89,5,0)</f>
        <v>259.48780000000016</v>
      </c>
      <c r="P77" s="13">
        <f t="shared" si="87"/>
        <v>62.613185087484013</v>
      </c>
      <c r="Q77" s="20">
        <f t="shared" si="54"/>
        <v>560.99254902736823</v>
      </c>
      <c r="R77" s="59">
        <f t="shared" si="55"/>
        <v>854.3258823607016</v>
      </c>
      <c r="S77" s="59">
        <f ca="1">AVERAGE(OFFSET($R$3,0,0,'Données projet'!$E$9+1,1))-AVERAGE(OFFSET($H$3,0,0,'Données projet'!$E$9+1,1))</f>
        <v>235.10258076192054</v>
      </c>
      <c r="T77" s="59">
        <f t="shared" si="88"/>
        <v>233.47316052603765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1.4333241919455286</v>
      </c>
      <c r="AA77" s="21">
        <f>EXP(-LN(2)/25)*AA76+(1-EXP(-LN(2)/25))/(LN(2)/25)*Calculateur!V77*Calculateur!X77*VLOOKUP('Données projet'!$B$9,Paramètres!$A$1:$I$89,3,0)*0.475*44/12</f>
        <v>5.4428658711339626</v>
      </c>
      <c r="AB77" s="21">
        <f>EXP(-LN(2)/2)*AB76+(1-EXP(-LN(2)/2))/(LN(2)/2)*V77*Y77*VLOOKUP('Données projet'!$B$9,Paramètres!$A$1:$I$89,3,0)*0.475*44/12</f>
        <v>5.7511524492902501E-6</v>
      </c>
      <c r="AC77" s="22">
        <f t="shared" si="57"/>
        <v>6.8761958142319406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3.3</v>
      </c>
      <c r="AI77" s="13">
        <f>IF('Données projet'!$A$62&gt;35,AI76+AH77-AQ76,IF(A77&lt;'Données projet'!$A$62,$AF$205^A77,IF(A77='Données projet'!$A$62,'Données projet'!$B$62,AI76+AH77-AQ76)))</f>
        <v>204.19999999999985</v>
      </c>
      <c r="AJ77" s="13">
        <f>AI77*VLOOKUP('Données projet'!$B$10,Paramètres!$A$1:$I$89,3,0)*VLOOKUP('Données projet'!$B$10,Paramètres!$A$1:$I$89,5,0)</f>
        <v>178.38911999999988</v>
      </c>
      <c r="AK77" s="13">
        <f t="shared" si="89"/>
        <v>44.963607752190804</v>
      </c>
      <c r="AL77" s="20">
        <f t="shared" si="58"/>
        <v>389.00600083506538</v>
      </c>
      <c r="AM77" s="59">
        <f t="shared" si="59"/>
        <v>682.33933416839864</v>
      </c>
      <c r="AN77" s="59">
        <f ca="1">AVERAGE(OFFSET($AM$3,0,0,'Données projet'!$E$10+1,1))-AVERAGE(OFFSET($H$3,0,0,'Données projet'!$E$10+1,1))</f>
        <v>191.94797389630673</v>
      </c>
      <c r="AO77" s="59">
        <f t="shared" si="90"/>
        <v>273.52540822767878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1.0771648472802771</v>
      </c>
      <c r="AV77" s="21">
        <f>EXP(-LN(2)/25)*AV76+(1-EXP(-LN(2)/25))/(LN(2)/25)*Calculateur!AQ77*Calculateur!AS77*VLOOKUP('Données projet'!$B$10,Paramètres!$A$1:$I$89,3,0)*0.475*44/12</f>
        <v>4.1476908236953678</v>
      </c>
      <c r="AW77" s="21">
        <f>EXP(-LN(2)/2)*AW76+(1-EXP(-LN(2)/2))/(LN(2)/2)*AQ77*AT77*VLOOKUP('Données projet'!$B$10,Paramètres!$A$1:$I$89,3,0)*0.475*44/12</f>
        <v>5.5320412921117245E-6</v>
      </c>
      <c r="AX77" s="21">
        <f t="shared" si="60"/>
        <v>5.2248612030169364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177.1999999999999</v>
      </c>
      <c r="BE77" s="13">
        <f>BD77*VLOOKUP('Données projet'!$B$11,Paramètres!$A$1:$I$89,3,0)*VLOOKUP('Données projet'!$B$11,Paramètres!$A$1:$I$89,5,0)</f>
        <v>160.33055999999991</v>
      </c>
      <c r="BF77" s="13">
        <f t="shared" si="91"/>
        <v>40.917065179252795</v>
      </c>
      <c r="BG77" s="20">
        <f t="shared" si="61"/>
        <v>350.50628052053179</v>
      </c>
      <c r="BH77" s="59">
        <f t="shared" si="62"/>
        <v>643.8396138538651</v>
      </c>
      <c r="BI77" s="59">
        <f ca="1">AVERAGE(OFFSET($BH$3,0,0,'Données projet'!$E$11+1,1))-AVERAGE(OFFSET($H$3,0,0,'Données projet'!$E$11+1,1))</f>
        <v>138.8931001150624</v>
      </c>
      <c r="BJ77" s="59">
        <f t="shared" si="92"/>
        <v>48.964659354096625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177.1999999999999</v>
      </c>
      <c r="BZ77" s="13">
        <f>BY77*VLOOKUP('Données projet'!$B$12,Paramètres!$A$1:$I$89,3,0)*VLOOKUP('Données projet'!$B$12,Paramètres!$A$1:$I$89,5,0)</f>
        <v>179.68079999999992</v>
      </c>
      <c r="CA77" s="13">
        <f t="shared" si="93"/>
        <v>45.251162713202064</v>
      </c>
      <c r="CB77" s="20">
        <f t="shared" si="64"/>
        <v>391.75650172549337</v>
      </c>
      <c r="CC77" s="59">
        <f t="shared" si="65"/>
        <v>685.08983505882668</v>
      </c>
      <c r="CD77" s="59">
        <f ca="1">AVERAGE(OFFSET($CC$3,0,0,'Données projet'!$E$12+1,1))-AVERAGE(OFFSET($H$3,0,0,'Données projet'!$E$12+1,1))</f>
        <v>169.2757878405003</v>
      </c>
      <c r="CE77" s="59">
        <f t="shared" si="94"/>
        <v>61.876502626609977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2.5</v>
      </c>
      <c r="CT77" s="12">
        <f>IF('Données projet'!$A$140&gt;35,CT76+CS77-DB76,IF(A77&lt;'Données projet'!$A$140,$CQ$205^A77,IF(A77='Données projet'!$A$140,'Données projet'!$B$140,CT76+CS77-DB76)))</f>
        <v>210.99999999999991</v>
      </c>
      <c r="CU77" s="17">
        <f>CT77*VLOOKUP('Données projet'!$B$13,Paramètres!$A$1:$I$89,3,0)*VLOOKUP('Données projet'!$B$13,Paramètres!$A$1:$I$89,5,0)</f>
        <v>167.87159999999994</v>
      </c>
      <c r="CV77" s="13">
        <f t="shared" si="95"/>
        <v>42.612983811358006</v>
      </c>
      <c r="CW77" s="20">
        <f t="shared" si="67"/>
        <v>366.59398347144838</v>
      </c>
      <c r="CX77" s="59">
        <f t="shared" si="68"/>
        <v>659.92731680478164</v>
      </c>
      <c r="CY77" s="59">
        <f ca="1">AVERAGE(OFFSET($CX$3,0,0,'Données projet'!$E$13+1,1))-AVERAGE(OFFSET($H$3,0,0,'Données projet'!$E$13+1,1))</f>
        <v>141.12810728817544</v>
      </c>
      <c r="CZ77" s="59">
        <f t="shared" si="96"/>
        <v>176.01405805137551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>
        <f>EXP(-LN(2)/35)*DF76+(1-EXP(-LN(2)/35))/(LN(2)/35)*DB77*DC77*VLOOKUP('Données projet'!$B$13,Paramètres!$A$1:$I$89,3,0)*0.475*44/12</f>
        <v>0</v>
      </c>
      <c r="DG77" s="21">
        <f>EXP(-LN(2)/25)*DG76+(1-EXP(-LN(2)/25))/(LN(2)/25)*Calculateur!DB77*Calculateur!DD77*VLOOKUP('Données projet'!$B$13,Paramètres!$A$1:$I$89,3,0)*0.475*44/12</f>
        <v>1.9848278855634987</v>
      </c>
      <c r="DH77" s="21">
        <f>EXP(-LN(2)/2)*DH76+(1-EXP(-LN(2)/2))/(LN(2)/2)*DB77*DE77*VLOOKUP('Données projet'!$B$13,Paramètres!$A$1:$I$89,3,0)*0.475*44/12</f>
        <v>1.9085864873602317E-6</v>
      </c>
      <c r="DI77" s="22">
        <f t="shared" si="69"/>
        <v>1.9848297941499859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6</v>
      </c>
      <c r="DO77" s="12">
        <f>IF('Données projet'!$A$166&gt;35,DO76+DN77-DW76,IF(A77&lt;'Données projet'!$A$166,$DL$205^A77,IF(A77='Données projet'!$A$166,'Données projet'!$B$166,DO76+DN77-DW76)))</f>
        <v>341.00000000000006</v>
      </c>
      <c r="DP77" s="17">
        <f>DO77*VLOOKUP('Données projet'!$B$14,Paramètres!$A$1:$I$89,3,0)*VLOOKUP('Données projet'!$B$14,Paramètres!$A$1:$I$89,5,0)</f>
        <v>203.91800000000006</v>
      </c>
      <c r="DQ77" s="13">
        <f t="shared" si="97"/>
        <v>50.604250898161411</v>
      </c>
      <c r="DR77" s="20">
        <f t="shared" si="70"/>
        <v>443.29292031429787</v>
      </c>
      <c r="DS77" s="59">
        <f t="shared" si="71"/>
        <v>736.62625364763119</v>
      </c>
      <c r="DT77" s="59">
        <f ca="1">AVERAGE(OFFSET($DS$3,0,0,'Données projet'!$E$14+1,1))-AVERAGE(OFFSET($H$3,0,0,'Données projet'!$E$14+1,1))</f>
        <v>165.39579887388538</v>
      </c>
      <c r="DU77" s="59">
        <f t="shared" si="98"/>
        <v>155.89639262545802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>
        <f>EXP(-LN(2)/35)*EA76+(1-EXP(-LN(2)/35))/(LN(2)/35)*DW77*DX77*VLOOKUP('Données projet'!$B$14,Paramètres!$A$1:$I$89,3,0)*0.475*44/12</f>
        <v>0</v>
      </c>
      <c r="EB77" s="21">
        <f>EXP(-LN(2)/25)*EB76+(1-EXP(-LN(2)/25))/(LN(2)/25)*Calculateur!DW77*Calculateur!DY77*VLOOKUP('Données projet'!$B$14,Paramètres!$A$1:$I$89,3,0)*0.475*44/12</f>
        <v>2.1521362601516953</v>
      </c>
      <c r="EC77" s="21">
        <f>EXP(-LN(2)/2)*EC76+(1-EXP(-LN(2)/2))/(LN(2)/2)*DW77*DZ77*VLOOKUP('Données projet'!$B$14,Paramètres!$A$1:$I$89,3,0)*0.475*44/12</f>
        <v>3.309258397907484E-6</v>
      </c>
      <c r="ED77" s="22">
        <f t="shared" si="72"/>
        <v>2.1521395694100933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4.8</v>
      </c>
      <c r="EJ77" s="12">
        <f>IF('Données projet'!$A$192&gt;35,EJ76+EI77-ER76,IF(A77&lt;'Données projet'!$A$192,$EG$205^A77,IF(A77='Données projet'!$A$192,'Données projet'!$B$192,EJ76+EI77-ER76)))</f>
        <v>177.1999999999999</v>
      </c>
      <c r="EK77" s="17">
        <f>EJ77*VLOOKUP('Données projet'!$B$15,Paramètres!$A$1:$I$89,3,0)*VLOOKUP('Données projet'!$B$15,Paramètres!$A$1:$I$89,5,0)</f>
        <v>138.21599999999992</v>
      </c>
      <c r="EL77" s="13">
        <f t="shared" si="99"/>
        <v>35.888011601654561</v>
      </c>
      <c r="EM77" s="20">
        <f t="shared" si="73"/>
        <v>303.23115353954819</v>
      </c>
      <c r="EN77" s="59">
        <f t="shared" si="74"/>
        <v>596.5644868728815</v>
      </c>
      <c r="EO77" s="59">
        <f ca="1">AVERAGE(OFFSET($EN$3,0,0,'Données projet'!$E$15+1,1))-AVERAGE(OFFSET($H$3,0,0,'Données projet'!$E$15+1,1))</f>
        <v>104.07220236158577</v>
      </c>
      <c r="EP77" s="59">
        <f t="shared" si="100"/>
        <v>34.162068257911756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>
        <f>EXP(-LN(2)/35)*EV76+(1-EXP(-LN(2)/35))/(LN(2)/35)*ER77*ES77*VLOOKUP('Données projet'!$B$15,Paramètres!$A$1:$I$89,3,0)*0.475*44/12</f>
        <v>0</v>
      </c>
      <c r="EW77" s="21">
        <f>EXP(-LN(2)/25)*EW76+(1-EXP(-LN(2)/25))/(LN(2)/25)*Calculateur!ER77*Calculateur!ET77*VLOOKUP('Données projet'!$B$15,Paramètres!$A$1:$I$89,3,0)*0.475*44/12</f>
        <v>0</v>
      </c>
      <c r="EX77" s="21">
        <f>EXP(-LN(2)/2)*EX76+(1-EXP(-LN(2)/2))/(LN(2)/2)*ER77*EU77*VLOOKUP('Données projet'!$B$15,Paramètres!$A$1:$I$89,3,0)*0.475*44/12</f>
        <v>0</v>
      </c>
      <c r="EY77" s="22">
        <f t="shared" si="75"/>
        <v>0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5.6843418860808015E-14</v>
      </c>
      <c r="FF77" s="17">
        <f>FE77*VLOOKUP('Données projet'!$B$16,Paramètres!$A$1:$I$89,3,0)*VLOOKUP('Données projet'!$B$16,Paramètres!$A$1:$I$89,5,0)</f>
        <v>5.1431925385259088E-14</v>
      </c>
      <c r="FG77" s="13">
        <f t="shared" si="101"/>
        <v>8.3482866290946129E-13</v>
      </c>
      <c r="FH77" s="20">
        <f t="shared" si="76"/>
        <v>1.5435705246133045E-12</v>
      </c>
      <c r="FI77" s="59">
        <f t="shared" si="77"/>
        <v>293.33333333333485</v>
      </c>
      <c r="FJ77" s="59">
        <f ca="1">AVERAGE(OFFSET($FI$3,0,0,'Données projet'!$E$16+1,1))-AVERAGE(OFFSET($H$3,0,0,'Données projet'!$E$16+1,1))</f>
        <v>179.50097986986123</v>
      </c>
      <c r="FK77" s="59">
        <f t="shared" si="102"/>
        <v>287.11838730637578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>
        <f>EXP(-LN(2)/35)*FQ76+(1-EXP(-LN(2)/35))/(LN(2)/35)*FM77*FN77*VLOOKUP('Données projet'!$B$16,Paramètres!$A$1:$I$89,3,0)*0.475*44/12</f>
        <v>0.26080258836569759</v>
      </c>
      <c r="FR77" s="21">
        <f>EXP(-LN(2)/25)*FR76+(1-EXP(-LN(2)/25))/(LN(2)/25)*Calculateur!FM77*Calculateur!FO77*VLOOKUP('Données projet'!$B$16,Paramètres!$A$1:$I$89,3,0)*0.475*44/12</f>
        <v>1.8581838629249856</v>
      </c>
      <c r="FS77" s="21">
        <f>EXP(-LN(2)/2)*FS76+(1-EXP(-LN(2)/2))/(LN(2)/2)*FM77*FP77*VLOOKUP('Données projet'!$B$16,Paramètres!$A$1:$I$89,3,0)*0.475*44/12</f>
        <v>1.0778417648137881E-6</v>
      </c>
      <c r="FT77" s="22">
        <f t="shared" si="78"/>
        <v>2.1189875291324478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6</v>
      </c>
      <c r="FZ77" s="12">
        <f>IF('Données projet'!$A$244&gt;35,FZ76+FY77-GH76,IF(A77&lt;'Données projet'!$A$244,$FW$205^A77,IF(A77='Données projet'!$A$244,'Données projet'!$B$244,FZ76+FY77-GH76)))</f>
        <v>341.00000000000006</v>
      </c>
      <c r="GA77" s="17">
        <f>FZ77*VLOOKUP('Données projet'!$B$17,Paramètres!$A$1:$I$89,3,0)*VLOOKUP('Données projet'!$B$17,Paramètres!$A$1:$I$89,5,0)</f>
        <v>203.91800000000006</v>
      </c>
      <c r="GB77" s="13">
        <f t="shared" si="103"/>
        <v>50.604250898161411</v>
      </c>
      <c r="GC77" s="20">
        <f t="shared" si="79"/>
        <v>443.29292031429787</v>
      </c>
      <c r="GD77" s="59">
        <f t="shared" si="80"/>
        <v>736.62625364763119</v>
      </c>
      <c r="GE77" s="59">
        <f ca="1">AVERAGE(OFFSET($GD$3,0,0,'Données projet'!$E$17+1,1))-AVERAGE(OFFSET($H$3,0,0,'Données projet'!$E$17+1,1))</f>
        <v>165.39579887388538</v>
      </c>
      <c r="GF77" s="59">
        <f t="shared" si="104"/>
        <v>155.89639262545802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>
        <f>EXP(-LN(2)/35)*GL76+(1-EXP(-LN(2)/35))/(LN(2)/35)*GH77*GI77*VLOOKUP('Données projet'!$B$17,Paramètres!$A$1:$I$89,3,0)*0.475*44/12</f>
        <v>0</v>
      </c>
      <c r="GM77" s="21">
        <f>EXP(-LN(2)/25)*GM76+(1-EXP(-LN(2)/25))/(LN(2)/25)*Calculateur!GH77*Calculateur!GJ77*VLOOKUP('Données projet'!$B$17,Paramètres!$A$1:$I$89,3,0)*0.475*44/12</f>
        <v>2.1521362601516953</v>
      </c>
      <c r="GN77" s="21">
        <f>EXP(-LN(2)/2)*GN76+(1-EXP(-LN(2)/2))/(LN(2)/2)*GH77*GK77*VLOOKUP('Données projet'!$B$17,Paramètres!$A$1:$I$89,3,0)*0.475*44/12</f>
        <v>3.309258397907484E-6</v>
      </c>
      <c r="GO77" s="21">
        <f t="shared" si="81"/>
        <v>2.1521395694100933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8.3000000000000007</v>
      </c>
      <c r="N78" s="13">
        <f>IF('Données projet'!$A$36&gt;35,N77+M78-V77,IF(A78&lt;'Données projet'!$A$36,$K$205^A78,IF(A78='Données projet'!$A$36,'Données projet'!$B$36,N77+M78-V77)))</f>
        <v>472.50000000000028</v>
      </c>
      <c r="O78" s="13">
        <f>N78*VLOOKUP('Données projet'!$B$9,Paramètres!$A$1:$I$89,3,0)*VLOOKUP('Données projet'!$B$9,Paramètres!$A$1:$I$89,5,0)</f>
        <v>264.12750000000017</v>
      </c>
      <c r="P78" s="13">
        <f t="shared" si="87"/>
        <v>63.601386038191272</v>
      </c>
      <c r="Q78" s="20">
        <f t="shared" si="54"/>
        <v>570.79447651651674</v>
      </c>
      <c r="R78" s="59">
        <f t="shared" si="55"/>
        <v>864.12780984985011</v>
      </c>
      <c r="S78" s="59">
        <f ca="1">AVERAGE(OFFSET($R$3,0,0,'Données projet'!$E$9+1,1))-AVERAGE(OFFSET($H$3,0,0,'Données projet'!$E$9+1,1))</f>
        <v>235.10258076192054</v>
      </c>
      <c r="T78" s="59">
        <f t="shared" si="88"/>
        <v>233.47316052603765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1.4052175787829098</v>
      </c>
      <c r="AA78" s="21">
        <f>EXP(-LN(2)/25)*AA77+(1-EXP(-LN(2)/25))/(LN(2)/25)*Calculateur!V78*Calculateur!X78*VLOOKUP('Données projet'!$B$9,Paramètres!$A$1:$I$89,3,0)*0.475*44/12</f>
        <v>5.2940304176599282</v>
      </c>
      <c r="AB78" s="21">
        <f>EXP(-LN(2)/2)*AB77+(1-EXP(-LN(2)/2))/(LN(2)/2)*V78*Y78*VLOOKUP('Données projet'!$B$9,Paramètres!$A$1:$I$89,3,0)*0.475*44/12</f>
        <v>4.0666788965307577E-6</v>
      </c>
      <c r="AC78" s="22">
        <f t="shared" si="57"/>
        <v>6.6992520631217349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3.3</v>
      </c>
      <c r="AI78" s="13">
        <f>IF('Données projet'!$A$62&gt;35,AI77+AH78-AQ77,IF(A78&lt;'Données projet'!$A$62,$AF$205^A78,IF(A78='Données projet'!$A$62,'Données projet'!$B$62,AI77+AH78-AQ77)))</f>
        <v>207.49999999999986</v>
      </c>
      <c r="AJ78" s="13">
        <f>AI78*VLOOKUP('Données projet'!$B$10,Paramètres!$A$1:$I$89,3,0)*VLOOKUP('Données projet'!$B$10,Paramètres!$A$1:$I$89,5,0)</f>
        <v>181.27199999999991</v>
      </c>
      <c r="AK78" s="13">
        <f t="shared" si="89"/>
        <v>45.605066645465826</v>
      </c>
      <c r="AL78" s="20">
        <f t="shared" si="58"/>
        <v>395.14422440751946</v>
      </c>
      <c r="AM78" s="59">
        <f t="shared" si="59"/>
        <v>688.47755774085272</v>
      </c>
      <c r="AN78" s="59">
        <f ca="1">AVERAGE(OFFSET($AM$3,0,0,'Données projet'!$E$10+1,1))-AVERAGE(OFFSET($H$3,0,0,'Données projet'!$E$10+1,1))</f>
        <v>191.94797389630673</v>
      </c>
      <c r="AO78" s="59">
        <f t="shared" si="90"/>
        <v>273.52540822767878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1.0560423016307938</v>
      </c>
      <c r="AV78" s="21">
        <f>EXP(-LN(2)/25)*AV77+(1-EXP(-LN(2)/25))/(LN(2)/25)*Calculateur!AQ78*Calculateur!AS78*VLOOKUP('Données projet'!$B$10,Paramètres!$A$1:$I$89,3,0)*0.475*44/12</f>
        <v>4.0342720000038375</v>
      </c>
      <c r="AW78" s="21">
        <f>EXP(-LN(2)/2)*AW77+(1-EXP(-LN(2)/2))/(LN(2)/2)*AQ78*AT78*VLOOKUP('Données projet'!$B$10,Paramètres!$A$1:$I$89,3,0)*0.475*44/12</f>
        <v>3.9117439114561907E-6</v>
      </c>
      <c r="AX78" s="21">
        <f t="shared" si="60"/>
        <v>5.0903182133785432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181.99999999999991</v>
      </c>
      <c r="BE78" s="13">
        <f>BD78*VLOOKUP('Données projet'!$B$11,Paramètres!$A$1:$I$89,3,0)*VLOOKUP('Données projet'!$B$11,Paramètres!$A$1:$I$89,5,0)</f>
        <v>164.67359999999991</v>
      </c>
      <c r="BF78" s="13">
        <f t="shared" si="91"/>
        <v>41.894886049196984</v>
      </c>
      <c r="BG78" s="20">
        <f t="shared" si="61"/>
        <v>359.77344653568457</v>
      </c>
      <c r="BH78" s="59">
        <f t="shared" si="62"/>
        <v>653.10677986901783</v>
      </c>
      <c r="BI78" s="59">
        <f ca="1">AVERAGE(OFFSET($BH$3,0,0,'Données projet'!$E$11+1,1))-AVERAGE(OFFSET($H$3,0,0,'Données projet'!$E$11+1,1))</f>
        <v>138.8931001150624</v>
      </c>
      <c r="BJ78" s="59">
        <f t="shared" si="92"/>
        <v>48.964659354096625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181.99999999999991</v>
      </c>
      <c r="BZ78" s="13">
        <f>BY78*VLOOKUP('Données projet'!$B$12,Paramètres!$A$1:$I$89,3,0)*VLOOKUP('Données projet'!$B$12,Paramètres!$A$1:$I$89,5,0)</f>
        <v>184.54799999999994</v>
      </c>
      <c r="CA78" s="13">
        <f t="shared" si="93"/>
        <v>46.332558240871656</v>
      </c>
      <c r="CB78" s="20">
        <f t="shared" si="64"/>
        <v>402.11697226951804</v>
      </c>
      <c r="CC78" s="59">
        <f t="shared" si="65"/>
        <v>695.45030560285136</v>
      </c>
      <c r="CD78" s="59">
        <f ca="1">AVERAGE(OFFSET($CC$3,0,0,'Données projet'!$E$12+1,1))-AVERAGE(OFFSET($H$3,0,0,'Données projet'!$E$12+1,1))</f>
        <v>169.2757878405003</v>
      </c>
      <c r="CE78" s="59">
        <f t="shared" si="94"/>
        <v>61.876502626609977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2.5</v>
      </c>
      <c r="CT78" s="12">
        <f>IF('Données projet'!$A$140&gt;35,CT77+CS78-DB77,IF(A78&lt;'Données projet'!$A$140,$CQ$205^A78,IF(A78='Données projet'!$A$140,'Données projet'!$B$140,CT77+CS78-DB77)))</f>
        <v>213.49999999999991</v>
      </c>
      <c r="CU78" s="17">
        <f>CT78*VLOOKUP('Données projet'!$B$13,Paramètres!$A$1:$I$89,3,0)*VLOOKUP('Données projet'!$B$13,Paramètres!$A$1:$I$89,5,0)</f>
        <v>169.86059999999995</v>
      </c>
      <c r="CV78" s="13">
        <f t="shared" si="95"/>
        <v>43.058801132099234</v>
      </c>
      <c r="CW78" s="20">
        <f t="shared" si="67"/>
        <v>370.83462363840607</v>
      </c>
      <c r="CX78" s="59">
        <f t="shared" si="68"/>
        <v>664.16795697173939</v>
      </c>
      <c r="CY78" s="59">
        <f ca="1">AVERAGE(OFFSET($CX$3,0,0,'Données projet'!$E$13+1,1))-AVERAGE(OFFSET($H$3,0,0,'Données projet'!$E$13+1,1))</f>
        <v>141.12810728817544</v>
      </c>
      <c r="CZ78" s="59">
        <f t="shared" si="96"/>
        <v>176.01405805137551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>
        <f>EXP(-LN(2)/35)*DF77+(1-EXP(-LN(2)/35))/(LN(2)/35)*DB78*DC78*VLOOKUP('Données projet'!$B$13,Paramètres!$A$1:$I$89,3,0)*0.475*44/12</f>
        <v>0</v>
      </c>
      <c r="DG78" s="21">
        <f>EXP(-LN(2)/25)*DG77+(1-EXP(-LN(2)/25))/(LN(2)/25)*Calculateur!DB78*Calculateur!DD78*VLOOKUP('Données projet'!$B$13,Paramètres!$A$1:$I$89,3,0)*0.475*44/12</f>
        <v>1.9305526626552028</v>
      </c>
      <c r="DH78" s="21">
        <f>EXP(-LN(2)/2)*DH77+(1-EXP(-LN(2)/2))/(LN(2)/2)*DB78*DE78*VLOOKUP('Données projet'!$B$13,Paramètres!$A$1:$I$89,3,0)*0.475*44/12</f>
        <v>1.3495744476934328E-6</v>
      </c>
      <c r="DI78" s="22">
        <f t="shared" si="69"/>
        <v>1.9305540122296505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6</v>
      </c>
      <c r="DO78" s="12">
        <f>IF('Données projet'!$A$166&gt;35,DO77+DN78-DW77,IF(A78&lt;'Données projet'!$A$166,$DL$205^A78,IF(A78='Données projet'!$A$166,'Données projet'!$B$166,DO77+DN78-DW77)))</f>
        <v>347.00000000000006</v>
      </c>
      <c r="DP78" s="17">
        <f>DO78*VLOOKUP('Données projet'!$B$14,Paramètres!$A$1:$I$89,3,0)*VLOOKUP('Données projet'!$B$14,Paramètres!$A$1:$I$89,5,0)</f>
        <v>207.50600000000006</v>
      </c>
      <c r="DQ78" s="13">
        <f t="shared" si="97"/>
        <v>51.3902055726969</v>
      </c>
      <c r="DR78" s="20">
        <f t="shared" si="70"/>
        <v>450.91089137244717</v>
      </c>
      <c r="DS78" s="59">
        <f t="shared" si="71"/>
        <v>744.24422470578043</v>
      </c>
      <c r="DT78" s="59">
        <f ca="1">AVERAGE(OFFSET($DS$3,0,0,'Données projet'!$E$14+1,1))-AVERAGE(OFFSET($H$3,0,0,'Données projet'!$E$14+1,1))</f>
        <v>165.39579887388538</v>
      </c>
      <c r="DU78" s="59">
        <f t="shared" si="98"/>
        <v>155.89639262545802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>
        <f>EXP(-LN(2)/35)*EA77+(1-EXP(-LN(2)/35))/(LN(2)/35)*DW78*DX78*VLOOKUP('Données projet'!$B$14,Paramètres!$A$1:$I$89,3,0)*0.475*44/12</f>
        <v>0</v>
      </c>
      <c r="EB78" s="21">
        <f>EXP(-LN(2)/25)*EB77+(1-EXP(-LN(2)/25))/(LN(2)/25)*Calculateur!DW78*Calculateur!DY78*VLOOKUP('Données projet'!$B$14,Paramètres!$A$1:$I$89,3,0)*0.475*44/12</f>
        <v>2.09328598094192</v>
      </c>
      <c r="EC78" s="21">
        <f>EXP(-LN(2)/2)*EC77+(1-EXP(-LN(2)/2))/(LN(2)/2)*DW78*DZ78*VLOOKUP('Données projet'!$B$14,Paramètres!$A$1:$I$89,3,0)*0.475*44/12</f>
        <v>2.3399990538589121E-6</v>
      </c>
      <c r="ED78" s="22">
        <f t="shared" si="72"/>
        <v>2.0932883209409741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4.8</v>
      </c>
      <c r="EJ78" s="12">
        <f>IF('Données projet'!$A$192&gt;35,EJ77+EI78-ER77,IF(A78&lt;'Données projet'!$A$192,$EG$205^A78,IF(A78='Données projet'!$A$192,'Données projet'!$B$192,EJ77+EI78-ER77)))</f>
        <v>181.99999999999991</v>
      </c>
      <c r="EK78" s="17">
        <f>EJ78*VLOOKUP('Données projet'!$B$15,Paramètres!$A$1:$I$89,3,0)*VLOOKUP('Données projet'!$B$15,Paramètres!$A$1:$I$89,5,0)</f>
        <v>141.95999999999995</v>
      </c>
      <c r="EL78" s="13">
        <f t="shared" si="99"/>
        <v>36.745650011720457</v>
      </c>
      <c r="EM78" s="20">
        <f t="shared" si="73"/>
        <v>311.24567377041308</v>
      </c>
      <c r="EN78" s="59">
        <f t="shared" si="74"/>
        <v>604.57900710374633</v>
      </c>
      <c r="EO78" s="59">
        <f ca="1">AVERAGE(OFFSET($EN$3,0,0,'Données projet'!$E$15+1,1))-AVERAGE(OFFSET($H$3,0,0,'Données projet'!$E$15+1,1))</f>
        <v>104.07220236158577</v>
      </c>
      <c r="EP78" s="59">
        <f t="shared" si="100"/>
        <v>34.162068257911756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>
        <f>EXP(-LN(2)/35)*EV77+(1-EXP(-LN(2)/35))/(LN(2)/35)*ER78*ES78*VLOOKUP('Données projet'!$B$15,Paramètres!$A$1:$I$89,3,0)*0.475*44/12</f>
        <v>0</v>
      </c>
      <c r="EW78" s="21">
        <f>EXP(-LN(2)/25)*EW77+(1-EXP(-LN(2)/25))/(LN(2)/25)*Calculateur!ER78*Calculateur!ET78*VLOOKUP('Données projet'!$B$15,Paramètres!$A$1:$I$89,3,0)*0.475*44/12</f>
        <v>0</v>
      </c>
      <c r="EX78" s="21">
        <f>EXP(-LN(2)/2)*EX77+(1-EXP(-LN(2)/2))/(LN(2)/2)*ER78*EU78*VLOOKUP('Données projet'!$B$15,Paramètres!$A$1:$I$89,3,0)*0.475*44/12</f>
        <v>0</v>
      </c>
      <c r="EY78" s="22">
        <f t="shared" si="75"/>
        <v>0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5.6843418860808015E-14</v>
      </c>
      <c r="FF78" s="17">
        <f>FE78*VLOOKUP('Données projet'!$B$16,Paramètres!$A$1:$I$89,3,0)*VLOOKUP('Données projet'!$B$16,Paramètres!$A$1:$I$89,5,0)</f>
        <v>5.1431925385259088E-14</v>
      </c>
      <c r="FG78" s="13">
        <f t="shared" si="101"/>
        <v>8.3482866290946129E-13</v>
      </c>
      <c r="FH78" s="20">
        <f t="shared" si="76"/>
        <v>1.5435705246133045E-12</v>
      </c>
      <c r="FI78" s="59">
        <f t="shared" si="77"/>
        <v>293.33333333333485</v>
      </c>
      <c r="FJ78" s="59">
        <f ca="1">AVERAGE(OFFSET($FI$3,0,0,'Données projet'!$E$16+1,1))-AVERAGE(OFFSET($H$3,0,0,'Données projet'!$E$16+1,1))</f>
        <v>179.50097986986123</v>
      </c>
      <c r="FK78" s="59">
        <f t="shared" si="102"/>
        <v>287.11838730637578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>
        <f>EXP(-LN(2)/35)*FQ77+(1-EXP(-LN(2)/35))/(LN(2)/35)*FM78*FN78*VLOOKUP('Données projet'!$B$16,Paramètres!$A$1:$I$89,3,0)*0.475*44/12</f>
        <v>0.25568840868171794</v>
      </c>
      <c r="FR78" s="21">
        <f>EXP(-LN(2)/25)*FR77+(1-EXP(-LN(2)/25))/(LN(2)/25)*Calculateur!FM78*Calculateur!FO78*VLOOKUP('Données projet'!$B$16,Paramètres!$A$1:$I$89,3,0)*0.475*44/12</f>
        <v>1.8073717274756596</v>
      </c>
      <c r="FS78" s="21">
        <f>EXP(-LN(2)/2)*FS77+(1-EXP(-LN(2)/2))/(LN(2)/2)*FM78*FP78*VLOOKUP('Données projet'!$B$16,Paramètres!$A$1:$I$89,3,0)*0.475*44/12</f>
        <v>7.6214922094590552E-7</v>
      </c>
      <c r="FT78" s="22">
        <f t="shared" si="78"/>
        <v>2.0630608983065986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6</v>
      </c>
      <c r="FZ78" s="12">
        <f>IF('Données projet'!$A$244&gt;35,FZ77+FY78-GH77,IF(A78&lt;'Données projet'!$A$244,$FW$205^A78,IF(A78='Données projet'!$A$244,'Données projet'!$B$244,FZ77+FY78-GH77)))</f>
        <v>347.00000000000006</v>
      </c>
      <c r="GA78" s="17">
        <f>FZ78*VLOOKUP('Données projet'!$B$17,Paramètres!$A$1:$I$89,3,0)*VLOOKUP('Données projet'!$B$17,Paramètres!$A$1:$I$89,5,0)</f>
        <v>207.50600000000006</v>
      </c>
      <c r="GB78" s="13">
        <f t="shared" si="103"/>
        <v>51.3902055726969</v>
      </c>
      <c r="GC78" s="20">
        <f t="shared" si="79"/>
        <v>450.91089137244717</v>
      </c>
      <c r="GD78" s="59">
        <f t="shared" si="80"/>
        <v>744.24422470578043</v>
      </c>
      <c r="GE78" s="59">
        <f ca="1">AVERAGE(OFFSET($GD$3,0,0,'Données projet'!$E$17+1,1))-AVERAGE(OFFSET($H$3,0,0,'Données projet'!$E$17+1,1))</f>
        <v>165.39579887388538</v>
      </c>
      <c r="GF78" s="59">
        <f t="shared" si="104"/>
        <v>155.89639262545802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>
        <f>EXP(-LN(2)/35)*GL77+(1-EXP(-LN(2)/35))/(LN(2)/35)*GH78*GI78*VLOOKUP('Données projet'!$B$17,Paramètres!$A$1:$I$89,3,0)*0.475*44/12</f>
        <v>0</v>
      </c>
      <c r="GM78" s="21">
        <f>EXP(-LN(2)/25)*GM77+(1-EXP(-LN(2)/25))/(LN(2)/25)*Calculateur!GH78*Calculateur!GJ78*VLOOKUP('Données projet'!$B$17,Paramètres!$A$1:$I$89,3,0)*0.475*44/12</f>
        <v>2.09328598094192</v>
      </c>
      <c r="GN78" s="21">
        <f>EXP(-LN(2)/2)*GN77+(1-EXP(-LN(2)/2))/(LN(2)/2)*GH78*GK78*VLOOKUP('Données projet'!$B$17,Paramètres!$A$1:$I$89,3,0)*0.475*44/12</f>
        <v>2.3399990538589121E-6</v>
      </c>
      <c r="GO78" s="21">
        <f t="shared" si="81"/>
        <v>2.0932883209409741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8.3000000000000007</v>
      </c>
      <c r="N79" s="13">
        <f>IF('Données projet'!$A$36&gt;35,N78+M79-V78,IF(A79&lt;'Données projet'!$A$36,$K$205^A79,IF(A79='Données projet'!$A$36,'Données projet'!$B$36,N78+M79-V78)))</f>
        <v>480.8000000000003</v>
      </c>
      <c r="O79" s="13">
        <f>N79*VLOOKUP('Données projet'!$B$9,Paramètres!$A$1:$I$89,3,0)*VLOOKUP('Données projet'!$B$9,Paramètres!$A$1:$I$89,5,0)</f>
        <v>268.76720000000017</v>
      </c>
      <c r="P79" s="13">
        <f t="shared" si="87"/>
        <v>64.587568370555275</v>
      </c>
      <c r="Q79" s="20">
        <f t="shared" si="54"/>
        <v>580.59288824538407</v>
      </c>
      <c r="R79" s="59">
        <f t="shared" si="55"/>
        <v>873.92622157871733</v>
      </c>
      <c r="S79" s="59">
        <f ca="1">AVERAGE(OFFSET($R$3,0,0,'Données projet'!$E$9+1,1))-AVERAGE(OFFSET($H$3,0,0,'Données projet'!$E$9+1,1))</f>
        <v>235.10258076192054</v>
      </c>
      <c r="T79" s="59">
        <f t="shared" si="88"/>
        <v>233.47316052603765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1.3776621191610685</v>
      </c>
      <c r="AA79" s="21">
        <f>EXP(-LN(2)/25)*AA78+(1-EXP(-LN(2)/25))/(LN(2)/25)*Calculateur!V79*Calculateur!X79*VLOOKUP('Données projet'!$B$9,Paramètres!$A$1:$I$89,3,0)*0.475*44/12</f>
        <v>5.1492648774880578</v>
      </c>
      <c r="AB79" s="21">
        <f>EXP(-LN(2)/2)*AB78+(1-EXP(-LN(2)/2))/(LN(2)/2)*V79*Y79*VLOOKUP('Données projet'!$B$9,Paramètres!$A$1:$I$89,3,0)*0.475*44/12</f>
        <v>2.8755762246451251E-6</v>
      </c>
      <c r="AC79" s="22">
        <f t="shared" si="57"/>
        <v>6.5269298722253506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3.3</v>
      </c>
      <c r="AI79" s="13">
        <f>IF('Données projet'!$A$62&gt;35,AI78+AH79-AQ78,IF(A79&lt;'Données projet'!$A$62,$AF$205^A79,IF(A79='Données projet'!$A$62,'Données projet'!$B$62,AI78+AH79-AQ78)))</f>
        <v>210.79999999999987</v>
      </c>
      <c r="AJ79" s="13">
        <f>AI79*VLOOKUP('Données projet'!$B$10,Paramètres!$A$1:$I$89,3,0)*VLOOKUP('Données projet'!$B$10,Paramètres!$A$1:$I$89,5,0)</f>
        <v>184.15487999999993</v>
      </c>
      <c r="AK79" s="13">
        <f t="shared" si="89"/>
        <v>46.245339127946259</v>
      </c>
      <c r="AL79" s="20">
        <f t="shared" si="58"/>
        <v>401.28038164783965</v>
      </c>
      <c r="AM79" s="59">
        <f t="shared" si="59"/>
        <v>694.61371498117296</v>
      </c>
      <c r="AN79" s="59">
        <f ca="1">AVERAGE(OFFSET($AM$3,0,0,'Données projet'!$E$10+1,1))-AVERAGE(OFFSET($H$3,0,0,'Données projet'!$E$10+1,1))</f>
        <v>191.94797389630673</v>
      </c>
      <c r="AO79" s="59">
        <f t="shared" si="90"/>
        <v>273.52540822767878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1.0353339562180162</v>
      </c>
      <c r="AV79" s="21">
        <f>EXP(-LN(2)/25)*AV78+(1-EXP(-LN(2)/25))/(LN(2)/25)*Calculateur!AQ79*Calculateur!AS79*VLOOKUP('Données projet'!$B$10,Paramètres!$A$1:$I$89,3,0)*0.475*44/12</f>
        <v>3.9239546200105884</v>
      </c>
      <c r="AW79" s="21">
        <f>EXP(-LN(2)/2)*AW78+(1-EXP(-LN(2)/2))/(LN(2)/2)*AQ79*AT79*VLOOKUP('Données projet'!$B$10,Paramètres!$A$1:$I$89,3,0)*0.475*44/12</f>
        <v>2.7660206460558622E-6</v>
      </c>
      <c r="AX79" s="21">
        <f t="shared" si="60"/>
        <v>4.9592913422492506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4.8</v>
      </c>
      <c r="BD79" s="12">
        <f>IF('Données projet'!$A$88&gt;35,BD78+BC79-BL78,IF(A79&lt;'Données projet'!$A$88,$BA$205^A79,IF(A79='Données projet'!$A$88,'Données projet'!$B$88,BD78+BC79-BL78)))</f>
        <v>186.79999999999993</v>
      </c>
      <c r="BE79" s="13">
        <f>BD79*VLOOKUP('Données projet'!$B$11,Paramètres!$A$1:$I$89,3,0)*VLOOKUP('Données projet'!$B$11,Paramètres!$A$1:$I$89,5,0)</f>
        <v>169.01663999999994</v>
      </c>
      <c r="BF79" s="13">
        <f t="shared" si="91"/>
        <v>42.869709352189666</v>
      </c>
      <c r="BG79" s="20">
        <f t="shared" si="61"/>
        <v>369.03539178839679</v>
      </c>
      <c r="BH79" s="59">
        <f t="shared" si="62"/>
        <v>662.36872512173011</v>
      </c>
      <c r="BI79" s="59">
        <f ca="1">AVERAGE(OFFSET($BH$3,0,0,'Données projet'!$E$11+1,1))-AVERAGE(OFFSET($H$3,0,0,'Données projet'!$E$11+1,1))</f>
        <v>138.8931001150624</v>
      </c>
      <c r="BJ79" s="59">
        <f t="shared" si="92"/>
        <v>48.964659354096625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4.8</v>
      </c>
      <c r="BY79" s="12">
        <f>IF('Données projet'!$A$114&gt;35,BY78+BX79-CG78,IF(A79&lt;'Données projet'!$A$114,$BV$205^A79,IF(A79='Données projet'!$A$114,'Données projet'!$B$114,BY78+BX79-CG78)))</f>
        <v>186.79999999999993</v>
      </c>
      <c r="BZ79" s="13">
        <f>BY79*VLOOKUP('Données projet'!$B$12,Paramètres!$A$1:$I$89,3,0)*VLOOKUP('Données projet'!$B$12,Paramètres!$A$1:$I$89,5,0)</f>
        <v>189.41519999999994</v>
      </c>
      <c r="CA79" s="13">
        <f t="shared" si="93"/>
        <v>47.410638687430918</v>
      </c>
      <c r="CB79" s="20">
        <f t="shared" si="64"/>
        <v>412.47166904727538</v>
      </c>
      <c r="CC79" s="59">
        <f t="shared" si="65"/>
        <v>705.8050023806087</v>
      </c>
      <c r="CD79" s="59">
        <f ca="1">AVERAGE(OFFSET($CC$3,0,0,'Données projet'!$E$12+1,1))-AVERAGE(OFFSET($H$3,0,0,'Données projet'!$E$12+1,1))</f>
        <v>169.2757878405003</v>
      </c>
      <c r="CE79" s="59">
        <f t="shared" si="94"/>
        <v>61.876502626609977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2.5</v>
      </c>
      <c r="CT79" s="12">
        <f>IF('Données projet'!$A$140&gt;35,CT78+CS79-DB78,IF(A79&lt;'Données projet'!$A$140,$CQ$205^A79,IF(A79='Données projet'!$A$140,'Données projet'!$B$140,CT78+CS79-DB78)))</f>
        <v>215.99999999999991</v>
      </c>
      <c r="CU79" s="17">
        <f>CT79*VLOOKUP('Données projet'!$B$13,Paramètres!$A$1:$I$89,3,0)*VLOOKUP('Données projet'!$B$13,Paramètres!$A$1:$I$89,5,0)</f>
        <v>171.84959999999992</v>
      </c>
      <c r="CV79" s="13">
        <f t="shared" si="95"/>
        <v>43.50401120412441</v>
      </c>
      <c r="CW79" s="20">
        <f t="shared" si="67"/>
        <v>375.07420618051651</v>
      </c>
      <c r="CX79" s="59">
        <f t="shared" si="68"/>
        <v>668.40753951384977</v>
      </c>
      <c r="CY79" s="59">
        <f ca="1">AVERAGE(OFFSET($CX$3,0,0,'Données projet'!$E$13+1,1))-AVERAGE(OFFSET($H$3,0,0,'Données projet'!$E$13+1,1))</f>
        <v>141.12810728817544</v>
      </c>
      <c r="CZ79" s="59">
        <f t="shared" si="96"/>
        <v>176.01405805137551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>
        <f>EXP(-LN(2)/35)*DF78+(1-EXP(-LN(2)/35))/(LN(2)/35)*DB79*DC79*VLOOKUP('Données projet'!$B$13,Paramètres!$A$1:$I$89,3,0)*0.475*44/12</f>
        <v>0</v>
      </c>
      <c r="DG79" s="21">
        <f>EXP(-LN(2)/25)*DG78+(1-EXP(-LN(2)/25))/(LN(2)/25)*Calculateur!DB79*Calculateur!DD79*VLOOKUP('Données projet'!$B$13,Paramètres!$A$1:$I$89,3,0)*0.475*44/12</f>
        <v>1.8777615985715441</v>
      </c>
      <c r="DH79" s="21">
        <f>EXP(-LN(2)/2)*DH78+(1-EXP(-LN(2)/2))/(LN(2)/2)*DB79*DE79*VLOOKUP('Données projet'!$B$13,Paramètres!$A$1:$I$89,3,0)*0.475*44/12</f>
        <v>9.5429324368011586E-7</v>
      </c>
      <c r="DI79" s="22">
        <f t="shared" si="69"/>
        <v>1.8777625528647879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6</v>
      </c>
      <c r="DO79" s="12">
        <f>IF('Données projet'!$A$166&gt;35,DO78+DN79-DW78,IF(A79&lt;'Données projet'!$A$166,$DL$205^A79,IF(A79='Données projet'!$A$166,'Données projet'!$B$166,DO78+DN79-DW78)))</f>
        <v>353.00000000000006</v>
      </c>
      <c r="DP79" s="17">
        <f>DO79*VLOOKUP('Données projet'!$B$14,Paramètres!$A$1:$I$89,3,0)*VLOOKUP('Données projet'!$B$14,Paramètres!$A$1:$I$89,5,0)</f>
        <v>211.09400000000005</v>
      </c>
      <c r="DQ79" s="13">
        <f t="shared" si="97"/>
        <v>52.1745798794691</v>
      </c>
      <c r="DR79" s="20">
        <f t="shared" si="70"/>
        <v>458.52610995674212</v>
      </c>
      <c r="DS79" s="59">
        <f t="shared" si="71"/>
        <v>751.85944329007543</v>
      </c>
      <c r="DT79" s="59">
        <f ca="1">AVERAGE(OFFSET($DS$3,0,0,'Données projet'!$E$14+1,1))-AVERAGE(OFFSET($H$3,0,0,'Données projet'!$E$14+1,1))</f>
        <v>165.39579887388538</v>
      </c>
      <c r="DU79" s="59">
        <f t="shared" si="98"/>
        <v>155.89639262545802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>
        <f>EXP(-LN(2)/35)*EA78+(1-EXP(-LN(2)/35))/(LN(2)/35)*DW79*DX79*VLOOKUP('Données projet'!$B$14,Paramètres!$A$1:$I$89,3,0)*0.475*44/12</f>
        <v>0</v>
      </c>
      <c r="EB79" s="21">
        <f>EXP(-LN(2)/25)*EB78+(1-EXP(-LN(2)/25))/(LN(2)/25)*Calculateur!DW79*Calculateur!DY79*VLOOKUP('Données projet'!$B$14,Paramètres!$A$1:$I$89,3,0)*0.475*44/12</f>
        <v>2.0360449657119375</v>
      </c>
      <c r="EC79" s="21">
        <f>EXP(-LN(2)/2)*EC78+(1-EXP(-LN(2)/2))/(LN(2)/2)*DW79*DZ79*VLOOKUP('Données projet'!$B$14,Paramètres!$A$1:$I$89,3,0)*0.475*44/12</f>
        <v>1.654629198953742E-6</v>
      </c>
      <c r="ED79" s="22">
        <f t="shared" si="72"/>
        <v>2.0360466203411365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4.8</v>
      </c>
      <c r="EJ79" s="12">
        <f>IF('Données projet'!$A$192&gt;35,EJ78+EI79-ER78,IF(A79&lt;'Données projet'!$A$192,$EG$205^A79,IF(A79='Données projet'!$A$192,'Données projet'!$B$192,EJ78+EI79-ER78)))</f>
        <v>186.79999999999993</v>
      </c>
      <c r="EK79" s="17">
        <f>EJ79*VLOOKUP('Données projet'!$B$15,Paramètres!$A$1:$I$89,3,0)*VLOOKUP('Données projet'!$B$15,Paramètres!$A$1:$I$89,5,0)</f>
        <v>145.70399999999995</v>
      </c>
      <c r="EL79" s="13">
        <f t="shared" si="99"/>
        <v>37.600659281180569</v>
      </c>
      <c r="EM79" s="20">
        <f t="shared" si="73"/>
        <v>319.25561491472274</v>
      </c>
      <c r="EN79" s="59">
        <f t="shared" si="74"/>
        <v>612.58894824805611</v>
      </c>
      <c r="EO79" s="59">
        <f ca="1">AVERAGE(OFFSET($EN$3,0,0,'Données projet'!$E$15+1,1))-AVERAGE(OFFSET($H$3,0,0,'Données projet'!$E$15+1,1))</f>
        <v>104.07220236158577</v>
      </c>
      <c r="EP79" s="59">
        <f t="shared" si="100"/>
        <v>34.162068257911756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>
        <f>EXP(-LN(2)/35)*EV78+(1-EXP(-LN(2)/35))/(LN(2)/35)*ER79*ES79*VLOOKUP('Données projet'!$B$15,Paramètres!$A$1:$I$89,3,0)*0.475*44/12</f>
        <v>0</v>
      </c>
      <c r="EW79" s="21">
        <f>EXP(-LN(2)/25)*EW78+(1-EXP(-LN(2)/25))/(LN(2)/25)*Calculateur!ER79*Calculateur!ET79*VLOOKUP('Données projet'!$B$15,Paramètres!$A$1:$I$89,3,0)*0.475*44/12</f>
        <v>0</v>
      </c>
      <c r="EX79" s="21">
        <f>EXP(-LN(2)/2)*EX78+(1-EXP(-LN(2)/2))/(LN(2)/2)*ER79*EU79*VLOOKUP('Données projet'!$B$15,Paramètres!$A$1:$I$89,3,0)*0.475*44/12</f>
        <v>0</v>
      </c>
      <c r="EY79" s="22">
        <f t="shared" si="75"/>
        <v>0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5.6843418860808015E-14</v>
      </c>
      <c r="FF79" s="17">
        <f>FE79*VLOOKUP('Données projet'!$B$16,Paramètres!$A$1:$I$89,3,0)*VLOOKUP('Données projet'!$B$16,Paramètres!$A$1:$I$89,5,0)</f>
        <v>5.1431925385259088E-14</v>
      </c>
      <c r="FG79" s="13">
        <f t="shared" si="101"/>
        <v>8.3482866290946129E-13</v>
      </c>
      <c r="FH79" s="20">
        <f t="shared" si="76"/>
        <v>1.5435705246133045E-12</v>
      </c>
      <c r="FI79" s="59">
        <f t="shared" si="77"/>
        <v>293.33333333333485</v>
      </c>
      <c r="FJ79" s="59">
        <f ca="1">AVERAGE(OFFSET($FI$3,0,0,'Données projet'!$E$16+1,1))-AVERAGE(OFFSET($H$3,0,0,'Données projet'!$E$16+1,1))</f>
        <v>179.50097986986123</v>
      </c>
      <c r="FK79" s="59">
        <f t="shared" si="102"/>
        <v>287.11838730637578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>
        <f>EXP(-LN(2)/35)*FQ78+(1-EXP(-LN(2)/35))/(LN(2)/35)*FM79*FN79*VLOOKUP('Données projet'!$B$16,Paramètres!$A$1:$I$89,3,0)*0.475*44/12</f>
        <v>0.25067451494199949</v>
      </c>
      <c r="FR79" s="21">
        <f>EXP(-LN(2)/25)*FR78+(1-EXP(-LN(2)/25))/(LN(2)/25)*Calculateur!FM79*Calculateur!FO79*VLOOKUP('Données projet'!$B$16,Paramètres!$A$1:$I$89,3,0)*0.475*44/12</f>
        <v>1.7579490525422894</v>
      </c>
      <c r="FS79" s="21">
        <f>EXP(-LN(2)/2)*FS78+(1-EXP(-LN(2)/2))/(LN(2)/2)*FM79*FP79*VLOOKUP('Données projet'!$B$16,Paramètres!$A$1:$I$89,3,0)*0.475*44/12</f>
        <v>5.3892088240689407E-7</v>
      </c>
      <c r="FT79" s="22">
        <f t="shared" si="78"/>
        <v>2.0086241064051715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6</v>
      </c>
      <c r="FZ79" s="12">
        <f>IF('Données projet'!$A$244&gt;35,FZ78+FY79-GH78,IF(A79&lt;'Données projet'!$A$244,$FW$205^A79,IF(A79='Données projet'!$A$244,'Données projet'!$B$244,FZ78+FY79-GH78)))</f>
        <v>353.00000000000006</v>
      </c>
      <c r="GA79" s="17">
        <f>FZ79*VLOOKUP('Données projet'!$B$17,Paramètres!$A$1:$I$89,3,0)*VLOOKUP('Données projet'!$B$17,Paramètres!$A$1:$I$89,5,0)</f>
        <v>211.09400000000005</v>
      </c>
      <c r="GB79" s="13">
        <f t="shared" si="103"/>
        <v>52.1745798794691</v>
      </c>
      <c r="GC79" s="20">
        <f t="shared" si="79"/>
        <v>458.52610995674212</v>
      </c>
      <c r="GD79" s="59">
        <f t="shared" si="80"/>
        <v>751.85944329007543</v>
      </c>
      <c r="GE79" s="59">
        <f ca="1">AVERAGE(OFFSET($GD$3,0,0,'Données projet'!$E$17+1,1))-AVERAGE(OFFSET($H$3,0,0,'Données projet'!$E$17+1,1))</f>
        <v>165.39579887388538</v>
      </c>
      <c r="GF79" s="59">
        <f t="shared" si="104"/>
        <v>155.89639262545802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>
        <f>EXP(-LN(2)/35)*GL78+(1-EXP(-LN(2)/35))/(LN(2)/35)*GH79*GI79*VLOOKUP('Données projet'!$B$17,Paramètres!$A$1:$I$89,3,0)*0.475*44/12</f>
        <v>0</v>
      </c>
      <c r="GM79" s="21">
        <f>EXP(-LN(2)/25)*GM78+(1-EXP(-LN(2)/25))/(LN(2)/25)*Calculateur!GH79*Calculateur!GJ79*VLOOKUP('Données projet'!$B$17,Paramètres!$A$1:$I$89,3,0)*0.475*44/12</f>
        <v>2.0360449657119375</v>
      </c>
      <c r="GN79" s="21">
        <f>EXP(-LN(2)/2)*GN78+(1-EXP(-LN(2)/2))/(LN(2)/2)*GH79*GK79*VLOOKUP('Données projet'!$B$17,Paramètres!$A$1:$I$89,3,0)*0.475*44/12</f>
        <v>1.654629198953742E-6</v>
      </c>
      <c r="GO79" s="21">
        <f t="shared" si="81"/>
        <v>2.0360466203411365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8.3000000000000007</v>
      </c>
      <c r="N80" s="13">
        <f>IF('Données projet'!$A$36&gt;35,N79+M80-V79,IF(A80&lt;'Données projet'!$A$36,$K$205^A80,IF(A80='Données projet'!$A$36,'Données projet'!$B$36,N79+M80-V79)))</f>
        <v>489.10000000000031</v>
      </c>
      <c r="O80" s="13">
        <f>N80*VLOOKUP('Données projet'!$B$9,Paramètres!$A$1:$I$89,3,0)*VLOOKUP('Données projet'!$B$9,Paramètres!$A$1:$I$89,5,0)</f>
        <v>273.40690000000018</v>
      </c>
      <c r="P80" s="13">
        <f t="shared" si="87"/>
        <v>65.571770952817729</v>
      </c>
      <c r="Q80" s="20">
        <f t="shared" si="54"/>
        <v>590.38785190949113</v>
      </c>
      <c r="R80" s="59">
        <f t="shared" si="55"/>
        <v>883.7211852428245</v>
      </c>
      <c r="S80" s="59">
        <f ca="1">AVERAGE(OFFSET($R$3,0,0,'Données projet'!$E$9+1,1))-AVERAGE(OFFSET($H$3,0,0,'Données projet'!$E$9+1,1))</f>
        <v>235.10258076192054</v>
      </c>
      <c r="T80" s="59">
        <f t="shared" si="88"/>
        <v>233.47316052603765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1.3506470052952408</v>
      </c>
      <c r="AA80" s="21">
        <f>EXP(-LN(2)/25)*AA79+(1-EXP(-LN(2)/25))/(LN(2)/25)*Calculateur!V80*Calculateur!X80*VLOOKUP('Données projet'!$B$9,Paramètres!$A$1:$I$89,3,0)*0.475*44/12</f>
        <v>5.0084579586250761</v>
      </c>
      <c r="AB80" s="21">
        <f>EXP(-LN(2)/2)*AB79+(1-EXP(-LN(2)/2))/(LN(2)/2)*V80*Y80*VLOOKUP('Données projet'!$B$9,Paramètres!$A$1:$I$89,3,0)*0.475*44/12</f>
        <v>2.0333394482653788E-6</v>
      </c>
      <c r="AC80" s="22">
        <f t="shared" si="57"/>
        <v>6.3591069972597651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3.3</v>
      </c>
      <c r="AI80" s="13">
        <f>IF('Données projet'!$A$62&gt;35,AI79+AH80-AQ79,IF(A80&lt;'Données projet'!$A$62,$AF$205^A80,IF(A80='Données projet'!$A$62,'Données projet'!$B$62,AI79+AH80-AQ79)))</f>
        <v>214.09999999999988</v>
      </c>
      <c r="AJ80" s="13">
        <f>AI80*VLOOKUP('Données projet'!$B$10,Paramètres!$A$1:$I$89,3,0)*VLOOKUP('Données projet'!$B$10,Paramètres!$A$1:$I$89,5,0)</f>
        <v>187.03775999999991</v>
      </c>
      <c r="AK80" s="13">
        <f t="shared" si="89"/>
        <v>46.884445917180038</v>
      </c>
      <c r="AL80" s="20">
        <f t="shared" si="58"/>
        <v>407.41450863908841</v>
      </c>
      <c r="AM80" s="59">
        <f t="shared" si="59"/>
        <v>700.74784197242172</v>
      </c>
      <c r="AN80" s="59">
        <f ca="1">AVERAGE(OFFSET($AM$3,0,0,'Données projet'!$E$10+1,1))-AVERAGE(OFFSET($H$3,0,0,'Données projet'!$E$10+1,1))</f>
        <v>191.94797389630673</v>
      </c>
      <c r="AO80" s="59">
        <f t="shared" si="90"/>
        <v>273.52540822767878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1.0150316888279396</v>
      </c>
      <c r="AV80" s="21">
        <f>EXP(-LN(2)/25)*AV79+(1-EXP(-LN(2)/25))/(LN(2)/25)*Calculateur!AQ80*Calculateur!AS80*VLOOKUP('Données projet'!$B$10,Paramètres!$A$1:$I$89,3,0)*0.475*44/12</f>
        <v>3.8166538745745937</v>
      </c>
      <c r="AW80" s="21">
        <f>EXP(-LN(2)/2)*AW79+(1-EXP(-LN(2)/2))/(LN(2)/2)*AQ80*AT80*VLOOKUP('Données projet'!$B$10,Paramètres!$A$1:$I$89,3,0)*0.475*44/12</f>
        <v>1.9558719557280953E-6</v>
      </c>
      <c r="AX80" s="21">
        <f t="shared" si="60"/>
        <v>4.8316875192744897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4.8</v>
      </c>
      <c r="BD80" s="12">
        <f>IF('Données projet'!$A$88&gt;35,BD79+BC80-BL79,IF(A80&lt;'Données projet'!$A$88,$BA$205^A80,IF(A80='Données projet'!$A$88,'Données projet'!$B$88,BD79+BC80-BL79)))</f>
        <v>191.59999999999994</v>
      </c>
      <c r="BE80" s="13">
        <f>BD80*VLOOKUP('Données projet'!$B$11,Paramètres!$A$1:$I$89,3,0)*VLOOKUP('Données projet'!$B$11,Paramètres!$A$1:$I$89,5,0)</f>
        <v>173.35967999999994</v>
      </c>
      <c r="BF80" s="13">
        <f t="shared" si="91"/>
        <v>43.841620969901918</v>
      </c>
      <c r="BG80" s="20">
        <f t="shared" si="61"/>
        <v>378.29226585591238</v>
      </c>
      <c r="BH80" s="59">
        <f t="shared" si="62"/>
        <v>671.62559918924569</v>
      </c>
      <c r="BI80" s="59">
        <f ca="1">AVERAGE(OFFSET($BH$3,0,0,'Données projet'!$E$11+1,1))-AVERAGE(OFFSET($H$3,0,0,'Données projet'!$E$11+1,1))</f>
        <v>138.8931001150624</v>
      </c>
      <c r="BJ80" s="59">
        <f t="shared" si="92"/>
        <v>48.964659354096625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4.8</v>
      </c>
      <c r="BY80" s="12">
        <f>IF('Données projet'!$A$114&gt;35,BY79+BX80-CG79,IF(A80&lt;'Données projet'!$A$114,$BV$205^A80,IF(A80='Données projet'!$A$114,'Données projet'!$B$114,BY79+BX80-CG79)))</f>
        <v>191.59999999999994</v>
      </c>
      <c r="BZ80" s="13">
        <f>BY80*VLOOKUP('Données projet'!$B$12,Paramètres!$A$1:$I$89,3,0)*VLOOKUP('Données projet'!$B$12,Paramètres!$A$1:$I$89,5,0)</f>
        <v>194.28239999999994</v>
      </c>
      <c r="CA80" s="13">
        <f t="shared" si="93"/>
        <v>48.485499031477502</v>
      </c>
      <c r="CB80" s="20">
        <f t="shared" si="64"/>
        <v>422.82075747982321</v>
      </c>
      <c r="CC80" s="59">
        <f t="shared" si="65"/>
        <v>716.15409081315647</v>
      </c>
      <c r="CD80" s="59">
        <f ca="1">AVERAGE(OFFSET($CC$3,0,0,'Données projet'!$E$12+1,1))-AVERAGE(OFFSET($H$3,0,0,'Données projet'!$E$12+1,1))</f>
        <v>169.2757878405003</v>
      </c>
      <c r="CE80" s="59">
        <f t="shared" si="94"/>
        <v>61.876502626609977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2.5</v>
      </c>
      <c r="CT80" s="12">
        <f>IF('Données projet'!$A$140&gt;35,CT79+CS80-DB79,IF(A80&lt;'Données projet'!$A$140,$CQ$205^A80,IF(A80='Données projet'!$A$140,'Données projet'!$B$140,CT79+CS80-DB79)))</f>
        <v>218.49999999999991</v>
      </c>
      <c r="CU80" s="17">
        <f>CT80*VLOOKUP('Données projet'!$B$13,Paramètres!$A$1:$I$89,3,0)*VLOOKUP('Données projet'!$B$13,Paramètres!$A$1:$I$89,5,0)</f>
        <v>173.83859999999996</v>
      </c>
      <c r="CV80" s="13">
        <f t="shared" si="95"/>
        <v>43.948621868943015</v>
      </c>
      <c r="CW80" s="20">
        <f t="shared" si="67"/>
        <v>379.3127447550757</v>
      </c>
      <c r="CX80" s="59">
        <f t="shared" si="68"/>
        <v>672.64607808840901</v>
      </c>
      <c r="CY80" s="59">
        <f ca="1">AVERAGE(OFFSET($CX$3,0,0,'Données projet'!$E$13+1,1))-AVERAGE(OFFSET($H$3,0,0,'Données projet'!$E$13+1,1))</f>
        <v>141.12810728817544</v>
      </c>
      <c r="CZ80" s="59">
        <f t="shared" si="96"/>
        <v>176.01405805137551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>
        <f>EXP(-LN(2)/35)*DF79+(1-EXP(-LN(2)/35))/(LN(2)/35)*DB80*DC80*VLOOKUP('Données projet'!$B$13,Paramètres!$A$1:$I$89,3,0)*0.475*44/12</f>
        <v>0</v>
      </c>
      <c r="DG80" s="21">
        <f>EXP(-LN(2)/25)*DG79+(1-EXP(-LN(2)/25))/(LN(2)/25)*Calculateur!DB80*Calculateur!DD80*VLOOKUP('Données projet'!$B$13,Paramètres!$A$1:$I$89,3,0)*0.475*44/12</f>
        <v>1.8264141089114145</v>
      </c>
      <c r="DH80" s="21">
        <f>EXP(-LN(2)/2)*DH79+(1-EXP(-LN(2)/2))/(LN(2)/2)*DB80*DE80*VLOOKUP('Données projet'!$B$13,Paramètres!$A$1:$I$89,3,0)*0.475*44/12</f>
        <v>6.7478722384671638E-7</v>
      </c>
      <c r="DI80" s="22">
        <f t="shared" si="69"/>
        <v>1.8264147836986384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6</v>
      </c>
      <c r="DO80" s="12">
        <f>IF('Données projet'!$A$166&gt;35,DO79+DN80-DW79,IF(A80&lt;'Données projet'!$A$166,$DL$205^A80,IF(A80='Données projet'!$A$166,'Données projet'!$B$166,DO79+DN80-DW79)))</f>
        <v>359.00000000000006</v>
      </c>
      <c r="DP80" s="17">
        <f>DO80*VLOOKUP('Données projet'!$B$14,Paramètres!$A$1:$I$89,3,0)*VLOOKUP('Données projet'!$B$14,Paramètres!$A$1:$I$89,5,0)</f>
        <v>214.68200000000007</v>
      </c>
      <c r="DQ80" s="13">
        <f t="shared" si="97"/>
        <v>52.957403780225121</v>
      </c>
      <c r="DR80" s="20">
        <f t="shared" si="70"/>
        <v>466.13862825055884</v>
      </c>
      <c r="DS80" s="59">
        <f t="shared" si="71"/>
        <v>759.47196158389215</v>
      </c>
      <c r="DT80" s="59">
        <f ca="1">AVERAGE(OFFSET($DS$3,0,0,'Données projet'!$E$14+1,1))-AVERAGE(OFFSET($H$3,0,0,'Données projet'!$E$14+1,1))</f>
        <v>165.39579887388538</v>
      </c>
      <c r="DU80" s="59">
        <f t="shared" si="98"/>
        <v>155.89639262545802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>
        <f>EXP(-LN(2)/35)*EA79+(1-EXP(-LN(2)/35))/(LN(2)/35)*DW80*DX80*VLOOKUP('Données projet'!$B$14,Paramètres!$A$1:$I$89,3,0)*0.475*44/12</f>
        <v>0</v>
      </c>
      <c r="EB80" s="21">
        <f>EXP(-LN(2)/25)*EB79+(1-EXP(-LN(2)/25))/(LN(2)/25)*Calculateur!DW80*Calculateur!DY80*VLOOKUP('Données projet'!$B$14,Paramètres!$A$1:$I$89,3,0)*0.475*44/12</f>
        <v>1.9803692090535931</v>
      </c>
      <c r="EC80" s="21">
        <f>EXP(-LN(2)/2)*EC79+(1-EXP(-LN(2)/2))/(LN(2)/2)*DW80*DZ80*VLOOKUP('Données projet'!$B$14,Paramètres!$A$1:$I$89,3,0)*0.475*44/12</f>
        <v>1.169999526929456E-6</v>
      </c>
      <c r="ED80" s="22">
        <f t="shared" si="72"/>
        <v>1.9803703790531202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4.8</v>
      </c>
      <c r="EJ80" s="12">
        <f>IF('Données projet'!$A$192&gt;35,EJ79+EI80-ER79,IF(A80&lt;'Données projet'!$A$192,$EG$205^A80,IF(A80='Données projet'!$A$192,'Données projet'!$B$192,EJ79+EI80-ER79)))</f>
        <v>191.59999999999994</v>
      </c>
      <c r="EK80" s="17">
        <f>EJ80*VLOOKUP('Données projet'!$B$15,Paramètres!$A$1:$I$89,3,0)*VLOOKUP('Données projet'!$B$15,Paramètres!$A$1:$I$89,5,0)</f>
        <v>149.44799999999995</v>
      </c>
      <c r="EL80" s="13">
        <f t="shared" si="99"/>
        <v>38.453114736121833</v>
      </c>
      <c r="EM80" s="20">
        <f t="shared" si="73"/>
        <v>327.26110816541205</v>
      </c>
      <c r="EN80" s="59">
        <f t="shared" si="74"/>
        <v>620.59444149874537</v>
      </c>
      <c r="EO80" s="59">
        <f ca="1">AVERAGE(OFFSET($EN$3,0,0,'Données projet'!$E$15+1,1))-AVERAGE(OFFSET($H$3,0,0,'Données projet'!$E$15+1,1))</f>
        <v>104.07220236158577</v>
      </c>
      <c r="EP80" s="59">
        <f t="shared" si="100"/>
        <v>34.162068257911756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>
        <f>EXP(-LN(2)/35)*EV79+(1-EXP(-LN(2)/35))/(LN(2)/35)*ER80*ES80*VLOOKUP('Données projet'!$B$15,Paramètres!$A$1:$I$89,3,0)*0.475*44/12</f>
        <v>0</v>
      </c>
      <c r="EW80" s="21">
        <f>EXP(-LN(2)/25)*EW79+(1-EXP(-LN(2)/25))/(LN(2)/25)*Calculateur!ER80*Calculateur!ET80*VLOOKUP('Données projet'!$B$15,Paramètres!$A$1:$I$89,3,0)*0.475*44/12</f>
        <v>0</v>
      </c>
      <c r="EX80" s="21">
        <f>EXP(-LN(2)/2)*EX79+(1-EXP(-LN(2)/2))/(LN(2)/2)*ER80*EU80*VLOOKUP('Données projet'!$B$15,Paramètres!$A$1:$I$89,3,0)*0.475*44/12</f>
        <v>0</v>
      </c>
      <c r="EY80" s="22">
        <f t="shared" si="75"/>
        <v>0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5.6843418860808015E-14</v>
      </c>
      <c r="FF80" s="17">
        <f>FE80*VLOOKUP('Données projet'!$B$16,Paramètres!$A$1:$I$89,3,0)*VLOOKUP('Données projet'!$B$16,Paramètres!$A$1:$I$89,5,0)</f>
        <v>5.1431925385259088E-14</v>
      </c>
      <c r="FG80" s="13">
        <f t="shared" si="101"/>
        <v>8.3482866290946129E-13</v>
      </c>
      <c r="FH80" s="20">
        <f t="shared" si="76"/>
        <v>1.5435705246133045E-12</v>
      </c>
      <c r="FI80" s="59">
        <f t="shared" si="77"/>
        <v>293.33333333333485</v>
      </c>
      <c r="FJ80" s="59">
        <f ca="1">AVERAGE(OFFSET($FI$3,0,0,'Données projet'!$E$16+1,1))-AVERAGE(OFFSET($H$3,0,0,'Données projet'!$E$16+1,1))</f>
        <v>179.50097986986123</v>
      </c>
      <c r="FK80" s="59">
        <f t="shared" si="102"/>
        <v>287.11838730637578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>
        <f>EXP(-LN(2)/35)*FQ79+(1-EXP(-LN(2)/35))/(LN(2)/35)*FM80*FN80*VLOOKUP('Données projet'!$B$16,Paramètres!$A$1:$I$89,3,0)*0.475*44/12</f>
        <v>0.24575894060034373</v>
      </c>
      <c r="FR80" s="21">
        <f>EXP(-LN(2)/25)*FR79+(1-EXP(-LN(2)/25))/(LN(2)/25)*Calculateur!FM80*Calculateur!FO80*VLOOKUP('Données projet'!$B$16,Paramètres!$A$1:$I$89,3,0)*0.475*44/12</f>
        <v>1.7098778432539976</v>
      </c>
      <c r="FS80" s="21">
        <f>EXP(-LN(2)/2)*FS79+(1-EXP(-LN(2)/2))/(LN(2)/2)*FM80*FP80*VLOOKUP('Données projet'!$B$16,Paramètres!$A$1:$I$89,3,0)*0.475*44/12</f>
        <v>3.8107461047295276E-7</v>
      </c>
      <c r="FT80" s="22">
        <f t="shared" si="78"/>
        <v>1.9556371649289519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6</v>
      </c>
      <c r="FZ80" s="12">
        <f>IF('Données projet'!$A$244&gt;35,FZ79+FY80-GH79,IF(A80&lt;'Données projet'!$A$244,$FW$205^A80,IF(A80='Données projet'!$A$244,'Données projet'!$B$244,FZ79+FY80-GH79)))</f>
        <v>359.00000000000006</v>
      </c>
      <c r="GA80" s="17">
        <f>FZ80*VLOOKUP('Données projet'!$B$17,Paramètres!$A$1:$I$89,3,0)*VLOOKUP('Données projet'!$B$17,Paramètres!$A$1:$I$89,5,0)</f>
        <v>214.68200000000007</v>
      </c>
      <c r="GB80" s="13">
        <f t="shared" si="103"/>
        <v>52.957403780225121</v>
      </c>
      <c r="GC80" s="20">
        <f t="shared" si="79"/>
        <v>466.13862825055884</v>
      </c>
      <c r="GD80" s="59">
        <f t="shared" si="80"/>
        <v>759.47196158389215</v>
      </c>
      <c r="GE80" s="59">
        <f ca="1">AVERAGE(OFFSET($GD$3,0,0,'Données projet'!$E$17+1,1))-AVERAGE(OFFSET($H$3,0,0,'Données projet'!$E$17+1,1))</f>
        <v>165.39579887388538</v>
      </c>
      <c r="GF80" s="59">
        <f t="shared" si="104"/>
        <v>155.89639262545802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>
        <f>EXP(-LN(2)/35)*GL79+(1-EXP(-LN(2)/35))/(LN(2)/35)*GH80*GI80*VLOOKUP('Données projet'!$B$17,Paramètres!$A$1:$I$89,3,0)*0.475*44/12</f>
        <v>0</v>
      </c>
      <c r="GM80" s="21">
        <f>EXP(-LN(2)/25)*GM79+(1-EXP(-LN(2)/25))/(LN(2)/25)*Calculateur!GH80*Calculateur!GJ80*VLOOKUP('Données projet'!$B$17,Paramètres!$A$1:$I$89,3,0)*0.475*44/12</f>
        <v>1.9803692090535931</v>
      </c>
      <c r="GN80" s="21">
        <f>EXP(-LN(2)/2)*GN79+(1-EXP(-LN(2)/2))/(LN(2)/2)*GH80*GK80*VLOOKUP('Données projet'!$B$17,Paramètres!$A$1:$I$89,3,0)*0.475*44/12</f>
        <v>1.169999526929456E-6</v>
      </c>
      <c r="GO80" s="21">
        <f t="shared" si="81"/>
        <v>1.9803703790531202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8.3000000000000007</v>
      </c>
      <c r="N81" s="13">
        <f>IF('Données projet'!$A$36&gt;35,N80+M81-V80,IF(A81&lt;'Données projet'!$A$36,$K$205^A81,IF(A81='Données projet'!$A$36,'Données projet'!$B$36,N80+M81-V80)))</f>
        <v>497.40000000000032</v>
      </c>
      <c r="O81" s="13">
        <f>N81*VLOOKUP('Données projet'!$B$9,Paramètres!$A$1:$I$89,3,0)*VLOOKUP('Données projet'!$B$9,Paramètres!$A$1:$I$89,5,0)</f>
        <v>278.04660000000018</v>
      </c>
      <c r="P81" s="13">
        <f t="shared" si="87"/>
        <v>66.554031258437732</v>
      </c>
      <c r="Q81" s="20">
        <f t="shared" si="54"/>
        <v>600.17943277511279</v>
      </c>
      <c r="R81" s="59">
        <f t="shared" si="55"/>
        <v>893.51276610844616</v>
      </c>
      <c r="S81" s="59">
        <f ca="1">AVERAGE(OFFSET($R$3,0,0,'Données projet'!$E$9+1,1))-AVERAGE(OFFSET($H$3,0,0,'Données projet'!$E$9+1,1))</f>
        <v>235.10258076192054</v>
      </c>
      <c r="T81" s="59">
        <f t="shared" si="88"/>
        <v>233.47316052603765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1.3241616413347297</v>
      </c>
      <c r="AA81" s="21">
        <f>EXP(-LN(2)/25)*AA80+(1-EXP(-LN(2)/25))/(LN(2)/25)*Calculateur!V81*Calculateur!X81*VLOOKUP('Données projet'!$B$9,Paramètres!$A$1:$I$89,3,0)*0.475*44/12</f>
        <v>4.8715014123631164</v>
      </c>
      <c r="AB81" s="21">
        <f>EXP(-LN(2)/2)*AB80+(1-EXP(-LN(2)/2))/(LN(2)/2)*V81*Y81*VLOOKUP('Données projet'!$B$9,Paramètres!$A$1:$I$89,3,0)*0.475*44/12</f>
        <v>1.4377881123225625E-6</v>
      </c>
      <c r="AC81" s="22">
        <f t="shared" si="57"/>
        <v>6.1956644914859584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3.3</v>
      </c>
      <c r="AI81" s="13">
        <f>IF('Données projet'!$A$62&gt;35,AI80+AH81-AQ80,IF(A81&lt;'Données projet'!$A$62,$AF$205^A81,IF(A81='Données projet'!$A$62,'Données projet'!$B$62,AI80+AH81-AQ80)))</f>
        <v>217.39999999999989</v>
      </c>
      <c r="AJ81" s="13">
        <f>AI81*VLOOKUP('Données projet'!$B$10,Paramètres!$A$1:$I$89,3,0)*VLOOKUP('Données projet'!$B$10,Paramètres!$A$1:$I$89,5,0)</f>
        <v>189.92063999999993</v>
      </c>
      <c r="AK81" s="13">
        <f t="shared" si="89"/>
        <v>47.522407055417723</v>
      </c>
      <c r="AL81" s="20">
        <f t="shared" si="58"/>
        <v>413.54664028818576</v>
      </c>
      <c r="AM81" s="59">
        <f t="shared" si="59"/>
        <v>706.87997362151907</v>
      </c>
      <c r="AN81" s="59">
        <f ca="1">AVERAGE(OFFSET($AM$3,0,0,'Données projet'!$E$10+1,1))-AVERAGE(OFFSET($H$3,0,0,'Données projet'!$E$10+1,1))</f>
        <v>191.94797389630673</v>
      </c>
      <c r="AO81" s="59">
        <f t="shared" si="90"/>
        <v>273.52540822767878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0.99512753651822206</v>
      </c>
      <c r="AV81" s="21">
        <f>EXP(-LN(2)/25)*AV80+(1-EXP(-LN(2)/25))/(LN(2)/25)*Calculateur!AQ81*Calculateur!AS81*VLOOKUP('Données projet'!$B$10,Paramètres!$A$1:$I$89,3,0)*0.475*44/12</f>
        <v>3.7122872736652472</v>
      </c>
      <c r="AW81" s="21">
        <f>EXP(-LN(2)/2)*AW80+(1-EXP(-LN(2)/2))/(LN(2)/2)*AQ81*AT81*VLOOKUP('Données projet'!$B$10,Paramètres!$A$1:$I$89,3,0)*0.475*44/12</f>
        <v>1.3830103230279311E-6</v>
      </c>
      <c r="AX81" s="21">
        <f t="shared" si="60"/>
        <v>4.7074161931937928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4.8</v>
      </c>
      <c r="BD81" s="12">
        <f>IF('Données projet'!$A$88&gt;35,BD80+BC81-BL80,IF(A81&lt;'Données projet'!$A$88,$BA$205^A81,IF(A81='Données projet'!$A$88,'Données projet'!$B$88,BD80+BC81-BL80)))</f>
        <v>196.39999999999995</v>
      </c>
      <c r="BE81" s="13">
        <f>BD81*VLOOKUP('Données projet'!$B$11,Paramètres!$A$1:$I$89,3,0)*VLOOKUP('Données projet'!$B$11,Paramètres!$A$1:$I$89,5,0)</f>
        <v>177.70271999999994</v>
      </c>
      <c r="BF81" s="13">
        <f t="shared" si="91"/>
        <v>44.810702235717677</v>
      </c>
      <c r="BG81" s="20">
        <f t="shared" si="61"/>
        <v>387.54421039387483</v>
      </c>
      <c r="BH81" s="59">
        <f t="shared" si="62"/>
        <v>680.87754372720815</v>
      </c>
      <c r="BI81" s="59">
        <f ca="1">AVERAGE(OFFSET($BH$3,0,0,'Données projet'!$E$11+1,1))-AVERAGE(OFFSET($H$3,0,0,'Données projet'!$E$11+1,1))</f>
        <v>138.8931001150624</v>
      </c>
      <c r="BJ81" s="59">
        <f t="shared" si="92"/>
        <v>48.964659354096625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4.8</v>
      </c>
      <c r="BY81" s="12">
        <f>IF('Données projet'!$A$114&gt;35,BY80+BX81-CG80,IF(A81&lt;'Données projet'!$A$114,$BV$205^A81,IF(A81='Données projet'!$A$114,'Données projet'!$B$114,BY80+BX81-CG80)))</f>
        <v>196.39999999999995</v>
      </c>
      <c r="BZ81" s="13">
        <f>BY81*VLOOKUP('Données projet'!$B$12,Paramètres!$A$1:$I$89,3,0)*VLOOKUP('Données projet'!$B$12,Paramètres!$A$1:$I$89,5,0)</f>
        <v>199.14959999999996</v>
      </c>
      <c r="CA81" s="13">
        <f t="shared" si="93"/>
        <v>49.557229221549399</v>
      </c>
      <c r="CB81" s="20">
        <f t="shared" si="64"/>
        <v>433.16439422753177</v>
      </c>
      <c r="CC81" s="59">
        <f t="shared" si="65"/>
        <v>726.49772756086509</v>
      </c>
      <c r="CD81" s="59">
        <f ca="1">AVERAGE(OFFSET($CC$3,0,0,'Données projet'!$E$12+1,1))-AVERAGE(OFFSET($H$3,0,0,'Données projet'!$E$12+1,1))</f>
        <v>169.2757878405003</v>
      </c>
      <c r="CE81" s="59">
        <f t="shared" si="94"/>
        <v>61.876502626609977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2.5</v>
      </c>
      <c r="CT81" s="12">
        <f>IF('Données projet'!$A$140&gt;35,CT80+CS81-DB80,IF(A81&lt;'Données projet'!$A$140,$CQ$205^A81,IF(A81='Données projet'!$A$140,'Données projet'!$B$140,CT80+CS81-DB80)))</f>
        <v>220.99999999999991</v>
      </c>
      <c r="CU81" s="17">
        <f>CT81*VLOOKUP('Données projet'!$B$13,Paramètres!$A$1:$I$89,3,0)*VLOOKUP('Données projet'!$B$13,Paramètres!$A$1:$I$89,5,0)</f>
        <v>175.82759999999996</v>
      </c>
      <c r="CV81" s="13">
        <f t="shared" si="95"/>
        <v>44.392640778295601</v>
      </c>
      <c r="CW81" s="20">
        <f t="shared" si="67"/>
        <v>383.5502526888647</v>
      </c>
      <c r="CX81" s="59">
        <f t="shared" si="68"/>
        <v>676.88358602219796</v>
      </c>
      <c r="CY81" s="59">
        <f ca="1">AVERAGE(OFFSET($CX$3,0,0,'Données projet'!$E$13+1,1))-AVERAGE(OFFSET($H$3,0,0,'Données projet'!$E$13+1,1))</f>
        <v>141.12810728817544</v>
      </c>
      <c r="CZ81" s="59">
        <f t="shared" si="96"/>
        <v>176.01405805137551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>
        <f>EXP(-LN(2)/35)*DF80+(1-EXP(-LN(2)/35))/(LN(2)/35)*DB81*DC81*VLOOKUP('Données projet'!$B$13,Paramètres!$A$1:$I$89,3,0)*0.475*44/12</f>
        <v>0</v>
      </c>
      <c r="DG81" s="21">
        <f>EXP(-LN(2)/25)*DG80+(1-EXP(-LN(2)/25))/(LN(2)/25)*Calculateur!DB81*Calculateur!DD81*VLOOKUP('Données projet'!$B$13,Paramètres!$A$1:$I$89,3,0)*0.475*44/12</f>
        <v>1.7764707190562883</v>
      </c>
      <c r="DH81" s="21">
        <f>EXP(-LN(2)/2)*DH80+(1-EXP(-LN(2)/2))/(LN(2)/2)*DB81*DE81*VLOOKUP('Données projet'!$B$13,Paramètres!$A$1:$I$89,3,0)*0.475*44/12</f>
        <v>4.7714662184005793E-7</v>
      </c>
      <c r="DI81" s="22">
        <f t="shared" si="69"/>
        <v>1.7764711962029101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6</v>
      </c>
      <c r="DO81" s="12">
        <f>IF('Données projet'!$A$166&gt;35,DO80+DN81-DW80,IF(A81&lt;'Données projet'!$A$166,$DL$205^A81,IF(A81='Données projet'!$A$166,'Données projet'!$B$166,DO80+DN81-DW80)))</f>
        <v>365.00000000000006</v>
      </c>
      <c r="DP81" s="17">
        <f>DO81*VLOOKUP('Données projet'!$B$14,Paramètres!$A$1:$I$89,3,0)*VLOOKUP('Données projet'!$B$14,Paramètres!$A$1:$I$89,5,0)</f>
        <v>218.27000000000004</v>
      </c>
      <c r="DQ81" s="13">
        <f t="shared" si="97"/>
        <v>53.738706177800289</v>
      </c>
      <c r="DR81" s="20">
        <f t="shared" si="70"/>
        <v>473.74849659300213</v>
      </c>
      <c r="DS81" s="59">
        <f t="shared" si="71"/>
        <v>767.08182992633544</v>
      </c>
      <c r="DT81" s="59">
        <f ca="1">AVERAGE(OFFSET($DS$3,0,0,'Données projet'!$E$14+1,1))-AVERAGE(OFFSET($H$3,0,0,'Données projet'!$E$14+1,1))</f>
        <v>165.39579887388538</v>
      </c>
      <c r="DU81" s="59">
        <f t="shared" si="98"/>
        <v>155.89639262545802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>
        <f>EXP(-LN(2)/35)*EA80+(1-EXP(-LN(2)/35))/(LN(2)/35)*DW81*DX81*VLOOKUP('Données projet'!$B$14,Paramètres!$A$1:$I$89,3,0)*0.475*44/12</f>
        <v>0</v>
      </c>
      <c r="EB81" s="21">
        <f>EXP(-LN(2)/25)*EB80+(1-EXP(-LN(2)/25))/(LN(2)/25)*Calculateur!DW81*Calculateur!DY81*VLOOKUP('Données projet'!$B$14,Paramètres!$A$1:$I$89,3,0)*0.475*44/12</f>
        <v>1.9262159088889321</v>
      </c>
      <c r="EC81" s="21">
        <f>EXP(-LN(2)/2)*EC80+(1-EXP(-LN(2)/2))/(LN(2)/2)*DW81*DZ81*VLOOKUP('Données projet'!$B$14,Paramètres!$A$1:$I$89,3,0)*0.475*44/12</f>
        <v>8.2731459947687099E-7</v>
      </c>
      <c r="ED81" s="22">
        <f t="shared" si="72"/>
        <v>1.9262167362035316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4.8</v>
      </c>
      <c r="EJ81" s="12">
        <f>IF('Données projet'!$A$192&gt;35,EJ80+EI81-ER80,IF(A81&lt;'Données projet'!$A$192,$EG$205^A81,IF(A81='Données projet'!$A$192,'Données projet'!$B$192,EJ80+EI81-ER80)))</f>
        <v>196.39999999999995</v>
      </c>
      <c r="EK81" s="17">
        <f>EJ81*VLOOKUP('Données projet'!$B$15,Paramètres!$A$1:$I$89,3,0)*VLOOKUP('Données projet'!$B$15,Paramètres!$A$1:$I$89,5,0)</f>
        <v>153.19199999999998</v>
      </c>
      <c r="EL81" s="13">
        <f t="shared" si="99"/>
        <v>39.303087713366921</v>
      </c>
      <c r="EM81" s="20">
        <f t="shared" si="73"/>
        <v>335.2622777674473</v>
      </c>
      <c r="EN81" s="59">
        <f t="shared" si="74"/>
        <v>628.59561110078062</v>
      </c>
      <c r="EO81" s="59">
        <f ca="1">AVERAGE(OFFSET($EN$3,0,0,'Données projet'!$E$15+1,1))-AVERAGE(OFFSET($H$3,0,0,'Données projet'!$E$15+1,1))</f>
        <v>104.07220236158577</v>
      </c>
      <c r="EP81" s="59">
        <f t="shared" si="100"/>
        <v>34.162068257911756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>
        <f>EXP(-LN(2)/35)*EV80+(1-EXP(-LN(2)/35))/(LN(2)/35)*ER81*ES81*VLOOKUP('Données projet'!$B$15,Paramètres!$A$1:$I$89,3,0)*0.475*44/12</f>
        <v>0</v>
      </c>
      <c r="EW81" s="21">
        <f>EXP(-LN(2)/25)*EW80+(1-EXP(-LN(2)/25))/(LN(2)/25)*Calculateur!ER81*Calculateur!ET81*VLOOKUP('Données projet'!$B$15,Paramètres!$A$1:$I$89,3,0)*0.475*44/12</f>
        <v>0</v>
      </c>
      <c r="EX81" s="21">
        <f>EXP(-LN(2)/2)*EX80+(1-EXP(-LN(2)/2))/(LN(2)/2)*ER81*EU81*VLOOKUP('Données projet'!$B$15,Paramètres!$A$1:$I$89,3,0)*0.475*44/12</f>
        <v>0</v>
      </c>
      <c r="EY81" s="22">
        <f t="shared" si="75"/>
        <v>0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5.6843418860808015E-14</v>
      </c>
      <c r="FF81" s="17">
        <f>FE81*VLOOKUP('Données projet'!$B$16,Paramètres!$A$1:$I$89,3,0)*VLOOKUP('Données projet'!$B$16,Paramètres!$A$1:$I$89,5,0)</f>
        <v>5.1431925385259088E-14</v>
      </c>
      <c r="FG81" s="13">
        <f t="shared" si="101"/>
        <v>8.3482866290946129E-13</v>
      </c>
      <c r="FH81" s="20">
        <f t="shared" si="76"/>
        <v>1.5435705246133045E-12</v>
      </c>
      <c r="FI81" s="59">
        <f t="shared" si="77"/>
        <v>293.33333333333485</v>
      </c>
      <c r="FJ81" s="59">
        <f ca="1">AVERAGE(OFFSET($FI$3,0,0,'Données projet'!$E$16+1,1))-AVERAGE(OFFSET($H$3,0,0,'Données projet'!$E$16+1,1))</f>
        <v>179.50097986986123</v>
      </c>
      <c r="FK81" s="59">
        <f t="shared" si="102"/>
        <v>287.11838730637578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>
        <f>EXP(-LN(2)/35)*FQ80+(1-EXP(-LN(2)/35))/(LN(2)/35)*FM81*FN81*VLOOKUP('Données projet'!$B$16,Paramètres!$A$1:$I$89,3,0)*0.475*44/12</f>
        <v>0.24093975767332354</v>
      </c>
      <c r="FR81" s="21">
        <f>EXP(-LN(2)/25)*FR80+(1-EXP(-LN(2)/25))/(LN(2)/25)*Calculateur!FM81*Calculateur!FO81*VLOOKUP('Données projet'!$B$16,Paramètres!$A$1:$I$89,3,0)*0.475*44/12</f>
        <v>1.6631211437116493</v>
      </c>
      <c r="FS81" s="21">
        <f>EXP(-LN(2)/2)*FS80+(1-EXP(-LN(2)/2))/(LN(2)/2)*FM81*FP81*VLOOKUP('Données projet'!$B$16,Paramètres!$A$1:$I$89,3,0)*0.475*44/12</f>
        <v>2.6946044120344703E-7</v>
      </c>
      <c r="FT81" s="22">
        <f t="shared" si="78"/>
        <v>1.904061170845414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6</v>
      </c>
      <c r="FZ81" s="12">
        <f>IF('Données projet'!$A$244&gt;35,FZ80+FY81-GH80,IF(A81&lt;'Données projet'!$A$244,$FW$205^A81,IF(A81='Données projet'!$A$244,'Données projet'!$B$244,FZ80+FY81-GH80)))</f>
        <v>365.00000000000006</v>
      </c>
      <c r="GA81" s="17">
        <f>FZ81*VLOOKUP('Données projet'!$B$17,Paramètres!$A$1:$I$89,3,0)*VLOOKUP('Données projet'!$B$17,Paramètres!$A$1:$I$89,5,0)</f>
        <v>218.27000000000004</v>
      </c>
      <c r="GB81" s="13">
        <f t="shared" si="103"/>
        <v>53.738706177800289</v>
      </c>
      <c r="GC81" s="20">
        <f t="shared" si="79"/>
        <v>473.74849659300213</v>
      </c>
      <c r="GD81" s="59">
        <f t="shared" si="80"/>
        <v>767.08182992633544</v>
      </c>
      <c r="GE81" s="59">
        <f ca="1">AVERAGE(OFFSET($GD$3,0,0,'Données projet'!$E$17+1,1))-AVERAGE(OFFSET($H$3,0,0,'Données projet'!$E$17+1,1))</f>
        <v>165.39579887388538</v>
      </c>
      <c r="GF81" s="59">
        <f t="shared" si="104"/>
        <v>155.89639262545802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>
        <f>EXP(-LN(2)/35)*GL80+(1-EXP(-LN(2)/35))/(LN(2)/35)*GH81*GI81*VLOOKUP('Données projet'!$B$17,Paramètres!$A$1:$I$89,3,0)*0.475*44/12</f>
        <v>0</v>
      </c>
      <c r="GM81" s="21">
        <f>EXP(-LN(2)/25)*GM80+(1-EXP(-LN(2)/25))/(LN(2)/25)*Calculateur!GH81*Calculateur!GJ81*VLOOKUP('Données projet'!$B$17,Paramètres!$A$1:$I$89,3,0)*0.475*44/12</f>
        <v>1.9262159088889321</v>
      </c>
      <c r="GN81" s="21">
        <f>EXP(-LN(2)/2)*GN80+(1-EXP(-LN(2)/2))/(LN(2)/2)*GH81*GK81*VLOOKUP('Données projet'!$B$17,Paramètres!$A$1:$I$89,3,0)*0.475*44/12</f>
        <v>8.2731459947687099E-7</v>
      </c>
      <c r="GO81" s="21">
        <f t="shared" si="81"/>
        <v>1.9262167362035316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8.3000000000000007</v>
      </c>
      <c r="N82" s="13">
        <f>IF('Données projet'!$A$36&gt;35,N81+M82-V81,IF(A82&lt;'Données projet'!$A$36,$K$205^A82,IF(A82='Données projet'!$A$36,'Données projet'!$B$36,N81+M82-V81)))</f>
        <v>505.70000000000033</v>
      </c>
      <c r="O82" s="13">
        <f>N82*VLOOKUP('Données projet'!$B$9,Paramètres!$A$1:$I$89,3,0)*VLOOKUP('Données projet'!$B$9,Paramètres!$A$1:$I$89,5,0)</f>
        <v>282.68630000000019</v>
      </c>
      <c r="P82" s="13">
        <f t="shared" si="87"/>
        <v>67.534385438566929</v>
      </c>
      <c r="Q82" s="20">
        <f t="shared" si="54"/>
        <v>609.96769380550427</v>
      </c>
      <c r="R82" s="59">
        <f t="shared" si="55"/>
        <v>903.30102713883753</v>
      </c>
      <c r="S82" s="59">
        <f ca="1">AVERAGE(OFFSET($R$3,0,0,'Données projet'!$E$9+1,1))-AVERAGE(OFFSET($H$3,0,0,'Données projet'!$E$9+1,1))</f>
        <v>235.10258076192054</v>
      </c>
      <c r="T82" s="59">
        <f t="shared" si="88"/>
        <v>233.47316052603765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1.2981956392070071</v>
      </c>
      <c r="AA82" s="21">
        <f>EXP(-LN(2)/25)*AA81+(1-EXP(-LN(2)/25))/(LN(2)/25)*Calculateur!V82*Calculateur!X82*VLOOKUP('Données projet'!$B$9,Paramètres!$A$1:$I$89,3,0)*0.475*44/12</f>
        <v>4.7382899500609215</v>
      </c>
      <c r="AB82" s="21">
        <f>EXP(-LN(2)/2)*AB81+(1-EXP(-LN(2)/2))/(LN(2)/2)*V82*Y82*VLOOKUP('Données projet'!$B$9,Paramètres!$A$1:$I$89,3,0)*0.475*44/12</f>
        <v>1.0166697241326894E-6</v>
      </c>
      <c r="AC82" s="22">
        <f t="shared" si="57"/>
        <v>6.036486605937653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3.3</v>
      </c>
      <c r="AI82" s="13">
        <f>IF('Données projet'!$A$62&gt;35,AI81+AH82-AQ81,IF(A82&lt;'Données projet'!$A$62,$AF$205^A82,IF(A82='Données projet'!$A$62,'Données projet'!$B$62,AI81+AH82-AQ81)))</f>
        <v>220.6999999999999</v>
      </c>
      <c r="AJ82" s="13">
        <f>AI82*VLOOKUP('Données projet'!$B$10,Paramètres!$A$1:$I$89,3,0)*VLOOKUP('Données projet'!$B$10,Paramètres!$A$1:$I$89,5,0)</f>
        <v>192.80351999999993</v>
      </c>
      <c r="AK82" s="13">
        <f t="shared" si="89"/>
        <v>48.159241941533828</v>
      </c>
      <c r="AL82" s="20">
        <f t="shared" si="58"/>
        <v>419.67681038150459</v>
      </c>
      <c r="AM82" s="59">
        <f t="shared" si="59"/>
        <v>713.01014371483791</v>
      </c>
      <c r="AN82" s="59">
        <f ca="1">AVERAGE(OFFSET($AM$3,0,0,'Données projet'!$E$10+1,1))-AVERAGE(OFFSET($H$3,0,0,'Données projet'!$E$10+1,1))</f>
        <v>191.94797389630673</v>
      </c>
      <c r="AO82" s="59">
        <f t="shared" si="90"/>
        <v>273.52540822767878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0.97561369249496388</v>
      </c>
      <c r="AV82" s="21">
        <f>EXP(-LN(2)/25)*AV81+(1-EXP(-LN(2)/25))/(LN(2)/25)*Calculateur!AQ82*Calculateur!AS82*VLOOKUP('Données projet'!$B$10,Paramètres!$A$1:$I$89,3,0)*0.475*44/12</f>
        <v>3.6107745829461679</v>
      </c>
      <c r="AW82" s="21">
        <f>EXP(-LN(2)/2)*AW81+(1-EXP(-LN(2)/2))/(LN(2)/2)*AQ82*AT82*VLOOKUP('Données projet'!$B$10,Paramètres!$A$1:$I$89,3,0)*0.475*44/12</f>
        <v>9.7793597786404767E-7</v>
      </c>
      <c r="AX82" s="21">
        <f t="shared" si="60"/>
        <v>4.5863892533771091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4.8</v>
      </c>
      <c r="BD82" s="12">
        <f>IF('Données projet'!$A$88&gt;35,BD81+BC82-BL81,IF(A82&lt;'Données projet'!$A$88,$BA$205^A82,IF(A82='Données projet'!$A$88,'Données projet'!$B$88,BD81+BC82-BL81)))</f>
        <v>201.19999999999996</v>
      </c>
      <c r="BE82" s="13">
        <f>BD82*VLOOKUP('Données projet'!$B$11,Paramètres!$A$1:$I$89,3,0)*VLOOKUP('Données projet'!$B$11,Paramètres!$A$1:$I$89,5,0)</f>
        <v>182.04575999999994</v>
      </c>
      <c r="BF82" s="13">
        <f t="shared" si="91"/>
        <v>45.777030280798314</v>
      </c>
      <c r="BG82" s="20">
        <f t="shared" si="61"/>
        <v>396.79135973905687</v>
      </c>
      <c r="BH82" s="59">
        <f t="shared" si="62"/>
        <v>690.12469307239019</v>
      </c>
      <c r="BI82" s="59">
        <f ca="1">AVERAGE(OFFSET($BH$3,0,0,'Données projet'!$E$11+1,1))-AVERAGE(OFFSET($H$3,0,0,'Données projet'!$E$11+1,1))</f>
        <v>138.8931001150624</v>
      </c>
      <c r="BJ82" s="59">
        <f t="shared" si="92"/>
        <v>48.964659354096625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4.8</v>
      </c>
      <c r="BY82" s="12">
        <f>IF('Données projet'!$A$114&gt;35,BY81+BX82-CG81,IF(A82&lt;'Données projet'!$A$114,$BV$205^A82,IF(A82='Données projet'!$A$114,'Données projet'!$B$114,BY81+BX82-CG81)))</f>
        <v>201.19999999999996</v>
      </c>
      <c r="BZ82" s="13">
        <f>BY82*VLOOKUP('Données projet'!$B$12,Paramètres!$A$1:$I$89,3,0)*VLOOKUP('Données projet'!$B$12,Paramètres!$A$1:$I$89,5,0)</f>
        <v>204.01679999999996</v>
      </c>
      <c r="CA82" s="13">
        <f t="shared" si="93"/>
        <v>50.625914558845984</v>
      </c>
      <c r="CB82" s="20">
        <f t="shared" si="64"/>
        <v>443.50272785665669</v>
      </c>
      <c r="CC82" s="59">
        <f t="shared" si="65"/>
        <v>736.83606118999001</v>
      </c>
      <c r="CD82" s="59">
        <f ca="1">AVERAGE(OFFSET($CC$3,0,0,'Données projet'!$E$12+1,1))-AVERAGE(OFFSET($H$3,0,0,'Données projet'!$E$12+1,1))</f>
        <v>169.2757878405003</v>
      </c>
      <c r="CE82" s="59">
        <f t="shared" si="94"/>
        <v>61.876502626609977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2.5</v>
      </c>
      <c r="CT82" s="12">
        <f>IF('Données projet'!$A$140&gt;35,CT81+CS82-DB81,IF(A82&lt;'Données projet'!$A$140,$CQ$205^A82,IF(A82='Données projet'!$A$140,'Données projet'!$B$140,CT81+CS82-DB81)))</f>
        <v>223.49999999999991</v>
      </c>
      <c r="CU82" s="17">
        <f>CT82*VLOOKUP('Données projet'!$B$13,Paramètres!$A$1:$I$89,3,0)*VLOOKUP('Données projet'!$B$13,Paramètres!$A$1:$I$89,5,0)</f>
        <v>177.81659999999994</v>
      </c>
      <c r="CV82" s="13">
        <f t="shared" si="95"/>
        <v>44.836075400840045</v>
      </c>
      <c r="CW82" s="20">
        <f t="shared" si="67"/>
        <v>387.78674298979627</v>
      </c>
      <c r="CX82" s="59">
        <f t="shared" si="68"/>
        <v>681.12007632312952</v>
      </c>
      <c r="CY82" s="59">
        <f ca="1">AVERAGE(OFFSET($CX$3,0,0,'Données projet'!$E$13+1,1))-AVERAGE(OFFSET($H$3,0,0,'Données projet'!$E$13+1,1))</f>
        <v>141.12810728817544</v>
      </c>
      <c r="CZ82" s="59">
        <f t="shared" si="96"/>
        <v>176.01405805137551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>
        <f>EXP(-LN(2)/35)*DF81+(1-EXP(-LN(2)/35))/(LN(2)/35)*DB82*DC82*VLOOKUP('Données projet'!$B$13,Paramètres!$A$1:$I$89,3,0)*0.475*44/12</f>
        <v>0</v>
      </c>
      <c r="DG82" s="21">
        <f>EXP(-LN(2)/25)*DG81+(1-EXP(-LN(2)/25))/(LN(2)/25)*Calculateur!DB82*Calculateur!DD82*VLOOKUP('Données projet'!$B$13,Paramètres!$A$1:$I$89,3,0)*0.475*44/12</f>
        <v>1.7278930338231591</v>
      </c>
      <c r="DH82" s="21">
        <f>EXP(-LN(2)/2)*DH81+(1-EXP(-LN(2)/2))/(LN(2)/2)*DB82*DE82*VLOOKUP('Données projet'!$B$13,Paramètres!$A$1:$I$89,3,0)*0.475*44/12</f>
        <v>3.3739361192335819E-7</v>
      </c>
      <c r="DI82" s="22">
        <f t="shared" si="69"/>
        <v>1.727893371216771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6</v>
      </c>
      <c r="DO82" s="12">
        <f>IF('Données projet'!$A$166&gt;35,DO81+DN82-DW81,IF(A82&lt;'Données projet'!$A$166,$DL$205^A82,IF(A82='Données projet'!$A$166,'Données projet'!$B$166,DO81+DN82-DW81)))</f>
        <v>371.00000000000006</v>
      </c>
      <c r="DP82" s="17">
        <f>DO82*VLOOKUP('Données projet'!$B$14,Paramètres!$A$1:$I$89,3,0)*VLOOKUP('Données projet'!$B$14,Paramètres!$A$1:$I$89,5,0)</f>
        <v>221.85800000000003</v>
      </c>
      <c r="DQ82" s="13">
        <f t="shared" si="97"/>
        <v>54.518514970322535</v>
      </c>
      <c r="DR82" s="20">
        <f t="shared" si="70"/>
        <v>481.35576357331178</v>
      </c>
      <c r="DS82" s="59">
        <f t="shared" si="71"/>
        <v>774.68909690664509</v>
      </c>
      <c r="DT82" s="59">
        <f ca="1">AVERAGE(OFFSET($DS$3,0,0,'Données projet'!$E$14+1,1))-AVERAGE(OFFSET($H$3,0,0,'Données projet'!$E$14+1,1))</f>
        <v>165.39579887388538</v>
      </c>
      <c r="DU82" s="59">
        <f t="shared" si="98"/>
        <v>155.89639262545802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>
        <f>EXP(-LN(2)/35)*EA81+(1-EXP(-LN(2)/35))/(LN(2)/35)*DW82*DX82*VLOOKUP('Données projet'!$B$14,Paramètres!$A$1:$I$89,3,0)*0.475*44/12</f>
        <v>0</v>
      </c>
      <c r="EB82" s="21">
        <f>EXP(-LN(2)/25)*EB81+(1-EXP(-LN(2)/25))/(LN(2)/25)*Calculateur!DW82*Calculateur!DY82*VLOOKUP('Données projet'!$B$14,Paramètres!$A$1:$I$89,3,0)*0.475*44/12</f>
        <v>1.873543433565072</v>
      </c>
      <c r="EC82" s="21">
        <f>EXP(-LN(2)/2)*EC81+(1-EXP(-LN(2)/2))/(LN(2)/2)*DW82*DZ82*VLOOKUP('Données projet'!$B$14,Paramètres!$A$1:$I$89,3,0)*0.475*44/12</f>
        <v>5.8499976346472801E-7</v>
      </c>
      <c r="ED82" s="22">
        <f t="shared" si="72"/>
        <v>1.8735440185648355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4.8</v>
      </c>
      <c r="EJ82" s="12">
        <f>IF('Données projet'!$A$192&gt;35,EJ81+EI82-ER81,IF(A82&lt;'Données projet'!$A$192,$EG$205^A82,IF(A82='Données projet'!$A$192,'Données projet'!$B$192,EJ81+EI82-ER81)))</f>
        <v>201.19999999999996</v>
      </c>
      <c r="EK82" s="17">
        <f>EJ82*VLOOKUP('Données projet'!$B$15,Paramètres!$A$1:$I$89,3,0)*VLOOKUP('Données projet'!$B$15,Paramètres!$A$1:$I$89,5,0)</f>
        <v>156.93599999999998</v>
      </c>
      <c r="EL82" s="13">
        <f t="shared" si="99"/>
        <v>40.150645864004822</v>
      </c>
      <c r="EM82" s="20">
        <f t="shared" si="73"/>
        <v>343.25924154647493</v>
      </c>
      <c r="EN82" s="59">
        <f t="shared" si="74"/>
        <v>636.59257487980824</v>
      </c>
      <c r="EO82" s="59">
        <f ca="1">AVERAGE(OFFSET($EN$3,0,0,'Données projet'!$E$15+1,1))-AVERAGE(OFFSET($H$3,0,0,'Données projet'!$E$15+1,1))</f>
        <v>104.07220236158577</v>
      </c>
      <c r="EP82" s="59">
        <f t="shared" si="100"/>
        <v>34.162068257911756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>
        <f>EXP(-LN(2)/35)*EV81+(1-EXP(-LN(2)/35))/(LN(2)/35)*ER82*ES82*VLOOKUP('Données projet'!$B$15,Paramètres!$A$1:$I$89,3,0)*0.475*44/12</f>
        <v>0</v>
      </c>
      <c r="EW82" s="21">
        <f>EXP(-LN(2)/25)*EW81+(1-EXP(-LN(2)/25))/(LN(2)/25)*Calculateur!ER82*Calculateur!ET82*VLOOKUP('Données projet'!$B$15,Paramètres!$A$1:$I$89,3,0)*0.475*44/12</f>
        <v>0</v>
      </c>
      <c r="EX82" s="21">
        <f>EXP(-LN(2)/2)*EX81+(1-EXP(-LN(2)/2))/(LN(2)/2)*ER82*EU82*VLOOKUP('Données projet'!$B$15,Paramètres!$A$1:$I$89,3,0)*0.475*44/12</f>
        <v>0</v>
      </c>
      <c r="EY82" s="22">
        <f t="shared" si="75"/>
        <v>0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5.6843418860808015E-14</v>
      </c>
      <c r="FF82" s="17">
        <f>FE82*VLOOKUP('Données projet'!$B$16,Paramètres!$A$1:$I$89,3,0)*VLOOKUP('Données projet'!$B$16,Paramètres!$A$1:$I$89,5,0)</f>
        <v>5.1431925385259088E-14</v>
      </c>
      <c r="FG82" s="13">
        <f t="shared" si="101"/>
        <v>8.3482866290946129E-13</v>
      </c>
      <c r="FH82" s="20">
        <f t="shared" si="76"/>
        <v>1.5435705246133045E-12</v>
      </c>
      <c r="FI82" s="59">
        <f t="shared" si="77"/>
        <v>293.33333333333485</v>
      </c>
      <c r="FJ82" s="59">
        <f ca="1">AVERAGE(OFFSET($FI$3,0,0,'Données projet'!$E$16+1,1))-AVERAGE(OFFSET($H$3,0,0,'Données projet'!$E$16+1,1))</f>
        <v>179.50097986986123</v>
      </c>
      <c r="FK82" s="59">
        <f t="shared" si="102"/>
        <v>287.11838730637578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>
        <f>EXP(-LN(2)/35)*FQ81+(1-EXP(-LN(2)/35))/(LN(2)/35)*FM82*FN82*VLOOKUP('Données projet'!$B$16,Paramètres!$A$1:$I$89,3,0)*0.475*44/12</f>
        <v>0.23621507598409089</v>
      </c>
      <c r="FR82" s="21">
        <f>EXP(-LN(2)/25)*FR81+(1-EXP(-LN(2)/25))/(LN(2)/25)*Calculateur!FM82*Calculateur!FO82*VLOOKUP('Données projet'!$B$16,Paramètres!$A$1:$I$89,3,0)*0.475*44/12</f>
        <v>1.6176430085771145</v>
      </c>
      <c r="FS82" s="21">
        <f>EXP(-LN(2)/2)*FS81+(1-EXP(-LN(2)/2))/(LN(2)/2)*FM82*FP82*VLOOKUP('Données projet'!$B$16,Paramètres!$A$1:$I$89,3,0)*0.475*44/12</f>
        <v>1.9053730523647638E-7</v>
      </c>
      <c r="FT82" s="22">
        <f t="shared" si="78"/>
        <v>1.8538582750985106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6</v>
      </c>
      <c r="FZ82" s="12">
        <f>IF('Données projet'!$A$244&gt;35,FZ81+FY82-GH81,IF(A82&lt;'Données projet'!$A$244,$FW$205^A82,IF(A82='Données projet'!$A$244,'Données projet'!$B$244,FZ81+FY82-GH81)))</f>
        <v>371.00000000000006</v>
      </c>
      <c r="GA82" s="17">
        <f>FZ82*VLOOKUP('Données projet'!$B$17,Paramètres!$A$1:$I$89,3,0)*VLOOKUP('Données projet'!$B$17,Paramètres!$A$1:$I$89,5,0)</f>
        <v>221.85800000000003</v>
      </c>
      <c r="GB82" s="13">
        <f t="shared" si="103"/>
        <v>54.518514970322535</v>
      </c>
      <c r="GC82" s="20">
        <f t="shared" si="79"/>
        <v>481.35576357331178</v>
      </c>
      <c r="GD82" s="59">
        <f t="shared" si="80"/>
        <v>774.68909690664509</v>
      </c>
      <c r="GE82" s="59">
        <f ca="1">AVERAGE(OFFSET($GD$3,0,0,'Données projet'!$E$17+1,1))-AVERAGE(OFFSET($H$3,0,0,'Données projet'!$E$17+1,1))</f>
        <v>165.39579887388538</v>
      </c>
      <c r="GF82" s="59">
        <f t="shared" si="104"/>
        <v>155.89639262545802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>
        <f>EXP(-LN(2)/35)*GL81+(1-EXP(-LN(2)/35))/(LN(2)/35)*GH82*GI82*VLOOKUP('Données projet'!$B$17,Paramètres!$A$1:$I$89,3,0)*0.475*44/12</f>
        <v>0</v>
      </c>
      <c r="GM82" s="21">
        <f>EXP(-LN(2)/25)*GM81+(1-EXP(-LN(2)/25))/(LN(2)/25)*Calculateur!GH82*Calculateur!GJ82*VLOOKUP('Données projet'!$B$17,Paramètres!$A$1:$I$89,3,0)*0.475*44/12</f>
        <v>1.873543433565072</v>
      </c>
      <c r="GN82" s="21">
        <f>EXP(-LN(2)/2)*GN81+(1-EXP(-LN(2)/2))/(LN(2)/2)*GH82*GK82*VLOOKUP('Données projet'!$B$17,Paramètres!$A$1:$I$89,3,0)*0.475*44/12</f>
        <v>5.8499976346472801E-7</v>
      </c>
      <c r="GO82" s="21">
        <f t="shared" si="81"/>
        <v>1.8735440185648355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>
        <f>VLOOKUP(A83,'Données projet'!$A$35:$I$55,2,0)</f>
        <v>514</v>
      </c>
      <c r="L83" s="12">
        <f>VLOOKUP(A83,'Données projet'!$A$35:$I$55,9,0)</f>
        <v>8.3000000000000007</v>
      </c>
      <c r="M83" s="12">
        <f t="array" ref="M83">INDEX(L:L,MIN(IF(ISNUMBER(L83:L279),ROW(L83:L279),"")))</f>
        <v>8.3000000000000007</v>
      </c>
      <c r="N83" s="13">
        <f>IF('Données projet'!$A$36&gt;35,N82+M83-V82,IF(A83&lt;'Données projet'!$A$36,$K$205^A83,IF(A83='Données projet'!$A$36,'Données projet'!$B$36,N82+M83-V82)))</f>
        <v>514.00000000000034</v>
      </c>
      <c r="O83" s="13">
        <f>N83*VLOOKUP('Données projet'!$B$9,Paramètres!$A$1:$I$89,3,0)*VLOOKUP('Données projet'!$B$9,Paramètres!$A$1:$I$89,5,0)</f>
        <v>287.32600000000019</v>
      </c>
      <c r="P83" s="13">
        <f t="shared" si="87"/>
        <v>68.512868389632118</v>
      </c>
      <c r="Q83" s="20">
        <f t="shared" si="54"/>
        <v>619.75269577860956</v>
      </c>
      <c r="R83" s="59">
        <f t="shared" si="55"/>
        <v>913.08602911194293</v>
      </c>
      <c r="S83" s="59">
        <f ca="1">AVERAGE(OFFSET($R$3,0,0,'Données projet'!$E$9+1,1))-AVERAGE(OFFSET($H$3,0,0,'Données projet'!$E$9+1,1))</f>
        <v>235.10258076192054</v>
      </c>
      <c r="T83" s="59">
        <f t="shared" si="88"/>
        <v>233.47316052603765</v>
      </c>
      <c r="U83" s="15">
        <f>IF(ISNA(VLOOKUP(A83,'Données projet'!$A$35:$I$55,3,0)),0,VLOOKUP(A83,'Données projet'!$A$35:$I$55,3,0))</f>
        <v>7</v>
      </c>
      <c r="V83" s="15">
        <f>IF(ISNA(VLOOKUP(A83,'Données projet'!$A$35:$I$55,4,0)),0,VLOOKUP(A83,'Données projet'!$A$35:$I$55,4,0))</f>
        <v>514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1.2727388145433118</v>
      </c>
      <c r="AA83" s="21">
        <f>EXP(-LN(2)/25)*AA82+(1-EXP(-LN(2)/25))/(LN(2)/25)*Calculateur!V83*Calculateur!X83*VLOOKUP('Données projet'!$B$9,Paramètres!$A$1:$I$89,3,0)*0.475*44/12</f>
        <v>4.6087211622006663</v>
      </c>
      <c r="AB83" s="21">
        <f>EXP(-LN(2)/2)*AB82+(1-EXP(-LN(2)/2))/(LN(2)/2)*V83*Y83*VLOOKUP('Données projet'!$B$9,Paramètres!$A$1:$I$89,3,0)*0.475*44/12</f>
        <v>7.1889405616128126E-7</v>
      </c>
      <c r="AC83" s="22">
        <f t="shared" si="57"/>
        <v>5.881460695638034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224</v>
      </c>
      <c r="AG83" s="12">
        <f>VLOOKUP(A83,'Données projet'!$A$61:$I$81,9,0)</f>
        <v>3.3</v>
      </c>
      <c r="AH83" s="12">
        <f t="array" ref="AH83">INDEX(AG:AG,MIN(IF(ISNUMBER(AG83:AG279),ROW(AG83:AG279),"")))</f>
        <v>3.3</v>
      </c>
      <c r="AI83" s="13">
        <f>IF('Données projet'!$A$62&gt;35,AI82+AH83-AQ82,IF(A83&lt;'Données projet'!$A$62,$AF$205^A83,IF(A83='Données projet'!$A$62,'Données projet'!$B$62,AI82+AH83-AQ82)))</f>
        <v>223.99999999999991</v>
      </c>
      <c r="AJ83" s="13">
        <f>AI83*VLOOKUP('Données projet'!$B$10,Paramètres!$A$1:$I$89,3,0)*VLOOKUP('Données projet'!$B$10,Paramètres!$A$1:$I$89,5,0)</f>
        <v>195.68639999999996</v>
      </c>
      <c r="AK83" s="13">
        <f t="shared" si="89"/>
        <v>48.794969360985156</v>
      </c>
      <c r="AL83" s="20">
        <f t="shared" si="58"/>
        <v>425.80505163704908</v>
      </c>
      <c r="AM83" s="59">
        <f t="shared" si="59"/>
        <v>719.13838497038239</v>
      </c>
      <c r="AN83" s="59">
        <f ca="1">AVERAGE(OFFSET($AM$3,0,0,'Données projet'!$E$10+1,1))-AVERAGE(OFFSET($H$3,0,0,'Données projet'!$E$10+1,1))</f>
        <v>191.94797389630673</v>
      </c>
      <c r="AO83" s="59">
        <f t="shared" si="90"/>
        <v>273.52540822767878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24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0.95648250305073224</v>
      </c>
      <c r="AV83" s="21">
        <f>EXP(-LN(2)/25)*AV82+(1-EXP(-LN(2)/25))/(LN(2)/25)*Calculateur!AQ83*Calculateur!AS83*VLOOKUP('Données projet'!$B$10,Paramètres!$A$1:$I$89,3,0)*0.475*44/12</f>
        <v>3.5120377620931222</v>
      </c>
      <c r="AW83" s="21">
        <f>EXP(-LN(2)/2)*AW82+(1-EXP(-LN(2)/2))/(LN(2)/2)*AQ83*AT83*VLOOKUP('Données projet'!$B$10,Paramètres!$A$1:$I$89,3,0)*0.475*44/12</f>
        <v>6.9150516151396556E-7</v>
      </c>
      <c r="AX83" s="21">
        <f t="shared" si="60"/>
        <v>4.4685209566490158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206</v>
      </c>
      <c r="BB83" s="12">
        <f>VLOOKUP(A83,'Données projet'!$A$87:$I$107,9,0)</f>
        <v>4.8</v>
      </c>
      <c r="BC83" s="12">
        <f t="array" ref="BC83">INDEX(BB:BB,MIN(IF(ISNUMBER(BB83:BB279),ROW(BB83:BB279),"")))</f>
        <v>4.8</v>
      </c>
      <c r="BD83" s="12">
        <f>IF('Données projet'!$A$88&gt;35,BD82+BC83-BL82,IF(A83&lt;'Données projet'!$A$88,$BA$205^A83,IF(A83='Données projet'!$A$88,'Données projet'!$B$88,BD82+BC83-BL82)))</f>
        <v>205.99999999999997</v>
      </c>
      <c r="BE83" s="13">
        <f>BD83*VLOOKUP('Données projet'!$B$11,Paramètres!$A$1:$I$89,3,0)*VLOOKUP('Données projet'!$B$11,Paramètres!$A$1:$I$89,5,0)</f>
        <v>186.38879999999997</v>
      </c>
      <c r="BF83" s="13">
        <f t="shared" si="91"/>
        <v>46.740678346193498</v>
      </c>
      <c r="BG83" s="20">
        <f t="shared" si="61"/>
        <v>406.0338414529536</v>
      </c>
      <c r="BH83" s="59">
        <f t="shared" si="62"/>
        <v>699.36717478628691</v>
      </c>
      <c r="BI83" s="59">
        <f ca="1">AVERAGE(OFFSET($BH$3,0,0,'Données projet'!$E$11+1,1))-AVERAGE(OFFSET($H$3,0,0,'Données projet'!$E$11+1,1))</f>
        <v>138.8931001150624</v>
      </c>
      <c r="BJ83" s="59">
        <f t="shared" si="92"/>
        <v>48.964659354096625</v>
      </c>
      <c r="BK83" s="15">
        <f>IF(ISNA(VLOOKUP(A83,'Données projet'!$A$87:$I$107,3,0)),0,VLOOKUP(A83,'Données projet'!$A$87:$I$107,3,0))</f>
        <v>5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206</v>
      </c>
      <c r="BW83" s="12">
        <f>VLOOKUP(A83,'Données projet'!$A$113:$I$133,9,0)</f>
        <v>4.8</v>
      </c>
      <c r="BX83" s="12">
        <f t="array" ref="BX83">INDEX(BW:BW,MIN(IF(ISNUMBER(BW83:BW279),ROW(BW83:BW279),"")))</f>
        <v>4.8</v>
      </c>
      <c r="BY83" s="12">
        <f>IF('Données projet'!$A$114&gt;35,BY82+BX83-CG82,IF(A83&lt;'Données projet'!$A$114,$BV$205^A83,IF(A83='Données projet'!$A$114,'Données projet'!$B$114,BY82+BX83-CG82)))</f>
        <v>205.99999999999997</v>
      </c>
      <c r="BZ83" s="13">
        <f>BY83*VLOOKUP('Données projet'!$B$12,Paramètres!$A$1:$I$89,3,0)*VLOOKUP('Données projet'!$B$12,Paramètres!$A$1:$I$89,5,0)</f>
        <v>208.88399999999996</v>
      </c>
      <c r="CA83" s="13">
        <f t="shared" si="93"/>
        <v>51.691636042398741</v>
      </c>
      <c r="CB83" s="20">
        <f t="shared" si="64"/>
        <v>453.83589944051101</v>
      </c>
      <c r="CC83" s="59">
        <f t="shared" si="65"/>
        <v>747.16923277384433</v>
      </c>
      <c r="CD83" s="59">
        <f ca="1">AVERAGE(OFFSET($CC$3,0,0,'Données projet'!$E$12+1,1))-AVERAGE(OFFSET($H$3,0,0,'Données projet'!$E$12+1,1))</f>
        <v>169.2757878405003</v>
      </c>
      <c r="CE83" s="59">
        <f t="shared" si="94"/>
        <v>61.876502626609977</v>
      </c>
      <c r="CF83" s="15">
        <f>IF(ISNA(VLOOKUP(A83,'Données projet'!$A$113:$I$133,3,0)),0,VLOOKUP(A83,'Données projet'!$A$113:$I$133,3,0))</f>
        <v>5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>
        <f>VLOOKUP(A83,'Données projet'!$A$139:$I$159,2,0)</f>
        <v>226</v>
      </c>
      <c r="CR83" s="12">
        <f>VLOOKUP(A83,'Données projet'!$A$139:$I$159,9,0)</f>
        <v>2.5</v>
      </c>
      <c r="CS83" s="12">
        <f t="array" ref="CS83">INDEX(CR:CR,MIN(IF(ISNUMBER(CR83:CR279),ROW(CR83:CR279),"")))</f>
        <v>2.5</v>
      </c>
      <c r="CT83" s="12">
        <f>IF('Données projet'!$A$140&gt;35,CT82+CS83-DB82,IF(A83&lt;'Données projet'!$A$140,$CQ$205^A83,IF(A83='Données projet'!$A$140,'Données projet'!$B$140,CT82+CS83-DB82)))</f>
        <v>225.99999999999991</v>
      </c>
      <c r="CU83" s="17">
        <f>CT83*VLOOKUP('Données projet'!$B$13,Paramètres!$A$1:$I$89,3,0)*VLOOKUP('Données projet'!$B$13,Paramètres!$A$1:$I$89,5,0)</f>
        <v>179.80559999999994</v>
      </c>
      <c r="CV83" s="13">
        <f t="shared" si="95"/>
        <v>45.278933028529984</v>
      </c>
      <c r="CW83" s="20">
        <f t="shared" si="67"/>
        <v>392.02222835802291</v>
      </c>
      <c r="CX83" s="59">
        <f t="shared" si="68"/>
        <v>685.35556169135623</v>
      </c>
      <c r="CY83" s="59">
        <f ca="1">AVERAGE(OFFSET($CX$3,0,0,'Données projet'!$E$13+1,1))-AVERAGE(OFFSET($H$3,0,0,'Données projet'!$E$13+1,1))</f>
        <v>141.12810728817544</v>
      </c>
      <c r="CZ83" s="59">
        <f t="shared" si="96"/>
        <v>176.01405805137551</v>
      </c>
      <c r="DA83" s="15">
        <f>IF(ISNA(VLOOKUP(A83,'Données projet'!$A$139:$I$159,3,0)),0,VLOOKUP(A83,'Données projet'!$A$139:$I$159,3,0))</f>
        <v>7</v>
      </c>
      <c r="DB83" s="15">
        <f>IF(ISNA(VLOOKUP(A83,'Données projet'!$A$139:$I$159,4,0)),0,VLOOKUP(A83,'Données projet'!$A$139:$I$159,4,0))</f>
        <v>226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>
        <f>EXP(-LN(2)/35)*DF82+(1-EXP(-LN(2)/35))/(LN(2)/35)*DB83*DC83*VLOOKUP('Données projet'!$B$13,Paramètres!$A$1:$I$89,3,0)*0.475*44/12</f>
        <v>0</v>
      </c>
      <c r="DG83" s="21">
        <f>EXP(-LN(2)/25)*DG82+(1-EXP(-LN(2)/25))/(LN(2)/25)*Calculateur!DB83*Calculateur!DD83*VLOOKUP('Données projet'!$B$13,Paramètres!$A$1:$I$89,3,0)*0.475*44/12</f>
        <v>1.6806437079473193</v>
      </c>
      <c r="DH83" s="21">
        <f>EXP(-LN(2)/2)*DH82+(1-EXP(-LN(2)/2))/(LN(2)/2)*DB83*DE83*VLOOKUP('Données projet'!$B$13,Paramètres!$A$1:$I$89,3,0)*0.475*44/12</f>
        <v>2.3857331092002896E-7</v>
      </c>
      <c r="DI83" s="22">
        <f t="shared" si="69"/>
        <v>1.6806439465206302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>
        <f>VLOOKUP(A83,'Données projet'!$A$165:$I$185,2,0)</f>
        <v>377</v>
      </c>
      <c r="DM83" s="12">
        <f>VLOOKUP(A83,'Données projet'!$A$165:$I$185,9,0)</f>
        <v>6</v>
      </c>
      <c r="DN83" s="12">
        <f t="array" ref="DN83">INDEX(DM:DM,MIN(IF(ISNUMBER(DM83:DM279),ROW(DM83:DM279),"")))</f>
        <v>6</v>
      </c>
      <c r="DO83" s="12">
        <f>IF('Données projet'!$A$166&gt;35,DO82+DN83-DW82,IF(A83&lt;'Données projet'!$A$166,$DL$205^A83,IF(A83='Données projet'!$A$166,'Données projet'!$B$166,DO82+DN83-DW82)))</f>
        <v>377.00000000000006</v>
      </c>
      <c r="DP83" s="17">
        <f>DO83*VLOOKUP('Données projet'!$B$14,Paramètres!$A$1:$I$89,3,0)*VLOOKUP('Données projet'!$B$14,Paramètres!$A$1:$I$89,5,0)</f>
        <v>225.44600000000005</v>
      </c>
      <c r="DQ83" s="13">
        <f t="shared" si="97"/>
        <v>55.296857101810794</v>
      </c>
      <c r="DR83" s="20">
        <f t="shared" si="70"/>
        <v>488.96047611898717</v>
      </c>
      <c r="DS83" s="59">
        <f t="shared" si="71"/>
        <v>782.29380945232049</v>
      </c>
      <c r="DT83" s="59">
        <f ca="1">AVERAGE(OFFSET($DS$3,0,0,'Données projet'!$E$14+1,1))-AVERAGE(OFFSET($H$3,0,0,'Données projet'!$E$14+1,1))</f>
        <v>165.39579887388538</v>
      </c>
      <c r="DU83" s="59">
        <f t="shared" si="98"/>
        <v>155.89639262545802</v>
      </c>
      <c r="DV83" s="15">
        <f>IF(ISNA(VLOOKUP(A83,'Données projet'!$A$165:$I$185,3,0)),0,VLOOKUP(A83,'Données projet'!$A$165:$I$185,3,0))</f>
        <v>6</v>
      </c>
      <c r="DW83" s="15">
        <f>IF(ISNA(VLOOKUP(A83,'Données projet'!$A$165:$I$185,4,0)),0,VLOOKUP(A83,'Données projet'!$A$165:$I$185,4,0))</f>
        <v>377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>
        <f>EXP(-LN(2)/35)*EA82+(1-EXP(-LN(2)/35))/(LN(2)/35)*DW83*DX83*VLOOKUP('Données projet'!$B$14,Paramètres!$A$1:$I$89,3,0)*0.475*44/12</f>
        <v>0</v>
      </c>
      <c r="EB83" s="21">
        <f>EXP(-LN(2)/25)*EB82+(1-EXP(-LN(2)/25))/(LN(2)/25)*Calculateur!DW83*Calculateur!DY83*VLOOKUP('Données projet'!$B$14,Paramètres!$A$1:$I$89,3,0)*0.475*44/12</f>
        <v>1.822311289848868</v>
      </c>
      <c r="EC83" s="21">
        <f>EXP(-LN(2)/2)*EC82+(1-EXP(-LN(2)/2))/(LN(2)/2)*DW83*DZ83*VLOOKUP('Données projet'!$B$14,Paramètres!$A$1:$I$89,3,0)*0.475*44/12</f>
        <v>4.136572997384355E-7</v>
      </c>
      <c r="ED83" s="22">
        <f t="shared" si="72"/>
        <v>1.8223117035061678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>
        <f>VLOOKUP(A83,'Données projet'!$A$191:$I$211,2,0)</f>
        <v>206</v>
      </c>
      <c r="EH83" s="12">
        <f>VLOOKUP(A83,'Données projet'!$A$191:$I$211,9,0)</f>
        <v>4.8</v>
      </c>
      <c r="EI83" s="12">
        <f t="array" ref="EI83">INDEX(EH:EH,MIN(IF(ISNUMBER(EH83:EH279),ROW(EH83:EH279),"")))</f>
        <v>4.8</v>
      </c>
      <c r="EJ83" s="12">
        <f>IF('Données projet'!$A$192&gt;35,EJ82+EI83-ER82,IF(A83&lt;'Données projet'!$A$192,$EG$205^A83,IF(A83='Données projet'!$A$192,'Données projet'!$B$192,EJ82+EI83-ER82)))</f>
        <v>205.99999999999997</v>
      </c>
      <c r="EK83" s="17">
        <f>EJ83*VLOOKUP('Données projet'!$B$15,Paramètres!$A$1:$I$89,3,0)*VLOOKUP('Données projet'!$B$15,Paramètres!$A$1:$I$89,5,0)</f>
        <v>160.67999999999998</v>
      </c>
      <c r="EL83" s="13">
        <f t="shared" si="99"/>
        <v>40.995853427140361</v>
      </c>
      <c r="EM83" s="20">
        <f t="shared" si="73"/>
        <v>351.25211138560275</v>
      </c>
      <c r="EN83" s="59">
        <f t="shared" si="74"/>
        <v>644.58544471893606</v>
      </c>
      <c r="EO83" s="59">
        <f ca="1">AVERAGE(OFFSET($EN$3,0,0,'Données projet'!$E$15+1,1))-AVERAGE(OFFSET($H$3,0,0,'Données projet'!$E$15+1,1))</f>
        <v>104.07220236158577</v>
      </c>
      <c r="EP83" s="59">
        <f t="shared" si="100"/>
        <v>34.162068257911756</v>
      </c>
      <c r="EQ83" s="15">
        <f>IF(ISNA(VLOOKUP(A83,'Données projet'!$A$191:$I$211,3,0)),0,VLOOKUP(A83,'Données projet'!$A$191:$I$211,3,0))</f>
        <v>5</v>
      </c>
      <c r="ER83" s="15">
        <f>IF(ISNA(VLOOKUP(A83,'Données projet'!$A$191:$I$211,4,0)),0,VLOOKUP(A83,'Données projet'!$A$191:$I$211,4,0))</f>
        <v>28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>
        <f>EXP(-LN(2)/35)*EV82+(1-EXP(-LN(2)/35))/(LN(2)/35)*ER83*ES83*VLOOKUP('Données projet'!$B$15,Paramètres!$A$1:$I$89,3,0)*0.475*44/12</f>
        <v>0</v>
      </c>
      <c r="EW83" s="21">
        <f>EXP(-LN(2)/25)*EW82+(1-EXP(-LN(2)/25))/(LN(2)/25)*Calculateur!ER83*Calculateur!ET83*VLOOKUP('Données projet'!$B$15,Paramètres!$A$1:$I$89,3,0)*0.475*44/12</f>
        <v>0</v>
      </c>
      <c r="EX83" s="21">
        <f>EXP(-LN(2)/2)*EX82+(1-EXP(-LN(2)/2))/(LN(2)/2)*ER83*EU83*VLOOKUP('Données projet'!$B$15,Paramètres!$A$1:$I$89,3,0)*0.475*44/12</f>
        <v>0</v>
      </c>
      <c r="EY83" s="22">
        <f t="shared" si="75"/>
        <v>0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5.6843418860808015E-14</v>
      </c>
      <c r="FF83" s="17">
        <f>FE83*VLOOKUP('Données projet'!$B$16,Paramètres!$A$1:$I$89,3,0)*VLOOKUP('Données projet'!$B$16,Paramètres!$A$1:$I$89,5,0)</f>
        <v>5.1431925385259088E-14</v>
      </c>
      <c r="FG83" s="13">
        <f t="shared" si="101"/>
        <v>8.3482866290946129E-13</v>
      </c>
      <c r="FH83" s="20">
        <f t="shared" si="76"/>
        <v>1.5435705246133045E-12</v>
      </c>
      <c r="FI83" s="59">
        <f t="shared" si="77"/>
        <v>293.33333333333485</v>
      </c>
      <c r="FJ83" s="59">
        <f ca="1">AVERAGE(OFFSET($FI$3,0,0,'Données projet'!$E$16+1,1))-AVERAGE(OFFSET($H$3,0,0,'Données projet'!$E$16+1,1))</f>
        <v>179.50097986986123</v>
      </c>
      <c r="FK83" s="59">
        <f t="shared" si="102"/>
        <v>287.11838730637578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>
        <f>EXP(-LN(2)/35)*FQ82+(1-EXP(-LN(2)/35))/(LN(2)/35)*FM83*FN83*VLOOKUP('Données projet'!$B$16,Paramètres!$A$1:$I$89,3,0)*0.475*44/12</f>
        <v>0.2315830424210128</v>
      </c>
      <c r="FR83" s="21">
        <f>EXP(-LN(2)/25)*FR82+(1-EXP(-LN(2)/25))/(LN(2)/25)*Calculateur!FM83*Calculateur!FO83*VLOOKUP('Données projet'!$B$16,Paramètres!$A$1:$I$89,3,0)*0.475*44/12</f>
        <v>1.5734084754394246</v>
      </c>
      <c r="FS83" s="21">
        <f>EXP(-LN(2)/2)*FS82+(1-EXP(-LN(2)/2))/(LN(2)/2)*FM83*FP83*VLOOKUP('Données projet'!$B$16,Paramètres!$A$1:$I$89,3,0)*0.475*44/12</f>
        <v>1.3473022060172352E-7</v>
      </c>
      <c r="FT83" s="22">
        <f t="shared" si="78"/>
        <v>1.804991652590658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>
        <f>VLOOKUP(A83,'Données projet'!$A$243:$I$263,2,0)</f>
        <v>377</v>
      </c>
      <c r="FX83" s="12">
        <f>VLOOKUP(A83,'Données projet'!$A$243:$I$263,9,0)</f>
        <v>6</v>
      </c>
      <c r="FY83" s="12">
        <f t="array" ref="FY83">INDEX(FX:FX,MIN(IF(ISNUMBER(FX83:FX279),ROW(FX83:FX279),"")))</f>
        <v>6</v>
      </c>
      <c r="FZ83" s="12">
        <f>IF('Données projet'!$A$244&gt;35,FZ82+FY83-GH82,IF(A83&lt;'Données projet'!$A$244,$FW$205^A83,IF(A83='Données projet'!$A$244,'Données projet'!$B$244,FZ82+FY83-GH82)))</f>
        <v>377.00000000000006</v>
      </c>
      <c r="GA83" s="17">
        <f>FZ83*VLOOKUP('Données projet'!$B$17,Paramètres!$A$1:$I$89,3,0)*VLOOKUP('Données projet'!$B$17,Paramètres!$A$1:$I$89,5,0)</f>
        <v>225.44600000000005</v>
      </c>
      <c r="GB83" s="13">
        <f t="shared" si="103"/>
        <v>55.296857101810794</v>
      </c>
      <c r="GC83" s="20">
        <f t="shared" si="79"/>
        <v>488.96047611898717</v>
      </c>
      <c r="GD83" s="59">
        <f t="shared" si="80"/>
        <v>782.29380945232049</v>
      </c>
      <c r="GE83" s="59">
        <f ca="1">AVERAGE(OFFSET($GD$3,0,0,'Données projet'!$E$17+1,1))-AVERAGE(OFFSET($H$3,0,0,'Données projet'!$E$17+1,1))</f>
        <v>165.39579887388538</v>
      </c>
      <c r="GF83" s="59">
        <f t="shared" si="104"/>
        <v>155.89639262545802</v>
      </c>
      <c r="GG83" s="15">
        <f>IF(ISNA(VLOOKUP(A83,'Données projet'!$A$243:$I$263,3,0)),0,VLOOKUP(A83,'Données projet'!$A$243:$I$263,3,0))</f>
        <v>6</v>
      </c>
      <c r="GH83" s="15">
        <f>IF(ISNA(VLOOKUP(A83,'Données projet'!$A$243:$I$263,4,0)),0,VLOOKUP(A83,'Données projet'!$A$243:$I$263,4,0))</f>
        <v>377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>
        <f>EXP(-LN(2)/35)*GL82+(1-EXP(-LN(2)/35))/(LN(2)/35)*GH83*GI83*VLOOKUP('Données projet'!$B$17,Paramètres!$A$1:$I$89,3,0)*0.475*44/12</f>
        <v>0</v>
      </c>
      <c r="GM83" s="21">
        <f>EXP(-LN(2)/25)*GM82+(1-EXP(-LN(2)/25))/(LN(2)/25)*Calculateur!GH83*Calculateur!GJ83*VLOOKUP('Données projet'!$B$17,Paramètres!$A$1:$I$89,3,0)*0.475*44/12</f>
        <v>1.822311289848868</v>
      </c>
      <c r="GN83" s="21">
        <f>EXP(-LN(2)/2)*GN82+(1-EXP(-LN(2)/2))/(LN(2)/2)*GH83*GK83*VLOOKUP('Données projet'!$B$17,Paramètres!$A$1:$I$89,3,0)*0.475*44/12</f>
        <v>4.136572997384355E-7</v>
      </c>
      <c r="GO83" s="21">
        <f t="shared" si="81"/>
        <v>1.8223117035061678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3.4106051316484809E-13</v>
      </c>
      <c r="O84" s="13">
        <f>N84*VLOOKUP('Données projet'!$B$9,Paramètres!$A$1:$I$89,3,0)*VLOOKUP('Données projet'!$B$9,Paramètres!$A$1:$I$89,5,0)</f>
        <v>1.9065282685915009E-13</v>
      </c>
      <c r="P84" s="13">
        <f t="shared" si="87"/>
        <v>2.6568987209435707E-12</v>
      </c>
      <c r="Q84" s="20">
        <f t="shared" si="54"/>
        <v>4.959485612423072E-12</v>
      </c>
      <c r="R84" s="59">
        <f t="shared" si="55"/>
        <v>293.33333333333826</v>
      </c>
      <c r="S84" s="59">
        <f ca="1">AVERAGE(OFFSET($R$3,0,0,'Données projet'!$E$9+1,1))-AVERAGE(OFFSET($H$3,0,0,'Données projet'!$E$9+1,1))</f>
        <v>235.10258076192054</v>
      </c>
      <c r="T84" s="59">
        <f t="shared" si="88"/>
        <v>233.47316052603765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1.2477811826841416</v>
      </c>
      <c r="AA84" s="21">
        <f>EXP(-LN(2)/25)*AA83+(1-EXP(-LN(2)/25))/(LN(2)/25)*Calculateur!V84*Calculateur!X84*VLOOKUP('Données projet'!$B$9,Paramètres!$A$1:$I$89,3,0)*0.475*44/12</f>
        <v>4.4826954396581762</v>
      </c>
      <c r="AB84" s="21">
        <f>EXP(-LN(2)/2)*AB83+(1-EXP(-LN(2)/2))/(LN(2)/2)*V84*Y84*VLOOKUP('Données projet'!$B$9,Paramètres!$A$1:$I$89,3,0)*0.475*44/12</f>
        <v>5.0833486206634471E-7</v>
      </c>
      <c r="AC84" s="22">
        <f t="shared" si="57"/>
        <v>5.7304771306771798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2.5</v>
      </c>
      <c r="AI84" s="13">
        <f>IF('Données projet'!$A$62&gt;35,AI83+AH84-AQ83,IF(A84&lt;'Données projet'!$A$62,$AF$205^A84,IF(A84='Données projet'!$A$62,'Données projet'!$B$62,AI83+AH84-AQ83)))</f>
        <v>202.49999999999991</v>
      </c>
      <c r="AJ84" s="13">
        <f>AI84*VLOOKUP('Données projet'!$B$10,Paramètres!$A$1:$I$89,3,0)*VLOOKUP('Données projet'!$B$10,Paramètres!$A$1:$I$89,5,0)</f>
        <v>176.90399999999994</v>
      </c>
      <c r="AK84" s="13">
        <f t="shared" si="89"/>
        <v>44.632689233663157</v>
      </c>
      <c r="AL84" s="20">
        <f t="shared" si="58"/>
        <v>385.84306708196317</v>
      </c>
      <c r="AM84" s="59">
        <f t="shared" si="59"/>
        <v>679.17640041529648</v>
      </c>
      <c r="AN84" s="59">
        <f ca="1">AVERAGE(OFFSET($AM$3,0,0,'Données projet'!$E$10+1,1))-AVERAGE(OFFSET($H$3,0,0,'Données projet'!$E$10+1,1))</f>
        <v>191.94797389630673</v>
      </c>
      <c r="AO84" s="59">
        <f t="shared" si="90"/>
        <v>273.52540822767878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0.93772646456262865</v>
      </c>
      <c r="AV84" s="21">
        <f>EXP(-LN(2)/25)*AV83+(1-EXP(-LN(2)/25))/(LN(2)/25)*Calculateur!AQ84*Calculateur!AS84*VLOOKUP('Données projet'!$B$10,Paramètres!$A$1:$I$89,3,0)*0.475*44/12</f>
        <v>3.4160009047986466</v>
      </c>
      <c r="AW84" s="21">
        <f>EXP(-LN(2)/2)*AW83+(1-EXP(-LN(2)/2))/(LN(2)/2)*AQ84*AT84*VLOOKUP('Données projet'!$B$10,Paramètres!$A$1:$I$89,3,0)*0.475*44/12</f>
        <v>4.8896798893202383E-7</v>
      </c>
      <c r="AX84" s="21">
        <f t="shared" si="60"/>
        <v>4.3537278583292638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4.3</v>
      </c>
      <c r="BD84" s="12">
        <f>IF('Données projet'!$A$88&gt;35,BD83+BC84-BL83,IF(A84&lt;'Données projet'!$A$88,$BA$205^A84,IF(A84='Données projet'!$A$88,'Données projet'!$B$88,BD83+BC84-BL83)))</f>
        <v>182.29999999999998</v>
      </c>
      <c r="BE84" s="13">
        <f>BD84*VLOOKUP('Données projet'!$B$11,Paramètres!$A$1:$I$89,3,0)*VLOOKUP('Données projet'!$B$11,Paramètres!$A$1:$I$89,5,0)</f>
        <v>164.94503999999998</v>
      </c>
      <c r="BF84" s="13">
        <f t="shared" si="91"/>
        <v>41.955899409919233</v>
      </c>
      <c r="BG84" s="20">
        <f t="shared" si="61"/>
        <v>360.35246947227597</v>
      </c>
      <c r="BH84" s="59">
        <f t="shared" si="62"/>
        <v>653.68580280560923</v>
      </c>
      <c r="BI84" s="59">
        <f ca="1">AVERAGE(OFFSET($BH$3,0,0,'Données projet'!$E$11+1,1))-AVERAGE(OFFSET($H$3,0,0,'Données projet'!$E$11+1,1))</f>
        <v>138.8931001150624</v>
      </c>
      <c r="BJ84" s="59">
        <f t="shared" si="92"/>
        <v>48.964659354096625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4.3</v>
      </c>
      <c r="BY84" s="12">
        <f>IF('Données projet'!$A$114&gt;35,BY83+BX84-CG83,IF(A84&lt;'Données projet'!$A$114,$BV$205^A84,IF(A84='Données projet'!$A$114,'Données projet'!$B$114,BY83+BX84-CG83)))</f>
        <v>182.29999999999998</v>
      </c>
      <c r="BZ84" s="13">
        <f>BY84*VLOOKUP('Données projet'!$B$12,Paramètres!$A$1:$I$89,3,0)*VLOOKUP('Données projet'!$B$12,Paramètres!$A$1:$I$89,5,0)</f>
        <v>184.85219999999998</v>
      </c>
      <c r="CA84" s="13">
        <f t="shared" si="93"/>
        <v>46.40003437831276</v>
      </c>
      <c r="CB84" s="20">
        <f t="shared" si="64"/>
        <v>402.76430820889465</v>
      </c>
      <c r="CC84" s="59">
        <f t="shared" si="65"/>
        <v>696.09764154222796</v>
      </c>
      <c r="CD84" s="59">
        <f ca="1">AVERAGE(OFFSET($CC$3,0,0,'Données projet'!$E$12+1,1))-AVERAGE(OFFSET($H$3,0,0,'Données projet'!$E$12+1,1))</f>
        <v>169.2757878405003</v>
      </c>
      <c r="CE84" s="59">
        <f t="shared" si="94"/>
        <v>61.876502626609977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-8.5265128291212022E-14</v>
      </c>
      <c r="CU84" s="17">
        <f>CT84*VLOOKUP('Données projet'!$B$13,Paramètres!$A$1:$I$89,3,0)*VLOOKUP('Données projet'!$B$13,Paramètres!$A$1:$I$89,5,0)</f>
        <v>-6.7836936068488286E-14</v>
      </c>
      <c r="CV84" s="13" t="e">
        <f t="shared" si="95"/>
        <v>#NUM!</v>
      </c>
      <c r="CW84" s="20" t="e">
        <f t="shared" si="67"/>
        <v>#NUM!</v>
      </c>
      <c r="CX84" s="59" t="e">
        <f t="shared" si="68"/>
        <v>#NUM!</v>
      </c>
      <c r="CY84" s="59">
        <f ca="1">AVERAGE(OFFSET($CX$3,0,0,'Données projet'!$E$13+1,1))-AVERAGE(OFFSET($H$3,0,0,'Données projet'!$E$13+1,1))</f>
        <v>141.12810728817544</v>
      </c>
      <c r="CZ84" s="59">
        <f t="shared" si="96"/>
        <v>176.01405805137551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>
        <f>EXP(-LN(2)/35)*DF83+(1-EXP(-LN(2)/35))/(LN(2)/35)*DB84*DC84*VLOOKUP('Données projet'!$B$13,Paramètres!$A$1:$I$89,3,0)*0.475*44/12</f>
        <v>0</v>
      </c>
      <c r="DG84" s="21">
        <f>EXP(-LN(2)/25)*DG83+(1-EXP(-LN(2)/25))/(LN(2)/25)*Calculateur!DB84*Calculateur!DD84*VLOOKUP('Données projet'!$B$13,Paramètres!$A$1:$I$89,3,0)*0.475*44/12</f>
        <v>1.6346864173722884</v>
      </c>
      <c r="DH84" s="21">
        <f>EXP(-LN(2)/2)*DH83+(1-EXP(-LN(2)/2))/(LN(2)/2)*DB84*DE84*VLOOKUP('Données projet'!$B$13,Paramètres!$A$1:$I$89,3,0)*0.475*44/12</f>
        <v>1.6869680596167909E-7</v>
      </c>
      <c r="DI84" s="22">
        <f t="shared" si="69"/>
        <v>1.6346865860690942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5.6843418860808015E-14</v>
      </c>
      <c r="DP84" s="17">
        <f>DO84*VLOOKUP('Données projet'!$B$14,Paramètres!$A$1:$I$89,3,0)*VLOOKUP('Données projet'!$B$14,Paramètres!$A$1:$I$89,5,0)</f>
        <v>3.3992364478763198E-14</v>
      </c>
      <c r="DQ84" s="13">
        <f t="shared" si="97"/>
        <v>5.790027782444094E-13</v>
      </c>
      <c r="DR84" s="20">
        <f t="shared" si="70"/>
        <v>1.0676332069095257E-12</v>
      </c>
      <c r="DS84" s="59">
        <f t="shared" si="71"/>
        <v>293.33333333333439</v>
      </c>
      <c r="DT84" s="59">
        <f ca="1">AVERAGE(OFFSET($DS$3,0,0,'Données projet'!$E$14+1,1))-AVERAGE(OFFSET($H$3,0,0,'Données projet'!$E$14+1,1))</f>
        <v>165.39579887388538</v>
      </c>
      <c r="DU84" s="59">
        <f t="shared" si="98"/>
        <v>155.89639262545802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>
        <f>EXP(-LN(2)/35)*EA83+(1-EXP(-LN(2)/35))/(LN(2)/35)*DW84*DX84*VLOOKUP('Données projet'!$B$14,Paramètres!$A$1:$I$89,3,0)*0.475*44/12</f>
        <v>0</v>
      </c>
      <c r="EB84" s="21">
        <f>EXP(-LN(2)/25)*EB83+(1-EXP(-LN(2)/25))/(LN(2)/25)*Calculateur!DW84*Calculateur!DY84*VLOOKUP('Données projet'!$B$14,Paramètres!$A$1:$I$89,3,0)*0.475*44/12</f>
        <v>1.7724800917967649</v>
      </c>
      <c r="EC84" s="21">
        <f>EXP(-LN(2)/2)*EC83+(1-EXP(-LN(2)/2))/(LN(2)/2)*DW84*DZ84*VLOOKUP('Données projet'!$B$14,Paramètres!$A$1:$I$89,3,0)*0.475*44/12</f>
        <v>2.9249988173236401E-7</v>
      </c>
      <c r="ED84" s="22">
        <f t="shared" si="72"/>
        <v>1.7724803842966466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4.3</v>
      </c>
      <c r="EJ84" s="12">
        <f>IF('Données projet'!$A$192&gt;35,EJ83+EI84-ER83,IF(A84&lt;'Données projet'!$A$192,$EG$205^A84,IF(A84='Données projet'!$A$192,'Données projet'!$B$192,EJ83+EI84-ER83)))</f>
        <v>182.29999999999998</v>
      </c>
      <c r="EK84" s="17">
        <f>EJ84*VLOOKUP('Données projet'!$B$15,Paramètres!$A$1:$I$89,3,0)*VLOOKUP('Données projet'!$B$15,Paramètres!$A$1:$I$89,5,0)</f>
        <v>142.19399999999999</v>
      </c>
      <c r="EL84" s="13">
        <f t="shared" si="99"/>
        <v>36.799164314074858</v>
      </c>
      <c r="EM84" s="20">
        <f t="shared" si="73"/>
        <v>311.74642784701365</v>
      </c>
      <c r="EN84" s="59">
        <f t="shared" si="74"/>
        <v>605.07976118034696</v>
      </c>
      <c r="EO84" s="59">
        <f ca="1">AVERAGE(OFFSET($EN$3,0,0,'Données projet'!$E$15+1,1))-AVERAGE(OFFSET($H$3,0,0,'Données projet'!$E$15+1,1))</f>
        <v>104.07220236158577</v>
      </c>
      <c r="EP84" s="59">
        <f t="shared" si="100"/>
        <v>34.162068257911756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>
        <f>EXP(-LN(2)/35)*EV83+(1-EXP(-LN(2)/35))/(LN(2)/35)*ER84*ES84*VLOOKUP('Données projet'!$B$15,Paramètres!$A$1:$I$89,3,0)*0.475*44/12</f>
        <v>0</v>
      </c>
      <c r="EW84" s="21">
        <f>EXP(-LN(2)/25)*EW83+(1-EXP(-LN(2)/25))/(LN(2)/25)*Calculateur!ER84*Calculateur!ET84*VLOOKUP('Données projet'!$B$15,Paramètres!$A$1:$I$89,3,0)*0.475*44/12</f>
        <v>0</v>
      </c>
      <c r="EX84" s="21">
        <f>EXP(-LN(2)/2)*EX83+(1-EXP(-LN(2)/2))/(LN(2)/2)*ER84*EU84*VLOOKUP('Données projet'!$B$15,Paramètres!$A$1:$I$89,3,0)*0.475*44/12</f>
        <v>0</v>
      </c>
      <c r="EY84" s="22">
        <f t="shared" si="75"/>
        <v>0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5.6843418860808015E-14</v>
      </c>
      <c r="FF84" s="17">
        <f>FE84*VLOOKUP('Données projet'!$B$16,Paramètres!$A$1:$I$89,3,0)*VLOOKUP('Données projet'!$B$16,Paramètres!$A$1:$I$89,5,0)</f>
        <v>5.1431925385259088E-14</v>
      </c>
      <c r="FG84" s="13">
        <f t="shared" si="101"/>
        <v>8.3482866290946129E-13</v>
      </c>
      <c r="FH84" s="20">
        <f t="shared" si="76"/>
        <v>1.5435705246133045E-12</v>
      </c>
      <c r="FI84" s="59">
        <f t="shared" si="77"/>
        <v>293.33333333333485</v>
      </c>
      <c r="FJ84" s="59">
        <f ca="1">AVERAGE(OFFSET($FI$3,0,0,'Données projet'!$E$16+1,1))-AVERAGE(OFFSET($H$3,0,0,'Données projet'!$E$16+1,1))</f>
        <v>179.50097986986123</v>
      </c>
      <c r="FK84" s="59">
        <f t="shared" si="102"/>
        <v>287.11838730637578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>
        <f>EXP(-LN(2)/35)*FQ83+(1-EXP(-LN(2)/35))/(LN(2)/35)*FM84*FN84*VLOOKUP('Données projet'!$B$16,Paramètres!$A$1:$I$89,3,0)*0.475*44/12</f>
        <v>0.22704184021084517</v>
      </c>
      <c r="FR84" s="21">
        <f>EXP(-LN(2)/25)*FR83+(1-EXP(-LN(2)/25))/(LN(2)/25)*Calculateur!FM84*Calculateur!FO84*VLOOKUP('Données projet'!$B$16,Paramètres!$A$1:$I$89,3,0)*0.475*44/12</f>
        <v>1.530383537936578</v>
      </c>
      <c r="FS84" s="21">
        <f>EXP(-LN(2)/2)*FS83+(1-EXP(-LN(2)/2))/(LN(2)/2)*FM84*FP84*VLOOKUP('Données projet'!$B$16,Paramètres!$A$1:$I$89,3,0)*0.475*44/12</f>
        <v>9.526865261823819E-8</v>
      </c>
      <c r="FT84" s="22">
        <f t="shared" si="78"/>
        <v>1.7574254734160757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5.6843418860808015E-14</v>
      </c>
      <c r="GA84" s="17">
        <f>FZ84*VLOOKUP('Données projet'!$B$17,Paramètres!$A$1:$I$89,3,0)*VLOOKUP('Données projet'!$B$17,Paramètres!$A$1:$I$89,5,0)</f>
        <v>3.3992364478763198E-14</v>
      </c>
      <c r="GB84" s="13">
        <f t="shared" si="103"/>
        <v>5.790027782444094E-13</v>
      </c>
      <c r="GC84" s="20">
        <f t="shared" si="79"/>
        <v>1.0676332069095257E-12</v>
      </c>
      <c r="GD84" s="59">
        <f t="shared" si="80"/>
        <v>293.33333333333439</v>
      </c>
      <c r="GE84" s="59">
        <f ca="1">AVERAGE(OFFSET($GD$3,0,0,'Données projet'!$E$17+1,1))-AVERAGE(OFFSET($H$3,0,0,'Données projet'!$E$17+1,1))</f>
        <v>165.39579887388538</v>
      </c>
      <c r="GF84" s="59">
        <f t="shared" si="104"/>
        <v>155.89639262545802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>
        <f>EXP(-LN(2)/35)*GL83+(1-EXP(-LN(2)/35))/(LN(2)/35)*GH84*GI84*VLOOKUP('Données projet'!$B$17,Paramètres!$A$1:$I$89,3,0)*0.475*44/12</f>
        <v>0</v>
      </c>
      <c r="GM84" s="21">
        <f>EXP(-LN(2)/25)*GM83+(1-EXP(-LN(2)/25))/(LN(2)/25)*Calculateur!GH84*Calculateur!GJ84*VLOOKUP('Données projet'!$B$17,Paramètres!$A$1:$I$89,3,0)*0.475*44/12</f>
        <v>1.7724800917967649</v>
      </c>
      <c r="GN84" s="21">
        <f>EXP(-LN(2)/2)*GN83+(1-EXP(-LN(2)/2))/(LN(2)/2)*GH84*GK84*VLOOKUP('Données projet'!$B$17,Paramètres!$A$1:$I$89,3,0)*0.475*44/12</f>
        <v>2.9249988173236401E-7</v>
      </c>
      <c r="GO84" s="21">
        <f t="shared" si="81"/>
        <v>1.7724803842966466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3.4106051316484809E-13</v>
      </c>
      <c r="O85" s="13">
        <f>N85*VLOOKUP('Données projet'!$B$9,Paramètres!$A$1:$I$89,3,0)*VLOOKUP('Données projet'!$B$9,Paramètres!$A$1:$I$89,5,0)</f>
        <v>1.9065282685915009E-13</v>
      </c>
      <c r="P85" s="13">
        <f t="shared" si="87"/>
        <v>2.6568987209435707E-12</v>
      </c>
      <c r="Q85" s="20">
        <f t="shared" si="54"/>
        <v>4.959485612423072E-12</v>
      </c>
      <c r="R85" s="59">
        <f t="shared" si="55"/>
        <v>293.33333333333826</v>
      </c>
      <c r="S85" s="59">
        <f ca="1">AVERAGE(OFFSET($R$3,0,0,'Données projet'!$E$9+1,1))-AVERAGE(OFFSET($H$3,0,0,'Données projet'!$E$9+1,1))</f>
        <v>235.10258076192054</v>
      </c>
      <c r="T85" s="59">
        <f t="shared" si="88"/>
        <v>233.47316052603765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1.2233129547630774</v>
      </c>
      <c r="AA85" s="21">
        <f>EXP(-LN(2)/25)*AA84+(1-EXP(-LN(2)/25))/(LN(2)/25)*Calculateur!V85*Calculateur!X85*VLOOKUP('Données projet'!$B$9,Paramètres!$A$1:$I$89,3,0)*0.475*44/12</f>
        <v>4.3601158971260157</v>
      </c>
      <c r="AB85" s="21">
        <f>EXP(-LN(2)/2)*AB84+(1-EXP(-LN(2)/2))/(LN(2)/2)*V85*Y85*VLOOKUP('Données projet'!$B$9,Paramètres!$A$1:$I$89,3,0)*0.475*44/12</f>
        <v>3.5944702808064063E-7</v>
      </c>
      <c r="AC85" s="22">
        <f t="shared" si="57"/>
        <v>5.5834292113361208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2.5</v>
      </c>
      <c r="AI85" s="13">
        <f>IF('Données projet'!$A$62&gt;35,AI84+AH85-AQ84,IF(A85&lt;'Données projet'!$A$62,$AF$205^A85,IF(A85='Données projet'!$A$62,'Données projet'!$B$62,AI84+AH85-AQ84)))</f>
        <v>204.99999999999991</v>
      </c>
      <c r="AJ85" s="13">
        <f>AI85*VLOOKUP('Données projet'!$B$10,Paramètres!$A$1:$I$89,3,0)*VLOOKUP('Données projet'!$B$10,Paramètres!$A$1:$I$89,5,0)</f>
        <v>179.08799999999997</v>
      </c>
      <c r="AK85" s="13">
        <f t="shared" si="89"/>
        <v>45.119223023956835</v>
      </c>
      <c r="AL85" s="20">
        <f t="shared" si="58"/>
        <v>390.49424676672476</v>
      </c>
      <c r="AM85" s="59">
        <f t="shared" si="59"/>
        <v>683.82758010005807</v>
      </c>
      <c r="AN85" s="59">
        <f ca="1">AVERAGE(OFFSET($AM$3,0,0,'Données projet'!$E$10+1,1))-AVERAGE(OFFSET($H$3,0,0,'Données projet'!$E$10+1,1))</f>
        <v>191.94797389630673</v>
      </c>
      <c r="AO85" s="59">
        <f t="shared" si="90"/>
        <v>273.52540822767878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0.91933822054922287</v>
      </c>
      <c r="AV85" s="21">
        <f>EXP(-LN(2)/25)*AV84+(1-EXP(-LN(2)/25))/(LN(2)/25)*Calculateur!AQ85*Calculateur!AS85*VLOOKUP('Données projet'!$B$10,Paramètres!$A$1:$I$89,3,0)*0.475*44/12</f>
        <v>3.3225901804172473</v>
      </c>
      <c r="AW85" s="21">
        <f>EXP(-LN(2)/2)*AW84+(1-EXP(-LN(2)/2))/(LN(2)/2)*AQ85*AT85*VLOOKUP('Données projet'!$B$10,Paramètres!$A$1:$I$89,3,0)*0.475*44/12</f>
        <v>3.4575258075698278E-7</v>
      </c>
      <c r="AX85" s="21">
        <f t="shared" si="60"/>
        <v>4.2419287467190507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4.3</v>
      </c>
      <c r="BD85" s="12">
        <f>IF('Données projet'!$A$88&gt;35,BD84+BC85-BL84,IF(A85&lt;'Données projet'!$A$88,$BA$205^A85,IF(A85='Données projet'!$A$88,'Données projet'!$B$88,BD84+BC85-BL84)))</f>
        <v>186.6</v>
      </c>
      <c r="BE85" s="13">
        <f>BD85*VLOOKUP('Données projet'!$B$11,Paramètres!$A$1:$I$89,3,0)*VLOOKUP('Données projet'!$B$11,Paramètres!$A$1:$I$89,5,0)</f>
        <v>168.83568</v>
      </c>
      <c r="BF85" s="13">
        <f t="shared" si="91"/>
        <v>42.829150426593394</v>
      </c>
      <c r="BG85" s="20">
        <f t="shared" si="61"/>
        <v>368.6495796596501</v>
      </c>
      <c r="BH85" s="59">
        <f t="shared" si="62"/>
        <v>661.98291299298342</v>
      </c>
      <c r="BI85" s="59">
        <f ca="1">AVERAGE(OFFSET($BH$3,0,0,'Données projet'!$E$11+1,1))-AVERAGE(OFFSET($H$3,0,0,'Données projet'!$E$11+1,1))</f>
        <v>138.8931001150624</v>
      </c>
      <c r="BJ85" s="59">
        <f t="shared" si="92"/>
        <v>48.964659354096625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4.3</v>
      </c>
      <c r="BY85" s="12">
        <f>IF('Données projet'!$A$114&gt;35,BY84+BX85-CG84,IF(A85&lt;'Données projet'!$A$114,$BV$205^A85,IF(A85='Données projet'!$A$114,'Données projet'!$B$114,BY84+BX85-CG84)))</f>
        <v>186.6</v>
      </c>
      <c r="BZ85" s="13">
        <f>BY85*VLOOKUP('Données projet'!$B$12,Paramètres!$A$1:$I$89,3,0)*VLOOKUP('Données projet'!$B$12,Paramètres!$A$1:$I$89,5,0)</f>
        <v>189.2124</v>
      </c>
      <c r="CA85" s="13">
        <f t="shared" si="93"/>
        <v>47.365783599863185</v>
      </c>
      <c r="CB85" s="20">
        <f t="shared" si="64"/>
        <v>412.04033643642839</v>
      </c>
      <c r="CC85" s="59">
        <f t="shared" si="65"/>
        <v>705.3736697697617</v>
      </c>
      <c r="CD85" s="59">
        <f ca="1">AVERAGE(OFFSET($CC$3,0,0,'Données projet'!$E$12+1,1))-AVERAGE(OFFSET($H$3,0,0,'Données projet'!$E$12+1,1))</f>
        <v>169.2757878405003</v>
      </c>
      <c r="CE85" s="59">
        <f t="shared" si="94"/>
        <v>61.876502626609977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-8.5265128291212022E-14</v>
      </c>
      <c r="CU85" s="17">
        <f>CT85*VLOOKUP('Données projet'!$B$13,Paramètres!$A$1:$I$89,3,0)*VLOOKUP('Données projet'!$B$13,Paramètres!$A$1:$I$89,5,0)</f>
        <v>-6.7836936068488286E-14</v>
      </c>
      <c r="CV85" s="13" t="e">
        <f t="shared" si="95"/>
        <v>#NUM!</v>
      </c>
      <c r="CW85" s="20" t="e">
        <f t="shared" si="67"/>
        <v>#NUM!</v>
      </c>
      <c r="CX85" s="59" t="e">
        <f t="shared" si="68"/>
        <v>#NUM!</v>
      </c>
      <c r="CY85" s="59">
        <f ca="1">AVERAGE(OFFSET($CX$3,0,0,'Données projet'!$E$13+1,1))-AVERAGE(OFFSET($H$3,0,0,'Données projet'!$E$13+1,1))</f>
        <v>141.12810728817544</v>
      </c>
      <c r="CZ85" s="59">
        <f t="shared" si="96"/>
        <v>176.01405805137551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>
        <f>EXP(-LN(2)/35)*DF84+(1-EXP(-LN(2)/35))/(LN(2)/35)*DB85*DC85*VLOOKUP('Données projet'!$B$13,Paramètres!$A$1:$I$89,3,0)*0.475*44/12</f>
        <v>0</v>
      </c>
      <c r="DG85" s="21">
        <f>EXP(-LN(2)/25)*DG84+(1-EXP(-LN(2)/25))/(LN(2)/25)*Calculateur!DB85*Calculateur!DD85*VLOOKUP('Données projet'!$B$13,Paramètres!$A$1:$I$89,3,0)*0.475*44/12</f>
        <v>1.5899858313248205</v>
      </c>
      <c r="DH85" s="21">
        <f>EXP(-LN(2)/2)*DH84+(1-EXP(-LN(2)/2))/(LN(2)/2)*DB85*DE85*VLOOKUP('Données projet'!$B$13,Paramètres!$A$1:$I$89,3,0)*0.475*44/12</f>
        <v>1.1928665546001448E-7</v>
      </c>
      <c r="DI85" s="22">
        <f t="shared" si="69"/>
        <v>1.589985950611476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5.6843418860808015E-14</v>
      </c>
      <c r="DP85" s="17">
        <f>DO85*VLOOKUP('Données projet'!$B$14,Paramètres!$A$1:$I$89,3,0)*VLOOKUP('Données projet'!$B$14,Paramètres!$A$1:$I$89,5,0)</f>
        <v>3.3992364478763198E-14</v>
      </c>
      <c r="DQ85" s="13">
        <f t="shared" si="97"/>
        <v>5.790027782444094E-13</v>
      </c>
      <c r="DR85" s="20">
        <f t="shared" si="70"/>
        <v>1.0676332069095257E-12</v>
      </c>
      <c r="DS85" s="59">
        <f t="shared" si="71"/>
        <v>293.33333333333439</v>
      </c>
      <c r="DT85" s="59">
        <f ca="1">AVERAGE(OFFSET($DS$3,0,0,'Données projet'!$E$14+1,1))-AVERAGE(OFFSET($H$3,0,0,'Données projet'!$E$14+1,1))</f>
        <v>165.39579887388538</v>
      </c>
      <c r="DU85" s="59">
        <f t="shared" si="98"/>
        <v>155.89639262545802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>
        <f>EXP(-LN(2)/35)*EA84+(1-EXP(-LN(2)/35))/(LN(2)/35)*DW85*DX85*VLOOKUP('Données projet'!$B$14,Paramètres!$A$1:$I$89,3,0)*0.475*44/12</f>
        <v>0</v>
      </c>
      <c r="EB85" s="21">
        <f>EXP(-LN(2)/25)*EB84+(1-EXP(-LN(2)/25))/(LN(2)/25)*Calculateur!DW85*Calculateur!DY85*VLOOKUP('Données projet'!$B$14,Paramètres!$A$1:$I$89,3,0)*0.475*44/12</f>
        <v>1.7240115304759054</v>
      </c>
      <c r="EC85" s="21">
        <f>EXP(-LN(2)/2)*EC84+(1-EXP(-LN(2)/2))/(LN(2)/2)*DW85*DZ85*VLOOKUP('Données projet'!$B$14,Paramètres!$A$1:$I$89,3,0)*0.475*44/12</f>
        <v>2.0682864986921775E-7</v>
      </c>
      <c r="ED85" s="22">
        <f t="shared" si="72"/>
        <v>1.7240117373045551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4.3</v>
      </c>
      <c r="EJ85" s="12">
        <f>IF('Données projet'!$A$192&gt;35,EJ84+EI85-ER84,IF(A85&lt;'Données projet'!$A$192,$EG$205^A85,IF(A85='Données projet'!$A$192,'Données projet'!$B$192,EJ84+EI85-ER84)))</f>
        <v>186.6</v>
      </c>
      <c r="EK85" s="17">
        <f>EJ85*VLOOKUP('Données projet'!$B$15,Paramètres!$A$1:$I$89,3,0)*VLOOKUP('Données projet'!$B$15,Paramètres!$A$1:$I$89,5,0)</f>
        <v>145.548</v>
      </c>
      <c r="EL85" s="13">
        <f t="shared" si="99"/>
        <v>37.56508539077636</v>
      </c>
      <c r="EM85" s="20">
        <f t="shared" si="73"/>
        <v>318.92195705560215</v>
      </c>
      <c r="EN85" s="59">
        <f t="shared" si="74"/>
        <v>612.25529038893546</v>
      </c>
      <c r="EO85" s="59">
        <f ca="1">AVERAGE(OFFSET($EN$3,0,0,'Données projet'!$E$15+1,1))-AVERAGE(OFFSET($H$3,0,0,'Données projet'!$E$15+1,1))</f>
        <v>104.07220236158577</v>
      </c>
      <c r="EP85" s="59">
        <f t="shared" si="100"/>
        <v>34.162068257911756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>
        <f>EXP(-LN(2)/35)*EV84+(1-EXP(-LN(2)/35))/(LN(2)/35)*ER85*ES85*VLOOKUP('Données projet'!$B$15,Paramètres!$A$1:$I$89,3,0)*0.475*44/12</f>
        <v>0</v>
      </c>
      <c r="EW85" s="21">
        <f>EXP(-LN(2)/25)*EW84+(1-EXP(-LN(2)/25))/(LN(2)/25)*Calculateur!ER85*Calculateur!ET85*VLOOKUP('Données projet'!$B$15,Paramètres!$A$1:$I$89,3,0)*0.475*44/12</f>
        <v>0</v>
      </c>
      <c r="EX85" s="21">
        <f>EXP(-LN(2)/2)*EX84+(1-EXP(-LN(2)/2))/(LN(2)/2)*ER85*EU85*VLOOKUP('Données projet'!$B$15,Paramètres!$A$1:$I$89,3,0)*0.475*44/12</f>
        <v>0</v>
      </c>
      <c r="EY85" s="22">
        <f t="shared" si="75"/>
        <v>0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5.6843418860808015E-14</v>
      </c>
      <c r="FF85" s="17">
        <f>FE85*VLOOKUP('Données projet'!$B$16,Paramètres!$A$1:$I$89,3,0)*VLOOKUP('Données projet'!$B$16,Paramètres!$A$1:$I$89,5,0)</f>
        <v>5.1431925385259088E-14</v>
      </c>
      <c r="FG85" s="13">
        <f t="shared" si="101"/>
        <v>8.3482866290946129E-13</v>
      </c>
      <c r="FH85" s="20">
        <f t="shared" si="76"/>
        <v>1.5435705246133045E-12</v>
      </c>
      <c r="FI85" s="59">
        <f t="shared" si="77"/>
        <v>293.33333333333485</v>
      </c>
      <c r="FJ85" s="59">
        <f ca="1">AVERAGE(OFFSET($FI$3,0,0,'Données projet'!$E$16+1,1))-AVERAGE(OFFSET($H$3,0,0,'Données projet'!$E$16+1,1))</f>
        <v>179.50097986986123</v>
      </c>
      <c r="FK85" s="59">
        <f t="shared" si="102"/>
        <v>287.11838730637578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>
        <f>EXP(-LN(2)/35)*FQ84+(1-EXP(-LN(2)/35))/(LN(2)/35)*FM85*FN85*VLOOKUP('Données projet'!$B$16,Paramètres!$A$1:$I$89,3,0)*0.475*44/12</f>
        <v>0.22258968820615907</v>
      </c>
      <c r="FR85" s="21">
        <f>EXP(-LN(2)/25)*FR84+(1-EXP(-LN(2)/25))/(LN(2)/25)*Calculateur!FM85*Calculateur!FO85*VLOOKUP('Données projet'!$B$16,Paramètres!$A$1:$I$89,3,0)*0.475*44/12</f>
        <v>1.4885351196123298</v>
      </c>
      <c r="FS85" s="21">
        <f>EXP(-LN(2)/2)*FS84+(1-EXP(-LN(2)/2))/(LN(2)/2)*FM85*FP85*VLOOKUP('Données projet'!$B$16,Paramètres!$A$1:$I$89,3,0)*0.475*44/12</f>
        <v>6.7365110300861759E-8</v>
      </c>
      <c r="FT85" s="22">
        <f t="shared" si="78"/>
        <v>1.7111248751835992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5.6843418860808015E-14</v>
      </c>
      <c r="GA85" s="17">
        <f>FZ85*VLOOKUP('Données projet'!$B$17,Paramètres!$A$1:$I$89,3,0)*VLOOKUP('Données projet'!$B$17,Paramètres!$A$1:$I$89,5,0)</f>
        <v>3.3992364478763198E-14</v>
      </c>
      <c r="GB85" s="13">
        <f t="shared" si="103"/>
        <v>5.790027782444094E-13</v>
      </c>
      <c r="GC85" s="20">
        <f t="shared" si="79"/>
        <v>1.0676332069095257E-12</v>
      </c>
      <c r="GD85" s="59">
        <f t="shared" si="80"/>
        <v>293.33333333333439</v>
      </c>
      <c r="GE85" s="59">
        <f ca="1">AVERAGE(OFFSET($GD$3,0,0,'Données projet'!$E$17+1,1))-AVERAGE(OFFSET($H$3,0,0,'Données projet'!$E$17+1,1))</f>
        <v>165.39579887388538</v>
      </c>
      <c r="GF85" s="59">
        <f t="shared" si="104"/>
        <v>155.89639262545802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>
        <f>EXP(-LN(2)/35)*GL84+(1-EXP(-LN(2)/35))/(LN(2)/35)*GH85*GI85*VLOOKUP('Données projet'!$B$17,Paramètres!$A$1:$I$89,3,0)*0.475*44/12</f>
        <v>0</v>
      </c>
      <c r="GM85" s="21">
        <f>EXP(-LN(2)/25)*GM84+(1-EXP(-LN(2)/25))/(LN(2)/25)*Calculateur!GH85*Calculateur!GJ85*VLOOKUP('Données projet'!$B$17,Paramètres!$A$1:$I$89,3,0)*0.475*44/12</f>
        <v>1.7240115304759054</v>
      </c>
      <c r="GN85" s="21">
        <f>EXP(-LN(2)/2)*GN84+(1-EXP(-LN(2)/2))/(LN(2)/2)*GH85*GK85*VLOOKUP('Données projet'!$B$17,Paramètres!$A$1:$I$89,3,0)*0.475*44/12</f>
        <v>2.0682864986921775E-7</v>
      </c>
      <c r="GO85" s="21">
        <f t="shared" si="81"/>
        <v>1.7240117373045551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3.4106051316484809E-13</v>
      </c>
      <c r="O86" s="13">
        <f>N86*VLOOKUP('Données projet'!$B$9,Paramètres!$A$1:$I$89,3,0)*VLOOKUP('Données projet'!$B$9,Paramètres!$A$1:$I$89,5,0)</f>
        <v>1.9065282685915009E-13</v>
      </c>
      <c r="P86" s="13">
        <f t="shared" si="87"/>
        <v>2.6568987209435707E-12</v>
      </c>
      <c r="Q86" s="20">
        <f t="shared" si="54"/>
        <v>4.959485612423072E-12</v>
      </c>
      <c r="R86" s="59">
        <f t="shared" si="55"/>
        <v>293.33333333333826</v>
      </c>
      <c r="S86" s="59">
        <f ca="1">AVERAGE(OFFSET($R$3,0,0,'Données projet'!$E$9+1,1))-AVERAGE(OFFSET($H$3,0,0,'Données projet'!$E$9+1,1))</f>
        <v>235.10258076192054</v>
      </c>
      <c r="T86" s="59">
        <f t="shared" si="88"/>
        <v>233.47316052603765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1.1993245338673999</v>
      </c>
      <c r="AA86" s="21">
        <f>EXP(-LN(2)/25)*AA85+(1-EXP(-LN(2)/25))/(LN(2)/25)*Calculateur!V86*Calculateur!X86*VLOOKUP('Données projet'!$B$9,Paramètres!$A$1:$I$89,3,0)*0.475*44/12</f>
        <v>4.2408882986305745</v>
      </c>
      <c r="AB86" s="21">
        <f>EXP(-LN(2)/2)*AB85+(1-EXP(-LN(2)/2))/(LN(2)/2)*V86*Y86*VLOOKUP('Données projet'!$B$9,Paramètres!$A$1:$I$89,3,0)*0.475*44/12</f>
        <v>2.5416743103317236E-7</v>
      </c>
      <c r="AC86" s="22">
        <f t="shared" si="57"/>
        <v>5.4402130866654055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2.5</v>
      </c>
      <c r="AI86" s="13">
        <f>IF('Données projet'!$A$62&gt;35,AI85+AH86-AQ85,IF(A86&lt;'Données projet'!$A$62,$AF$205^A86,IF(A86='Données projet'!$A$62,'Données projet'!$B$62,AI85+AH86-AQ85)))</f>
        <v>207.49999999999991</v>
      </c>
      <c r="AJ86" s="13">
        <f>AI86*VLOOKUP('Données projet'!$B$10,Paramètres!$A$1:$I$89,3,0)*VLOOKUP('Données projet'!$B$10,Paramètres!$A$1:$I$89,5,0)</f>
        <v>181.27199999999993</v>
      </c>
      <c r="AK86" s="13">
        <f t="shared" si="89"/>
        <v>45.605066645465861</v>
      </c>
      <c r="AL86" s="20">
        <f t="shared" si="58"/>
        <v>395.14422440751952</v>
      </c>
      <c r="AM86" s="59">
        <f t="shared" si="59"/>
        <v>688.47755774085283</v>
      </c>
      <c r="AN86" s="59">
        <f ca="1">AVERAGE(OFFSET($AM$3,0,0,'Données projet'!$E$10+1,1))-AVERAGE(OFFSET($H$3,0,0,'Données projet'!$E$10+1,1))</f>
        <v>191.94797389630673</v>
      </c>
      <c r="AO86" s="59">
        <f t="shared" si="90"/>
        <v>273.52540822767878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0.90131055878519861</v>
      </c>
      <c r="AV86" s="21">
        <f>EXP(-LN(2)/25)*AV85+(1-EXP(-LN(2)/25))/(LN(2)/25)*Calculateur!AQ86*Calculateur!AS86*VLOOKUP('Données projet'!$B$10,Paramètres!$A$1:$I$89,3,0)*0.475*44/12</f>
        <v>3.2317337772063142</v>
      </c>
      <c r="AW86" s="21">
        <f>EXP(-LN(2)/2)*AW85+(1-EXP(-LN(2)/2))/(LN(2)/2)*AQ86*AT86*VLOOKUP('Données projet'!$B$10,Paramètres!$A$1:$I$89,3,0)*0.475*44/12</f>
        <v>2.4448399446601192E-7</v>
      </c>
      <c r="AX86" s="21">
        <f t="shared" si="60"/>
        <v>4.1330445804755076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4.3</v>
      </c>
      <c r="BD86" s="12">
        <f>IF('Données projet'!$A$88&gt;35,BD85+BC86-BL85,IF(A86&lt;'Données projet'!$A$88,$BA$205^A86,IF(A86='Données projet'!$A$88,'Données projet'!$B$88,BD85+BC86-BL85)))</f>
        <v>190.9</v>
      </c>
      <c r="BE86" s="13">
        <f>BD86*VLOOKUP('Données projet'!$B$11,Paramètres!$A$1:$I$89,3,0)*VLOOKUP('Données projet'!$B$11,Paramètres!$A$1:$I$89,5,0)</f>
        <v>172.72631999999999</v>
      </c>
      <c r="BF86" s="13">
        <f t="shared" si="91"/>
        <v>43.700062028669137</v>
      </c>
      <c r="BG86" s="20">
        <f t="shared" si="61"/>
        <v>376.94261536659877</v>
      </c>
      <c r="BH86" s="59">
        <f t="shared" si="62"/>
        <v>670.27594869993209</v>
      </c>
      <c r="BI86" s="59">
        <f ca="1">AVERAGE(OFFSET($BH$3,0,0,'Données projet'!$E$11+1,1))-AVERAGE(OFFSET($H$3,0,0,'Données projet'!$E$11+1,1))</f>
        <v>138.8931001150624</v>
      </c>
      <c r="BJ86" s="59">
        <f t="shared" si="92"/>
        <v>48.964659354096625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4.3</v>
      </c>
      <c r="BY86" s="12">
        <f>IF('Données projet'!$A$114&gt;35,BY85+BX86-CG85,IF(A86&lt;'Données projet'!$A$114,$BV$205^A86,IF(A86='Données projet'!$A$114,'Données projet'!$B$114,BY85+BX86-CG85)))</f>
        <v>190.9</v>
      </c>
      <c r="BZ86" s="13">
        <f>BY86*VLOOKUP('Données projet'!$B$12,Paramètres!$A$1:$I$89,3,0)*VLOOKUP('Données projet'!$B$12,Paramètres!$A$1:$I$89,5,0)</f>
        <v>193.57260000000002</v>
      </c>
      <c r="CA86" s="13">
        <f t="shared" si="93"/>
        <v>48.328945606759262</v>
      </c>
      <c r="CB86" s="20">
        <f t="shared" si="64"/>
        <v>421.31185859843907</v>
      </c>
      <c r="CC86" s="59">
        <f t="shared" si="65"/>
        <v>714.64519193177239</v>
      </c>
      <c r="CD86" s="59">
        <f ca="1">AVERAGE(OFFSET($CC$3,0,0,'Données projet'!$E$12+1,1))-AVERAGE(OFFSET($H$3,0,0,'Données projet'!$E$12+1,1))</f>
        <v>169.2757878405003</v>
      </c>
      <c r="CE86" s="59">
        <f t="shared" si="94"/>
        <v>61.876502626609977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-8.5265128291212022E-14</v>
      </c>
      <c r="CU86" s="17">
        <f>CT86*VLOOKUP('Données projet'!$B$13,Paramètres!$A$1:$I$89,3,0)*VLOOKUP('Données projet'!$B$13,Paramètres!$A$1:$I$89,5,0)</f>
        <v>-6.7836936068488286E-14</v>
      </c>
      <c r="CV86" s="13" t="e">
        <f t="shared" si="95"/>
        <v>#NUM!</v>
      </c>
      <c r="CW86" s="20" t="e">
        <f t="shared" si="67"/>
        <v>#NUM!</v>
      </c>
      <c r="CX86" s="59" t="e">
        <f t="shared" si="68"/>
        <v>#NUM!</v>
      </c>
      <c r="CY86" s="59">
        <f ca="1">AVERAGE(OFFSET($CX$3,0,0,'Données projet'!$E$13+1,1))-AVERAGE(OFFSET($H$3,0,0,'Données projet'!$E$13+1,1))</f>
        <v>141.12810728817544</v>
      </c>
      <c r="CZ86" s="59">
        <f t="shared" si="96"/>
        <v>176.01405805137551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>
        <f>EXP(-LN(2)/35)*DF85+(1-EXP(-LN(2)/35))/(LN(2)/35)*DB86*DC86*VLOOKUP('Données projet'!$B$13,Paramètres!$A$1:$I$89,3,0)*0.475*44/12</f>
        <v>0</v>
      </c>
      <c r="DG86" s="21">
        <f>EXP(-LN(2)/25)*DG85+(1-EXP(-LN(2)/25))/(LN(2)/25)*Calculateur!DB86*Calculateur!DD86*VLOOKUP('Données projet'!$B$13,Paramètres!$A$1:$I$89,3,0)*0.475*44/12</f>
        <v>1.5465075851535224</v>
      </c>
      <c r="DH86" s="21">
        <f>EXP(-LN(2)/2)*DH85+(1-EXP(-LN(2)/2))/(LN(2)/2)*DB86*DE86*VLOOKUP('Données projet'!$B$13,Paramètres!$A$1:$I$89,3,0)*0.475*44/12</f>
        <v>8.4348402980839547E-8</v>
      </c>
      <c r="DI86" s="22">
        <f t="shared" si="69"/>
        <v>1.5465076695019253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5.6843418860808015E-14</v>
      </c>
      <c r="DP86" s="17">
        <f>DO86*VLOOKUP('Données projet'!$B$14,Paramètres!$A$1:$I$89,3,0)*VLOOKUP('Données projet'!$B$14,Paramètres!$A$1:$I$89,5,0)</f>
        <v>3.3992364478763198E-14</v>
      </c>
      <c r="DQ86" s="13">
        <f t="shared" si="97"/>
        <v>5.790027782444094E-13</v>
      </c>
      <c r="DR86" s="20">
        <f t="shared" si="70"/>
        <v>1.0676332069095257E-12</v>
      </c>
      <c r="DS86" s="59">
        <f t="shared" si="71"/>
        <v>293.33333333333439</v>
      </c>
      <c r="DT86" s="59">
        <f ca="1">AVERAGE(OFFSET($DS$3,0,0,'Données projet'!$E$14+1,1))-AVERAGE(OFFSET($H$3,0,0,'Données projet'!$E$14+1,1))</f>
        <v>165.39579887388538</v>
      </c>
      <c r="DU86" s="59">
        <f t="shared" si="98"/>
        <v>155.89639262545802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>
        <f>EXP(-LN(2)/35)*EA85+(1-EXP(-LN(2)/35))/(LN(2)/35)*DW86*DX86*VLOOKUP('Données projet'!$B$14,Paramètres!$A$1:$I$89,3,0)*0.475*44/12</f>
        <v>0</v>
      </c>
      <c r="EB86" s="21">
        <f>EXP(-LN(2)/25)*EB85+(1-EXP(-LN(2)/25))/(LN(2)/25)*Calculateur!DW86*Calculateur!DY86*VLOOKUP('Données projet'!$B$14,Paramètres!$A$1:$I$89,3,0)*0.475*44/12</f>
        <v>1.6768683445132155</v>
      </c>
      <c r="EC86" s="21">
        <f>EXP(-LN(2)/2)*EC85+(1-EXP(-LN(2)/2))/(LN(2)/2)*DW86*DZ86*VLOOKUP('Données projet'!$B$14,Paramètres!$A$1:$I$89,3,0)*0.475*44/12</f>
        <v>1.46249940866182E-7</v>
      </c>
      <c r="ED86" s="22">
        <f t="shared" si="72"/>
        <v>1.6768684907631564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4.3</v>
      </c>
      <c r="EJ86" s="12">
        <f>IF('Données projet'!$A$192&gt;35,EJ85+EI86-ER85,IF(A86&lt;'Données projet'!$A$192,$EG$205^A86,IF(A86='Données projet'!$A$192,'Données projet'!$B$192,EJ85+EI86-ER85)))</f>
        <v>190.9</v>
      </c>
      <c r="EK86" s="17">
        <f>EJ86*VLOOKUP('Données projet'!$B$15,Paramètres!$A$1:$I$89,3,0)*VLOOKUP('Données projet'!$B$15,Paramètres!$A$1:$I$89,5,0)</f>
        <v>148.90200000000002</v>
      </c>
      <c r="EL86" s="13">
        <f t="shared" si="99"/>
        <v>38.328954586731257</v>
      </c>
      <c r="EM86" s="20">
        <f t="shared" si="73"/>
        <v>326.09391257189031</v>
      </c>
      <c r="EN86" s="59">
        <f t="shared" si="74"/>
        <v>619.42724590522357</v>
      </c>
      <c r="EO86" s="59">
        <f ca="1">AVERAGE(OFFSET($EN$3,0,0,'Données projet'!$E$15+1,1))-AVERAGE(OFFSET($H$3,0,0,'Données projet'!$E$15+1,1))</f>
        <v>104.07220236158577</v>
      </c>
      <c r="EP86" s="59">
        <f t="shared" si="100"/>
        <v>34.162068257911756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>
        <f>EXP(-LN(2)/35)*EV85+(1-EXP(-LN(2)/35))/(LN(2)/35)*ER86*ES86*VLOOKUP('Données projet'!$B$15,Paramètres!$A$1:$I$89,3,0)*0.475*44/12</f>
        <v>0</v>
      </c>
      <c r="EW86" s="21">
        <f>EXP(-LN(2)/25)*EW85+(1-EXP(-LN(2)/25))/(LN(2)/25)*Calculateur!ER86*Calculateur!ET86*VLOOKUP('Données projet'!$B$15,Paramètres!$A$1:$I$89,3,0)*0.475*44/12</f>
        <v>0</v>
      </c>
      <c r="EX86" s="21">
        <f>EXP(-LN(2)/2)*EX85+(1-EXP(-LN(2)/2))/(LN(2)/2)*ER86*EU86*VLOOKUP('Données projet'!$B$15,Paramètres!$A$1:$I$89,3,0)*0.475*44/12</f>
        <v>0</v>
      </c>
      <c r="EY86" s="22">
        <f t="shared" si="75"/>
        <v>0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5.6843418860808015E-14</v>
      </c>
      <c r="FF86" s="17">
        <f>FE86*VLOOKUP('Données projet'!$B$16,Paramètres!$A$1:$I$89,3,0)*VLOOKUP('Données projet'!$B$16,Paramètres!$A$1:$I$89,5,0)</f>
        <v>5.1431925385259088E-14</v>
      </c>
      <c r="FG86" s="13">
        <f t="shared" si="101"/>
        <v>8.3482866290946129E-13</v>
      </c>
      <c r="FH86" s="20">
        <f t="shared" si="76"/>
        <v>1.5435705246133045E-12</v>
      </c>
      <c r="FI86" s="59">
        <f t="shared" si="77"/>
        <v>293.33333333333485</v>
      </c>
      <c r="FJ86" s="59">
        <f ca="1">AVERAGE(OFFSET($FI$3,0,0,'Données projet'!$E$16+1,1))-AVERAGE(OFFSET($H$3,0,0,'Données projet'!$E$16+1,1))</f>
        <v>179.50097986986123</v>
      </c>
      <c r="FK86" s="59">
        <f t="shared" si="102"/>
        <v>287.11838730637578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>
        <f>EXP(-LN(2)/35)*FQ85+(1-EXP(-LN(2)/35))/(LN(2)/35)*FM86*FN86*VLOOKUP('Données projet'!$B$16,Paramètres!$A$1:$I$89,3,0)*0.475*44/12</f>
        <v>0.21822484018674029</v>
      </c>
      <c r="FR86" s="21">
        <f>EXP(-LN(2)/25)*FR85+(1-EXP(-LN(2)/25))/(LN(2)/25)*Calculateur!FM86*Calculateur!FO86*VLOOKUP('Données projet'!$B$16,Paramètres!$A$1:$I$89,3,0)*0.475*44/12</f>
        <v>1.4478310484878707</v>
      </c>
      <c r="FS86" s="21">
        <f>EXP(-LN(2)/2)*FS85+(1-EXP(-LN(2)/2))/(LN(2)/2)*FM86*FP86*VLOOKUP('Données projet'!$B$16,Paramètres!$A$1:$I$89,3,0)*0.475*44/12</f>
        <v>4.7634326309119095E-8</v>
      </c>
      <c r="FT86" s="22">
        <f t="shared" si="78"/>
        <v>1.6660559363089373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5.6843418860808015E-14</v>
      </c>
      <c r="GA86" s="17">
        <f>FZ86*VLOOKUP('Données projet'!$B$17,Paramètres!$A$1:$I$89,3,0)*VLOOKUP('Données projet'!$B$17,Paramètres!$A$1:$I$89,5,0)</f>
        <v>3.3992364478763198E-14</v>
      </c>
      <c r="GB86" s="13">
        <f t="shared" si="103"/>
        <v>5.790027782444094E-13</v>
      </c>
      <c r="GC86" s="20">
        <f t="shared" si="79"/>
        <v>1.0676332069095257E-12</v>
      </c>
      <c r="GD86" s="59">
        <f t="shared" si="80"/>
        <v>293.33333333333439</v>
      </c>
      <c r="GE86" s="59">
        <f ca="1">AVERAGE(OFFSET($GD$3,0,0,'Données projet'!$E$17+1,1))-AVERAGE(OFFSET($H$3,0,0,'Données projet'!$E$17+1,1))</f>
        <v>165.39579887388538</v>
      </c>
      <c r="GF86" s="59">
        <f t="shared" si="104"/>
        <v>155.89639262545802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>
        <f>EXP(-LN(2)/35)*GL85+(1-EXP(-LN(2)/35))/(LN(2)/35)*GH86*GI86*VLOOKUP('Données projet'!$B$17,Paramètres!$A$1:$I$89,3,0)*0.475*44/12</f>
        <v>0</v>
      </c>
      <c r="GM86" s="21">
        <f>EXP(-LN(2)/25)*GM85+(1-EXP(-LN(2)/25))/(LN(2)/25)*Calculateur!GH86*Calculateur!GJ86*VLOOKUP('Données projet'!$B$17,Paramètres!$A$1:$I$89,3,0)*0.475*44/12</f>
        <v>1.6768683445132155</v>
      </c>
      <c r="GN86" s="21">
        <f>EXP(-LN(2)/2)*GN85+(1-EXP(-LN(2)/2))/(LN(2)/2)*GH86*GK86*VLOOKUP('Données projet'!$B$17,Paramètres!$A$1:$I$89,3,0)*0.475*44/12</f>
        <v>1.46249940866182E-7</v>
      </c>
      <c r="GO86" s="21">
        <f t="shared" si="81"/>
        <v>1.6768684907631564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3.4106051316484809E-13</v>
      </c>
      <c r="O87" s="13">
        <f>N87*VLOOKUP('Données projet'!$B$9,Paramètres!$A$1:$I$89,3,0)*VLOOKUP('Données projet'!$B$9,Paramètres!$A$1:$I$89,5,0)</f>
        <v>1.9065282685915009E-13</v>
      </c>
      <c r="P87" s="13">
        <f t="shared" si="87"/>
        <v>2.6568987209435707E-12</v>
      </c>
      <c r="Q87" s="20">
        <f t="shared" si="54"/>
        <v>4.959485612423072E-12</v>
      </c>
      <c r="R87" s="59">
        <f t="shared" si="55"/>
        <v>293.33333333333826</v>
      </c>
      <c r="S87" s="59">
        <f ca="1">AVERAGE(OFFSET($R$3,0,0,'Données projet'!$E$9+1,1))-AVERAGE(OFFSET($H$3,0,0,'Données projet'!$E$9+1,1))</f>
        <v>235.10258076192054</v>
      </c>
      <c r="T87" s="59">
        <f t="shared" si="88"/>
        <v>233.47316052603765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1.1758065112739946</v>
      </c>
      <c r="AA87" s="21">
        <f>EXP(-LN(2)/25)*AA86+(1-EXP(-LN(2)/25))/(LN(2)/25)*Calculateur!V87*Calculateur!X87*VLOOKUP('Données projet'!$B$9,Paramètres!$A$1:$I$89,3,0)*0.475*44/12</f>
        <v>4.1249209850858986</v>
      </c>
      <c r="AB87" s="21">
        <f>EXP(-LN(2)/2)*AB86+(1-EXP(-LN(2)/2))/(LN(2)/2)*V87*Y87*VLOOKUP('Données projet'!$B$9,Paramètres!$A$1:$I$89,3,0)*0.475*44/12</f>
        <v>1.7972351404032032E-7</v>
      </c>
      <c r="AC87" s="22">
        <f t="shared" si="57"/>
        <v>5.3007276760834072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2.5</v>
      </c>
      <c r="AI87" s="13">
        <f>IF('Données projet'!$A$62&gt;35,AI86+AH87-AQ86,IF(A87&lt;'Données projet'!$A$62,$AF$205^A87,IF(A87='Données projet'!$A$62,'Données projet'!$B$62,AI86+AH87-AQ86)))</f>
        <v>209.99999999999991</v>
      </c>
      <c r="AJ87" s="13">
        <f>AI87*VLOOKUP('Données projet'!$B$10,Paramètres!$A$1:$I$89,3,0)*VLOOKUP('Données projet'!$B$10,Paramètres!$A$1:$I$89,5,0)</f>
        <v>183.45599999999996</v>
      </c>
      <c r="AK87" s="13">
        <f t="shared" si="89"/>
        <v>46.090229375321108</v>
      </c>
      <c r="AL87" s="20">
        <f t="shared" si="58"/>
        <v>399.79301616201752</v>
      </c>
      <c r="AM87" s="59">
        <f t="shared" si="59"/>
        <v>693.12634949535084</v>
      </c>
      <c r="AN87" s="59">
        <f ca="1">AVERAGE(OFFSET($AM$3,0,0,'Données projet'!$E$10+1,1))-AVERAGE(OFFSET($H$3,0,0,'Données projet'!$E$10+1,1))</f>
        <v>191.94797389630673</v>
      </c>
      <c r="AO87" s="59">
        <f t="shared" si="90"/>
        <v>273.52540822767878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0.88363640847257885</v>
      </c>
      <c r="AV87" s="21">
        <f>EXP(-LN(2)/25)*AV86+(1-EXP(-LN(2)/25))/(LN(2)/25)*Calculateur!AQ87*Calculateur!AS87*VLOOKUP('Données projet'!$B$10,Paramètres!$A$1:$I$89,3,0)*0.475*44/12</f>
        <v>3.1433618471191145</v>
      </c>
      <c r="AW87" s="21">
        <f>EXP(-LN(2)/2)*AW86+(1-EXP(-LN(2)/2))/(LN(2)/2)*AQ87*AT87*VLOOKUP('Données projet'!$B$10,Paramètres!$A$1:$I$89,3,0)*0.475*44/12</f>
        <v>1.7287629037849139E-7</v>
      </c>
      <c r="AX87" s="21">
        <f t="shared" si="60"/>
        <v>4.0269984284679836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4.3</v>
      </c>
      <c r="BD87" s="12">
        <f>IF('Données projet'!$A$88&gt;35,BD86+BC87-BL86,IF(A87&lt;'Données projet'!$A$88,$BA$205^A87,IF(A87='Données projet'!$A$88,'Données projet'!$B$88,BD86+BC87-BL86)))</f>
        <v>195.20000000000002</v>
      </c>
      <c r="BE87" s="13">
        <f>BD87*VLOOKUP('Données projet'!$B$11,Paramètres!$A$1:$I$89,3,0)*VLOOKUP('Données projet'!$B$11,Paramètres!$A$1:$I$89,5,0)</f>
        <v>176.61696000000001</v>
      </c>
      <c r="BF87" s="13">
        <f t="shared" si="91"/>
        <v>44.56869297787356</v>
      </c>
      <c r="BG87" s="20">
        <f t="shared" si="61"/>
        <v>385.23167893646314</v>
      </c>
      <c r="BH87" s="59">
        <f t="shared" si="62"/>
        <v>678.5650122697964</v>
      </c>
      <c r="BI87" s="59">
        <f ca="1">AVERAGE(OFFSET($BH$3,0,0,'Données projet'!$E$11+1,1))-AVERAGE(OFFSET($H$3,0,0,'Données projet'!$E$11+1,1))</f>
        <v>138.8931001150624</v>
      </c>
      <c r="BJ87" s="59">
        <f t="shared" si="92"/>
        <v>48.964659354096625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4.3</v>
      </c>
      <c r="BY87" s="12">
        <f>IF('Données projet'!$A$114&gt;35,BY86+BX87-CG86,IF(A87&lt;'Données projet'!$A$114,$BV$205^A87,IF(A87='Données projet'!$A$114,'Données projet'!$B$114,BY86+BX87-CG86)))</f>
        <v>195.20000000000002</v>
      </c>
      <c r="BZ87" s="13">
        <f>BY87*VLOOKUP('Données projet'!$B$12,Paramètres!$A$1:$I$89,3,0)*VLOOKUP('Données projet'!$B$12,Paramètres!$A$1:$I$89,5,0)</f>
        <v>197.93280000000001</v>
      </c>
      <c r="CA87" s="13">
        <f t="shared" si="93"/>
        <v>49.289585385002731</v>
      </c>
      <c r="CB87" s="20">
        <f t="shared" si="64"/>
        <v>430.57898787887979</v>
      </c>
      <c r="CC87" s="59">
        <f t="shared" si="65"/>
        <v>723.9123212122131</v>
      </c>
      <c r="CD87" s="59">
        <f ca="1">AVERAGE(OFFSET($CC$3,0,0,'Données projet'!$E$12+1,1))-AVERAGE(OFFSET($H$3,0,0,'Données projet'!$E$12+1,1))</f>
        <v>169.2757878405003</v>
      </c>
      <c r="CE87" s="59">
        <f t="shared" si="94"/>
        <v>61.876502626609977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-8.5265128291212022E-14</v>
      </c>
      <c r="CU87" s="17">
        <f>CT87*VLOOKUP('Données projet'!$B$13,Paramètres!$A$1:$I$89,3,0)*VLOOKUP('Données projet'!$B$13,Paramètres!$A$1:$I$89,5,0)</f>
        <v>-6.7836936068488286E-14</v>
      </c>
      <c r="CV87" s="13" t="e">
        <f t="shared" si="95"/>
        <v>#NUM!</v>
      </c>
      <c r="CW87" s="20" t="e">
        <f t="shared" si="67"/>
        <v>#NUM!</v>
      </c>
      <c r="CX87" s="59" t="e">
        <f t="shared" si="68"/>
        <v>#NUM!</v>
      </c>
      <c r="CY87" s="59">
        <f ca="1">AVERAGE(OFFSET($CX$3,0,0,'Données projet'!$E$13+1,1))-AVERAGE(OFFSET($H$3,0,0,'Données projet'!$E$13+1,1))</f>
        <v>141.12810728817544</v>
      </c>
      <c r="CZ87" s="59">
        <f t="shared" si="96"/>
        <v>176.01405805137551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>
        <f>EXP(-LN(2)/35)*DF86+(1-EXP(-LN(2)/35))/(LN(2)/35)*DB87*DC87*VLOOKUP('Données projet'!$B$13,Paramètres!$A$1:$I$89,3,0)*0.475*44/12</f>
        <v>0</v>
      </c>
      <c r="DG87" s="21">
        <f>EXP(-LN(2)/25)*DG86+(1-EXP(-LN(2)/25))/(LN(2)/25)*Calculateur!DB87*Calculateur!DD87*VLOOKUP('Données projet'!$B$13,Paramètres!$A$1:$I$89,3,0)*0.475*44/12</f>
        <v>1.5042182539102</v>
      </c>
      <c r="DH87" s="21">
        <f>EXP(-LN(2)/2)*DH86+(1-EXP(-LN(2)/2))/(LN(2)/2)*DB87*DE87*VLOOKUP('Données projet'!$B$13,Paramètres!$A$1:$I$89,3,0)*0.475*44/12</f>
        <v>5.9643327730007241E-8</v>
      </c>
      <c r="DI87" s="22">
        <f t="shared" si="69"/>
        <v>1.5042183135535279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5.6843418860808015E-14</v>
      </c>
      <c r="DP87" s="17">
        <f>DO87*VLOOKUP('Données projet'!$B$14,Paramètres!$A$1:$I$89,3,0)*VLOOKUP('Données projet'!$B$14,Paramètres!$A$1:$I$89,5,0)</f>
        <v>3.3992364478763198E-14</v>
      </c>
      <c r="DQ87" s="13">
        <f t="shared" si="97"/>
        <v>5.790027782444094E-13</v>
      </c>
      <c r="DR87" s="20">
        <f t="shared" si="70"/>
        <v>1.0676332069095257E-12</v>
      </c>
      <c r="DS87" s="59">
        <f t="shared" si="71"/>
        <v>293.33333333333439</v>
      </c>
      <c r="DT87" s="59">
        <f ca="1">AVERAGE(OFFSET($DS$3,0,0,'Données projet'!$E$14+1,1))-AVERAGE(OFFSET($H$3,0,0,'Données projet'!$E$14+1,1))</f>
        <v>165.39579887388538</v>
      </c>
      <c r="DU87" s="59">
        <f t="shared" si="98"/>
        <v>155.89639262545802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>
        <f>EXP(-LN(2)/35)*EA86+(1-EXP(-LN(2)/35))/(LN(2)/35)*DW87*DX87*VLOOKUP('Données projet'!$B$14,Paramètres!$A$1:$I$89,3,0)*0.475*44/12</f>
        <v>0</v>
      </c>
      <c r="EB87" s="21">
        <f>EXP(-LN(2)/25)*EB86+(1-EXP(-LN(2)/25))/(LN(2)/25)*Calculateur!DW87*Calculateur!DY87*VLOOKUP('Données projet'!$B$14,Paramètres!$A$1:$I$89,3,0)*0.475*44/12</f>
        <v>1.631014291449828</v>
      </c>
      <c r="EC87" s="21">
        <f>EXP(-LN(2)/2)*EC86+(1-EXP(-LN(2)/2))/(LN(2)/2)*DW87*DZ87*VLOOKUP('Données projet'!$B$14,Paramètres!$A$1:$I$89,3,0)*0.475*44/12</f>
        <v>1.0341432493460887E-7</v>
      </c>
      <c r="ED87" s="22">
        <f t="shared" si="72"/>
        <v>1.6310143948641529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4.3</v>
      </c>
      <c r="EJ87" s="12">
        <f>IF('Données projet'!$A$192&gt;35,EJ86+EI87-ER86,IF(A87&lt;'Données projet'!$A$192,$EG$205^A87,IF(A87='Données projet'!$A$192,'Données projet'!$B$192,EJ86+EI87-ER86)))</f>
        <v>195.20000000000002</v>
      </c>
      <c r="EK87" s="17">
        <f>EJ87*VLOOKUP('Données projet'!$B$15,Paramètres!$A$1:$I$89,3,0)*VLOOKUP('Données projet'!$B$15,Paramètres!$A$1:$I$89,5,0)</f>
        <v>152.25600000000003</v>
      </c>
      <c r="EL87" s="13">
        <f t="shared" si="99"/>
        <v>39.090823441353066</v>
      </c>
      <c r="EM87" s="20">
        <f t="shared" si="73"/>
        <v>333.26238416035659</v>
      </c>
      <c r="EN87" s="59">
        <f t="shared" si="74"/>
        <v>626.5957174936899</v>
      </c>
      <c r="EO87" s="59">
        <f ca="1">AVERAGE(OFFSET($EN$3,0,0,'Données projet'!$E$15+1,1))-AVERAGE(OFFSET($H$3,0,0,'Données projet'!$E$15+1,1))</f>
        <v>104.07220236158577</v>
      </c>
      <c r="EP87" s="59">
        <f t="shared" si="100"/>
        <v>34.162068257911756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>
        <f>EXP(-LN(2)/35)*EV86+(1-EXP(-LN(2)/35))/(LN(2)/35)*ER87*ES87*VLOOKUP('Données projet'!$B$15,Paramètres!$A$1:$I$89,3,0)*0.475*44/12</f>
        <v>0</v>
      </c>
      <c r="EW87" s="21">
        <f>EXP(-LN(2)/25)*EW86+(1-EXP(-LN(2)/25))/(LN(2)/25)*Calculateur!ER87*Calculateur!ET87*VLOOKUP('Données projet'!$B$15,Paramètres!$A$1:$I$89,3,0)*0.475*44/12</f>
        <v>0</v>
      </c>
      <c r="EX87" s="21">
        <f>EXP(-LN(2)/2)*EX86+(1-EXP(-LN(2)/2))/(LN(2)/2)*ER87*EU87*VLOOKUP('Données projet'!$B$15,Paramètres!$A$1:$I$89,3,0)*0.475*44/12</f>
        <v>0</v>
      </c>
      <c r="EY87" s="22">
        <f t="shared" si="75"/>
        <v>0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5.6843418860808015E-14</v>
      </c>
      <c r="FF87" s="17">
        <f>FE87*VLOOKUP('Données projet'!$B$16,Paramètres!$A$1:$I$89,3,0)*VLOOKUP('Données projet'!$B$16,Paramètres!$A$1:$I$89,5,0)</f>
        <v>5.1431925385259088E-14</v>
      </c>
      <c r="FG87" s="13">
        <f t="shared" si="101"/>
        <v>8.3482866290946129E-13</v>
      </c>
      <c r="FH87" s="20">
        <f t="shared" si="76"/>
        <v>1.5435705246133045E-12</v>
      </c>
      <c r="FI87" s="59">
        <f t="shared" si="77"/>
        <v>293.33333333333485</v>
      </c>
      <c r="FJ87" s="59">
        <f ca="1">AVERAGE(OFFSET($FI$3,0,0,'Données projet'!$E$16+1,1))-AVERAGE(OFFSET($H$3,0,0,'Données projet'!$E$16+1,1))</f>
        <v>179.50097986986123</v>
      </c>
      <c r="FK87" s="59">
        <f t="shared" si="102"/>
        <v>287.11838730637578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>
        <f>EXP(-LN(2)/35)*FQ86+(1-EXP(-LN(2)/35))/(LN(2)/35)*FM87*FN87*VLOOKUP('Données projet'!$B$16,Paramètres!$A$1:$I$89,3,0)*0.475*44/12</f>
        <v>0.2139455841746879</v>
      </c>
      <c r="FR87" s="21">
        <f>EXP(-LN(2)/25)*FR86+(1-EXP(-LN(2)/25))/(LN(2)/25)*Calculateur!FM87*Calculateur!FO87*VLOOKUP('Données projet'!$B$16,Paramètres!$A$1:$I$89,3,0)*0.475*44/12</f>
        <v>1.4082400323288442</v>
      </c>
      <c r="FS87" s="21">
        <f>EXP(-LN(2)/2)*FS86+(1-EXP(-LN(2)/2))/(LN(2)/2)*FM87*FP87*VLOOKUP('Données projet'!$B$16,Paramètres!$A$1:$I$89,3,0)*0.475*44/12</f>
        <v>3.3682555150430879E-8</v>
      </c>
      <c r="FT87" s="22">
        <f t="shared" si="78"/>
        <v>1.6221856501860874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5.6843418860808015E-14</v>
      </c>
      <c r="GA87" s="17">
        <f>FZ87*VLOOKUP('Données projet'!$B$17,Paramètres!$A$1:$I$89,3,0)*VLOOKUP('Données projet'!$B$17,Paramètres!$A$1:$I$89,5,0)</f>
        <v>3.3992364478763198E-14</v>
      </c>
      <c r="GB87" s="13">
        <f t="shared" si="103"/>
        <v>5.790027782444094E-13</v>
      </c>
      <c r="GC87" s="20">
        <f t="shared" si="79"/>
        <v>1.0676332069095257E-12</v>
      </c>
      <c r="GD87" s="59">
        <f t="shared" si="80"/>
        <v>293.33333333333439</v>
      </c>
      <c r="GE87" s="59">
        <f ca="1">AVERAGE(OFFSET($GD$3,0,0,'Données projet'!$E$17+1,1))-AVERAGE(OFFSET($H$3,0,0,'Données projet'!$E$17+1,1))</f>
        <v>165.39579887388538</v>
      </c>
      <c r="GF87" s="59">
        <f t="shared" si="104"/>
        <v>155.89639262545802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>
        <f>EXP(-LN(2)/35)*GL86+(1-EXP(-LN(2)/35))/(LN(2)/35)*GH87*GI87*VLOOKUP('Données projet'!$B$17,Paramètres!$A$1:$I$89,3,0)*0.475*44/12</f>
        <v>0</v>
      </c>
      <c r="GM87" s="21">
        <f>EXP(-LN(2)/25)*GM86+(1-EXP(-LN(2)/25))/(LN(2)/25)*Calculateur!GH87*Calculateur!GJ87*VLOOKUP('Données projet'!$B$17,Paramètres!$A$1:$I$89,3,0)*0.475*44/12</f>
        <v>1.631014291449828</v>
      </c>
      <c r="GN87" s="21">
        <f>EXP(-LN(2)/2)*GN86+(1-EXP(-LN(2)/2))/(LN(2)/2)*GH87*GK87*VLOOKUP('Données projet'!$B$17,Paramètres!$A$1:$I$89,3,0)*0.475*44/12</f>
        <v>1.0341432493460887E-7</v>
      </c>
      <c r="GO87" s="21">
        <f t="shared" si="81"/>
        <v>1.6310143948641529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3.4106051316484809E-13</v>
      </c>
      <c r="O88" s="13">
        <f>N88*VLOOKUP('Données projet'!$B$9,Paramètres!$A$1:$I$89,3,0)*VLOOKUP('Données projet'!$B$9,Paramètres!$A$1:$I$89,5,0)</f>
        <v>1.9065282685915009E-13</v>
      </c>
      <c r="P88" s="13">
        <f t="shared" si="87"/>
        <v>2.6568987209435707E-12</v>
      </c>
      <c r="Q88" s="20">
        <f t="shared" si="54"/>
        <v>4.959485612423072E-12</v>
      </c>
      <c r="R88" s="59">
        <f t="shared" si="55"/>
        <v>293.33333333333826</v>
      </c>
      <c r="S88" s="59">
        <f ca="1">AVERAGE(OFFSET($R$3,0,0,'Données projet'!$E$9+1,1))-AVERAGE(OFFSET($H$3,0,0,'Données projet'!$E$9+1,1))</f>
        <v>235.10258076192054</v>
      </c>
      <c r="T88" s="59">
        <f t="shared" si="88"/>
        <v>233.47316052603765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1.1527496627590688</v>
      </c>
      <c r="AA88" s="21">
        <f>EXP(-LN(2)/25)*AA87+(1-EXP(-LN(2)/25))/(LN(2)/25)*Calculateur!V88*Calculateur!X88*VLOOKUP('Données projet'!$B$9,Paramètres!$A$1:$I$89,3,0)*0.475*44/12</f>
        <v>4.0121248038285575</v>
      </c>
      <c r="AB88" s="21">
        <f>EXP(-LN(2)/2)*AB87+(1-EXP(-LN(2)/2))/(LN(2)/2)*V88*Y88*VLOOKUP('Données projet'!$B$9,Paramètres!$A$1:$I$89,3,0)*0.475*44/12</f>
        <v>1.2708371551658618E-7</v>
      </c>
      <c r="AC88" s="22">
        <f t="shared" si="57"/>
        <v>5.1648745936713416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2.5</v>
      </c>
      <c r="AI88" s="13">
        <f>IF('Données projet'!$A$62&gt;35,AI87+AH88-AQ87,IF(A88&lt;'Données projet'!$A$62,$AF$205^A88,IF(A88='Données projet'!$A$62,'Données projet'!$B$62,AI87+AH88-AQ87)))</f>
        <v>212.49999999999991</v>
      </c>
      <c r="AJ88" s="13">
        <f>AI88*VLOOKUP('Données projet'!$B$10,Paramètres!$A$1:$I$89,3,0)*VLOOKUP('Données projet'!$B$10,Paramètres!$A$1:$I$89,5,0)</f>
        <v>185.63999999999993</v>
      </c>
      <c r="AK88" s="13">
        <f t="shared" si="89"/>
        <v>46.57472025705939</v>
      </c>
      <c r="AL88" s="20">
        <f t="shared" si="58"/>
        <v>404.44063778104493</v>
      </c>
      <c r="AM88" s="59">
        <f t="shared" si="59"/>
        <v>697.77397111437824</v>
      </c>
      <c r="AN88" s="59">
        <f ca="1">AVERAGE(OFFSET($AM$3,0,0,'Données projet'!$E$10+1,1))-AVERAGE(OFFSET($H$3,0,0,'Données projet'!$E$10+1,1))</f>
        <v>191.94797389630673</v>
      </c>
      <c r="AO88" s="59">
        <f t="shared" si="90"/>
        <v>273.52540822767878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0.86630883746742238</v>
      </c>
      <c r="AV88" s="21">
        <f>EXP(-LN(2)/25)*AV87+(1-EXP(-LN(2)/25))/(LN(2)/25)*Calculateur!AQ88*Calculateur!AS88*VLOOKUP('Données projet'!$B$10,Paramètres!$A$1:$I$89,3,0)*0.475*44/12</f>
        <v>3.0574064521074269</v>
      </c>
      <c r="AW88" s="21">
        <f>EXP(-LN(2)/2)*AW87+(1-EXP(-LN(2)/2))/(LN(2)/2)*AQ88*AT88*VLOOKUP('Données projet'!$B$10,Paramètres!$A$1:$I$89,3,0)*0.475*44/12</f>
        <v>1.2224199723300596E-7</v>
      </c>
      <c r="AX88" s="21">
        <f t="shared" si="60"/>
        <v>3.9237154118168465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4.3</v>
      </c>
      <c r="BD88" s="12">
        <f>IF('Données projet'!$A$88&gt;35,BD87+BC88-BL87,IF(A88&lt;'Données projet'!$A$88,$BA$205^A88,IF(A88='Données projet'!$A$88,'Données projet'!$B$88,BD87+BC88-BL87)))</f>
        <v>199.50000000000003</v>
      </c>
      <c r="BE88" s="13">
        <f>BD88*VLOOKUP('Données projet'!$B$11,Paramètres!$A$1:$I$89,3,0)*VLOOKUP('Données projet'!$B$11,Paramètres!$A$1:$I$89,5,0)</f>
        <v>180.50760000000002</v>
      </c>
      <c r="BF88" s="13">
        <f t="shared" si="91"/>
        <v>45.435099299216873</v>
      </c>
      <c r="BG88" s="20">
        <f t="shared" si="61"/>
        <v>393.51686794613602</v>
      </c>
      <c r="BH88" s="59">
        <f t="shared" si="62"/>
        <v>686.85020127946927</v>
      </c>
      <c r="BI88" s="59">
        <f ca="1">AVERAGE(OFFSET($BH$3,0,0,'Données projet'!$E$11+1,1))-AVERAGE(OFFSET($H$3,0,0,'Données projet'!$E$11+1,1))</f>
        <v>138.8931001150624</v>
      </c>
      <c r="BJ88" s="59">
        <f t="shared" si="92"/>
        <v>48.964659354096625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4.3</v>
      </c>
      <c r="BY88" s="12">
        <f>IF('Données projet'!$A$114&gt;35,BY87+BX88-CG87,IF(A88&lt;'Données projet'!$A$114,$BV$205^A88,IF(A88='Données projet'!$A$114,'Données projet'!$B$114,BY87+BX88-CG87)))</f>
        <v>199.50000000000003</v>
      </c>
      <c r="BZ88" s="13">
        <f>BY88*VLOOKUP('Données projet'!$B$12,Paramètres!$A$1:$I$89,3,0)*VLOOKUP('Données projet'!$B$12,Paramètres!$A$1:$I$89,5,0)</f>
        <v>202.29300000000003</v>
      </c>
      <c r="CA88" s="13">
        <f t="shared" si="93"/>
        <v>50.247764893994798</v>
      </c>
      <c r="CB88" s="20">
        <f t="shared" si="64"/>
        <v>439.8418321903743</v>
      </c>
      <c r="CC88" s="59">
        <f t="shared" si="65"/>
        <v>733.17516552370762</v>
      </c>
      <c r="CD88" s="59">
        <f ca="1">AVERAGE(OFFSET($CC$3,0,0,'Données projet'!$E$12+1,1))-AVERAGE(OFFSET($H$3,0,0,'Données projet'!$E$12+1,1))</f>
        <v>169.2757878405003</v>
      </c>
      <c r="CE88" s="59">
        <f t="shared" si="94"/>
        <v>61.876502626609977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-8.5265128291212022E-14</v>
      </c>
      <c r="CU88" s="17">
        <f>CT88*VLOOKUP('Données projet'!$B$13,Paramètres!$A$1:$I$89,3,0)*VLOOKUP('Données projet'!$B$13,Paramètres!$A$1:$I$89,5,0)</f>
        <v>-6.7836936068488286E-14</v>
      </c>
      <c r="CV88" s="13" t="e">
        <f t="shared" si="95"/>
        <v>#NUM!</v>
      </c>
      <c r="CW88" s="20" t="e">
        <f t="shared" si="67"/>
        <v>#NUM!</v>
      </c>
      <c r="CX88" s="59" t="e">
        <f t="shared" si="68"/>
        <v>#NUM!</v>
      </c>
      <c r="CY88" s="59">
        <f ca="1">AVERAGE(OFFSET($CX$3,0,0,'Données projet'!$E$13+1,1))-AVERAGE(OFFSET($H$3,0,0,'Données projet'!$E$13+1,1))</f>
        <v>141.12810728817544</v>
      </c>
      <c r="CZ88" s="59">
        <f t="shared" si="96"/>
        <v>176.01405805137551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>
        <f>EXP(-LN(2)/35)*DF87+(1-EXP(-LN(2)/35))/(LN(2)/35)*DB88*DC88*VLOOKUP('Données projet'!$B$13,Paramètres!$A$1:$I$89,3,0)*0.475*44/12</f>
        <v>0</v>
      </c>
      <c r="DG88" s="21">
        <f>EXP(-LN(2)/25)*DG87+(1-EXP(-LN(2)/25))/(LN(2)/25)*Calculateur!DB88*Calculateur!DD88*VLOOKUP('Données projet'!$B$13,Paramètres!$A$1:$I$89,3,0)*0.475*44/12</f>
        <v>1.4630853266536257</v>
      </c>
      <c r="DH88" s="21">
        <f>EXP(-LN(2)/2)*DH87+(1-EXP(-LN(2)/2))/(LN(2)/2)*DB88*DE88*VLOOKUP('Données projet'!$B$13,Paramètres!$A$1:$I$89,3,0)*0.475*44/12</f>
        <v>4.2174201490419774E-8</v>
      </c>
      <c r="DI88" s="22">
        <f t="shared" si="69"/>
        <v>1.4630853688278271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5.6843418860808015E-14</v>
      </c>
      <c r="DP88" s="17">
        <f>DO88*VLOOKUP('Données projet'!$B$14,Paramètres!$A$1:$I$89,3,0)*VLOOKUP('Données projet'!$B$14,Paramètres!$A$1:$I$89,5,0)</f>
        <v>3.3992364478763198E-14</v>
      </c>
      <c r="DQ88" s="13">
        <f t="shared" si="97"/>
        <v>5.790027782444094E-13</v>
      </c>
      <c r="DR88" s="20">
        <f t="shared" si="70"/>
        <v>1.0676332069095257E-12</v>
      </c>
      <c r="DS88" s="59">
        <f t="shared" si="71"/>
        <v>293.33333333333439</v>
      </c>
      <c r="DT88" s="59">
        <f ca="1">AVERAGE(OFFSET($DS$3,0,0,'Données projet'!$E$14+1,1))-AVERAGE(OFFSET($H$3,0,0,'Données projet'!$E$14+1,1))</f>
        <v>165.39579887388538</v>
      </c>
      <c r="DU88" s="59">
        <f t="shared" si="98"/>
        <v>155.89639262545802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>
        <f>EXP(-LN(2)/35)*EA87+(1-EXP(-LN(2)/35))/(LN(2)/35)*DW88*DX88*VLOOKUP('Données projet'!$B$14,Paramètres!$A$1:$I$89,3,0)*0.475*44/12</f>
        <v>0</v>
      </c>
      <c r="EB88" s="21">
        <f>EXP(-LN(2)/25)*EB87+(1-EXP(-LN(2)/25))/(LN(2)/25)*Calculateur!DW88*Calculateur!DY88*VLOOKUP('Données projet'!$B$14,Paramètres!$A$1:$I$89,3,0)*0.475*44/12</f>
        <v>1.5864141198788186</v>
      </c>
      <c r="EC88" s="21">
        <f>EXP(-LN(2)/2)*EC87+(1-EXP(-LN(2)/2))/(LN(2)/2)*DW88*DZ88*VLOOKUP('Données projet'!$B$14,Paramètres!$A$1:$I$89,3,0)*0.475*44/12</f>
        <v>7.3124970433091002E-8</v>
      </c>
      <c r="ED88" s="22">
        <f t="shared" si="72"/>
        <v>1.5864141930037892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4.3</v>
      </c>
      <c r="EJ88" s="12">
        <f>IF('Données projet'!$A$192&gt;35,EJ87+EI88-ER87,IF(A88&lt;'Données projet'!$A$192,$EG$205^A88,IF(A88='Données projet'!$A$192,'Données projet'!$B$192,EJ87+EI88-ER87)))</f>
        <v>199.50000000000003</v>
      </c>
      <c r="EK88" s="17">
        <f>EJ88*VLOOKUP('Données projet'!$B$15,Paramètres!$A$1:$I$89,3,0)*VLOOKUP('Données projet'!$B$15,Paramètres!$A$1:$I$89,5,0)</f>
        <v>155.61000000000001</v>
      </c>
      <c r="EL88" s="13">
        <f t="shared" si="99"/>
        <v>39.850741093704187</v>
      </c>
      <c r="EM88" s="20">
        <f t="shared" si="73"/>
        <v>340.42745740486811</v>
      </c>
      <c r="EN88" s="59">
        <f t="shared" si="74"/>
        <v>633.76079073820142</v>
      </c>
      <c r="EO88" s="59">
        <f ca="1">AVERAGE(OFFSET($EN$3,0,0,'Données projet'!$E$15+1,1))-AVERAGE(OFFSET($H$3,0,0,'Données projet'!$E$15+1,1))</f>
        <v>104.07220236158577</v>
      </c>
      <c r="EP88" s="59">
        <f t="shared" si="100"/>
        <v>34.162068257911756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>
        <f>EXP(-LN(2)/35)*EV87+(1-EXP(-LN(2)/35))/(LN(2)/35)*ER88*ES88*VLOOKUP('Données projet'!$B$15,Paramètres!$A$1:$I$89,3,0)*0.475*44/12</f>
        <v>0</v>
      </c>
      <c r="EW88" s="21">
        <f>EXP(-LN(2)/25)*EW87+(1-EXP(-LN(2)/25))/(LN(2)/25)*Calculateur!ER88*Calculateur!ET88*VLOOKUP('Données projet'!$B$15,Paramètres!$A$1:$I$89,3,0)*0.475*44/12</f>
        <v>0</v>
      </c>
      <c r="EX88" s="21">
        <f>EXP(-LN(2)/2)*EX87+(1-EXP(-LN(2)/2))/(LN(2)/2)*ER88*EU88*VLOOKUP('Données projet'!$B$15,Paramètres!$A$1:$I$89,3,0)*0.475*44/12</f>
        <v>0</v>
      </c>
      <c r="EY88" s="22">
        <f t="shared" si="75"/>
        <v>0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5.6843418860808015E-14</v>
      </c>
      <c r="FF88" s="17">
        <f>FE88*VLOOKUP('Données projet'!$B$16,Paramètres!$A$1:$I$89,3,0)*VLOOKUP('Données projet'!$B$16,Paramètres!$A$1:$I$89,5,0)</f>
        <v>5.1431925385259088E-14</v>
      </c>
      <c r="FG88" s="13">
        <f t="shared" si="101"/>
        <v>8.3482866290946129E-13</v>
      </c>
      <c r="FH88" s="20">
        <f t="shared" si="76"/>
        <v>1.5435705246133045E-12</v>
      </c>
      <c r="FI88" s="59">
        <f t="shared" si="77"/>
        <v>293.33333333333485</v>
      </c>
      <c r="FJ88" s="59">
        <f ca="1">AVERAGE(OFFSET($FI$3,0,0,'Données projet'!$E$16+1,1))-AVERAGE(OFFSET($H$3,0,0,'Données projet'!$E$16+1,1))</f>
        <v>179.50097986986123</v>
      </c>
      <c r="FK88" s="59">
        <f t="shared" si="102"/>
        <v>287.11838730637578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>
        <f>EXP(-LN(2)/35)*FQ87+(1-EXP(-LN(2)/35))/(LN(2)/35)*FM88*FN88*VLOOKUP('Données projet'!$B$16,Paramètres!$A$1:$I$89,3,0)*0.475*44/12</f>
        <v>0.20975024176294341</v>
      </c>
      <c r="FR88" s="21">
        <f>EXP(-LN(2)/25)*FR87+(1-EXP(-LN(2)/25))/(LN(2)/25)*Calculateur!FM88*Calculateur!FO88*VLOOKUP('Données projet'!$B$16,Paramètres!$A$1:$I$89,3,0)*0.475*44/12</f>
        <v>1.3697316345886872</v>
      </c>
      <c r="FS88" s="21">
        <f>EXP(-LN(2)/2)*FS87+(1-EXP(-LN(2)/2))/(LN(2)/2)*FM88*FP88*VLOOKUP('Données projet'!$B$16,Paramètres!$A$1:$I$89,3,0)*0.475*44/12</f>
        <v>2.3817163154559548E-8</v>
      </c>
      <c r="FT88" s="22">
        <f t="shared" si="78"/>
        <v>1.5794819001687936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5.6843418860808015E-14</v>
      </c>
      <c r="GA88" s="17">
        <f>FZ88*VLOOKUP('Données projet'!$B$17,Paramètres!$A$1:$I$89,3,0)*VLOOKUP('Données projet'!$B$17,Paramètres!$A$1:$I$89,5,0)</f>
        <v>3.3992364478763198E-14</v>
      </c>
      <c r="GB88" s="13">
        <f t="shared" si="103"/>
        <v>5.790027782444094E-13</v>
      </c>
      <c r="GC88" s="20">
        <f t="shared" si="79"/>
        <v>1.0676332069095257E-12</v>
      </c>
      <c r="GD88" s="59">
        <f t="shared" si="80"/>
        <v>293.33333333333439</v>
      </c>
      <c r="GE88" s="59">
        <f ca="1">AVERAGE(OFFSET($GD$3,0,0,'Données projet'!$E$17+1,1))-AVERAGE(OFFSET($H$3,0,0,'Données projet'!$E$17+1,1))</f>
        <v>165.39579887388538</v>
      </c>
      <c r="GF88" s="59">
        <f t="shared" si="104"/>
        <v>155.89639262545802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>
        <f>EXP(-LN(2)/35)*GL87+(1-EXP(-LN(2)/35))/(LN(2)/35)*GH88*GI88*VLOOKUP('Données projet'!$B$17,Paramètres!$A$1:$I$89,3,0)*0.475*44/12</f>
        <v>0</v>
      </c>
      <c r="GM88" s="21">
        <f>EXP(-LN(2)/25)*GM87+(1-EXP(-LN(2)/25))/(LN(2)/25)*Calculateur!GH88*Calculateur!GJ88*VLOOKUP('Données projet'!$B$17,Paramètres!$A$1:$I$89,3,0)*0.475*44/12</f>
        <v>1.5864141198788186</v>
      </c>
      <c r="GN88" s="21">
        <f>EXP(-LN(2)/2)*GN87+(1-EXP(-LN(2)/2))/(LN(2)/2)*GH88*GK88*VLOOKUP('Données projet'!$B$17,Paramètres!$A$1:$I$89,3,0)*0.475*44/12</f>
        <v>7.3124970433091002E-8</v>
      </c>
      <c r="GO88" s="21">
        <f t="shared" si="81"/>
        <v>1.5864141930037892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3.4106051316484809E-13</v>
      </c>
      <c r="O89" s="13">
        <f>N89*VLOOKUP('Données projet'!$B$9,Paramètres!$A$1:$I$89,3,0)*VLOOKUP('Données projet'!$B$9,Paramètres!$A$1:$I$89,5,0)</f>
        <v>1.9065282685915009E-13</v>
      </c>
      <c r="P89" s="13">
        <f t="shared" si="87"/>
        <v>2.6568987209435707E-12</v>
      </c>
      <c r="Q89" s="20">
        <f t="shared" si="54"/>
        <v>4.959485612423072E-12</v>
      </c>
      <c r="R89" s="59">
        <f t="shared" si="55"/>
        <v>293.33333333333826</v>
      </c>
      <c r="S89" s="59">
        <f ca="1">AVERAGE(OFFSET($R$3,0,0,'Données projet'!$E$9+1,1))-AVERAGE(OFFSET($H$3,0,0,'Données projet'!$E$9+1,1))</f>
        <v>235.10258076192054</v>
      </c>
      <c r="T89" s="59">
        <f t="shared" si="88"/>
        <v>233.47316052603765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1.1301449449802317</v>
      </c>
      <c r="AA89" s="21">
        <f>EXP(-LN(2)/25)*AA88+(1-EXP(-LN(2)/25))/(LN(2)/25)*Calculateur!V89*Calculateur!X89*VLOOKUP('Données projet'!$B$9,Paramètres!$A$1:$I$89,3,0)*0.475*44/12</f>
        <v>3.9024130400793919</v>
      </c>
      <c r="AB89" s="21">
        <f>EXP(-LN(2)/2)*AB88+(1-EXP(-LN(2)/2))/(LN(2)/2)*V89*Y89*VLOOKUP('Données projet'!$B$9,Paramètres!$A$1:$I$89,3,0)*0.475*44/12</f>
        <v>8.9861757020160158E-8</v>
      </c>
      <c r="AC89" s="22">
        <f t="shared" si="57"/>
        <v>5.032558074921381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2.5</v>
      </c>
      <c r="AI89" s="13">
        <f>IF('Données projet'!$A$62&gt;35,AI88+AH89-AQ88,IF(A89&lt;'Données projet'!$A$62,$AF$205^A89,IF(A89='Données projet'!$A$62,'Données projet'!$B$62,AI88+AH89-AQ88)))</f>
        <v>214.99999999999991</v>
      </c>
      <c r="AJ89" s="13">
        <f>AI89*VLOOKUP('Données projet'!$B$10,Paramètres!$A$1:$I$89,3,0)*VLOOKUP('Données projet'!$B$10,Paramètres!$A$1:$I$89,5,0)</f>
        <v>187.82399999999996</v>
      </c>
      <c r="AK89" s="13">
        <f t="shared" si="89"/>
        <v>47.05854810918273</v>
      </c>
      <c r="AL89" s="20">
        <f t="shared" si="58"/>
        <v>409.08710462349313</v>
      </c>
      <c r="AM89" s="59">
        <f t="shared" si="59"/>
        <v>702.42043795682639</v>
      </c>
      <c r="AN89" s="59">
        <f ca="1">AVERAGE(OFFSET($AM$3,0,0,'Données projet'!$E$10+1,1))-AVERAGE(OFFSET($H$3,0,0,'Données projet'!$E$10+1,1))</f>
        <v>191.94797389630673</v>
      </c>
      <c r="AO89" s="59">
        <f t="shared" si="90"/>
        <v>273.52540822767878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0.84932104956090226</v>
      </c>
      <c r="AV89" s="21">
        <f>EXP(-LN(2)/25)*AV88+(1-EXP(-LN(2)/25))/(LN(2)/25)*Calculateur!AQ89*Calculateur!AS89*VLOOKUP('Données projet'!$B$10,Paramètres!$A$1:$I$89,3,0)*0.475*44/12</f>
        <v>2.9738015118925318</v>
      </c>
      <c r="AW89" s="21">
        <f>EXP(-LN(2)/2)*AW88+(1-EXP(-LN(2)/2))/(LN(2)/2)*AQ89*AT89*VLOOKUP('Données projet'!$B$10,Paramètres!$A$1:$I$89,3,0)*0.475*44/12</f>
        <v>8.6438145189245695E-8</v>
      </c>
      <c r="AX89" s="21">
        <f t="shared" si="60"/>
        <v>3.8231226478915792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4.3</v>
      </c>
      <c r="BD89" s="12">
        <f>IF('Données projet'!$A$88&gt;35,BD88+BC89-BL88,IF(A89&lt;'Données projet'!$A$88,$BA$205^A89,IF(A89='Données projet'!$A$88,'Données projet'!$B$88,BD88+BC89-BL88)))</f>
        <v>203.80000000000004</v>
      </c>
      <c r="BE89" s="13">
        <f>BD89*VLOOKUP('Données projet'!$B$11,Paramètres!$A$1:$I$89,3,0)*VLOOKUP('Données projet'!$B$11,Paramètres!$A$1:$I$89,5,0)</f>
        <v>184.39824000000004</v>
      </c>
      <c r="BF89" s="13">
        <f t="shared" si="91"/>
        <v>46.299334464645916</v>
      </c>
      <c r="BG89" s="20">
        <f t="shared" si="61"/>
        <v>401.79827552592502</v>
      </c>
      <c r="BH89" s="59">
        <f t="shared" si="62"/>
        <v>695.13160885925834</v>
      </c>
      <c r="BI89" s="59">
        <f ca="1">AVERAGE(OFFSET($BH$3,0,0,'Données projet'!$E$11+1,1))-AVERAGE(OFFSET($H$3,0,0,'Données projet'!$E$11+1,1))</f>
        <v>138.8931001150624</v>
      </c>
      <c r="BJ89" s="59">
        <f t="shared" si="92"/>
        <v>48.964659354096625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4.3</v>
      </c>
      <c r="BY89" s="12">
        <f>IF('Données projet'!$A$114&gt;35,BY88+BX89-CG88,IF(A89&lt;'Données projet'!$A$114,$BV$205^A89,IF(A89='Données projet'!$A$114,'Données projet'!$B$114,BY88+BX89-CG88)))</f>
        <v>203.80000000000004</v>
      </c>
      <c r="BZ89" s="13">
        <f>BY89*VLOOKUP('Données projet'!$B$12,Paramètres!$A$1:$I$89,3,0)*VLOOKUP('Données projet'!$B$12,Paramètres!$A$1:$I$89,5,0)</f>
        <v>206.65320000000006</v>
      </c>
      <c r="CA89" s="13">
        <f t="shared" si="93"/>
        <v>51.20354326964263</v>
      </c>
      <c r="CB89" s="20">
        <f t="shared" si="64"/>
        <v>449.10049452796096</v>
      </c>
      <c r="CC89" s="59">
        <f t="shared" si="65"/>
        <v>742.43382786129428</v>
      </c>
      <c r="CD89" s="59">
        <f ca="1">AVERAGE(OFFSET($CC$3,0,0,'Données projet'!$E$12+1,1))-AVERAGE(OFFSET($H$3,0,0,'Données projet'!$E$12+1,1))</f>
        <v>169.2757878405003</v>
      </c>
      <c r="CE89" s="59">
        <f t="shared" si="94"/>
        <v>61.876502626609977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-8.5265128291212022E-14</v>
      </c>
      <c r="CU89" s="17">
        <f>CT89*VLOOKUP('Données projet'!$B$13,Paramètres!$A$1:$I$89,3,0)*VLOOKUP('Données projet'!$B$13,Paramètres!$A$1:$I$89,5,0)</f>
        <v>-6.7836936068488286E-14</v>
      </c>
      <c r="CV89" s="13" t="e">
        <f t="shared" si="95"/>
        <v>#NUM!</v>
      </c>
      <c r="CW89" s="20" t="e">
        <f t="shared" si="67"/>
        <v>#NUM!</v>
      </c>
      <c r="CX89" s="59" t="e">
        <f t="shared" si="68"/>
        <v>#NUM!</v>
      </c>
      <c r="CY89" s="59">
        <f ca="1">AVERAGE(OFFSET($CX$3,0,0,'Données projet'!$E$13+1,1))-AVERAGE(OFFSET($H$3,0,0,'Données projet'!$E$13+1,1))</f>
        <v>141.12810728817544</v>
      </c>
      <c r="CZ89" s="59">
        <f t="shared" si="96"/>
        <v>176.01405805137551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>
        <f>EXP(-LN(2)/35)*DF88+(1-EXP(-LN(2)/35))/(LN(2)/35)*DB89*DC89*VLOOKUP('Données projet'!$B$13,Paramètres!$A$1:$I$89,3,0)*0.475*44/12</f>
        <v>0</v>
      </c>
      <c r="DG89" s="21">
        <f>EXP(-LN(2)/25)*DG88+(1-EXP(-LN(2)/25))/(LN(2)/25)*Calculateur!DB89*Calculateur!DD89*VLOOKUP('Données projet'!$B$13,Paramètres!$A$1:$I$89,3,0)*0.475*44/12</f>
        <v>1.4230771814559688</v>
      </c>
      <c r="DH89" s="21">
        <f>EXP(-LN(2)/2)*DH88+(1-EXP(-LN(2)/2))/(LN(2)/2)*DB89*DE89*VLOOKUP('Données projet'!$B$13,Paramètres!$A$1:$I$89,3,0)*0.475*44/12</f>
        <v>2.982166386500362E-8</v>
      </c>
      <c r="DI89" s="22">
        <f t="shared" si="69"/>
        <v>1.4230772112776326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5.6843418860808015E-14</v>
      </c>
      <c r="DP89" s="17">
        <f>DO89*VLOOKUP('Données projet'!$B$14,Paramètres!$A$1:$I$89,3,0)*VLOOKUP('Données projet'!$B$14,Paramètres!$A$1:$I$89,5,0)</f>
        <v>3.3992364478763198E-14</v>
      </c>
      <c r="DQ89" s="13">
        <f t="shared" si="97"/>
        <v>5.790027782444094E-13</v>
      </c>
      <c r="DR89" s="20">
        <f t="shared" si="70"/>
        <v>1.0676332069095257E-12</v>
      </c>
      <c r="DS89" s="59">
        <f t="shared" si="71"/>
        <v>293.33333333333439</v>
      </c>
      <c r="DT89" s="59">
        <f ca="1">AVERAGE(OFFSET($DS$3,0,0,'Données projet'!$E$14+1,1))-AVERAGE(OFFSET($H$3,0,0,'Données projet'!$E$14+1,1))</f>
        <v>165.39579887388538</v>
      </c>
      <c r="DU89" s="59">
        <f t="shared" si="98"/>
        <v>155.89639262545802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>
        <f>EXP(-LN(2)/35)*EA88+(1-EXP(-LN(2)/35))/(LN(2)/35)*DW89*DX89*VLOOKUP('Données projet'!$B$14,Paramètres!$A$1:$I$89,3,0)*0.475*44/12</f>
        <v>0</v>
      </c>
      <c r="EB89" s="21">
        <f>EXP(-LN(2)/25)*EB88+(1-EXP(-LN(2)/25))/(LN(2)/25)*Calculateur!DW89*Calculateur!DY89*VLOOKUP('Données projet'!$B$14,Paramètres!$A$1:$I$89,3,0)*0.475*44/12</f>
        <v>1.5430335423448396</v>
      </c>
      <c r="EC89" s="21">
        <f>EXP(-LN(2)/2)*EC88+(1-EXP(-LN(2)/2))/(LN(2)/2)*DW89*DZ89*VLOOKUP('Données projet'!$B$14,Paramètres!$A$1:$I$89,3,0)*0.475*44/12</f>
        <v>5.1707162467304437E-8</v>
      </c>
      <c r="ED89" s="22">
        <f t="shared" si="72"/>
        <v>1.5430335940520021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4.3</v>
      </c>
      <c r="EJ89" s="12">
        <f>IF('Données projet'!$A$192&gt;35,EJ88+EI89-ER88,IF(A89&lt;'Données projet'!$A$192,$EG$205^A89,IF(A89='Données projet'!$A$192,'Données projet'!$B$192,EJ88+EI89-ER88)))</f>
        <v>203.80000000000004</v>
      </c>
      <c r="EK89" s="17">
        <f>EJ89*VLOOKUP('Données projet'!$B$15,Paramètres!$A$1:$I$89,3,0)*VLOOKUP('Données projet'!$B$15,Paramètres!$A$1:$I$89,5,0)</f>
        <v>158.96400000000003</v>
      </c>
      <c r="EL89" s="13">
        <f t="shared" si="99"/>
        <v>40.608754443576686</v>
      </c>
      <c r="EM89" s="20">
        <f t="shared" si="73"/>
        <v>347.58921398922945</v>
      </c>
      <c r="EN89" s="59">
        <f t="shared" si="74"/>
        <v>640.92254732256276</v>
      </c>
      <c r="EO89" s="59">
        <f ca="1">AVERAGE(OFFSET($EN$3,0,0,'Données projet'!$E$15+1,1))-AVERAGE(OFFSET($H$3,0,0,'Données projet'!$E$15+1,1))</f>
        <v>104.07220236158577</v>
      </c>
      <c r="EP89" s="59">
        <f t="shared" si="100"/>
        <v>34.162068257911756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>
        <f>EXP(-LN(2)/35)*EV88+(1-EXP(-LN(2)/35))/(LN(2)/35)*ER89*ES89*VLOOKUP('Données projet'!$B$15,Paramètres!$A$1:$I$89,3,0)*0.475*44/12</f>
        <v>0</v>
      </c>
      <c r="EW89" s="21">
        <f>EXP(-LN(2)/25)*EW88+(1-EXP(-LN(2)/25))/(LN(2)/25)*Calculateur!ER89*Calculateur!ET89*VLOOKUP('Données projet'!$B$15,Paramètres!$A$1:$I$89,3,0)*0.475*44/12</f>
        <v>0</v>
      </c>
      <c r="EX89" s="21">
        <f>EXP(-LN(2)/2)*EX88+(1-EXP(-LN(2)/2))/(LN(2)/2)*ER89*EU89*VLOOKUP('Données projet'!$B$15,Paramètres!$A$1:$I$89,3,0)*0.475*44/12</f>
        <v>0</v>
      </c>
      <c r="EY89" s="22">
        <f t="shared" si="75"/>
        <v>0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5.6843418860808015E-14</v>
      </c>
      <c r="FF89" s="17">
        <f>FE89*VLOOKUP('Données projet'!$B$16,Paramètres!$A$1:$I$89,3,0)*VLOOKUP('Données projet'!$B$16,Paramètres!$A$1:$I$89,5,0)</f>
        <v>5.1431925385259088E-14</v>
      </c>
      <c r="FG89" s="13">
        <f t="shared" si="101"/>
        <v>8.3482866290946129E-13</v>
      </c>
      <c r="FH89" s="20">
        <f t="shared" si="76"/>
        <v>1.5435705246133045E-12</v>
      </c>
      <c r="FI89" s="59">
        <f t="shared" si="77"/>
        <v>293.33333333333485</v>
      </c>
      <c r="FJ89" s="59">
        <f ca="1">AVERAGE(OFFSET($FI$3,0,0,'Données projet'!$E$16+1,1))-AVERAGE(OFFSET($H$3,0,0,'Données projet'!$E$16+1,1))</f>
        <v>179.50097986986123</v>
      </c>
      <c r="FK89" s="59">
        <f t="shared" si="102"/>
        <v>287.11838730637578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>
        <f>EXP(-LN(2)/35)*FQ88+(1-EXP(-LN(2)/35))/(LN(2)/35)*FM89*FN89*VLOOKUP('Données projet'!$B$16,Paramètres!$A$1:$I$89,3,0)*0.475*44/12</f>
        <v>0.20563716745698704</v>
      </c>
      <c r="FR89" s="21">
        <f>EXP(-LN(2)/25)*FR88+(1-EXP(-LN(2)/25))/(LN(2)/25)*Calculateur!FM89*Calculateur!FO89*VLOOKUP('Données projet'!$B$16,Paramètres!$A$1:$I$89,3,0)*0.475*44/12</f>
        <v>1.3322762510098034</v>
      </c>
      <c r="FS89" s="21">
        <f>EXP(-LN(2)/2)*FS88+(1-EXP(-LN(2)/2))/(LN(2)/2)*FM89*FP89*VLOOKUP('Données projet'!$B$16,Paramètres!$A$1:$I$89,3,0)*0.475*44/12</f>
        <v>1.684127757521544E-8</v>
      </c>
      <c r="FT89" s="22">
        <f t="shared" si="78"/>
        <v>1.5379134353080679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5.6843418860808015E-14</v>
      </c>
      <c r="GA89" s="17">
        <f>FZ89*VLOOKUP('Données projet'!$B$17,Paramètres!$A$1:$I$89,3,0)*VLOOKUP('Données projet'!$B$17,Paramètres!$A$1:$I$89,5,0)</f>
        <v>3.3992364478763198E-14</v>
      </c>
      <c r="GB89" s="13">
        <f t="shared" si="103"/>
        <v>5.790027782444094E-13</v>
      </c>
      <c r="GC89" s="20">
        <f t="shared" si="79"/>
        <v>1.0676332069095257E-12</v>
      </c>
      <c r="GD89" s="59">
        <f t="shared" si="80"/>
        <v>293.33333333333439</v>
      </c>
      <c r="GE89" s="59">
        <f ca="1">AVERAGE(OFFSET($GD$3,0,0,'Données projet'!$E$17+1,1))-AVERAGE(OFFSET($H$3,0,0,'Données projet'!$E$17+1,1))</f>
        <v>165.39579887388538</v>
      </c>
      <c r="GF89" s="59">
        <f t="shared" si="104"/>
        <v>155.89639262545802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>
        <f>EXP(-LN(2)/35)*GL88+(1-EXP(-LN(2)/35))/(LN(2)/35)*GH89*GI89*VLOOKUP('Données projet'!$B$17,Paramètres!$A$1:$I$89,3,0)*0.475*44/12</f>
        <v>0</v>
      </c>
      <c r="GM89" s="21">
        <f>EXP(-LN(2)/25)*GM88+(1-EXP(-LN(2)/25))/(LN(2)/25)*Calculateur!GH89*Calculateur!GJ89*VLOOKUP('Données projet'!$B$17,Paramètres!$A$1:$I$89,3,0)*0.475*44/12</f>
        <v>1.5430335423448396</v>
      </c>
      <c r="GN89" s="21">
        <f>EXP(-LN(2)/2)*GN88+(1-EXP(-LN(2)/2))/(LN(2)/2)*GH89*GK89*VLOOKUP('Données projet'!$B$17,Paramètres!$A$1:$I$89,3,0)*0.475*44/12</f>
        <v>5.1707162467304437E-8</v>
      </c>
      <c r="GO89" s="21">
        <f t="shared" si="81"/>
        <v>1.5430335940520021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3.4106051316484809E-13</v>
      </c>
      <c r="O90" s="13">
        <f>N90*VLOOKUP('Données projet'!$B$9,Paramètres!$A$1:$I$89,3,0)*VLOOKUP('Données projet'!$B$9,Paramètres!$A$1:$I$89,5,0)</f>
        <v>1.9065282685915009E-13</v>
      </c>
      <c r="P90" s="13">
        <f t="shared" si="87"/>
        <v>2.6568987209435707E-12</v>
      </c>
      <c r="Q90" s="20">
        <f t="shared" si="54"/>
        <v>4.959485612423072E-12</v>
      </c>
      <c r="R90" s="59">
        <f t="shared" si="55"/>
        <v>293.33333333333826</v>
      </c>
      <c r="S90" s="59">
        <f ca="1">AVERAGE(OFFSET($R$3,0,0,'Données projet'!$E$9+1,1))-AVERAGE(OFFSET($H$3,0,0,'Données projet'!$E$9+1,1))</f>
        <v>235.10258076192054</v>
      </c>
      <c r="T90" s="59">
        <f t="shared" si="88"/>
        <v>233.47316052603765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1.1079834919295211</v>
      </c>
      <c r="AA90" s="21">
        <f>EXP(-LN(2)/25)*AA89+(1-EXP(-LN(2)/25))/(LN(2)/25)*Calculateur!V90*Calculateur!X90*VLOOKUP('Données projet'!$B$9,Paramètres!$A$1:$I$89,3,0)*0.475*44/12</f>
        <v>3.7957013502794381</v>
      </c>
      <c r="AB90" s="21">
        <f>EXP(-LN(2)/2)*AB89+(1-EXP(-LN(2)/2))/(LN(2)/2)*V90*Y90*VLOOKUP('Données projet'!$B$9,Paramètres!$A$1:$I$89,3,0)*0.475*44/12</f>
        <v>6.3541857758293089E-8</v>
      </c>
      <c r="AC90" s="22">
        <f t="shared" si="57"/>
        <v>4.9036849057508167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2.5</v>
      </c>
      <c r="AI90" s="13">
        <f>IF('Données projet'!$A$62&gt;35,AI89+AH90-AQ89,IF(A90&lt;'Données projet'!$A$62,$AF$205^A90,IF(A90='Données projet'!$A$62,'Données projet'!$B$62,AI89+AH90-AQ89)))</f>
        <v>217.49999999999991</v>
      </c>
      <c r="AJ90" s="13">
        <f>AI90*VLOOKUP('Données projet'!$B$10,Paramètres!$A$1:$I$89,3,0)*VLOOKUP('Données projet'!$B$10,Paramètres!$A$1:$I$89,5,0)</f>
        <v>190.00799999999995</v>
      </c>
      <c r="AK90" s="13">
        <f t="shared" si="89"/>
        <v>47.541721533308163</v>
      </c>
      <c r="AL90" s="20">
        <f t="shared" si="58"/>
        <v>413.73243167051163</v>
      </c>
      <c r="AM90" s="59">
        <f t="shared" si="59"/>
        <v>707.06576500384494</v>
      </c>
      <c r="AN90" s="59">
        <f ca="1">AVERAGE(OFFSET($AM$3,0,0,'Données projet'!$E$10+1,1))-AVERAGE(OFFSET($H$3,0,0,'Données projet'!$E$10+1,1))</f>
        <v>191.94797389630673</v>
      </c>
      <c r="AO90" s="59">
        <f t="shared" si="90"/>
        <v>273.52540822767878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0.83266638181370156</v>
      </c>
      <c r="AV90" s="21">
        <f>EXP(-LN(2)/25)*AV89+(1-EXP(-LN(2)/25))/(LN(2)/25)*Calculateur!AQ90*Calculateur!AS90*VLOOKUP('Données projet'!$B$10,Paramètres!$A$1:$I$89,3,0)*0.475*44/12</f>
        <v>2.8924827531644057</v>
      </c>
      <c r="AW90" s="21">
        <f>EXP(-LN(2)/2)*AW89+(1-EXP(-LN(2)/2))/(LN(2)/2)*AQ90*AT90*VLOOKUP('Données projet'!$B$10,Paramètres!$A$1:$I$89,3,0)*0.475*44/12</f>
        <v>6.1120998616502979E-8</v>
      </c>
      <c r="AX90" s="21">
        <f t="shared" si="60"/>
        <v>3.7251491960991059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4.3</v>
      </c>
      <c r="BD90" s="12">
        <f>IF('Données projet'!$A$88&gt;35,BD89+BC90-BL89,IF(A90&lt;'Données projet'!$A$88,$BA$205^A90,IF(A90='Données projet'!$A$88,'Données projet'!$B$88,BD89+BC90-BL89)))</f>
        <v>208.10000000000005</v>
      </c>
      <c r="BE90" s="13">
        <f>BD90*VLOOKUP('Données projet'!$B$11,Paramètres!$A$1:$I$89,3,0)*VLOOKUP('Données projet'!$B$11,Paramètres!$A$1:$I$89,5,0)</f>
        <v>188.28888000000003</v>
      </c>
      <c r="BF90" s="13">
        <f t="shared" si="91"/>
        <v>47.161449560760389</v>
      </c>
      <c r="BG90" s="20">
        <f t="shared" si="61"/>
        <v>410.07599065165772</v>
      </c>
      <c r="BH90" s="59">
        <f t="shared" si="62"/>
        <v>703.40932398499103</v>
      </c>
      <c r="BI90" s="59">
        <f ca="1">AVERAGE(OFFSET($BH$3,0,0,'Données projet'!$E$11+1,1))-AVERAGE(OFFSET($H$3,0,0,'Données projet'!$E$11+1,1))</f>
        <v>138.8931001150624</v>
      </c>
      <c r="BJ90" s="59">
        <f t="shared" si="92"/>
        <v>48.964659354096625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4.3</v>
      </c>
      <c r="BY90" s="12">
        <f>IF('Données projet'!$A$114&gt;35,BY89+BX90-CG89,IF(A90&lt;'Données projet'!$A$114,$BV$205^A90,IF(A90='Données projet'!$A$114,'Données projet'!$B$114,BY89+BX90-CG89)))</f>
        <v>208.10000000000005</v>
      </c>
      <c r="BZ90" s="13">
        <f>BY90*VLOOKUP('Données projet'!$B$12,Paramètres!$A$1:$I$89,3,0)*VLOOKUP('Données projet'!$B$12,Paramètres!$A$1:$I$89,5,0)</f>
        <v>211.01340000000008</v>
      </c>
      <c r="CA90" s="13">
        <f t="shared" si="93"/>
        <v>52.156977009840674</v>
      </c>
      <c r="CB90" s="20">
        <f t="shared" si="64"/>
        <v>458.35507329213937</v>
      </c>
      <c r="CC90" s="59">
        <f t="shared" si="65"/>
        <v>751.68840662547268</v>
      </c>
      <c r="CD90" s="59">
        <f ca="1">AVERAGE(OFFSET($CC$3,0,0,'Données projet'!$E$12+1,1))-AVERAGE(OFFSET($H$3,0,0,'Données projet'!$E$12+1,1))</f>
        <v>169.2757878405003</v>
      </c>
      <c r="CE90" s="59">
        <f t="shared" si="94"/>
        <v>61.876502626609977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-8.5265128291212022E-14</v>
      </c>
      <c r="CU90" s="17">
        <f>CT90*VLOOKUP('Données projet'!$B$13,Paramètres!$A$1:$I$89,3,0)*VLOOKUP('Données projet'!$B$13,Paramètres!$A$1:$I$89,5,0)</f>
        <v>-6.7836936068488286E-14</v>
      </c>
      <c r="CV90" s="13" t="e">
        <f t="shared" si="95"/>
        <v>#NUM!</v>
      </c>
      <c r="CW90" s="20" t="e">
        <f t="shared" si="67"/>
        <v>#NUM!</v>
      </c>
      <c r="CX90" s="59" t="e">
        <f t="shared" si="68"/>
        <v>#NUM!</v>
      </c>
      <c r="CY90" s="59">
        <f ca="1">AVERAGE(OFFSET($CX$3,0,0,'Données projet'!$E$13+1,1))-AVERAGE(OFFSET($H$3,0,0,'Données projet'!$E$13+1,1))</f>
        <v>141.12810728817544</v>
      </c>
      <c r="CZ90" s="59">
        <f t="shared" si="96"/>
        <v>176.01405805137551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>
        <f>EXP(-LN(2)/35)*DF89+(1-EXP(-LN(2)/35))/(LN(2)/35)*DB90*DC90*VLOOKUP('Données projet'!$B$13,Paramètres!$A$1:$I$89,3,0)*0.475*44/12</f>
        <v>0</v>
      </c>
      <c r="DG90" s="21">
        <f>EXP(-LN(2)/25)*DG89+(1-EXP(-LN(2)/25))/(LN(2)/25)*Calculateur!DB90*Calculateur!DD90*VLOOKUP('Données projet'!$B$13,Paramètres!$A$1:$I$89,3,0)*0.475*44/12</f>
        <v>1.3841630610926789</v>
      </c>
      <c r="DH90" s="21">
        <f>EXP(-LN(2)/2)*DH89+(1-EXP(-LN(2)/2))/(LN(2)/2)*DB90*DE90*VLOOKUP('Données projet'!$B$13,Paramètres!$A$1:$I$89,3,0)*0.475*44/12</f>
        <v>2.1087100745209887E-8</v>
      </c>
      <c r="DI90" s="22">
        <f t="shared" si="69"/>
        <v>1.3841630821797797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5.6843418860808015E-14</v>
      </c>
      <c r="DP90" s="17">
        <f>DO90*VLOOKUP('Données projet'!$B$14,Paramètres!$A$1:$I$89,3,0)*VLOOKUP('Données projet'!$B$14,Paramètres!$A$1:$I$89,5,0)</f>
        <v>3.3992364478763198E-14</v>
      </c>
      <c r="DQ90" s="13">
        <f t="shared" si="97"/>
        <v>5.790027782444094E-13</v>
      </c>
      <c r="DR90" s="20">
        <f t="shared" si="70"/>
        <v>1.0676332069095257E-12</v>
      </c>
      <c r="DS90" s="59">
        <f t="shared" si="71"/>
        <v>293.33333333333439</v>
      </c>
      <c r="DT90" s="59">
        <f ca="1">AVERAGE(OFFSET($DS$3,0,0,'Données projet'!$E$14+1,1))-AVERAGE(OFFSET($H$3,0,0,'Données projet'!$E$14+1,1))</f>
        <v>165.39579887388538</v>
      </c>
      <c r="DU90" s="59">
        <f t="shared" si="98"/>
        <v>155.89639262545802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>
        <f>EXP(-LN(2)/35)*EA89+(1-EXP(-LN(2)/35))/(LN(2)/35)*DW90*DX90*VLOOKUP('Données projet'!$B$14,Paramètres!$A$1:$I$89,3,0)*0.475*44/12</f>
        <v>0</v>
      </c>
      <c r="EB90" s="21">
        <f>EXP(-LN(2)/25)*EB89+(1-EXP(-LN(2)/25))/(LN(2)/25)*Calculateur!DW90*Calculateur!DY90*VLOOKUP('Données projet'!$B$14,Paramètres!$A$1:$I$89,3,0)*0.475*44/12</f>
        <v>1.5008392089848126</v>
      </c>
      <c r="EC90" s="21">
        <f>EXP(-LN(2)/2)*EC89+(1-EXP(-LN(2)/2))/(LN(2)/2)*DW90*DZ90*VLOOKUP('Données projet'!$B$14,Paramètres!$A$1:$I$89,3,0)*0.475*44/12</f>
        <v>3.6562485216545501E-8</v>
      </c>
      <c r="ED90" s="22">
        <f t="shared" si="72"/>
        <v>1.5008392455472979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4.3</v>
      </c>
      <c r="EJ90" s="12">
        <f>IF('Données projet'!$A$192&gt;35,EJ89+EI90-ER89,IF(A90&lt;'Données projet'!$A$192,$EG$205^A90,IF(A90='Données projet'!$A$192,'Données projet'!$B$192,EJ89+EI90-ER89)))</f>
        <v>208.10000000000005</v>
      </c>
      <c r="EK90" s="17">
        <f>EJ90*VLOOKUP('Données projet'!$B$15,Paramètres!$A$1:$I$89,3,0)*VLOOKUP('Données projet'!$B$15,Paramètres!$A$1:$I$89,5,0)</f>
        <v>162.31800000000004</v>
      </c>
      <c r="EL90" s="13">
        <f t="shared" si="99"/>
        <v>41.364908298594763</v>
      </c>
      <c r="EM90" s="20">
        <f t="shared" si="73"/>
        <v>354.74773195338594</v>
      </c>
      <c r="EN90" s="59">
        <f t="shared" si="74"/>
        <v>648.08106528671919</v>
      </c>
      <c r="EO90" s="59">
        <f ca="1">AVERAGE(OFFSET($EN$3,0,0,'Données projet'!$E$15+1,1))-AVERAGE(OFFSET($H$3,0,0,'Données projet'!$E$15+1,1))</f>
        <v>104.07220236158577</v>
      </c>
      <c r="EP90" s="59">
        <f t="shared" si="100"/>
        <v>34.162068257911756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>
        <f>EXP(-LN(2)/35)*EV89+(1-EXP(-LN(2)/35))/(LN(2)/35)*ER90*ES90*VLOOKUP('Données projet'!$B$15,Paramètres!$A$1:$I$89,3,0)*0.475*44/12</f>
        <v>0</v>
      </c>
      <c r="EW90" s="21">
        <f>EXP(-LN(2)/25)*EW89+(1-EXP(-LN(2)/25))/(LN(2)/25)*Calculateur!ER90*Calculateur!ET90*VLOOKUP('Données projet'!$B$15,Paramètres!$A$1:$I$89,3,0)*0.475*44/12</f>
        <v>0</v>
      </c>
      <c r="EX90" s="21">
        <f>EXP(-LN(2)/2)*EX89+(1-EXP(-LN(2)/2))/(LN(2)/2)*ER90*EU90*VLOOKUP('Données projet'!$B$15,Paramètres!$A$1:$I$89,3,0)*0.475*44/12</f>
        <v>0</v>
      </c>
      <c r="EY90" s="22">
        <f t="shared" si="75"/>
        <v>0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5.6843418860808015E-14</v>
      </c>
      <c r="FF90" s="17">
        <f>FE90*VLOOKUP('Données projet'!$B$16,Paramètres!$A$1:$I$89,3,0)*VLOOKUP('Données projet'!$B$16,Paramètres!$A$1:$I$89,5,0)</f>
        <v>5.1431925385259088E-14</v>
      </c>
      <c r="FG90" s="13">
        <f t="shared" si="101"/>
        <v>8.3482866290946129E-13</v>
      </c>
      <c r="FH90" s="20">
        <f t="shared" si="76"/>
        <v>1.5435705246133045E-12</v>
      </c>
      <c r="FI90" s="59">
        <f t="shared" si="77"/>
        <v>293.33333333333485</v>
      </c>
      <c r="FJ90" s="59">
        <f ca="1">AVERAGE(OFFSET($FI$3,0,0,'Données projet'!$E$16+1,1))-AVERAGE(OFFSET($H$3,0,0,'Données projet'!$E$16+1,1))</f>
        <v>179.50097986986123</v>
      </c>
      <c r="FK90" s="59">
        <f t="shared" si="102"/>
        <v>287.11838730637578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>
        <f>EXP(-LN(2)/35)*FQ89+(1-EXP(-LN(2)/35))/(LN(2)/35)*FM90*FN90*VLOOKUP('Données projet'!$B$16,Paramètres!$A$1:$I$89,3,0)*0.475*44/12</f>
        <v>0.20160474802944287</v>
      </c>
      <c r="FR90" s="21">
        <f>EXP(-LN(2)/25)*FR89+(1-EXP(-LN(2)/25))/(LN(2)/25)*Calculateur!FM90*Calculateur!FO90*VLOOKUP('Données projet'!$B$16,Paramètres!$A$1:$I$89,3,0)*0.475*44/12</f>
        <v>1.2958450868645772</v>
      </c>
      <c r="FS90" s="21">
        <f>EXP(-LN(2)/2)*FS89+(1-EXP(-LN(2)/2))/(LN(2)/2)*FM90*FP90*VLOOKUP('Données projet'!$B$16,Paramètres!$A$1:$I$89,3,0)*0.475*44/12</f>
        <v>1.1908581577279774E-8</v>
      </c>
      <c r="FT90" s="22">
        <f t="shared" si="78"/>
        <v>1.4974498468026018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5.6843418860808015E-14</v>
      </c>
      <c r="GA90" s="17">
        <f>FZ90*VLOOKUP('Données projet'!$B$17,Paramètres!$A$1:$I$89,3,0)*VLOOKUP('Données projet'!$B$17,Paramètres!$A$1:$I$89,5,0)</f>
        <v>3.3992364478763198E-14</v>
      </c>
      <c r="GB90" s="13">
        <f t="shared" si="103"/>
        <v>5.790027782444094E-13</v>
      </c>
      <c r="GC90" s="20">
        <f t="shared" si="79"/>
        <v>1.0676332069095257E-12</v>
      </c>
      <c r="GD90" s="59">
        <f t="shared" si="80"/>
        <v>293.33333333333439</v>
      </c>
      <c r="GE90" s="59">
        <f ca="1">AVERAGE(OFFSET($GD$3,0,0,'Données projet'!$E$17+1,1))-AVERAGE(OFFSET($H$3,0,0,'Données projet'!$E$17+1,1))</f>
        <v>165.39579887388538</v>
      </c>
      <c r="GF90" s="59">
        <f t="shared" si="104"/>
        <v>155.89639262545802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>
        <f>EXP(-LN(2)/35)*GL89+(1-EXP(-LN(2)/35))/(LN(2)/35)*GH90*GI90*VLOOKUP('Données projet'!$B$17,Paramètres!$A$1:$I$89,3,0)*0.475*44/12</f>
        <v>0</v>
      </c>
      <c r="GM90" s="21">
        <f>EXP(-LN(2)/25)*GM89+(1-EXP(-LN(2)/25))/(LN(2)/25)*Calculateur!GH90*Calculateur!GJ90*VLOOKUP('Données projet'!$B$17,Paramètres!$A$1:$I$89,3,0)*0.475*44/12</f>
        <v>1.5008392089848126</v>
      </c>
      <c r="GN90" s="21">
        <f>EXP(-LN(2)/2)*GN89+(1-EXP(-LN(2)/2))/(LN(2)/2)*GH90*GK90*VLOOKUP('Données projet'!$B$17,Paramètres!$A$1:$I$89,3,0)*0.475*44/12</f>
        <v>3.6562485216545501E-8</v>
      </c>
      <c r="GO90" s="21">
        <f t="shared" si="81"/>
        <v>1.5008392455472979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3.4106051316484809E-13</v>
      </c>
      <c r="O91" s="13">
        <f>N91*VLOOKUP('Données projet'!$B$9,Paramètres!$A$1:$I$89,3,0)*VLOOKUP('Données projet'!$B$9,Paramètres!$A$1:$I$89,5,0)</f>
        <v>1.9065282685915009E-13</v>
      </c>
      <c r="P91" s="13">
        <f t="shared" si="87"/>
        <v>2.6568987209435707E-12</v>
      </c>
      <c r="Q91" s="20">
        <f t="shared" si="54"/>
        <v>4.959485612423072E-12</v>
      </c>
      <c r="R91" s="59">
        <f t="shared" si="55"/>
        <v>293.33333333333826</v>
      </c>
      <c r="S91" s="59">
        <f ca="1">AVERAGE(OFFSET($R$3,0,0,'Données projet'!$E$9+1,1))-AVERAGE(OFFSET($H$3,0,0,'Données projet'!$E$9+1,1))</f>
        <v>235.10258076192054</v>
      </c>
      <c r="T91" s="59">
        <f t="shared" si="88"/>
        <v>233.47316052603765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1.0862566114559833</v>
      </c>
      <c r="AA91" s="21">
        <f>EXP(-LN(2)/25)*AA90+(1-EXP(-LN(2)/25))/(LN(2)/25)*Calculateur!V91*Calculateur!X91*VLOOKUP('Données projet'!$B$9,Paramètres!$A$1:$I$89,3,0)*0.475*44/12</f>
        <v>3.6919076972487881</v>
      </c>
      <c r="AB91" s="21">
        <f>EXP(-LN(2)/2)*AB90+(1-EXP(-LN(2)/2))/(LN(2)/2)*V91*Y91*VLOOKUP('Données projet'!$B$9,Paramètres!$A$1:$I$89,3,0)*0.475*44/12</f>
        <v>4.4930878510080079E-8</v>
      </c>
      <c r="AC91" s="22">
        <f t="shared" si="57"/>
        <v>4.77816435363565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2.5</v>
      </c>
      <c r="AI91" s="13">
        <f>IF('Données projet'!$A$62&gt;35,AI90+AH91-AQ90,IF(A91&lt;'Données projet'!$A$62,$AF$205^A91,IF(A91='Données projet'!$A$62,'Données projet'!$B$62,AI90+AH91-AQ90)))</f>
        <v>219.99999999999991</v>
      </c>
      <c r="AJ91" s="13">
        <f>AI91*VLOOKUP('Données projet'!$B$10,Paramètres!$A$1:$I$89,3,0)*VLOOKUP('Données projet'!$B$10,Paramètres!$A$1:$I$89,5,0)</f>
        <v>192.19199999999995</v>
      </c>
      <c r="AK91" s="13">
        <f t="shared" si="89"/>
        <v>48.02424892193244</v>
      </c>
      <c r="AL91" s="20">
        <f t="shared" si="58"/>
        <v>418.37663353903218</v>
      </c>
      <c r="AM91" s="59">
        <f t="shared" si="59"/>
        <v>711.7099668723655</v>
      </c>
      <c r="AN91" s="59">
        <f ca="1">AVERAGE(OFFSET($AM$3,0,0,'Données projet'!$E$10+1,1))-AVERAGE(OFFSET($H$3,0,0,'Données projet'!$E$10+1,1))</f>
        <v>191.94797389630673</v>
      </c>
      <c r="AO91" s="59">
        <f t="shared" si="90"/>
        <v>273.52540822767878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0.8163383019426792</v>
      </c>
      <c r="AV91" s="21">
        <f>EXP(-LN(2)/25)*AV90+(1-EXP(-LN(2)/25))/(LN(2)/25)*Calculateur!AQ91*Calculateur!AS91*VLOOKUP('Données projet'!$B$10,Paramètres!$A$1:$I$89,3,0)*0.475*44/12</f>
        <v>2.813387660170068</v>
      </c>
      <c r="AW91" s="21">
        <f>EXP(-LN(2)/2)*AW90+(1-EXP(-LN(2)/2))/(LN(2)/2)*AQ91*AT91*VLOOKUP('Données projet'!$B$10,Paramètres!$A$1:$I$89,3,0)*0.475*44/12</f>
        <v>4.3219072594622848E-8</v>
      </c>
      <c r="AX91" s="21">
        <f t="shared" si="60"/>
        <v>3.6297260053318201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4.3</v>
      </c>
      <c r="BD91" s="12">
        <f>IF('Données projet'!$A$88&gt;35,BD90+BC91-BL90,IF(A91&lt;'Données projet'!$A$88,$BA$205^A91,IF(A91='Données projet'!$A$88,'Données projet'!$B$88,BD90+BC91-BL90)))</f>
        <v>212.40000000000006</v>
      </c>
      <c r="BE91" s="13">
        <f>BD91*VLOOKUP('Données projet'!$B$11,Paramètres!$A$1:$I$89,3,0)*VLOOKUP('Données projet'!$B$11,Paramètres!$A$1:$I$89,5,0)</f>
        <v>192.17952000000005</v>
      </c>
      <c r="BF91" s="13">
        <f t="shared" si="91"/>
        <v>48.021493442275357</v>
      </c>
      <c r="BG91" s="20">
        <f t="shared" si="61"/>
        <v>418.35009841196302</v>
      </c>
      <c r="BH91" s="59">
        <f t="shared" si="62"/>
        <v>711.68343174529628</v>
      </c>
      <c r="BI91" s="59">
        <f ca="1">AVERAGE(OFFSET($BH$3,0,0,'Données projet'!$E$11+1,1))-AVERAGE(OFFSET($H$3,0,0,'Données projet'!$E$11+1,1))</f>
        <v>138.8931001150624</v>
      </c>
      <c r="BJ91" s="59">
        <f t="shared" si="92"/>
        <v>48.964659354096625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4.3</v>
      </c>
      <c r="BY91" s="12">
        <f>IF('Données projet'!$A$114&gt;35,BY90+BX91-CG90,IF(A91&lt;'Données projet'!$A$114,$BV$205^A91,IF(A91='Données projet'!$A$114,'Données projet'!$B$114,BY90+BX91-CG90)))</f>
        <v>212.40000000000006</v>
      </c>
      <c r="BZ91" s="13">
        <f>BY91*VLOOKUP('Données projet'!$B$12,Paramètres!$A$1:$I$89,3,0)*VLOOKUP('Données projet'!$B$12,Paramètres!$A$1:$I$89,5,0)</f>
        <v>215.3736000000001</v>
      </c>
      <c r="CA91" s="13">
        <f t="shared" si="93"/>
        <v>53.108120144188966</v>
      </c>
      <c r="CB91" s="20">
        <f t="shared" si="64"/>
        <v>467.60566258446261</v>
      </c>
      <c r="CC91" s="59">
        <f t="shared" si="65"/>
        <v>760.93899591779586</v>
      </c>
      <c r="CD91" s="59">
        <f ca="1">AVERAGE(OFFSET($CC$3,0,0,'Données projet'!$E$12+1,1))-AVERAGE(OFFSET($H$3,0,0,'Données projet'!$E$12+1,1))</f>
        <v>169.2757878405003</v>
      </c>
      <c r="CE91" s="59">
        <f t="shared" si="94"/>
        <v>61.876502626609977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-8.5265128291212022E-14</v>
      </c>
      <c r="CU91" s="17">
        <f>CT91*VLOOKUP('Données projet'!$B$13,Paramètres!$A$1:$I$89,3,0)*VLOOKUP('Données projet'!$B$13,Paramètres!$A$1:$I$89,5,0)</f>
        <v>-6.7836936068488286E-14</v>
      </c>
      <c r="CV91" s="13" t="e">
        <f t="shared" si="95"/>
        <v>#NUM!</v>
      </c>
      <c r="CW91" s="20" t="e">
        <f t="shared" si="67"/>
        <v>#NUM!</v>
      </c>
      <c r="CX91" s="59" t="e">
        <f t="shared" si="68"/>
        <v>#NUM!</v>
      </c>
      <c r="CY91" s="59">
        <f ca="1">AVERAGE(OFFSET($CX$3,0,0,'Données projet'!$E$13+1,1))-AVERAGE(OFFSET($H$3,0,0,'Données projet'!$E$13+1,1))</f>
        <v>141.12810728817544</v>
      </c>
      <c r="CZ91" s="59">
        <f t="shared" si="96"/>
        <v>176.01405805137551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>
        <f>EXP(-LN(2)/35)*DF90+(1-EXP(-LN(2)/35))/(LN(2)/35)*DB91*DC91*VLOOKUP('Données projet'!$B$13,Paramètres!$A$1:$I$89,3,0)*0.475*44/12</f>
        <v>0</v>
      </c>
      <c r="DG91" s="21">
        <f>EXP(-LN(2)/25)*DG90+(1-EXP(-LN(2)/25))/(LN(2)/25)*Calculateur!DB91*Calculateur!DD91*VLOOKUP('Données projet'!$B$13,Paramètres!$A$1:$I$89,3,0)*0.475*44/12</f>
        <v>1.3463130493971278</v>
      </c>
      <c r="DH91" s="21">
        <f>EXP(-LN(2)/2)*DH90+(1-EXP(-LN(2)/2))/(LN(2)/2)*DB91*DE91*VLOOKUP('Données projet'!$B$13,Paramètres!$A$1:$I$89,3,0)*0.475*44/12</f>
        <v>1.491083193250181E-8</v>
      </c>
      <c r="DI91" s="22">
        <f t="shared" si="69"/>
        <v>1.3463130643079597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5.6843418860808015E-14</v>
      </c>
      <c r="DP91" s="17">
        <f>DO91*VLOOKUP('Données projet'!$B$14,Paramètres!$A$1:$I$89,3,0)*VLOOKUP('Données projet'!$B$14,Paramètres!$A$1:$I$89,5,0)</f>
        <v>3.3992364478763198E-14</v>
      </c>
      <c r="DQ91" s="13">
        <f t="shared" si="97"/>
        <v>5.790027782444094E-13</v>
      </c>
      <c r="DR91" s="20">
        <f t="shared" si="70"/>
        <v>1.0676332069095257E-12</v>
      </c>
      <c r="DS91" s="59">
        <f t="shared" si="71"/>
        <v>293.33333333333439</v>
      </c>
      <c r="DT91" s="59">
        <f ca="1">AVERAGE(OFFSET($DS$3,0,0,'Données projet'!$E$14+1,1))-AVERAGE(OFFSET($H$3,0,0,'Données projet'!$E$14+1,1))</f>
        <v>165.39579887388538</v>
      </c>
      <c r="DU91" s="59">
        <f t="shared" si="98"/>
        <v>155.89639262545802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>
        <f>EXP(-LN(2)/35)*EA90+(1-EXP(-LN(2)/35))/(LN(2)/35)*DW91*DX91*VLOOKUP('Données projet'!$B$14,Paramètres!$A$1:$I$89,3,0)*0.475*44/12</f>
        <v>0</v>
      </c>
      <c r="EB91" s="21">
        <f>EXP(-LN(2)/25)*EB90+(1-EXP(-LN(2)/25))/(LN(2)/25)*Calculateur!DW91*Calculateur!DY91*VLOOKUP('Données projet'!$B$14,Paramètres!$A$1:$I$89,3,0)*0.475*44/12</f>
        <v>1.4597986818894191</v>
      </c>
      <c r="EC91" s="21">
        <f>EXP(-LN(2)/2)*EC90+(1-EXP(-LN(2)/2))/(LN(2)/2)*DW91*DZ91*VLOOKUP('Données projet'!$B$14,Paramètres!$A$1:$I$89,3,0)*0.475*44/12</f>
        <v>2.5853581233652219E-8</v>
      </c>
      <c r="ED91" s="22">
        <f t="shared" si="72"/>
        <v>1.4597987077430004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4.3</v>
      </c>
      <c r="EJ91" s="12">
        <f>IF('Données projet'!$A$192&gt;35,EJ90+EI91-ER90,IF(A91&lt;'Données projet'!$A$192,$EG$205^A91,IF(A91='Données projet'!$A$192,'Données projet'!$B$192,EJ90+EI91-ER90)))</f>
        <v>212.40000000000006</v>
      </c>
      <c r="EK91" s="17">
        <f>EJ91*VLOOKUP('Données projet'!$B$15,Paramètres!$A$1:$I$89,3,0)*VLOOKUP('Données projet'!$B$15,Paramètres!$A$1:$I$89,5,0)</f>
        <v>165.67200000000005</v>
      </c>
      <c r="EL91" s="13">
        <f t="shared" si="99"/>
        <v>42.119245508815553</v>
      </c>
      <c r="EM91" s="20">
        <f t="shared" si="73"/>
        <v>361.90308592785385</v>
      </c>
      <c r="EN91" s="59">
        <f t="shared" si="74"/>
        <v>655.23641926118717</v>
      </c>
      <c r="EO91" s="59">
        <f ca="1">AVERAGE(OFFSET($EN$3,0,0,'Données projet'!$E$15+1,1))-AVERAGE(OFFSET($H$3,0,0,'Données projet'!$E$15+1,1))</f>
        <v>104.07220236158577</v>
      </c>
      <c r="EP91" s="59">
        <f t="shared" si="100"/>
        <v>34.162068257911756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>
        <f>EXP(-LN(2)/35)*EV90+(1-EXP(-LN(2)/35))/(LN(2)/35)*ER91*ES91*VLOOKUP('Données projet'!$B$15,Paramètres!$A$1:$I$89,3,0)*0.475*44/12</f>
        <v>0</v>
      </c>
      <c r="EW91" s="21">
        <f>EXP(-LN(2)/25)*EW90+(1-EXP(-LN(2)/25))/(LN(2)/25)*Calculateur!ER91*Calculateur!ET91*VLOOKUP('Données projet'!$B$15,Paramètres!$A$1:$I$89,3,0)*0.475*44/12</f>
        <v>0</v>
      </c>
      <c r="EX91" s="21">
        <f>EXP(-LN(2)/2)*EX90+(1-EXP(-LN(2)/2))/(LN(2)/2)*ER91*EU91*VLOOKUP('Données projet'!$B$15,Paramètres!$A$1:$I$89,3,0)*0.475*44/12</f>
        <v>0</v>
      </c>
      <c r="EY91" s="22">
        <f t="shared" si="75"/>
        <v>0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5.6843418860808015E-14</v>
      </c>
      <c r="FF91" s="17">
        <f>FE91*VLOOKUP('Données projet'!$B$16,Paramètres!$A$1:$I$89,3,0)*VLOOKUP('Données projet'!$B$16,Paramètres!$A$1:$I$89,5,0)</f>
        <v>5.1431925385259088E-14</v>
      </c>
      <c r="FG91" s="13">
        <f t="shared" si="101"/>
        <v>8.3482866290946129E-13</v>
      </c>
      <c r="FH91" s="20">
        <f t="shared" si="76"/>
        <v>1.5435705246133045E-12</v>
      </c>
      <c r="FI91" s="59">
        <f t="shared" si="77"/>
        <v>293.33333333333485</v>
      </c>
      <c r="FJ91" s="59">
        <f ca="1">AVERAGE(OFFSET($FI$3,0,0,'Données projet'!$E$16+1,1))-AVERAGE(OFFSET($H$3,0,0,'Données projet'!$E$16+1,1))</f>
        <v>179.50097986986123</v>
      </c>
      <c r="FK91" s="59">
        <f t="shared" si="102"/>
        <v>287.11838730637578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>
        <f>EXP(-LN(2)/35)*FQ90+(1-EXP(-LN(2)/35))/(LN(2)/35)*FM91*FN91*VLOOKUP('Données projet'!$B$16,Paramètres!$A$1:$I$89,3,0)*0.475*44/12</f>
        <v>0.19765140188733982</v>
      </c>
      <c r="FR91" s="21">
        <f>EXP(-LN(2)/25)*FR90+(1-EXP(-LN(2)/25))/(LN(2)/25)*Calculateur!FM91*Calculateur!FO91*VLOOKUP('Données projet'!$B$16,Paramètres!$A$1:$I$89,3,0)*0.475*44/12</f>
        <v>1.260410134818734</v>
      </c>
      <c r="FS91" s="21">
        <f>EXP(-LN(2)/2)*FS90+(1-EXP(-LN(2)/2))/(LN(2)/2)*FM91*FP91*VLOOKUP('Données projet'!$B$16,Paramètres!$A$1:$I$89,3,0)*0.475*44/12</f>
        <v>8.4206387876077198E-9</v>
      </c>
      <c r="FT91" s="22">
        <f t="shared" si="78"/>
        <v>1.4580615451267127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5.6843418860808015E-14</v>
      </c>
      <c r="GA91" s="17">
        <f>FZ91*VLOOKUP('Données projet'!$B$17,Paramètres!$A$1:$I$89,3,0)*VLOOKUP('Données projet'!$B$17,Paramètres!$A$1:$I$89,5,0)</f>
        <v>3.3992364478763198E-14</v>
      </c>
      <c r="GB91" s="13">
        <f t="shared" si="103"/>
        <v>5.790027782444094E-13</v>
      </c>
      <c r="GC91" s="20">
        <f t="shared" si="79"/>
        <v>1.0676332069095257E-12</v>
      </c>
      <c r="GD91" s="59">
        <f t="shared" si="80"/>
        <v>293.33333333333439</v>
      </c>
      <c r="GE91" s="59">
        <f ca="1">AVERAGE(OFFSET($GD$3,0,0,'Données projet'!$E$17+1,1))-AVERAGE(OFFSET($H$3,0,0,'Données projet'!$E$17+1,1))</f>
        <v>165.39579887388538</v>
      </c>
      <c r="GF91" s="59">
        <f t="shared" si="104"/>
        <v>155.89639262545802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>
        <f>EXP(-LN(2)/35)*GL90+(1-EXP(-LN(2)/35))/(LN(2)/35)*GH91*GI91*VLOOKUP('Données projet'!$B$17,Paramètres!$A$1:$I$89,3,0)*0.475*44/12</f>
        <v>0</v>
      </c>
      <c r="GM91" s="21">
        <f>EXP(-LN(2)/25)*GM90+(1-EXP(-LN(2)/25))/(LN(2)/25)*Calculateur!GH91*Calculateur!GJ91*VLOOKUP('Données projet'!$B$17,Paramètres!$A$1:$I$89,3,0)*0.475*44/12</f>
        <v>1.4597986818894191</v>
      </c>
      <c r="GN91" s="21">
        <f>EXP(-LN(2)/2)*GN90+(1-EXP(-LN(2)/2))/(LN(2)/2)*GH91*GK91*VLOOKUP('Données projet'!$B$17,Paramètres!$A$1:$I$89,3,0)*0.475*44/12</f>
        <v>2.5853581233652219E-8</v>
      </c>
      <c r="GO91" s="21">
        <f t="shared" si="81"/>
        <v>1.4597987077430004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3.4106051316484809E-13</v>
      </c>
      <c r="O92" s="13">
        <f>N92*VLOOKUP('Données projet'!$B$9,Paramètres!$A$1:$I$89,3,0)*VLOOKUP('Données projet'!$B$9,Paramètres!$A$1:$I$89,5,0)</f>
        <v>1.9065282685915009E-13</v>
      </c>
      <c r="P92" s="13">
        <f t="shared" si="87"/>
        <v>2.6568987209435707E-12</v>
      </c>
      <c r="Q92" s="20">
        <f t="shared" si="54"/>
        <v>4.959485612423072E-12</v>
      </c>
      <c r="R92" s="59">
        <f t="shared" si="55"/>
        <v>293.33333333333826</v>
      </c>
      <c r="S92" s="59">
        <f ca="1">AVERAGE(OFFSET($R$3,0,0,'Données projet'!$E$9+1,1))-AVERAGE(OFFSET($H$3,0,0,'Données projet'!$E$9+1,1))</f>
        <v>235.10258076192054</v>
      </c>
      <c r="T92" s="59">
        <f t="shared" si="88"/>
        <v>233.47316052603765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1.064955781856443</v>
      </c>
      <c r="AA92" s="21">
        <f>EXP(-LN(2)/25)*AA91+(1-EXP(-LN(2)/25))/(LN(2)/25)*Calculateur!V92*Calculateur!X92*VLOOKUP('Données projet'!$B$9,Paramètres!$A$1:$I$89,3,0)*0.475*44/12</f>
        <v>3.5909522871185322</v>
      </c>
      <c r="AB92" s="21">
        <f>EXP(-LN(2)/2)*AB91+(1-EXP(-LN(2)/2))/(LN(2)/2)*V92*Y92*VLOOKUP('Données projet'!$B$9,Paramètres!$A$1:$I$89,3,0)*0.475*44/12</f>
        <v>3.1770928879146544E-8</v>
      </c>
      <c r="AC92" s="22">
        <f t="shared" si="57"/>
        <v>4.6559081007459042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2.5</v>
      </c>
      <c r="AI92" s="13">
        <f>IF('Données projet'!$A$62&gt;35,AI91+AH92-AQ91,IF(A92&lt;'Données projet'!$A$62,$AF$205^A92,IF(A92='Données projet'!$A$62,'Données projet'!$B$62,AI91+AH92-AQ91)))</f>
        <v>222.49999999999991</v>
      </c>
      <c r="AJ92" s="13">
        <f>AI92*VLOOKUP('Données projet'!$B$10,Paramètres!$A$1:$I$89,3,0)*VLOOKUP('Données projet'!$B$10,Paramètres!$A$1:$I$89,5,0)</f>
        <v>194.37599999999995</v>
      </c>
      <c r="AK92" s="13">
        <f t="shared" si="89"/>
        <v>48.506138465833089</v>
      </c>
      <c r="AL92" s="20">
        <f t="shared" si="58"/>
        <v>423.01972449465916</v>
      </c>
      <c r="AM92" s="59">
        <f t="shared" si="59"/>
        <v>716.35305782799242</v>
      </c>
      <c r="AN92" s="59">
        <f ca="1">AVERAGE(OFFSET($AM$3,0,0,'Données projet'!$E$10+1,1))-AVERAGE(OFFSET($H$3,0,0,'Données projet'!$E$10+1,1))</f>
        <v>191.94797389630673</v>
      </c>
      <c r="AO92" s="59">
        <f t="shared" si="90"/>
        <v>273.52540822767878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0.80033040575878223</v>
      </c>
      <c r="AV92" s="21">
        <f>EXP(-LN(2)/25)*AV91+(1-EXP(-LN(2)/25))/(LN(2)/25)*Calculateur!AQ92*Calculateur!AS92*VLOOKUP('Données projet'!$B$10,Paramètres!$A$1:$I$89,3,0)*0.475*44/12</f>
        <v>2.7364554266530905</v>
      </c>
      <c r="AW92" s="21">
        <f>EXP(-LN(2)/2)*AW91+(1-EXP(-LN(2)/2))/(LN(2)/2)*AQ92*AT92*VLOOKUP('Données projet'!$B$10,Paramètres!$A$1:$I$89,3,0)*0.475*44/12</f>
        <v>3.056049930825149E-8</v>
      </c>
      <c r="AX92" s="21">
        <f t="shared" si="60"/>
        <v>3.5367858629723723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4.3</v>
      </c>
      <c r="BD92" s="12">
        <f>IF('Données projet'!$A$88&gt;35,BD91+BC92-BL91,IF(A92&lt;'Données projet'!$A$88,$BA$205^A92,IF(A92='Données projet'!$A$88,'Données projet'!$B$88,BD91+BC92-BL91)))</f>
        <v>216.70000000000007</v>
      </c>
      <c r="BE92" s="13">
        <f>BD92*VLOOKUP('Données projet'!$B$11,Paramètres!$A$1:$I$89,3,0)*VLOOKUP('Données projet'!$B$11,Paramètres!$A$1:$I$89,5,0)</f>
        <v>196.07016000000007</v>
      </c>
      <c r="BF92" s="13">
        <f t="shared" si="91"/>
        <v>48.879512872705831</v>
      </c>
      <c r="BG92" s="20">
        <f t="shared" si="61"/>
        <v>426.62068025329609</v>
      </c>
      <c r="BH92" s="59">
        <f t="shared" si="62"/>
        <v>719.95401358662934</v>
      </c>
      <c r="BI92" s="59">
        <f ca="1">AVERAGE(OFFSET($BH$3,0,0,'Données projet'!$E$11+1,1))-AVERAGE(OFFSET($H$3,0,0,'Données projet'!$E$11+1,1))</f>
        <v>138.8931001150624</v>
      </c>
      <c r="BJ92" s="59">
        <f t="shared" si="92"/>
        <v>48.964659354096625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4.3</v>
      </c>
      <c r="BY92" s="12">
        <f>IF('Données projet'!$A$114&gt;35,BY91+BX92-CG91,IF(A92&lt;'Données projet'!$A$114,$BV$205^A92,IF(A92='Données projet'!$A$114,'Données projet'!$B$114,BY91+BX92-CG91)))</f>
        <v>216.70000000000007</v>
      </c>
      <c r="BZ92" s="13">
        <f>BY92*VLOOKUP('Données projet'!$B$12,Paramètres!$A$1:$I$89,3,0)*VLOOKUP('Données projet'!$B$12,Paramètres!$A$1:$I$89,5,0)</f>
        <v>219.73380000000009</v>
      </c>
      <c r="CA92" s="13">
        <f t="shared" si="93"/>
        <v>54.057024389579112</v>
      </c>
      <c r="CB92" s="20">
        <f t="shared" si="64"/>
        <v>476.85235247851705</v>
      </c>
      <c r="CC92" s="59">
        <f t="shared" si="65"/>
        <v>770.18568581185036</v>
      </c>
      <c r="CD92" s="59">
        <f ca="1">AVERAGE(OFFSET($CC$3,0,0,'Données projet'!$E$12+1,1))-AVERAGE(OFFSET($H$3,0,0,'Données projet'!$E$12+1,1))</f>
        <v>169.2757878405003</v>
      </c>
      <c r="CE92" s="59">
        <f t="shared" si="94"/>
        <v>61.876502626609977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-8.5265128291212022E-14</v>
      </c>
      <c r="CU92" s="17">
        <f>CT92*VLOOKUP('Données projet'!$B$13,Paramètres!$A$1:$I$89,3,0)*VLOOKUP('Données projet'!$B$13,Paramètres!$A$1:$I$89,5,0)</f>
        <v>-6.7836936068488286E-14</v>
      </c>
      <c r="CV92" s="13" t="e">
        <f t="shared" si="95"/>
        <v>#NUM!</v>
      </c>
      <c r="CW92" s="20" t="e">
        <f t="shared" si="67"/>
        <v>#NUM!</v>
      </c>
      <c r="CX92" s="59" t="e">
        <f t="shared" si="68"/>
        <v>#NUM!</v>
      </c>
      <c r="CY92" s="59">
        <f ca="1">AVERAGE(OFFSET($CX$3,0,0,'Données projet'!$E$13+1,1))-AVERAGE(OFFSET($H$3,0,0,'Données projet'!$E$13+1,1))</f>
        <v>141.12810728817544</v>
      </c>
      <c r="CZ92" s="59">
        <f t="shared" si="96"/>
        <v>176.01405805137551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>
        <f>EXP(-LN(2)/35)*DF91+(1-EXP(-LN(2)/35))/(LN(2)/35)*DB92*DC92*VLOOKUP('Données projet'!$B$13,Paramètres!$A$1:$I$89,3,0)*0.475*44/12</f>
        <v>0</v>
      </c>
      <c r="DG92" s="21">
        <f>EXP(-LN(2)/25)*DG91+(1-EXP(-LN(2)/25))/(LN(2)/25)*Calculateur!DB92*Calculateur!DD92*VLOOKUP('Données projet'!$B$13,Paramètres!$A$1:$I$89,3,0)*0.475*44/12</f>
        <v>1.309498048261837</v>
      </c>
      <c r="DH92" s="21">
        <f>EXP(-LN(2)/2)*DH91+(1-EXP(-LN(2)/2))/(LN(2)/2)*DB92*DE92*VLOOKUP('Données projet'!$B$13,Paramètres!$A$1:$I$89,3,0)*0.475*44/12</f>
        <v>1.0543550372604943E-8</v>
      </c>
      <c r="DI92" s="22">
        <f t="shared" si="69"/>
        <v>1.3094980588053875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5.6843418860808015E-14</v>
      </c>
      <c r="DP92" s="17">
        <f>DO92*VLOOKUP('Données projet'!$B$14,Paramètres!$A$1:$I$89,3,0)*VLOOKUP('Données projet'!$B$14,Paramètres!$A$1:$I$89,5,0)</f>
        <v>3.3992364478763198E-14</v>
      </c>
      <c r="DQ92" s="13">
        <f t="shared" si="97"/>
        <v>5.790027782444094E-13</v>
      </c>
      <c r="DR92" s="20">
        <f t="shared" si="70"/>
        <v>1.0676332069095257E-12</v>
      </c>
      <c r="DS92" s="59">
        <f t="shared" si="71"/>
        <v>293.33333333333439</v>
      </c>
      <c r="DT92" s="59">
        <f ca="1">AVERAGE(OFFSET($DS$3,0,0,'Données projet'!$E$14+1,1))-AVERAGE(OFFSET($H$3,0,0,'Données projet'!$E$14+1,1))</f>
        <v>165.39579887388538</v>
      </c>
      <c r="DU92" s="59">
        <f t="shared" si="98"/>
        <v>155.89639262545802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>
        <f>EXP(-LN(2)/35)*EA91+(1-EXP(-LN(2)/35))/(LN(2)/35)*DW92*DX92*VLOOKUP('Données projet'!$B$14,Paramètres!$A$1:$I$89,3,0)*0.475*44/12</f>
        <v>0</v>
      </c>
      <c r="EB92" s="21">
        <f>EXP(-LN(2)/25)*EB91+(1-EXP(-LN(2)/25))/(LN(2)/25)*Calculateur!DW92*Calculateur!DY92*VLOOKUP('Données projet'!$B$14,Paramètres!$A$1:$I$89,3,0)*0.475*44/12</f>
        <v>1.4198804101656766</v>
      </c>
      <c r="EC92" s="21">
        <f>EXP(-LN(2)/2)*EC91+(1-EXP(-LN(2)/2))/(LN(2)/2)*DW92*DZ92*VLOOKUP('Données projet'!$B$14,Paramètres!$A$1:$I$89,3,0)*0.475*44/12</f>
        <v>1.828124260827275E-8</v>
      </c>
      <c r="ED92" s="22">
        <f t="shared" si="72"/>
        <v>1.4198804284469191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4.3</v>
      </c>
      <c r="EJ92" s="12">
        <f>IF('Données projet'!$A$192&gt;35,EJ91+EI92-ER91,IF(A92&lt;'Données projet'!$A$192,$EG$205^A92,IF(A92='Données projet'!$A$192,'Données projet'!$B$192,EJ91+EI92-ER91)))</f>
        <v>216.70000000000007</v>
      </c>
      <c r="EK92" s="17">
        <f>EJ92*VLOOKUP('Données projet'!$B$15,Paramètres!$A$1:$I$89,3,0)*VLOOKUP('Données projet'!$B$15,Paramètres!$A$1:$I$89,5,0)</f>
        <v>169.02600000000007</v>
      </c>
      <c r="EL92" s="13">
        <f t="shared" si="99"/>
        <v>42.871807090122402</v>
      </c>
      <c r="EM92" s="20">
        <f t="shared" si="73"/>
        <v>369.05534734862994</v>
      </c>
      <c r="EN92" s="59">
        <f t="shared" si="74"/>
        <v>662.38868068196325</v>
      </c>
      <c r="EO92" s="59">
        <f ca="1">AVERAGE(OFFSET($EN$3,0,0,'Données projet'!$E$15+1,1))-AVERAGE(OFFSET($H$3,0,0,'Données projet'!$E$15+1,1))</f>
        <v>104.07220236158577</v>
      </c>
      <c r="EP92" s="59">
        <f t="shared" si="100"/>
        <v>34.162068257911756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>
        <f>EXP(-LN(2)/35)*EV91+(1-EXP(-LN(2)/35))/(LN(2)/35)*ER92*ES92*VLOOKUP('Données projet'!$B$15,Paramètres!$A$1:$I$89,3,0)*0.475*44/12</f>
        <v>0</v>
      </c>
      <c r="EW92" s="21">
        <f>EXP(-LN(2)/25)*EW91+(1-EXP(-LN(2)/25))/(LN(2)/25)*Calculateur!ER92*Calculateur!ET92*VLOOKUP('Données projet'!$B$15,Paramètres!$A$1:$I$89,3,0)*0.475*44/12</f>
        <v>0</v>
      </c>
      <c r="EX92" s="21">
        <f>EXP(-LN(2)/2)*EX91+(1-EXP(-LN(2)/2))/(LN(2)/2)*ER92*EU92*VLOOKUP('Données projet'!$B$15,Paramètres!$A$1:$I$89,3,0)*0.475*44/12</f>
        <v>0</v>
      </c>
      <c r="EY92" s="22">
        <f t="shared" si="75"/>
        <v>0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5.6843418860808015E-14</v>
      </c>
      <c r="FF92" s="17">
        <f>FE92*VLOOKUP('Données projet'!$B$16,Paramètres!$A$1:$I$89,3,0)*VLOOKUP('Données projet'!$B$16,Paramètres!$A$1:$I$89,5,0)</f>
        <v>5.1431925385259088E-14</v>
      </c>
      <c r="FG92" s="13">
        <f t="shared" si="101"/>
        <v>8.3482866290946129E-13</v>
      </c>
      <c r="FH92" s="20">
        <f t="shared" si="76"/>
        <v>1.5435705246133045E-12</v>
      </c>
      <c r="FI92" s="59">
        <f t="shared" si="77"/>
        <v>293.33333333333485</v>
      </c>
      <c r="FJ92" s="59">
        <f ca="1">AVERAGE(OFFSET($FI$3,0,0,'Données projet'!$E$16+1,1))-AVERAGE(OFFSET($H$3,0,0,'Données projet'!$E$16+1,1))</f>
        <v>179.50097986986123</v>
      </c>
      <c r="FK92" s="59">
        <f t="shared" si="102"/>
        <v>287.11838730637578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>
        <f>EXP(-LN(2)/35)*FQ91+(1-EXP(-LN(2)/35))/(LN(2)/35)*FM92*FN92*VLOOKUP('Données projet'!$B$16,Paramètres!$A$1:$I$89,3,0)*0.475*44/12</f>
        <v>0.19377557845178037</v>
      </c>
      <c r="FR92" s="21">
        <f>EXP(-LN(2)/25)*FR91+(1-EXP(-LN(2)/25))/(LN(2)/25)*Calculateur!FM92*Calculateur!FO92*VLOOKUP('Données projet'!$B$16,Paramètres!$A$1:$I$89,3,0)*0.475*44/12</f>
        <v>1.2259441534000275</v>
      </c>
      <c r="FS92" s="21">
        <f>EXP(-LN(2)/2)*FS91+(1-EXP(-LN(2)/2))/(LN(2)/2)*FM92*FP92*VLOOKUP('Données projet'!$B$16,Paramètres!$A$1:$I$89,3,0)*0.475*44/12</f>
        <v>5.9542907886398869E-9</v>
      </c>
      <c r="FT92" s="22">
        <f t="shared" si="78"/>
        <v>1.4197197378060986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5.6843418860808015E-14</v>
      </c>
      <c r="GA92" s="17">
        <f>FZ92*VLOOKUP('Données projet'!$B$17,Paramètres!$A$1:$I$89,3,0)*VLOOKUP('Données projet'!$B$17,Paramètres!$A$1:$I$89,5,0)</f>
        <v>3.3992364478763198E-14</v>
      </c>
      <c r="GB92" s="13">
        <f t="shared" si="103"/>
        <v>5.790027782444094E-13</v>
      </c>
      <c r="GC92" s="20">
        <f t="shared" si="79"/>
        <v>1.0676332069095257E-12</v>
      </c>
      <c r="GD92" s="59">
        <f t="shared" si="80"/>
        <v>293.33333333333439</v>
      </c>
      <c r="GE92" s="59">
        <f ca="1">AVERAGE(OFFSET($GD$3,0,0,'Données projet'!$E$17+1,1))-AVERAGE(OFFSET($H$3,0,0,'Données projet'!$E$17+1,1))</f>
        <v>165.39579887388538</v>
      </c>
      <c r="GF92" s="59">
        <f t="shared" si="104"/>
        <v>155.89639262545802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>
        <f>EXP(-LN(2)/35)*GL91+(1-EXP(-LN(2)/35))/(LN(2)/35)*GH92*GI92*VLOOKUP('Données projet'!$B$17,Paramètres!$A$1:$I$89,3,0)*0.475*44/12</f>
        <v>0</v>
      </c>
      <c r="GM92" s="21">
        <f>EXP(-LN(2)/25)*GM91+(1-EXP(-LN(2)/25))/(LN(2)/25)*Calculateur!GH92*Calculateur!GJ92*VLOOKUP('Données projet'!$B$17,Paramètres!$A$1:$I$89,3,0)*0.475*44/12</f>
        <v>1.4198804101656766</v>
      </c>
      <c r="GN92" s="21">
        <f>EXP(-LN(2)/2)*GN91+(1-EXP(-LN(2)/2))/(LN(2)/2)*GH92*GK92*VLOOKUP('Données projet'!$B$17,Paramètres!$A$1:$I$89,3,0)*0.475*44/12</f>
        <v>1.828124260827275E-8</v>
      </c>
      <c r="GO92" s="21">
        <f t="shared" si="81"/>
        <v>1.4198804284469191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3.4106051316484809E-13</v>
      </c>
      <c r="O93" s="13">
        <f>N93*VLOOKUP('Données projet'!$B$9,Paramètres!$A$1:$I$89,3,0)*VLOOKUP('Données projet'!$B$9,Paramètres!$A$1:$I$89,5,0)</f>
        <v>1.9065282685915009E-13</v>
      </c>
      <c r="P93" s="13">
        <f t="shared" si="87"/>
        <v>2.6568987209435707E-12</v>
      </c>
      <c r="Q93" s="20">
        <f t="shared" si="54"/>
        <v>4.959485612423072E-12</v>
      </c>
      <c r="R93" s="59">
        <f t="shared" si="55"/>
        <v>293.33333333333826</v>
      </c>
      <c r="S93" s="59">
        <f ca="1">AVERAGE(OFFSET($R$3,0,0,'Données projet'!$E$9+1,1))-AVERAGE(OFFSET($H$3,0,0,'Données projet'!$E$9+1,1))</f>
        <v>235.10258076192054</v>
      </c>
      <c r="T93" s="59">
        <f t="shared" si="88"/>
        <v>233.47316052603765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1.0440726485331264</v>
      </c>
      <c r="AA93" s="21">
        <f>EXP(-LN(2)/25)*AA92+(1-EXP(-LN(2)/25))/(LN(2)/25)*Calculateur!V93*Calculateur!X93*VLOOKUP('Données projet'!$B$9,Paramètres!$A$1:$I$89,3,0)*0.475*44/12</f>
        <v>3.4927575079873026</v>
      </c>
      <c r="AB93" s="21">
        <f>EXP(-LN(2)/2)*AB92+(1-EXP(-LN(2)/2))/(LN(2)/2)*V93*Y93*VLOOKUP('Données projet'!$B$9,Paramètres!$A$1:$I$89,3,0)*0.475*44/12</f>
        <v>2.2465439255040039E-8</v>
      </c>
      <c r="AC93" s="22">
        <f t="shared" si="57"/>
        <v>4.536830178985868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>
        <f>VLOOKUP(A93,'Données projet'!$A$61:$I$81,2,0)</f>
        <v>225</v>
      </c>
      <c r="AG93" s="12">
        <f>VLOOKUP(A93,'Données projet'!$A$61:$I$81,9,0)</f>
        <v>2.5</v>
      </c>
      <c r="AH93" s="12">
        <f t="array" ref="AH93">INDEX(AG:AG,MIN(IF(ISNUMBER(AG93:AG289),ROW(AG93:AG289),"")))</f>
        <v>2.5</v>
      </c>
      <c r="AI93" s="13">
        <f>IF('Données projet'!$A$62&gt;35,AI92+AH93-AQ92,IF(A93&lt;'Données projet'!$A$62,$AF$205^A93,IF(A93='Données projet'!$A$62,'Données projet'!$B$62,AI92+AH93-AQ92)))</f>
        <v>224.99999999999991</v>
      </c>
      <c r="AJ93" s="13">
        <f>AI93*VLOOKUP('Données projet'!$B$10,Paramètres!$A$1:$I$89,3,0)*VLOOKUP('Données projet'!$B$10,Paramètres!$A$1:$I$89,5,0)</f>
        <v>196.55999999999995</v>
      </c>
      <c r="AK93" s="13">
        <f t="shared" si="89"/>
        <v>48.987398161128091</v>
      </c>
      <c r="AL93" s="20">
        <f t="shared" si="58"/>
        <v>427.66171846396463</v>
      </c>
      <c r="AM93" s="59">
        <f t="shared" si="59"/>
        <v>720.99505179729795</v>
      </c>
      <c r="AN93" s="59">
        <f ca="1">AVERAGE(OFFSET($AM$3,0,0,'Données projet'!$E$10+1,1))-AVERAGE(OFFSET($H$3,0,0,'Données projet'!$E$10+1,1))</f>
        <v>191.94797389630673</v>
      </c>
      <c r="AO93" s="59">
        <f t="shared" si="90"/>
        <v>273.52540822767878</v>
      </c>
      <c r="AP93" s="15">
        <f>IF(ISNA(VLOOKUP(A93,'Données projet'!$A$61:$I$81,3,0)),0,VLOOKUP(A93,'Données projet'!$A$61:$I$81,3,0))</f>
        <v>8</v>
      </c>
      <c r="AQ93" s="15">
        <f>IF(ISNA(VLOOKUP(A93,'Données projet'!$A$61:$I$81,4,0)),0,VLOOKUP(A93,'Données projet'!$A$61:$I$81,4,0))</f>
        <v>225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0.78463641465519884</v>
      </c>
      <c r="AV93" s="21">
        <f>EXP(-LN(2)/25)*AV92+(1-EXP(-LN(2)/25))/(LN(2)/25)*Calculateur!AQ93*Calculateur!AS93*VLOOKUP('Données projet'!$B$10,Paramètres!$A$1:$I$89,3,0)*0.475*44/12</f>
        <v>2.661626909107325</v>
      </c>
      <c r="AW93" s="21">
        <f>EXP(-LN(2)/2)*AW92+(1-EXP(-LN(2)/2))/(LN(2)/2)*AQ93*AT93*VLOOKUP('Données projet'!$B$10,Paramètres!$A$1:$I$89,3,0)*0.475*44/12</f>
        <v>2.1609536297311424E-8</v>
      </c>
      <c r="AX93" s="21">
        <f t="shared" si="60"/>
        <v>3.4462633453720604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221</v>
      </c>
      <c r="BB93" s="12">
        <f>VLOOKUP(A93,'Données projet'!$A$87:$I$107,9,0)</f>
        <v>4.3</v>
      </c>
      <c r="BC93" s="12">
        <f t="array" ref="BC93">INDEX(BB:BB,MIN(IF(ISNUMBER(BB93:BB289),ROW(BB93:BB289),"")))</f>
        <v>4.3</v>
      </c>
      <c r="BD93" s="12">
        <f>IF('Données projet'!$A$88&gt;35,BD92+BC93-BL92,IF(A93&lt;'Données projet'!$A$88,$BA$205^A93,IF(A93='Données projet'!$A$88,'Données projet'!$B$88,BD92+BC93-BL92)))</f>
        <v>221.00000000000009</v>
      </c>
      <c r="BE93" s="13">
        <f>BD93*VLOOKUP('Données projet'!$B$11,Paramètres!$A$1:$I$89,3,0)*VLOOKUP('Données projet'!$B$11,Paramètres!$A$1:$I$89,5,0)</f>
        <v>199.96080000000006</v>
      </c>
      <c r="BF93" s="13">
        <f t="shared" si="91"/>
        <v>49.735552653569265</v>
      </c>
      <c r="BG93" s="20">
        <f t="shared" si="61"/>
        <v>434.88781420496662</v>
      </c>
      <c r="BH93" s="59">
        <f t="shared" si="62"/>
        <v>728.22114753829987</v>
      </c>
      <c r="BI93" s="59">
        <f ca="1">AVERAGE(OFFSET($BH$3,0,0,'Données projet'!$E$11+1,1))-AVERAGE(OFFSET($H$3,0,0,'Données projet'!$E$11+1,1))</f>
        <v>138.8931001150624</v>
      </c>
      <c r="BJ93" s="59">
        <f t="shared" si="92"/>
        <v>48.964659354096625</v>
      </c>
      <c r="BK93" s="15">
        <f>IF(ISNA(VLOOKUP(A93,'Données projet'!$A$87:$I$107,3,0)),0,VLOOKUP(A93,'Données projet'!$A$87:$I$107,3,0))</f>
        <v>6</v>
      </c>
      <c r="BL93" s="15">
        <f>IF(ISNA(VLOOKUP(A93,'Données projet'!$A$87:$I$107,4,0)),0,VLOOKUP(A93,'Données projet'!$A$87:$I$107,4,0))</f>
        <v>28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221</v>
      </c>
      <c r="BW93" s="12">
        <f>VLOOKUP(A93,'Données projet'!$A$113:$I$133,9,0)</f>
        <v>4.3</v>
      </c>
      <c r="BX93" s="12">
        <f t="array" ref="BX93">INDEX(BW:BW,MIN(IF(ISNUMBER(BW93:BW289),ROW(BW93:BW289),"")))</f>
        <v>4.3</v>
      </c>
      <c r="BY93" s="12">
        <f>IF('Données projet'!$A$114&gt;35,BY92+BX93-CG92,IF(A93&lt;'Données projet'!$A$114,$BV$205^A93,IF(A93='Données projet'!$A$114,'Données projet'!$B$114,BY92+BX93-CG92)))</f>
        <v>221.00000000000009</v>
      </c>
      <c r="BZ93" s="13">
        <f>BY93*VLOOKUP('Données projet'!$B$12,Paramètres!$A$1:$I$89,3,0)*VLOOKUP('Données projet'!$B$12,Paramètres!$A$1:$I$89,5,0)</f>
        <v>224.09400000000011</v>
      </c>
      <c r="CA93" s="13">
        <f t="shared" si="93"/>
        <v>55.003739293082717</v>
      </c>
      <c r="CB93" s="20">
        <f t="shared" si="64"/>
        <v>486.09522926878589</v>
      </c>
      <c r="CC93" s="59">
        <f t="shared" si="65"/>
        <v>779.4285626021192</v>
      </c>
      <c r="CD93" s="59">
        <f ca="1">AVERAGE(OFFSET($CC$3,0,0,'Données projet'!$E$12+1,1))-AVERAGE(OFFSET($H$3,0,0,'Données projet'!$E$12+1,1))</f>
        <v>169.2757878405003</v>
      </c>
      <c r="CE93" s="59">
        <f t="shared" si="94"/>
        <v>61.876502626609977</v>
      </c>
      <c r="CF93" s="15">
        <f>IF(ISNA(VLOOKUP(A93,'Données projet'!$A$113:$I$133,3,0)),0,VLOOKUP(A93,'Données projet'!$A$113:$I$133,3,0))</f>
        <v>6</v>
      </c>
      <c r="CG93" s="15">
        <f>IF(ISNA(VLOOKUP(A93,'Données projet'!$A$113:$I$133,4,0)),0,VLOOKUP(A93,'Données projet'!$A$113:$I$133,4,0))</f>
        <v>28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-8.5265128291212022E-14</v>
      </c>
      <c r="CU93" s="17">
        <f>CT93*VLOOKUP('Données projet'!$B$13,Paramètres!$A$1:$I$89,3,0)*VLOOKUP('Données projet'!$B$13,Paramètres!$A$1:$I$89,5,0)</f>
        <v>-6.7836936068488286E-14</v>
      </c>
      <c r="CV93" s="13" t="e">
        <f t="shared" si="95"/>
        <v>#NUM!</v>
      </c>
      <c r="CW93" s="20" t="e">
        <f t="shared" si="67"/>
        <v>#NUM!</v>
      </c>
      <c r="CX93" s="59" t="e">
        <f t="shared" si="68"/>
        <v>#NUM!</v>
      </c>
      <c r="CY93" s="59">
        <f ca="1">AVERAGE(OFFSET($CX$3,0,0,'Données projet'!$E$13+1,1))-AVERAGE(OFFSET($H$3,0,0,'Données projet'!$E$13+1,1))</f>
        <v>141.12810728817544</v>
      </c>
      <c r="CZ93" s="59">
        <f t="shared" si="96"/>
        <v>176.01405805137551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>
        <f>EXP(-LN(2)/35)*DF92+(1-EXP(-LN(2)/35))/(LN(2)/35)*DB93*DC93*VLOOKUP('Données projet'!$B$13,Paramètres!$A$1:$I$89,3,0)*0.475*44/12</f>
        <v>0</v>
      </c>
      <c r="DG93" s="21">
        <f>EXP(-LN(2)/25)*DG92+(1-EXP(-LN(2)/25))/(LN(2)/25)*Calculateur!DB93*Calculateur!DD93*VLOOKUP('Données projet'!$B$13,Paramètres!$A$1:$I$89,3,0)*0.475*44/12</f>
        <v>1.2736897552686077</v>
      </c>
      <c r="DH93" s="21">
        <f>EXP(-LN(2)/2)*DH92+(1-EXP(-LN(2)/2))/(LN(2)/2)*DB93*DE93*VLOOKUP('Données projet'!$B$13,Paramètres!$A$1:$I$89,3,0)*0.475*44/12</f>
        <v>7.4554159662509051E-9</v>
      </c>
      <c r="DI93" s="22">
        <f t="shared" si="69"/>
        <v>1.2736897627240238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5.6843418860808015E-14</v>
      </c>
      <c r="DP93" s="17">
        <f>DO93*VLOOKUP('Données projet'!$B$14,Paramètres!$A$1:$I$89,3,0)*VLOOKUP('Données projet'!$B$14,Paramètres!$A$1:$I$89,5,0)</f>
        <v>3.3992364478763198E-14</v>
      </c>
      <c r="DQ93" s="13">
        <f t="shared" si="97"/>
        <v>5.790027782444094E-13</v>
      </c>
      <c r="DR93" s="20">
        <f t="shared" si="70"/>
        <v>1.0676332069095257E-12</v>
      </c>
      <c r="DS93" s="59">
        <f t="shared" si="71"/>
        <v>293.33333333333439</v>
      </c>
      <c r="DT93" s="59">
        <f ca="1">AVERAGE(OFFSET($DS$3,0,0,'Données projet'!$E$14+1,1))-AVERAGE(OFFSET($H$3,0,0,'Données projet'!$E$14+1,1))</f>
        <v>165.39579887388538</v>
      </c>
      <c r="DU93" s="59">
        <f t="shared" si="98"/>
        <v>155.89639262545802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>
        <f>EXP(-LN(2)/35)*EA92+(1-EXP(-LN(2)/35))/(LN(2)/35)*DW93*DX93*VLOOKUP('Données projet'!$B$14,Paramètres!$A$1:$I$89,3,0)*0.475*44/12</f>
        <v>0</v>
      </c>
      <c r="EB93" s="21">
        <f>EXP(-LN(2)/25)*EB92+(1-EXP(-LN(2)/25))/(LN(2)/25)*Calculateur!DW93*Calculateur!DY93*VLOOKUP('Données projet'!$B$14,Paramètres!$A$1:$I$89,3,0)*0.475*44/12</f>
        <v>1.3810537056814305</v>
      </c>
      <c r="EC93" s="21">
        <f>EXP(-LN(2)/2)*EC92+(1-EXP(-LN(2)/2))/(LN(2)/2)*DW93*DZ93*VLOOKUP('Données projet'!$B$14,Paramètres!$A$1:$I$89,3,0)*0.475*44/12</f>
        <v>1.2926790616826109E-8</v>
      </c>
      <c r="ED93" s="22">
        <f t="shared" si="72"/>
        <v>1.381053718608221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>
        <f>VLOOKUP(A93,'Données projet'!$A$191:$I$211,2,0)</f>
        <v>221</v>
      </c>
      <c r="EH93" s="12">
        <f>VLOOKUP(A93,'Données projet'!$A$191:$I$211,9,0)</f>
        <v>4.3</v>
      </c>
      <c r="EI93" s="12">
        <f t="array" ref="EI93">INDEX(EH:EH,MIN(IF(ISNUMBER(EH93:EH289),ROW(EH93:EH289),"")))</f>
        <v>4.3</v>
      </c>
      <c r="EJ93" s="12">
        <f>IF('Données projet'!$A$192&gt;35,EJ92+EI93-ER92,IF(A93&lt;'Données projet'!$A$192,$EG$205^A93,IF(A93='Données projet'!$A$192,'Données projet'!$B$192,EJ92+EI93-ER92)))</f>
        <v>221.00000000000009</v>
      </c>
      <c r="EK93" s="17">
        <f>EJ93*VLOOKUP('Données projet'!$B$15,Paramètres!$A$1:$I$89,3,0)*VLOOKUP('Données projet'!$B$15,Paramètres!$A$1:$I$89,5,0)</f>
        <v>172.38000000000008</v>
      </c>
      <c r="EL93" s="13">
        <f t="shared" si="99"/>
        <v>43.622632337547088</v>
      </c>
      <c r="EM93" s="20">
        <f t="shared" si="73"/>
        <v>376.2045846545613</v>
      </c>
      <c r="EN93" s="59">
        <f t="shared" si="74"/>
        <v>669.53791798789462</v>
      </c>
      <c r="EO93" s="59">
        <f ca="1">AVERAGE(OFFSET($EN$3,0,0,'Données projet'!$E$15+1,1))-AVERAGE(OFFSET($H$3,0,0,'Données projet'!$E$15+1,1))</f>
        <v>104.07220236158577</v>
      </c>
      <c r="EP93" s="59">
        <f t="shared" si="100"/>
        <v>34.162068257911756</v>
      </c>
      <c r="EQ93" s="15">
        <f>IF(ISNA(VLOOKUP(A93,'Données projet'!$A$191:$I$211,3,0)),0,VLOOKUP(A93,'Données projet'!$A$191:$I$211,3,0))</f>
        <v>6</v>
      </c>
      <c r="ER93" s="15">
        <f>IF(ISNA(VLOOKUP(A93,'Données projet'!$A$191:$I$211,4,0)),0,VLOOKUP(A93,'Données projet'!$A$191:$I$211,4,0))</f>
        <v>28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>
        <f>EXP(-LN(2)/35)*EV92+(1-EXP(-LN(2)/35))/(LN(2)/35)*ER93*ES93*VLOOKUP('Données projet'!$B$15,Paramètres!$A$1:$I$89,3,0)*0.475*44/12</f>
        <v>0</v>
      </c>
      <c r="EW93" s="21">
        <f>EXP(-LN(2)/25)*EW92+(1-EXP(-LN(2)/25))/(LN(2)/25)*Calculateur!ER93*Calculateur!ET93*VLOOKUP('Données projet'!$B$15,Paramètres!$A$1:$I$89,3,0)*0.475*44/12</f>
        <v>0</v>
      </c>
      <c r="EX93" s="21">
        <f>EXP(-LN(2)/2)*EX92+(1-EXP(-LN(2)/2))/(LN(2)/2)*ER93*EU93*VLOOKUP('Données projet'!$B$15,Paramètres!$A$1:$I$89,3,0)*0.475*44/12</f>
        <v>0</v>
      </c>
      <c r="EY93" s="22">
        <f t="shared" si="75"/>
        <v>0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5.6843418860808015E-14</v>
      </c>
      <c r="FF93" s="17">
        <f>FE93*VLOOKUP('Données projet'!$B$16,Paramètres!$A$1:$I$89,3,0)*VLOOKUP('Données projet'!$B$16,Paramètres!$A$1:$I$89,5,0)</f>
        <v>5.1431925385259088E-14</v>
      </c>
      <c r="FG93" s="13">
        <f t="shared" si="101"/>
        <v>8.3482866290946129E-13</v>
      </c>
      <c r="FH93" s="20">
        <f t="shared" si="76"/>
        <v>1.5435705246133045E-12</v>
      </c>
      <c r="FI93" s="59">
        <f t="shared" si="77"/>
        <v>293.33333333333485</v>
      </c>
      <c r="FJ93" s="59">
        <f ca="1">AVERAGE(OFFSET($FI$3,0,0,'Données projet'!$E$16+1,1))-AVERAGE(OFFSET($H$3,0,0,'Données projet'!$E$16+1,1))</f>
        <v>179.50097986986123</v>
      </c>
      <c r="FK93" s="59">
        <f t="shared" si="102"/>
        <v>287.11838730637578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>
        <f>EXP(-LN(2)/35)*FQ92+(1-EXP(-LN(2)/35))/(LN(2)/35)*FM93*FN93*VLOOKUP('Données projet'!$B$16,Paramètres!$A$1:$I$89,3,0)*0.475*44/12</f>
        <v>0.18997575754977339</v>
      </c>
      <c r="FR93" s="21">
        <f>EXP(-LN(2)/25)*FR92+(1-EXP(-LN(2)/25))/(LN(2)/25)*Calculateur!FM93*Calculateur!FO93*VLOOKUP('Données projet'!$B$16,Paramètres!$A$1:$I$89,3,0)*0.475*44/12</f>
        <v>1.1924206460557027</v>
      </c>
      <c r="FS93" s="21">
        <f>EXP(-LN(2)/2)*FS92+(1-EXP(-LN(2)/2))/(LN(2)/2)*FM93*FP93*VLOOKUP('Données projet'!$B$16,Paramètres!$A$1:$I$89,3,0)*0.475*44/12</f>
        <v>4.2103193938038599E-9</v>
      </c>
      <c r="FT93" s="22">
        <f t="shared" si="78"/>
        <v>1.3823964078157955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5.6843418860808015E-14</v>
      </c>
      <c r="GA93" s="17">
        <f>FZ93*VLOOKUP('Données projet'!$B$17,Paramètres!$A$1:$I$89,3,0)*VLOOKUP('Données projet'!$B$17,Paramètres!$A$1:$I$89,5,0)</f>
        <v>3.3992364478763198E-14</v>
      </c>
      <c r="GB93" s="13">
        <f t="shared" si="103"/>
        <v>5.790027782444094E-13</v>
      </c>
      <c r="GC93" s="20">
        <f t="shared" si="79"/>
        <v>1.0676332069095257E-12</v>
      </c>
      <c r="GD93" s="59">
        <f t="shared" si="80"/>
        <v>293.33333333333439</v>
      </c>
      <c r="GE93" s="59">
        <f ca="1">AVERAGE(OFFSET($GD$3,0,0,'Données projet'!$E$17+1,1))-AVERAGE(OFFSET($H$3,0,0,'Données projet'!$E$17+1,1))</f>
        <v>165.39579887388538</v>
      </c>
      <c r="GF93" s="59">
        <f t="shared" si="104"/>
        <v>155.89639262545802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>
        <f>EXP(-LN(2)/35)*GL92+(1-EXP(-LN(2)/35))/(LN(2)/35)*GH93*GI93*VLOOKUP('Données projet'!$B$17,Paramètres!$A$1:$I$89,3,0)*0.475*44/12</f>
        <v>0</v>
      </c>
      <c r="GM93" s="21">
        <f>EXP(-LN(2)/25)*GM92+(1-EXP(-LN(2)/25))/(LN(2)/25)*Calculateur!GH93*Calculateur!GJ93*VLOOKUP('Données projet'!$B$17,Paramètres!$A$1:$I$89,3,0)*0.475*44/12</f>
        <v>1.3810537056814305</v>
      </c>
      <c r="GN93" s="21">
        <f>EXP(-LN(2)/2)*GN92+(1-EXP(-LN(2)/2))/(LN(2)/2)*GH93*GK93*VLOOKUP('Données projet'!$B$17,Paramètres!$A$1:$I$89,3,0)*0.475*44/12</f>
        <v>1.2926790616826109E-8</v>
      </c>
      <c r="GO93" s="21">
        <f t="shared" si="81"/>
        <v>1.381053718608221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3.4106051316484809E-13</v>
      </c>
      <c r="O94" s="13">
        <f>N94*VLOOKUP('Données projet'!$B$9,Paramètres!$A$1:$I$89,3,0)*VLOOKUP('Données projet'!$B$9,Paramètres!$A$1:$I$89,5,0)</f>
        <v>1.9065282685915009E-13</v>
      </c>
      <c r="P94" s="13">
        <f t="shared" si="87"/>
        <v>2.6568987209435707E-12</v>
      </c>
      <c r="Q94" s="20">
        <f t="shared" si="54"/>
        <v>4.959485612423072E-12</v>
      </c>
      <c r="R94" s="59">
        <f t="shared" si="55"/>
        <v>293.33333333333826</v>
      </c>
      <c r="S94" s="59">
        <f ca="1">AVERAGE(OFFSET($R$3,0,0,'Données projet'!$E$9+1,1))-AVERAGE(OFFSET($H$3,0,0,'Données projet'!$E$9+1,1))</f>
        <v>235.10258076192054</v>
      </c>
      <c r="T94" s="59">
        <f t="shared" si="88"/>
        <v>233.47316052603765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1.0235990207168266</v>
      </c>
      <c r="AA94" s="21">
        <f>EXP(-LN(2)/25)*AA93+(1-EXP(-LN(2)/25))/(LN(2)/25)*Calculateur!V94*Calculateur!X94*VLOOKUP('Données projet'!$B$9,Paramètres!$A$1:$I$89,3,0)*0.475*44/12</f>
        <v>3.3972478702552551</v>
      </c>
      <c r="AB94" s="21">
        <f>EXP(-LN(2)/2)*AB93+(1-EXP(-LN(2)/2))/(LN(2)/2)*V94*Y94*VLOOKUP('Données projet'!$B$9,Paramètres!$A$1:$I$89,3,0)*0.475*44/12</f>
        <v>1.5885464439573272E-8</v>
      </c>
      <c r="AC94" s="22">
        <f t="shared" si="57"/>
        <v>4.4208469068575464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-8.5265128291212022E-14</v>
      </c>
      <c r="AJ94" s="13">
        <f>AI94*VLOOKUP('Données projet'!$B$10,Paramètres!$A$1:$I$89,3,0)*VLOOKUP('Données projet'!$B$10,Paramètres!$A$1:$I$89,5,0)</f>
        <v>-7.4487616075202836E-14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191.94797389630673</v>
      </c>
      <c r="AO94" s="59">
        <f t="shared" si="90"/>
        <v>273.52540822767878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0.7692501731447674</v>
      </c>
      <c r="AV94" s="21">
        <f>EXP(-LN(2)/25)*AV93+(1-EXP(-LN(2)/25))/(LN(2)/25)*Calculateur!AQ94*Calculateur!AS94*VLOOKUP('Données projet'!$B$10,Paramètres!$A$1:$I$89,3,0)*0.475*44/12</f>
        <v>2.5888445813089094</v>
      </c>
      <c r="AW94" s="21">
        <f>EXP(-LN(2)/2)*AW93+(1-EXP(-LN(2)/2))/(LN(2)/2)*AQ94*AT94*VLOOKUP('Données projet'!$B$10,Paramètres!$A$1:$I$89,3,0)*0.475*44/12</f>
        <v>1.5280249654125745E-8</v>
      </c>
      <c r="AX94" s="21">
        <f t="shared" si="60"/>
        <v>3.3580947697339263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3.7</v>
      </c>
      <c r="BD94" s="12">
        <f>IF('Données projet'!$A$88&gt;35,BD93+BC94-BL93,IF(A94&lt;'Données projet'!$A$88,$BA$205^A94,IF(A94='Données projet'!$A$88,'Données projet'!$B$88,BD93+BC94-BL93)))</f>
        <v>196.70000000000007</v>
      </c>
      <c r="BE94" s="13">
        <f>BD94*VLOOKUP('Données projet'!$B$11,Paramètres!$A$1:$I$89,3,0)*VLOOKUP('Données projet'!$B$11,Paramètres!$A$1:$I$89,5,0)</f>
        <v>177.97416000000007</v>
      </c>
      <c r="BF94" s="13">
        <f t="shared" si="91"/>
        <v>44.871177620414102</v>
      </c>
      <c r="BG94" s="20">
        <f t="shared" si="61"/>
        <v>388.12229635555462</v>
      </c>
      <c r="BH94" s="59">
        <f t="shared" si="62"/>
        <v>681.45562968888794</v>
      </c>
      <c r="BI94" s="59">
        <f ca="1">AVERAGE(OFFSET($BH$3,0,0,'Données projet'!$E$11+1,1))-AVERAGE(OFFSET($H$3,0,0,'Données projet'!$E$11+1,1))</f>
        <v>138.8931001150624</v>
      </c>
      <c r="BJ94" s="59">
        <f t="shared" si="92"/>
        <v>48.964659354096625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3.7</v>
      </c>
      <c r="BY94" s="12">
        <f>IF('Données projet'!$A$114&gt;35,BY93+BX94-CG93,IF(A94&lt;'Données projet'!$A$114,$BV$205^A94,IF(A94='Données projet'!$A$114,'Données projet'!$B$114,BY93+BX94-CG93)))</f>
        <v>196.70000000000007</v>
      </c>
      <c r="BZ94" s="13">
        <f>BY94*VLOOKUP('Données projet'!$B$12,Paramètres!$A$1:$I$89,3,0)*VLOOKUP('Données projet'!$B$12,Paramètres!$A$1:$I$89,5,0)</f>
        <v>199.45380000000009</v>
      </c>
      <c r="CA94" s="13">
        <f t="shared" si="93"/>
        <v>49.624110398414224</v>
      </c>
      <c r="CB94" s="20">
        <f t="shared" si="64"/>
        <v>433.81069394390488</v>
      </c>
      <c r="CC94" s="59">
        <f t="shared" si="65"/>
        <v>727.14402727723814</v>
      </c>
      <c r="CD94" s="59">
        <f ca="1">AVERAGE(OFFSET($CC$3,0,0,'Données projet'!$E$12+1,1))-AVERAGE(OFFSET($H$3,0,0,'Données projet'!$E$12+1,1))</f>
        <v>169.2757878405003</v>
      </c>
      <c r="CE94" s="59">
        <f t="shared" si="94"/>
        <v>61.876502626609977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-8.5265128291212022E-14</v>
      </c>
      <c r="CU94" s="17">
        <f>CT94*VLOOKUP('Données projet'!$B$13,Paramètres!$A$1:$I$89,3,0)*VLOOKUP('Données projet'!$B$13,Paramètres!$A$1:$I$89,5,0)</f>
        <v>-6.7836936068488286E-14</v>
      </c>
      <c r="CV94" s="13" t="e">
        <f t="shared" si="95"/>
        <v>#NUM!</v>
      </c>
      <c r="CW94" s="20" t="e">
        <f t="shared" si="67"/>
        <v>#NUM!</v>
      </c>
      <c r="CX94" s="59" t="e">
        <f t="shared" si="68"/>
        <v>#NUM!</v>
      </c>
      <c r="CY94" s="59">
        <f ca="1">AVERAGE(OFFSET($CX$3,0,0,'Données projet'!$E$13+1,1))-AVERAGE(OFFSET($H$3,0,0,'Données projet'!$E$13+1,1))</f>
        <v>141.12810728817544</v>
      </c>
      <c r="CZ94" s="59">
        <f t="shared" si="96"/>
        <v>176.01405805137551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>
        <f>EXP(-LN(2)/35)*DF93+(1-EXP(-LN(2)/35))/(LN(2)/35)*DB94*DC94*VLOOKUP('Données projet'!$B$13,Paramètres!$A$1:$I$89,3,0)*0.475*44/12</f>
        <v>0</v>
      </c>
      <c r="DG94" s="21">
        <f>EXP(-LN(2)/25)*DG93+(1-EXP(-LN(2)/25))/(LN(2)/25)*Calculateur!DB94*Calculateur!DD94*VLOOKUP('Données projet'!$B$13,Paramètres!$A$1:$I$89,3,0)*0.475*44/12</f>
        <v>1.2388606419303545</v>
      </c>
      <c r="DH94" s="21">
        <f>EXP(-LN(2)/2)*DH93+(1-EXP(-LN(2)/2))/(LN(2)/2)*DB94*DE94*VLOOKUP('Données projet'!$B$13,Paramètres!$A$1:$I$89,3,0)*0.475*44/12</f>
        <v>5.2717751863024717E-9</v>
      </c>
      <c r="DI94" s="22">
        <f t="shared" si="69"/>
        <v>1.2388606472021297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5.6843418860808015E-14</v>
      </c>
      <c r="DP94" s="17">
        <f>DO94*VLOOKUP('Données projet'!$B$14,Paramètres!$A$1:$I$89,3,0)*VLOOKUP('Données projet'!$B$14,Paramètres!$A$1:$I$89,5,0)</f>
        <v>3.3992364478763198E-14</v>
      </c>
      <c r="DQ94" s="13">
        <f t="shared" si="97"/>
        <v>5.790027782444094E-13</v>
      </c>
      <c r="DR94" s="20">
        <f t="shared" si="70"/>
        <v>1.0676332069095257E-12</v>
      </c>
      <c r="DS94" s="59">
        <f t="shared" si="71"/>
        <v>293.33333333333439</v>
      </c>
      <c r="DT94" s="59">
        <f ca="1">AVERAGE(OFFSET($DS$3,0,0,'Données projet'!$E$14+1,1))-AVERAGE(OFFSET($H$3,0,0,'Données projet'!$E$14+1,1))</f>
        <v>165.39579887388538</v>
      </c>
      <c r="DU94" s="59">
        <f t="shared" si="98"/>
        <v>155.89639262545802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>
        <f>EXP(-LN(2)/35)*EA93+(1-EXP(-LN(2)/35))/(LN(2)/35)*DW94*DX94*VLOOKUP('Données projet'!$B$14,Paramètres!$A$1:$I$89,3,0)*0.475*44/12</f>
        <v>0</v>
      </c>
      <c r="EB94" s="21">
        <f>EXP(-LN(2)/25)*EB93+(1-EXP(-LN(2)/25))/(LN(2)/25)*Calculateur!DW94*Calculateur!DY94*VLOOKUP('Données projet'!$B$14,Paramètres!$A$1:$I$89,3,0)*0.475*44/12</f>
        <v>1.3432887194731138</v>
      </c>
      <c r="EC94" s="21">
        <f>EXP(-LN(2)/2)*EC93+(1-EXP(-LN(2)/2))/(LN(2)/2)*DW94*DZ94*VLOOKUP('Données projet'!$B$14,Paramètres!$A$1:$I$89,3,0)*0.475*44/12</f>
        <v>9.1406213041363752E-9</v>
      </c>
      <c r="ED94" s="22">
        <f t="shared" si="72"/>
        <v>1.3432887286137352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3.7</v>
      </c>
      <c r="EJ94" s="12">
        <f>IF('Données projet'!$A$192&gt;35,EJ93+EI94-ER93,IF(A94&lt;'Données projet'!$A$192,$EG$205^A94,IF(A94='Données projet'!$A$192,'Données projet'!$B$192,EJ93+EI94-ER93)))</f>
        <v>196.70000000000007</v>
      </c>
      <c r="EK94" s="17">
        <f>EJ94*VLOOKUP('Données projet'!$B$15,Paramètres!$A$1:$I$89,3,0)*VLOOKUP('Données projet'!$B$15,Paramètres!$A$1:$I$89,5,0)</f>
        <v>153.42600000000007</v>
      </c>
      <c r="EL94" s="13">
        <f t="shared" si="99"/>
        <v>39.356130161501781</v>
      </c>
      <c r="EM94" s="20">
        <f t="shared" si="73"/>
        <v>335.76221003128239</v>
      </c>
      <c r="EN94" s="59">
        <f t="shared" si="74"/>
        <v>629.09554336461565</v>
      </c>
      <c r="EO94" s="59">
        <f ca="1">AVERAGE(OFFSET($EN$3,0,0,'Données projet'!$E$15+1,1))-AVERAGE(OFFSET($H$3,0,0,'Données projet'!$E$15+1,1))</f>
        <v>104.07220236158577</v>
      </c>
      <c r="EP94" s="59">
        <f t="shared" si="100"/>
        <v>34.162068257911756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>
        <f>EXP(-LN(2)/35)*EV93+(1-EXP(-LN(2)/35))/(LN(2)/35)*ER94*ES94*VLOOKUP('Données projet'!$B$15,Paramètres!$A$1:$I$89,3,0)*0.475*44/12</f>
        <v>0</v>
      </c>
      <c r="EW94" s="21">
        <f>EXP(-LN(2)/25)*EW93+(1-EXP(-LN(2)/25))/(LN(2)/25)*Calculateur!ER94*Calculateur!ET94*VLOOKUP('Données projet'!$B$15,Paramètres!$A$1:$I$89,3,0)*0.475*44/12</f>
        <v>0</v>
      </c>
      <c r="EX94" s="21">
        <f>EXP(-LN(2)/2)*EX93+(1-EXP(-LN(2)/2))/(LN(2)/2)*ER94*EU94*VLOOKUP('Données projet'!$B$15,Paramètres!$A$1:$I$89,3,0)*0.475*44/12</f>
        <v>0</v>
      </c>
      <c r="EY94" s="22">
        <f t="shared" si="75"/>
        <v>0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5.6843418860808015E-14</v>
      </c>
      <c r="FF94" s="17">
        <f>FE94*VLOOKUP('Données projet'!$B$16,Paramètres!$A$1:$I$89,3,0)*VLOOKUP('Données projet'!$B$16,Paramètres!$A$1:$I$89,5,0)</f>
        <v>5.1431925385259088E-14</v>
      </c>
      <c r="FG94" s="13">
        <f t="shared" si="101"/>
        <v>8.3482866290946129E-13</v>
      </c>
      <c r="FH94" s="20">
        <f t="shared" si="76"/>
        <v>1.5435705246133045E-12</v>
      </c>
      <c r="FI94" s="59">
        <f t="shared" si="77"/>
        <v>293.33333333333485</v>
      </c>
      <c r="FJ94" s="59">
        <f ca="1">AVERAGE(OFFSET($FI$3,0,0,'Données projet'!$E$16+1,1))-AVERAGE(OFFSET($H$3,0,0,'Données projet'!$E$16+1,1))</f>
        <v>179.50097986986123</v>
      </c>
      <c r="FK94" s="59">
        <f t="shared" si="102"/>
        <v>287.11838730637578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>
        <f>EXP(-LN(2)/35)*FQ93+(1-EXP(-LN(2)/35))/(LN(2)/35)*FM94*FN94*VLOOKUP('Données projet'!$B$16,Paramètres!$A$1:$I$89,3,0)*0.475*44/12</f>
        <v>0.18625044881799285</v>
      </c>
      <c r="FR94" s="21">
        <f>EXP(-LN(2)/25)*FR93+(1-EXP(-LN(2)/25))/(LN(2)/25)*Calculateur!FM94*Calculateur!FO94*VLOOKUP('Données projet'!$B$16,Paramètres!$A$1:$I$89,3,0)*0.475*44/12</f>
        <v>1.1598138407826331</v>
      </c>
      <c r="FS94" s="21">
        <f>EXP(-LN(2)/2)*FS93+(1-EXP(-LN(2)/2))/(LN(2)/2)*FM94*FP94*VLOOKUP('Données projet'!$B$16,Paramètres!$A$1:$I$89,3,0)*0.475*44/12</f>
        <v>2.9771453943199434E-9</v>
      </c>
      <c r="FT94" s="22">
        <f t="shared" si="78"/>
        <v>1.3460642925777713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5.6843418860808015E-14</v>
      </c>
      <c r="GA94" s="17">
        <f>FZ94*VLOOKUP('Données projet'!$B$17,Paramètres!$A$1:$I$89,3,0)*VLOOKUP('Données projet'!$B$17,Paramètres!$A$1:$I$89,5,0)</f>
        <v>3.3992364478763198E-14</v>
      </c>
      <c r="GB94" s="13">
        <f t="shared" si="103"/>
        <v>5.790027782444094E-13</v>
      </c>
      <c r="GC94" s="20">
        <f t="shared" si="79"/>
        <v>1.0676332069095257E-12</v>
      </c>
      <c r="GD94" s="59">
        <f t="shared" si="80"/>
        <v>293.33333333333439</v>
      </c>
      <c r="GE94" s="59">
        <f ca="1">AVERAGE(OFFSET($GD$3,0,0,'Données projet'!$E$17+1,1))-AVERAGE(OFFSET($H$3,0,0,'Données projet'!$E$17+1,1))</f>
        <v>165.39579887388538</v>
      </c>
      <c r="GF94" s="59">
        <f t="shared" si="104"/>
        <v>155.89639262545802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>
        <f>EXP(-LN(2)/35)*GL93+(1-EXP(-LN(2)/35))/(LN(2)/35)*GH94*GI94*VLOOKUP('Données projet'!$B$17,Paramètres!$A$1:$I$89,3,0)*0.475*44/12</f>
        <v>0</v>
      </c>
      <c r="GM94" s="21">
        <f>EXP(-LN(2)/25)*GM93+(1-EXP(-LN(2)/25))/(LN(2)/25)*Calculateur!GH94*Calculateur!GJ94*VLOOKUP('Données projet'!$B$17,Paramètres!$A$1:$I$89,3,0)*0.475*44/12</f>
        <v>1.3432887194731138</v>
      </c>
      <c r="GN94" s="21">
        <f>EXP(-LN(2)/2)*GN93+(1-EXP(-LN(2)/2))/(LN(2)/2)*GH94*GK94*VLOOKUP('Données projet'!$B$17,Paramètres!$A$1:$I$89,3,0)*0.475*44/12</f>
        <v>9.1406213041363752E-9</v>
      </c>
      <c r="GO94" s="21">
        <f t="shared" si="81"/>
        <v>1.3432887286137352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3.4106051316484809E-13</v>
      </c>
      <c r="O95" s="13">
        <f>N95*VLOOKUP('Données projet'!$B$9,Paramètres!$A$1:$I$89,3,0)*VLOOKUP('Données projet'!$B$9,Paramètres!$A$1:$I$89,5,0)</f>
        <v>1.9065282685915009E-13</v>
      </c>
      <c r="P95" s="13">
        <f t="shared" si="87"/>
        <v>2.6568987209435707E-12</v>
      </c>
      <c r="Q95" s="20">
        <f t="shared" si="54"/>
        <v>4.959485612423072E-12</v>
      </c>
      <c r="R95" s="59">
        <f t="shared" si="55"/>
        <v>293.33333333333826</v>
      </c>
      <c r="S95" s="59">
        <f ca="1">AVERAGE(OFFSET($R$3,0,0,'Données projet'!$E$9+1,1))-AVERAGE(OFFSET($H$3,0,0,'Données projet'!$E$9+1,1))</f>
        <v>235.10258076192054</v>
      </c>
      <c r="T95" s="59">
        <f t="shared" si="88"/>
        <v>233.47316052603765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1.0035268682543244</v>
      </c>
      <c r="AA95" s="21">
        <f>EXP(-LN(2)/25)*AA94+(1-EXP(-LN(2)/25))/(LN(2)/25)*Calculateur!V95*Calculateur!X95*VLOOKUP('Données projet'!$B$9,Paramètres!$A$1:$I$89,3,0)*0.475*44/12</f>
        <v>3.3043499485896244</v>
      </c>
      <c r="AB95" s="21">
        <f>EXP(-LN(2)/2)*AB94+(1-EXP(-LN(2)/2))/(LN(2)/2)*V95*Y95*VLOOKUP('Données projet'!$B$9,Paramètres!$A$1:$I$89,3,0)*0.475*44/12</f>
        <v>1.123271962752002E-8</v>
      </c>
      <c r="AC95" s="22">
        <f t="shared" si="57"/>
        <v>4.3078768280766688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-8.5265128291212022E-14</v>
      </c>
      <c r="AJ95" s="13">
        <f>AI95*VLOOKUP('Données projet'!$B$10,Paramètres!$A$1:$I$89,3,0)*VLOOKUP('Données projet'!$B$10,Paramètres!$A$1:$I$89,5,0)</f>
        <v>-7.4487616075202836E-14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191.94797389630673</v>
      </c>
      <c r="AO95" s="59">
        <f t="shared" si="90"/>
        <v>273.52540822767878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0.75416564644567485</v>
      </c>
      <c r="AV95" s="21">
        <f>EXP(-LN(2)/25)*AV94+(1-EXP(-LN(2)/25))/(LN(2)/25)*Calculateur!AQ95*Calculateur!AS95*VLOOKUP('Données projet'!$B$10,Paramètres!$A$1:$I$89,3,0)*0.475*44/12</f>
        <v>2.5180524900915975</v>
      </c>
      <c r="AW95" s="21">
        <f>EXP(-LN(2)/2)*AW94+(1-EXP(-LN(2)/2))/(LN(2)/2)*AQ95*AT95*VLOOKUP('Données projet'!$B$10,Paramètres!$A$1:$I$89,3,0)*0.475*44/12</f>
        <v>1.0804768148655712E-8</v>
      </c>
      <c r="AX95" s="21">
        <f t="shared" si="60"/>
        <v>3.2722181473420404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3.7</v>
      </c>
      <c r="BD95" s="12">
        <f>IF('Données projet'!$A$88&gt;35,BD94+BC95-BL94,IF(A95&lt;'Données projet'!$A$88,$BA$205^A95,IF(A95='Données projet'!$A$88,'Données projet'!$B$88,BD94+BC95-BL94)))</f>
        <v>200.40000000000006</v>
      </c>
      <c r="BE95" s="13">
        <f>BD95*VLOOKUP('Données projet'!$B$11,Paramètres!$A$1:$I$89,3,0)*VLOOKUP('Données projet'!$B$11,Paramètres!$A$1:$I$89,5,0)</f>
        <v>181.32192000000006</v>
      </c>
      <c r="BF95" s="13">
        <f t="shared" si="91"/>
        <v>45.616163648177974</v>
      </c>
      <c r="BG95" s="20">
        <f t="shared" si="61"/>
        <v>395.25049568724336</v>
      </c>
      <c r="BH95" s="59">
        <f t="shared" si="62"/>
        <v>688.58382902057667</v>
      </c>
      <c r="BI95" s="59">
        <f ca="1">AVERAGE(OFFSET($BH$3,0,0,'Données projet'!$E$11+1,1))-AVERAGE(OFFSET($H$3,0,0,'Données projet'!$E$11+1,1))</f>
        <v>138.8931001150624</v>
      </c>
      <c r="BJ95" s="59">
        <f t="shared" si="92"/>
        <v>48.964659354096625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3.7</v>
      </c>
      <c r="BY95" s="12">
        <f>IF('Données projet'!$A$114&gt;35,BY94+BX95-CG94,IF(A95&lt;'Données projet'!$A$114,$BV$205^A95,IF(A95='Données projet'!$A$114,'Données projet'!$B$114,BY94+BX95-CG94)))</f>
        <v>200.40000000000006</v>
      </c>
      <c r="BZ95" s="13">
        <f>BY95*VLOOKUP('Données projet'!$B$12,Paramètres!$A$1:$I$89,3,0)*VLOOKUP('Données projet'!$B$12,Paramètres!$A$1:$I$89,5,0)</f>
        <v>203.20560000000009</v>
      </c>
      <c r="CA95" s="13">
        <f t="shared" si="93"/>
        <v>50.448008295629414</v>
      </c>
      <c r="CB95" s="20">
        <f t="shared" si="64"/>
        <v>441.78003444822139</v>
      </c>
      <c r="CC95" s="59">
        <f t="shared" si="65"/>
        <v>735.11336778155464</v>
      </c>
      <c r="CD95" s="59">
        <f ca="1">AVERAGE(OFFSET($CC$3,0,0,'Données projet'!$E$12+1,1))-AVERAGE(OFFSET($H$3,0,0,'Données projet'!$E$12+1,1))</f>
        <v>169.2757878405003</v>
      </c>
      <c r="CE95" s="59">
        <f t="shared" si="94"/>
        <v>61.876502626609977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-8.5265128291212022E-14</v>
      </c>
      <c r="CU95" s="17">
        <f>CT95*VLOOKUP('Données projet'!$B$13,Paramètres!$A$1:$I$89,3,0)*VLOOKUP('Données projet'!$B$13,Paramètres!$A$1:$I$89,5,0)</f>
        <v>-6.7836936068488286E-14</v>
      </c>
      <c r="CV95" s="13" t="e">
        <f t="shared" si="95"/>
        <v>#NUM!</v>
      </c>
      <c r="CW95" s="20" t="e">
        <f t="shared" si="67"/>
        <v>#NUM!</v>
      </c>
      <c r="CX95" s="59" t="e">
        <f t="shared" si="68"/>
        <v>#NUM!</v>
      </c>
      <c r="CY95" s="59">
        <f ca="1">AVERAGE(OFFSET($CX$3,0,0,'Données projet'!$E$13+1,1))-AVERAGE(OFFSET($H$3,0,0,'Données projet'!$E$13+1,1))</f>
        <v>141.12810728817544</v>
      </c>
      <c r="CZ95" s="59">
        <f t="shared" si="96"/>
        <v>176.01405805137551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>
        <f>EXP(-LN(2)/35)*DF94+(1-EXP(-LN(2)/35))/(LN(2)/35)*DB95*DC95*VLOOKUP('Données projet'!$B$13,Paramètres!$A$1:$I$89,3,0)*0.475*44/12</f>
        <v>0</v>
      </c>
      <c r="DG95" s="21">
        <f>EXP(-LN(2)/25)*DG94+(1-EXP(-LN(2)/25))/(LN(2)/25)*Calculateur!DB95*Calculateur!DD95*VLOOKUP('Données projet'!$B$13,Paramètres!$A$1:$I$89,3,0)*0.475*44/12</f>
        <v>1.2049839325279192</v>
      </c>
      <c r="DH95" s="21">
        <f>EXP(-LN(2)/2)*DH94+(1-EXP(-LN(2)/2))/(LN(2)/2)*DB95*DE95*VLOOKUP('Données projet'!$B$13,Paramètres!$A$1:$I$89,3,0)*0.475*44/12</f>
        <v>3.7277079831254526E-9</v>
      </c>
      <c r="DI95" s="22">
        <f t="shared" si="69"/>
        <v>1.2049839362556272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5.6843418860808015E-14</v>
      </c>
      <c r="DP95" s="17">
        <f>DO95*VLOOKUP('Données projet'!$B$14,Paramètres!$A$1:$I$89,3,0)*VLOOKUP('Données projet'!$B$14,Paramètres!$A$1:$I$89,5,0)</f>
        <v>3.3992364478763198E-14</v>
      </c>
      <c r="DQ95" s="13">
        <f t="shared" si="97"/>
        <v>5.790027782444094E-13</v>
      </c>
      <c r="DR95" s="20">
        <f t="shared" si="70"/>
        <v>1.0676332069095257E-12</v>
      </c>
      <c r="DS95" s="59">
        <f t="shared" si="71"/>
        <v>293.33333333333439</v>
      </c>
      <c r="DT95" s="59">
        <f ca="1">AVERAGE(OFFSET($DS$3,0,0,'Données projet'!$E$14+1,1))-AVERAGE(OFFSET($H$3,0,0,'Données projet'!$E$14+1,1))</f>
        <v>165.39579887388538</v>
      </c>
      <c r="DU95" s="59">
        <f t="shared" si="98"/>
        <v>155.89639262545802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>
        <f>EXP(-LN(2)/35)*EA94+(1-EXP(-LN(2)/35))/(LN(2)/35)*DW95*DX95*VLOOKUP('Données projet'!$B$14,Paramètres!$A$1:$I$89,3,0)*0.475*44/12</f>
        <v>0</v>
      </c>
      <c r="EB95" s="21">
        <f>EXP(-LN(2)/25)*EB94+(1-EXP(-LN(2)/25))/(LN(2)/25)*Calculateur!DW95*Calculateur!DY95*VLOOKUP('Données projet'!$B$14,Paramètres!$A$1:$I$89,3,0)*0.475*44/12</f>
        <v>1.3065564187986378</v>
      </c>
      <c r="EC95" s="21">
        <f>EXP(-LN(2)/2)*EC94+(1-EXP(-LN(2)/2))/(LN(2)/2)*DW95*DZ95*VLOOKUP('Données projet'!$B$14,Paramètres!$A$1:$I$89,3,0)*0.475*44/12</f>
        <v>6.4633953084130546E-9</v>
      </c>
      <c r="ED95" s="22">
        <f t="shared" si="72"/>
        <v>1.3065564252620332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3.7</v>
      </c>
      <c r="EJ95" s="12">
        <f>IF('Données projet'!$A$192&gt;35,EJ94+EI95-ER94,IF(A95&lt;'Données projet'!$A$192,$EG$205^A95,IF(A95='Données projet'!$A$192,'Données projet'!$B$192,EJ94+EI95-ER94)))</f>
        <v>200.40000000000006</v>
      </c>
      <c r="EK95" s="17">
        <f>EJ95*VLOOKUP('Données projet'!$B$15,Paramètres!$A$1:$I$89,3,0)*VLOOKUP('Données projet'!$B$15,Paramètres!$A$1:$I$89,5,0)</f>
        <v>156.31200000000004</v>
      </c>
      <c r="EL95" s="13">
        <f t="shared" si="99"/>
        <v>40.009551101892576</v>
      </c>
      <c r="EM95" s="20">
        <f t="shared" si="73"/>
        <v>341.92670150246295</v>
      </c>
      <c r="EN95" s="59">
        <f t="shared" si="74"/>
        <v>635.2600348357962</v>
      </c>
      <c r="EO95" s="59">
        <f ca="1">AVERAGE(OFFSET($EN$3,0,0,'Données projet'!$E$15+1,1))-AVERAGE(OFFSET($H$3,0,0,'Données projet'!$E$15+1,1))</f>
        <v>104.07220236158577</v>
      </c>
      <c r="EP95" s="59">
        <f t="shared" si="100"/>
        <v>34.162068257911756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>
        <f>EXP(-LN(2)/35)*EV94+(1-EXP(-LN(2)/35))/(LN(2)/35)*ER95*ES95*VLOOKUP('Données projet'!$B$15,Paramètres!$A$1:$I$89,3,0)*0.475*44/12</f>
        <v>0</v>
      </c>
      <c r="EW95" s="21">
        <f>EXP(-LN(2)/25)*EW94+(1-EXP(-LN(2)/25))/(LN(2)/25)*Calculateur!ER95*Calculateur!ET95*VLOOKUP('Données projet'!$B$15,Paramètres!$A$1:$I$89,3,0)*0.475*44/12</f>
        <v>0</v>
      </c>
      <c r="EX95" s="21">
        <f>EXP(-LN(2)/2)*EX94+(1-EXP(-LN(2)/2))/(LN(2)/2)*ER95*EU95*VLOOKUP('Données projet'!$B$15,Paramètres!$A$1:$I$89,3,0)*0.475*44/12</f>
        <v>0</v>
      </c>
      <c r="EY95" s="22">
        <f t="shared" si="75"/>
        <v>0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5.6843418860808015E-14</v>
      </c>
      <c r="FF95" s="17">
        <f>FE95*VLOOKUP('Données projet'!$B$16,Paramètres!$A$1:$I$89,3,0)*VLOOKUP('Données projet'!$B$16,Paramètres!$A$1:$I$89,5,0)</f>
        <v>5.1431925385259088E-14</v>
      </c>
      <c r="FG95" s="13">
        <f t="shared" si="101"/>
        <v>8.3482866290946129E-13</v>
      </c>
      <c r="FH95" s="20">
        <f t="shared" si="76"/>
        <v>1.5435705246133045E-12</v>
      </c>
      <c r="FI95" s="59">
        <f t="shared" si="77"/>
        <v>293.33333333333485</v>
      </c>
      <c r="FJ95" s="59">
        <f ca="1">AVERAGE(OFFSET($FI$3,0,0,'Données projet'!$E$16+1,1))-AVERAGE(OFFSET($H$3,0,0,'Données projet'!$E$16+1,1))</f>
        <v>179.50097986986123</v>
      </c>
      <c r="FK95" s="59">
        <f t="shared" si="102"/>
        <v>287.11838730637578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>
        <f>EXP(-LN(2)/35)*FQ94+(1-EXP(-LN(2)/35))/(LN(2)/35)*FM95*FN95*VLOOKUP('Données projet'!$B$16,Paramètres!$A$1:$I$89,3,0)*0.475*44/12</f>
        <v>0.18259819111822856</v>
      </c>
      <c r="FR95" s="21">
        <f>EXP(-LN(2)/25)*FR94+(1-EXP(-LN(2)/25))/(LN(2)/25)*Calculateur!FM95*Calculateur!FO95*VLOOKUP('Données projet'!$B$16,Paramètres!$A$1:$I$89,3,0)*0.475*44/12</f>
        <v>1.1280986703144729</v>
      </c>
      <c r="FS95" s="21">
        <f>EXP(-LN(2)/2)*FS94+(1-EXP(-LN(2)/2))/(LN(2)/2)*FM95*FP95*VLOOKUP('Données projet'!$B$16,Paramètres!$A$1:$I$89,3,0)*0.475*44/12</f>
        <v>2.10515969690193E-9</v>
      </c>
      <c r="FT95" s="22">
        <f t="shared" si="78"/>
        <v>1.3106968635378611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5.6843418860808015E-14</v>
      </c>
      <c r="GA95" s="17">
        <f>FZ95*VLOOKUP('Données projet'!$B$17,Paramètres!$A$1:$I$89,3,0)*VLOOKUP('Données projet'!$B$17,Paramètres!$A$1:$I$89,5,0)</f>
        <v>3.3992364478763198E-14</v>
      </c>
      <c r="GB95" s="13">
        <f t="shared" si="103"/>
        <v>5.790027782444094E-13</v>
      </c>
      <c r="GC95" s="20">
        <f t="shared" si="79"/>
        <v>1.0676332069095257E-12</v>
      </c>
      <c r="GD95" s="59">
        <f t="shared" si="80"/>
        <v>293.33333333333439</v>
      </c>
      <c r="GE95" s="59">
        <f ca="1">AVERAGE(OFFSET($GD$3,0,0,'Données projet'!$E$17+1,1))-AVERAGE(OFFSET($H$3,0,0,'Données projet'!$E$17+1,1))</f>
        <v>165.39579887388538</v>
      </c>
      <c r="GF95" s="59">
        <f t="shared" si="104"/>
        <v>155.89639262545802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>
        <f>EXP(-LN(2)/35)*GL94+(1-EXP(-LN(2)/35))/(LN(2)/35)*GH95*GI95*VLOOKUP('Données projet'!$B$17,Paramètres!$A$1:$I$89,3,0)*0.475*44/12</f>
        <v>0</v>
      </c>
      <c r="GM95" s="21">
        <f>EXP(-LN(2)/25)*GM94+(1-EXP(-LN(2)/25))/(LN(2)/25)*Calculateur!GH95*Calculateur!GJ95*VLOOKUP('Données projet'!$B$17,Paramètres!$A$1:$I$89,3,0)*0.475*44/12</f>
        <v>1.3065564187986378</v>
      </c>
      <c r="GN95" s="21">
        <f>EXP(-LN(2)/2)*GN94+(1-EXP(-LN(2)/2))/(LN(2)/2)*GH95*GK95*VLOOKUP('Données projet'!$B$17,Paramètres!$A$1:$I$89,3,0)*0.475*44/12</f>
        <v>6.4633953084130546E-9</v>
      </c>
      <c r="GO95" s="21">
        <f t="shared" si="81"/>
        <v>1.3065564252620332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3.4106051316484809E-13</v>
      </c>
      <c r="O96" s="13">
        <f>N96*VLOOKUP('Données projet'!$B$9,Paramètres!$A$1:$I$89,3,0)*VLOOKUP('Données projet'!$B$9,Paramètres!$A$1:$I$89,5,0)</f>
        <v>1.9065282685915009E-13</v>
      </c>
      <c r="P96" s="13">
        <f t="shared" si="87"/>
        <v>2.6568987209435707E-12</v>
      </c>
      <c r="Q96" s="20">
        <f t="shared" si="54"/>
        <v>4.959485612423072E-12</v>
      </c>
      <c r="R96" s="59">
        <f t="shared" si="55"/>
        <v>293.33333333333826</v>
      </c>
      <c r="S96" s="59">
        <f ca="1">AVERAGE(OFFSET($R$3,0,0,'Données projet'!$E$9+1,1))-AVERAGE(OFFSET($H$3,0,0,'Données projet'!$E$9+1,1))</f>
        <v>235.10258076192054</v>
      </c>
      <c r="T96" s="59">
        <f t="shared" si="88"/>
        <v>233.47316052603765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0.98384831845880771</v>
      </c>
      <c r="AA96" s="21">
        <f>EXP(-LN(2)/25)*AA95+(1-EXP(-LN(2)/25))/(LN(2)/25)*Calculateur!V96*Calculateur!X96*VLOOKUP('Données projet'!$B$9,Paramètres!$A$1:$I$89,3,0)*0.475*44/12</f>
        <v>3.2139923254772294</v>
      </c>
      <c r="AB96" s="21">
        <f>EXP(-LN(2)/2)*AB95+(1-EXP(-LN(2)/2))/(LN(2)/2)*V96*Y96*VLOOKUP('Données projet'!$B$9,Paramètres!$A$1:$I$89,3,0)*0.475*44/12</f>
        <v>7.9427322197866361E-9</v>
      </c>
      <c r="AC96" s="22">
        <f t="shared" si="57"/>
        <v>4.197840651878769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-8.5265128291212022E-14</v>
      </c>
      <c r="AJ96" s="13">
        <f>AI96*VLOOKUP('Données projet'!$B$10,Paramètres!$A$1:$I$89,3,0)*VLOOKUP('Données projet'!$B$10,Paramètres!$A$1:$I$89,5,0)</f>
        <v>-7.4487616075202836E-14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191.94797389630673</v>
      </c>
      <c r="AO96" s="59">
        <f t="shared" si="90"/>
        <v>273.52540822767878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0.73937691811449868</v>
      </c>
      <c r="AV96" s="21">
        <f>EXP(-LN(2)/25)*AV95+(1-EXP(-LN(2)/25))/(LN(2)/25)*Calculateur!AQ96*Calculateur!AS96*VLOOKUP('Données projet'!$B$10,Paramètres!$A$1:$I$89,3,0)*0.475*44/12</f>
        <v>2.4491962123314175</v>
      </c>
      <c r="AW96" s="21">
        <f>EXP(-LN(2)/2)*AW95+(1-EXP(-LN(2)/2))/(LN(2)/2)*AQ96*AT96*VLOOKUP('Données projet'!$B$10,Paramètres!$A$1:$I$89,3,0)*0.475*44/12</f>
        <v>7.6401248270628724E-9</v>
      </c>
      <c r="AX96" s="21">
        <f t="shared" si="60"/>
        <v>3.1885731380860411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3.7</v>
      </c>
      <c r="BD96" s="12">
        <f>IF('Données projet'!$A$88&gt;35,BD95+BC96-BL95,IF(A96&lt;'Données projet'!$A$88,$BA$205^A96,IF(A96='Données projet'!$A$88,'Données projet'!$B$88,BD95+BC96-BL95)))</f>
        <v>204.10000000000005</v>
      </c>
      <c r="BE96" s="13">
        <f>BD96*VLOOKUP('Données projet'!$B$11,Paramètres!$A$1:$I$89,3,0)*VLOOKUP('Données projet'!$B$11,Paramètres!$A$1:$I$89,5,0)</f>
        <v>184.66968000000006</v>
      </c>
      <c r="BF96" s="13">
        <f t="shared" si="91"/>
        <v>46.359550248246585</v>
      </c>
      <c r="BG96" s="20">
        <f t="shared" si="61"/>
        <v>402.37590934902954</v>
      </c>
      <c r="BH96" s="59">
        <f t="shared" si="62"/>
        <v>695.70924268236286</v>
      </c>
      <c r="BI96" s="59">
        <f ca="1">AVERAGE(OFFSET($BH$3,0,0,'Données projet'!$E$11+1,1))-AVERAGE(OFFSET($H$3,0,0,'Données projet'!$E$11+1,1))</f>
        <v>138.8931001150624</v>
      </c>
      <c r="BJ96" s="59">
        <f t="shared" si="92"/>
        <v>48.964659354096625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3.7</v>
      </c>
      <c r="BY96" s="12">
        <f>IF('Données projet'!$A$114&gt;35,BY95+BX96-CG95,IF(A96&lt;'Données projet'!$A$114,$BV$205^A96,IF(A96='Données projet'!$A$114,'Données projet'!$B$114,BY95+BX96-CG95)))</f>
        <v>204.10000000000005</v>
      </c>
      <c r="BZ96" s="13">
        <f>BY96*VLOOKUP('Données projet'!$B$12,Paramètres!$A$1:$I$89,3,0)*VLOOKUP('Données projet'!$B$12,Paramètres!$A$1:$I$89,5,0)</f>
        <v>206.95740000000009</v>
      </c>
      <c r="CA96" s="13">
        <f t="shared" si="93"/>
        <v>51.270137347435792</v>
      </c>
      <c r="CB96" s="20">
        <f t="shared" si="64"/>
        <v>449.74629421345077</v>
      </c>
      <c r="CC96" s="59">
        <f t="shared" si="65"/>
        <v>743.07962754678408</v>
      </c>
      <c r="CD96" s="59">
        <f ca="1">AVERAGE(OFFSET($CC$3,0,0,'Données projet'!$E$12+1,1))-AVERAGE(OFFSET($H$3,0,0,'Données projet'!$E$12+1,1))</f>
        <v>169.2757878405003</v>
      </c>
      <c r="CE96" s="59">
        <f t="shared" si="94"/>
        <v>61.876502626609977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-8.5265128291212022E-14</v>
      </c>
      <c r="CU96" s="17">
        <f>CT96*VLOOKUP('Données projet'!$B$13,Paramètres!$A$1:$I$89,3,0)*VLOOKUP('Données projet'!$B$13,Paramètres!$A$1:$I$89,5,0)</f>
        <v>-6.7836936068488286E-14</v>
      </c>
      <c r="CV96" s="13" t="e">
        <f t="shared" si="95"/>
        <v>#NUM!</v>
      </c>
      <c r="CW96" s="20" t="e">
        <f t="shared" si="67"/>
        <v>#NUM!</v>
      </c>
      <c r="CX96" s="59" t="e">
        <f t="shared" si="68"/>
        <v>#NUM!</v>
      </c>
      <c r="CY96" s="59">
        <f ca="1">AVERAGE(OFFSET($CX$3,0,0,'Données projet'!$E$13+1,1))-AVERAGE(OFFSET($H$3,0,0,'Données projet'!$E$13+1,1))</f>
        <v>141.12810728817544</v>
      </c>
      <c r="CZ96" s="59">
        <f t="shared" si="96"/>
        <v>176.01405805137551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>
        <f>EXP(-LN(2)/35)*DF95+(1-EXP(-LN(2)/35))/(LN(2)/35)*DB96*DC96*VLOOKUP('Données projet'!$B$13,Paramètres!$A$1:$I$89,3,0)*0.475*44/12</f>
        <v>0</v>
      </c>
      <c r="DG96" s="21">
        <f>EXP(-LN(2)/25)*DG95+(1-EXP(-LN(2)/25))/(LN(2)/25)*Calculateur!DB96*Calculateur!DD96*VLOOKUP('Données projet'!$B$13,Paramètres!$A$1:$I$89,3,0)*0.475*44/12</f>
        <v>1.1720335835255924</v>
      </c>
      <c r="DH96" s="21">
        <f>EXP(-LN(2)/2)*DH95+(1-EXP(-LN(2)/2))/(LN(2)/2)*DB96*DE96*VLOOKUP('Données projet'!$B$13,Paramètres!$A$1:$I$89,3,0)*0.475*44/12</f>
        <v>2.6358875931512358E-9</v>
      </c>
      <c r="DI96" s="22">
        <f t="shared" si="69"/>
        <v>1.1720335861614799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5.6843418860808015E-14</v>
      </c>
      <c r="DP96" s="17">
        <f>DO96*VLOOKUP('Données projet'!$B$14,Paramètres!$A$1:$I$89,3,0)*VLOOKUP('Données projet'!$B$14,Paramètres!$A$1:$I$89,5,0)</f>
        <v>3.3992364478763198E-14</v>
      </c>
      <c r="DQ96" s="13">
        <f t="shared" si="97"/>
        <v>5.790027782444094E-13</v>
      </c>
      <c r="DR96" s="20">
        <f t="shared" si="70"/>
        <v>1.0676332069095257E-12</v>
      </c>
      <c r="DS96" s="59">
        <f t="shared" si="71"/>
        <v>293.33333333333439</v>
      </c>
      <c r="DT96" s="59">
        <f ca="1">AVERAGE(OFFSET($DS$3,0,0,'Données projet'!$E$14+1,1))-AVERAGE(OFFSET($H$3,0,0,'Données projet'!$E$14+1,1))</f>
        <v>165.39579887388538</v>
      </c>
      <c r="DU96" s="59">
        <f t="shared" si="98"/>
        <v>155.89639262545802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>
        <f>EXP(-LN(2)/35)*EA95+(1-EXP(-LN(2)/35))/(LN(2)/35)*DW96*DX96*VLOOKUP('Données projet'!$B$14,Paramètres!$A$1:$I$89,3,0)*0.475*44/12</f>
        <v>0</v>
      </c>
      <c r="EB96" s="21">
        <f>EXP(-LN(2)/25)*EB95+(1-EXP(-LN(2)/25))/(LN(2)/25)*Calculateur!DW96*Calculateur!DY96*VLOOKUP('Données projet'!$B$14,Paramètres!$A$1:$I$89,3,0)*0.475*44/12</f>
        <v>1.2708285648177733</v>
      </c>
      <c r="EC96" s="21">
        <f>EXP(-LN(2)/2)*EC95+(1-EXP(-LN(2)/2))/(LN(2)/2)*DW96*DZ96*VLOOKUP('Données projet'!$B$14,Paramètres!$A$1:$I$89,3,0)*0.475*44/12</f>
        <v>4.5703106520681876E-9</v>
      </c>
      <c r="ED96" s="22">
        <f t="shared" si="72"/>
        <v>1.2708285693880839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3.7</v>
      </c>
      <c r="EJ96" s="12">
        <f>IF('Données projet'!$A$192&gt;35,EJ95+EI96-ER95,IF(A96&lt;'Données projet'!$A$192,$EG$205^A96,IF(A96='Données projet'!$A$192,'Données projet'!$B$192,EJ95+EI96-ER95)))</f>
        <v>204.10000000000005</v>
      </c>
      <c r="EK96" s="17">
        <f>EJ96*VLOOKUP('Données projet'!$B$15,Paramètres!$A$1:$I$89,3,0)*VLOOKUP('Données projet'!$B$15,Paramètres!$A$1:$I$89,5,0)</f>
        <v>159.19800000000004</v>
      </c>
      <c r="EL96" s="13">
        <f t="shared" si="99"/>
        <v>40.661569197787308</v>
      </c>
      <c r="EM96" s="20">
        <f t="shared" si="73"/>
        <v>348.08874968614629</v>
      </c>
      <c r="EN96" s="59">
        <f t="shared" si="74"/>
        <v>641.4220830194796</v>
      </c>
      <c r="EO96" s="59">
        <f ca="1">AVERAGE(OFFSET($EN$3,0,0,'Données projet'!$E$15+1,1))-AVERAGE(OFFSET($H$3,0,0,'Données projet'!$E$15+1,1))</f>
        <v>104.07220236158577</v>
      </c>
      <c r="EP96" s="59">
        <f t="shared" si="100"/>
        <v>34.162068257911756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>
        <f>EXP(-LN(2)/35)*EV95+(1-EXP(-LN(2)/35))/(LN(2)/35)*ER96*ES96*VLOOKUP('Données projet'!$B$15,Paramètres!$A$1:$I$89,3,0)*0.475*44/12</f>
        <v>0</v>
      </c>
      <c r="EW96" s="21">
        <f>EXP(-LN(2)/25)*EW95+(1-EXP(-LN(2)/25))/(LN(2)/25)*Calculateur!ER96*Calculateur!ET96*VLOOKUP('Données projet'!$B$15,Paramètres!$A$1:$I$89,3,0)*0.475*44/12</f>
        <v>0</v>
      </c>
      <c r="EX96" s="21">
        <f>EXP(-LN(2)/2)*EX95+(1-EXP(-LN(2)/2))/(LN(2)/2)*ER96*EU96*VLOOKUP('Données projet'!$B$15,Paramètres!$A$1:$I$89,3,0)*0.475*44/12</f>
        <v>0</v>
      </c>
      <c r="EY96" s="22">
        <f t="shared" si="75"/>
        <v>0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5.6843418860808015E-14</v>
      </c>
      <c r="FF96" s="17">
        <f>FE96*VLOOKUP('Données projet'!$B$16,Paramètres!$A$1:$I$89,3,0)*VLOOKUP('Données projet'!$B$16,Paramètres!$A$1:$I$89,5,0)</f>
        <v>5.1431925385259088E-14</v>
      </c>
      <c r="FG96" s="13">
        <f t="shared" si="101"/>
        <v>8.3482866290946129E-13</v>
      </c>
      <c r="FH96" s="20">
        <f t="shared" si="76"/>
        <v>1.5435705246133045E-12</v>
      </c>
      <c r="FI96" s="59">
        <f t="shared" si="77"/>
        <v>293.33333333333485</v>
      </c>
      <c r="FJ96" s="59">
        <f ca="1">AVERAGE(OFFSET($FI$3,0,0,'Données projet'!$E$16+1,1))-AVERAGE(OFFSET($H$3,0,0,'Données projet'!$E$16+1,1))</f>
        <v>179.50097986986123</v>
      </c>
      <c r="FK96" s="59">
        <f t="shared" si="102"/>
        <v>287.11838730637578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>
        <f>EXP(-LN(2)/35)*FQ95+(1-EXP(-LN(2)/35))/(LN(2)/35)*FM96*FN96*VLOOKUP('Données projet'!$B$16,Paramètres!$A$1:$I$89,3,0)*0.475*44/12</f>
        <v>0.17901755196429942</v>
      </c>
      <c r="FR96" s="21">
        <f>EXP(-LN(2)/25)*FR95+(1-EXP(-LN(2)/25))/(LN(2)/25)*Calculateur!FM96*Calculateur!FO96*VLOOKUP('Données projet'!$B$16,Paramètres!$A$1:$I$89,3,0)*0.475*44/12</f>
        <v>1.0972507528505928</v>
      </c>
      <c r="FS96" s="21">
        <f>EXP(-LN(2)/2)*FS95+(1-EXP(-LN(2)/2))/(LN(2)/2)*FM96*FP96*VLOOKUP('Données projet'!$B$16,Paramètres!$A$1:$I$89,3,0)*0.475*44/12</f>
        <v>1.4885726971599717E-9</v>
      </c>
      <c r="FT96" s="22">
        <f t="shared" si="78"/>
        <v>1.2762683063034648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5.6843418860808015E-14</v>
      </c>
      <c r="GA96" s="17">
        <f>FZ96*VLOOKUP('Données projet'!$B$17,Paramètres!$A$1:$I$89,3,0)*VLOOKUP('Données projet'!$B$17,Paramètres!$A$1:$I$89,5,0)</f>
        <v>3.3992364478763198E-14</v>
      </c>
      <c r="GB96" s="13">
        <f t="shared" si="103"/>
        <v>5.790027782444094E-13</v>
      </c>
      <c r="GC96" s="20">
        <f t="shared" si="79"/>
        <v>1.0676332069095257E-12</v>
      </c>
      <c r="GD96" s="59">
        <f t="shared" si="80"/>
        <v>293.33333333333439</v>
      </c>
      <c r="GE96" s="59">
        <f ca="1">AVERAGE(OFFSET($GD$3,0,0,'Données projet'!$E$17+1,1))-AVERAGE(OFFSET($H$3,0,0,'Données projet'!$E$17+1,1))</f>
        <v>165.39579887388538</v>
      </c>
      <c r="GF96" s="59">
        <f t="shared" si="104"/>
        <v>155.89639262545802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>
        <f>EXP(-LN(2)/35)*GL95+(1-EXP(-LN(2)/35))/(LN(2)/35)*GH96*GI96*VLOOKUP('Données projet'!$B$17,Paramètres!$A$1:$I$89,3,0)*0.475*44/12</f>
        <v>0</v>
      </c>
      <c r="GM96" s="21">
        <f>EXP(-LN(2)/25)*GM95+(1-EXP(-LN(2)/25))/(LN(2)/25)*Calculateur!GH96*Calculateur!GJ96*VLOOKUP('Données projet'!$B$17,Paramètres!$A$1:$I$89,3,0)*0.475*44/12</f>
        <v>1.2708285648177733</v>
      </c>
      <c r="GN96" s="21">
        <f>EXP(-LN(2)/2)*GN95+(1-EXP(-LN(2)/2))/(LN(2)/2)*GH96*GK96*VLOOKUP('Données projet'!$B$17,Paramètres!$A$1:$I$89,3,0)*0.475*44/12</f>
        <v>4.5703106520681876E-9</v>
      </c>
      <c r="GO96" s="21">
        <f t="shared" si="81"/>
        <v>1.2708285693880839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3.4106051316484809E-13</v>
      </c>
      <c r="O97" s="13">
        <f>N97*VLOOKUP('Données projet'!$B$9,Paramètres!$A$1:$I$89,3,0)*VLOOKUP('Données projet'!$B$9,Paramètres!$A$1:$I$89,5,0)</f>
        <v>1.9065282685915009E-13</v>
      </c>
      <c r="P97" s="13">
        <f t="shared" si="87"/>
        <v>2.6568987209435707E-12</v>
      </c>
      <c r="Q97" s="20">
        <f t="shared" si="54"/>
        <v>4.959485612423072E-12</v>
      </c>
      <c r="R97" s="59">
        <f t="shared" si="55"/>
        <v>293.33333333333826</v>
      </c>
      <c r="S97" s="59">
        <f ca="1">AVERAGE(OFFSET($R$3,0,0,'Données projet'!$E$9+1,1))-AVERAGE(OFFSET($H$3,0,0,'Données projet'!$E$9+1,1))</f>
        <v>235.10258076192054</v>
      </c>
      <c r="T97" s="59">
        <f t="shared" si="88"/>
        <v>233.47316052603765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0.96455565302205093</v>
      </c>
      <c r="AA97" s="21">
        <f>EXP(-LN(2)/25)*AA96+(1-EXP(-LN(2)/25))/(LN(2)/25)*Calculateur!V97*Calculateur!X97*VLOOKUP('Données projet'!$B$9,Paramètres!$A$1:$I$89,3,0)*0.475*44/12</f>
        <v>3.1261055363205439</v>
      </c>
      <c r="AB97" s="21">
        <f>EXP(-LN(2)/2)*AB96+(1-EXP(-LN(2)/2))/(LN(2)/2)*V97*Y97*VLOOKUP('Données projet'!$B$9,Paramètres!$A$1:$I$89,3,0)*0.475*44/12</f>
        <v>5.6163598137600099E-9</v>
      </c>
      <c r="AC97" s="22">
        <f t="shared" si="57"/>
        <v>4.0906611949589546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-8.5265128291212022E-14</v>
      </c>
      <c r="AJ97" s="13">
        <f>AI97*VLOOKUP('Données projet'!$B$10,Paramètres!$A$1:$I$89,3,0)*VLOOKUP('Données projet'!$B$10,Paramètres!$A$1:$I$89,5,0)</f>
        <v>-7.4487616075202836E-14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191.94797389630673</v>
      </c>
      <c r="AO97" s="59">
        <f t="shared" si="90"/>
        <v>273.52540822767878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0.72487818772566326</v>
      </c>
      <c r="AV97" s="21">
        <f>EXP(-LN(2)/25)*AV96+(1-EXP(-LN(2)/25))/(LN(2)/25)*Calculateur!AQ97*Calculateur!AS97*VLOOKUP('Données projet'!$B$10,Paramètres!$A$1:$I$89,3,0)*0.475*44/12</f>
        <v>2.382222813107584</v>
      </c>
      <c r="AW97" s="21">
        <f>EXP(-LN(2)/2)*AW96+(1-EXP(-LN(2)/2))/(LN(2)/2)*AQ97*AT97*VLOOKUP('Données projet'!$B$10,Paramètres!$A$1:$I$89,3,0)*0.475*44/12</f>
        <v>5.402384074327856E-9</v>
      </c>
      <c r="AX97" s="21">
        <f t="shared" si="60"/>
        <v>3.1071010062356312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3.7</v>
      </c>
      <c r="BD97" s="12">
        <f>IF('Données projet'!$A$88&gt;35,BD96+BC97-BL96,IF(A97&lt;'Données projet'!$A$88,$BA$205^A97,IF(A97='Données projet'!$A$88,'Données projet'!$B$88,BD96+BC97-BL96)))</f>
        <v>207.80000000000004</v>
      </c>
      <c r="BE97" s="13">
        <f>BD97*VLOOKUP('Données projet'!$B$11,Paramètres!$A$1:$I$89,3,0)*VLOOKUP('Données projet'!$B$11,Paramètres!$A$1:$I$89,5,0)</f>
        <v>188.01744000000002</v>
      </c>
      <c r="BF97" s="13">
        <f t="shared" si="91"/>
        <v>47.101369760097391</v>
      </c>
      <c r="BG97" s="20">
        <f t="shared" si="61"/>
        <v>409.49859366550299</v>
      </c>
      <c r="BH97" s="59">
        <f t="shared" si="62"/>
        <v>702.83192699883625</v>
      </c>
      <c r="BI97" s="59">
        <f ca="1">AVERAGE(OFFSET($BH$3,0,0,'Données projet'!$E$11+1,1))-AVERAGE(OFFSET($H$3,0,0,'Données projet'!$E$11+1,1))</f>
        <v>138.8931001150624</v>
      </c>
      <c r="BJ97" s="59">
        <f t="shared" si="92"/>
        <v>48.964659354096625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3.7</v>
      </c>
      <c r="BY97" s="12">
        <f>IF('Données projet'!$A$114&gt;35,BY96+BX97-CG96,IF(A97&lt;'Données projet'!$A$114,$BV$205^A97,IF(A97='Données projet'!$A$114,'Données projet'!$B$114,BY96+BX97-CG96)))</f>
        <v>207.80000000000004</v>
      </c>
      <c r="BZ97" s="13">
        <f>BY97*VLOOKUP('Données projet'!$B$12,Paramètres!$A$1:$I$89,3,0)*VLOOKUP('Données projet'!$B$12,Paramètres!$A$1:$I$89,5,0)</f>
        <v>210.70920000000004</v>
      </c>
      <c r="CA97" s="13">
        <f t="shared" si="93"/>
        <v>52.09053331883625</v>
      </c>
      <c r="CB97" s="20">
        <f t="shared" si="64"/>
        <v>457.70953553030648</v>
      </c>
      <c r="CC97" s="59">
        <f t="shared" si="65"/>
        <v>751.0428688636398</v>
      </c>
      <c r="CD97" s="59">
        <f ca="1">AVERAGE(OFFSET($CC$3,0,0,'Données projet'!$E$12+1,1))-AVERAGE(OFFSET($H$3,0,0,'Données projet'!$E$12+1,1))</f>
        <v>169.2757878405003</v>
      </c>
      <c r="CE97" s="59">
        <f t="shared" si="94"/>
        <v>61.876502626609977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-8.5265128291212022E-14</v>
      </c>
      <c r="CU97" s="17">
        <f>CT97*VLOOKUP('Données projet'!$B$13,Paramètres!$A$1:$I$89,3,0)*VLOOKUP('Données projet'!$B$13,Paramètres!$A$1:$I$89,5,0)</f>
        <v>-6.7836936068488286E-14</v>
      </c>
      <c r="CV97" s="13" t="e">
        <f t="shared" si="95"/>
        <v>#NUM!</v>
      </c>
      <c r="CW97" s="20" t="e">
        <f t="shared" si="67"/>
        <v>#NUM!</v>
      </c>
      <c r="CX97" s="59" t="e">
        <f t="shared" si="68"/>
        <v>#NUM!</v>
      </c>
      <c r="CY97" s="59">
        <f ca="1">AVERAGE(OFFSET($CX$3,0,0,'Données projet'!$E$13+1,1))-AVERAGE(OFFSET($H$3,0,0,'Données projet'!$E$13+1,1))</f>
        <v>141.12810728817544</v>
      </c>
      <c r="CZ97" s="59">
        <f t="shared" si="96"/>
        <v>176.01405805137551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>
        <f>EXP(-LN(2)/35)*DF96+(1-EXP(-LN(2)/35))/(LN(2)/35)*DB97*DC97*VLOOKUP('Données projet'!$B$13,Paramètres!$A$1:$I$89,3,0)*0.475*44/12</f>
        <v>0</v>
      </c>
      <c r="DG97" s="21">
        <f>EXP(-LN(2)/25)*DG96+(1-EXP(-LN(2)/25))/(LN(2)/25)*Calculateur!DB97*Calculateur!DD97*VLOOKUP('Données projet'!$B$13,Paramètres!$A$1:$I$89,3,0)*0.475*44/12</f>
        <v>1.1399842635495177</v>
      </c>
      <c r="DH97" s="21">
        <f>EXP(-LN(2)/2)*DH96+(1-EXP(-LN(2)/2))/(LN(2)/2)*DB97*DE97*VLOOKUP('Données projet'!$B$13,Paramètres!$A$1:$I$89,3,0)*0.475*44/12</f>
        <v>1.8638539915627263E-9</v>
      </c>
      <c r="DI97" s="22">
        <f t="shared" si="69"/>
        <v>1.1399842654133716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5.6843418860808015E-14</v>
      </c>
      <c r="DP97" s="17">
        <f>DO97*VLOOKUP('Données projet'!$B$14,Paramètres!$A$1:$I$89,3,0)*VLOOKUP('Données projet'!$B$14,Paramètres!$A$1:$I$89,5,0)</f>
        <v>3.3992364478763198E-14</v>
      </c>
      <c r="DQ97" s="13">
        <f t="shared" si="97"/>
        <v>5.790027782444094E-13</v>
      </c>
      <c r="DR97" s="20">
        <f t="shared" si="70"/>
        <v>1.0676332069095257E-12</v>
      </c>
      <c r="DS97" s="59">
        <f t="shared" si="71"/>
        <v>293.33333333333439</v>
      </c>
      <c r="DT97" s="59">
        <f ca="1">AVERAGE(OFFSET($DS$3,0,0,'Données projet'!$E$14+1,1))-AVERAGE(OFFSET($H$3,0,0,'Données projet'!$E$14+1,1))</f>
        <v>165.39579887388538</v>
      </c>
      <c r="DU97" s="59">
        <f t="shared" si="98"/>
        <v>155.89639262545802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>
        <f>EXP(-LN(2)/35)*EA96+(1-EXP(-LN(2)/35))/(LN(2)/35)*DW97*DX97*VLOOKUP('Données projet'!$B$14,Paramètres!$A$1:$I$89,3,0)*0.475*44/12</f>
        <v>0</v>
      </c>
      <c r="EB97" s="21">
        <f>EXP(-LN(2)/25)*EB96+(1-EXP(-LN(2)/25))/(LN(2)/25)*Calculateur!DW97*Calculateur!DY97*VLOOKUP('Données projet'!$B$14,Paramètres!$A$1:$I$89,3,0)*0.475*44/12</f>
        <v>1.2360776908828617</v>
      </c>
      <c r="EC97" s="21">
        <f>EXP(-LN(2)/2)*EC96+(1-EXP(-LN(2)/2))/(LN(2)/2)*DW97*DZ97*VLOOKUP('Données projet'!$B$14,Paramètres!$A$1:$I$89,3,0)*0.475*44/12</f>
        <v>3.2316976542065273E-9</v>
      </c>
      <c r="ED97" s="22">
        <f t="shared" si="72"/>
        <v>1.2360776941145593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3.7</v>
      </c>
      <c r="EJ97" s="12">
        <f>IF('Données projet'!$A$192&gt;35,EJ96+EI97-ER96,IF(A97&lt;'Données projet'!$A$192,$EG$205^A97,IF(A97='Données projet'!$A$192,'Données projet'!$B$192,EJ96+EI97-ER96)))</f>
        <v>207.80000000000004</v>
      </c>
      <c r="EK97" s="17">
        <f>EJ97*VLOOKUP('Données projet'!$B$15,Paramètres!$A$1:$I$89,3,0)*VLOOKUP('Données projet'!$B$15,Paramètres!$A$1:$I$89,5,0)</f>
        <v>162.08400000000003</v>
      </c>
      <c r="EL97" s="13">
        <f t="shared" si="99"/>
        <v>41.312212813867923</v>
      </c>
      <c r="EM97" s="20">
        <f t="shared" si="73"/>
        <v>354.2484039841533</v>
      </c>
      <c r="EN97" s="59">
        <f t="shared" si="74"/>
        <v>647.58173731748661</v>
      </c>
      <c r="EO97" s="59">
        <f ca="1">AVERAGE(OFFSET($EN$3,0,0,'Données projet'!$E$15+1,1))-AVERAGE(OFFSET($H$3,0,0,'Données projet'!$E$15+1,1))</f>
        <v>104.07220236158577</v>
      </c>
      <c r="EP97" s="59">
        <f t="shared" si="100"/>
        <v>34.162068257911756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>
        <f>EXP(-LN(2)/35)*EV96+(1-EXP(-LN(2)/35))/(LN(2)/35)*ER97*ES97*VLOOKUP('Données projet'!$B$15,Paramètres!$A$1:$I$89,3,0)*0.475*44/12</f>
        <v>0</v>
      </c>
      <c r="EW97" s="21">
        <f>EXP(-LN(2)/25)*EW96+(1-EXP(-LN(2)/25))/(LN(2)/25)*Calculateur!ER97*Calculateur!ET97*VLOOKUP('Données projet'!$B$15,Paramètres!$A$1:$I$89,3,0)*0.475*44/12</f>
        <v>0</v>
      </c>
      <c r="EX97" s="21">
        <f>EXP(-LN(2)/2)*EX96+(1-EXP(-LN(2)/2))/(LN(2)/2)*ER97*EU97*VLOOKUP('Données projet'!$B$15,Paramètres!$A$1:$I$89,3,0)*0.475*44/12</f>
        <v>0</v>
      </c>
      <c r="EY97" s="22">
        <f t="shared" si="75"/>
        <v>0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5.6843418860808015E-14</v>
      </c>
      <c r="FF97" s="17">
        <f>FE97*VLOOKUP('Données projet'!$B$16,Paramètres!$A$1:$I$89,3,0)*VLOOKUP('Données projet'!$B$16,Paramètres!$A$1:$I$89,5,0)</f>
        <v>5.1431925385259088E-14</v>
      </c>
      <c r="FG97" s="13">
        <f t="shared" si="101"/>
        <v>8.3482866290946129E-13</v>
      </c>
      <c r="FH97" s="20">
        <f t="shared" si="76"/>
        <v>1.5435705246133045E-12</v>
      </c>
      <c r="FI97" s="59">
        <f t="shared" si="77"/>
        <v>293.33333333333485</v>
      </c>
      <c r="FJ97" s="59">
        <f ca="1">AVERAGE(OFFSET($FI$3,0,0,'Données projet'!$E$16+1,1))-AVERAGE(OFFSET($H$3,0,0,'Données projet'!$E$16+1,1))</f>
        <v>179.50097986986123</v>
      </c>
      <c r="FK97" s="59">
        <f t="shared" si="102"/>
        <v>287.11838730637578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>
        <f>EXP(-LN(2)/35)*FQ96+(1-EXP(-LN(2)/35))/(LN(2)/35)*FM97*FN97*VLOOKUP('Données projet'!$B$16,Paramètres!$A$1:$I$89,3,0)*0.475*44/12</f>
        <v>0.1755071269602046</v>
      </c>
      <c r="FR97" s="21">
        <f>EXP(-LN(2)/25)*FR96+(1-EXP(-LN(2)/25))/(LN(2)/25)*Calculateur!FM97*Calculateur!FO97*VLOOKUP('Données projet'!$B$16,Paramètres!$A$1:$I$89,3,0)*0.475*44/12</f>
        <v>1.0672463733119841</v>
      </c>
      <c r="FS97" s="21">
        <f>EXP(-LN(2)/2)*FS96+(1-EXP(-LN(2)/2))/(LN(2)/2)*FM97*FP97*VLOOKUP('Données projet'!$B$16,Paramètres!$A$1:$I$89,3,0)*0.475*44/12</f>
        <v>1.052579848450965E-9</v>
      </c>
      <c r="FT97" s="22">
        <f t="shared" si="78"/>
        <v>1.2427535013247686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5.6843418860808015E-14</v>
      </c>
      <c r="GA97" s="17">
        <f>FZ97*VLOOKUP('Données projet'!$B$17,Paramètres!$A$1:$I$89,3,0)*VLOOKUP('Données projet'!$B$17,Paramètres!$A$1:$I$89,5,0)</f>
        <v>3.3992364478763198E-14</v>
      </c>
      <c r="GB97" s="13">
        <f t="shared" si="103"/>
        <v>5.790027782444094E-13</v>
      </c>
      <c r="GC97" s="20">
        <f t="shared" si="79"/>
        <v>1.0676332069095257E-12</v>
      </c>
      <c r="GD97" s="59">
        <f t="shared" si="80"/>
        <v>293.33333333333439</v>
      </c>
      <c r="GE97" s="59">
        <f ca="1">AVERAGE(OFFSET($GD$3,0,0,'Données projet'!$E$17+1,1))-AVERAGE(OFFSET($H$3,0,0,'Données projet'!$E$17+1,1))</f>
        <v>165.39579887388538</v>
      </c>
      <c r="GF97" s="59">
        <f t="shared" si="104"/>
        <v>155.89639262545802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>
        <f>EXP(-LN(2)/35)*GL96+(1-EXP(-LN(2)/35))/(LN(2)/35)*GH97*GI97*VLOOKUP('Données projet'!$B$17,Paramètres!$A$1:$I$89,3,0)*0.475*44/12</f>
        <v>0</v>
      </c>
      <c r="GM97" s="21">
        <f>EXP(-LN(2)/25)*GM96+(1-EXP(-LN(2)/25))/(LN(2)/25)*Calculateur!GH97*Calculateur!GJ97*VLOOKUP('Données projet'!$B$17,Paramètres!$A$1:$I$89,3,0)*0.475*44/12</f>
        <v>1.2360776908828617</v>
      </c>
      <c r="GN97" s="21">
        <f>EXP(-LN(2)/2)*GN96+(1-EXP(-LN(2)/2))/(LN(2)/2)*GH97*GK97*VLOOKUP('Données projet'!$B$17,Paramètres!$A$1:$I$89,3,0)*0.475*44/12</f>
        <v>3.2316976542065273E-9</v>
      </c>
      <c r="GO97" s="21">
        <f t="shared" si="81"/>
        <v>1.2360776941145593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3.4106051316484809E-13</v>
      </c>
      <c r="O98" s="13">
        <f>N98*VLOOKUP('Données projet'!$B$9,Paramètres!$A$1:$I$89,3,0)*VLOOKUP('Données projet'!$B$9,Paramètres!$A$1:$I$89,5,0)</f>
        <v>1.9065282685915009E-13</v>
      </c>
      <c r="P98" s="13">
        <f t="shared" si="87"/>
        <v>2.6568987209435707E-12</v>
      </c>
      <c r="Q98" s="20">
        <f t="shared" si="54"/>
        <v>4.959485612423072E-12</v>
      </c>
      <c r="R98" s="59">
        <f t="shared" si="55"/>
        <v>293.33333333333826</v>
      </c>
      <c r="S98" s="59">
        <f ca="1">AVERAGE(OFFSET($R$3,0,0,'Données projet'!$E$9+1,1))-AVERAGE(OFFSET($H$3,0,0,'Données projet'!$E$9+1,1))</f>
        <v>235.10258076192054</v>
      </c>
      <c r="T98" s="59">
        <f t="shared" si="88"/>
        <v>233.47316052603765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0.94564130498714505</v>
      </c>
      <c r="AA98" s="21">
        <f>EXP(-LN(2)/25)*AA97+(1-EXP(-LN(2)/25))/(LN(2)/25)*Calculateur!V98*Calculateur!X98*VLOOKUP('Données projet'!$B$9,Paramètres!$A$1:$I$89,3,0)*0.475*44/12</f>
        <v>3.0406220160351132</v>
      </c>
      <c r="AB98" s="21">
        <f>EXP(-LN(2)/2)*AB97+(1-EXP(-LN(2)/2))/(LN(2)/2)*V98*Y98*VLOOKUP('Données projet'!$B$9,Paramètres!$A$1:$I$89,3,0)*0.475*44/12</f>
        <v>3.971366109893318E-9</v>
      </c>
      <c r="AC98" s="22">
        <f t="shared" si="57"/>
        <v>3.9862633249936241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-8.5265128291212022E-14</v>
      </c>
      <c r="AJ98" s="13">
        <f>AI98*VLOOKUP('Données projet'!$B$10,Paramètres!$A$1:$I$89,3,0)*VLOOKUP('Données projet'!$B$10,Paramètres!$A$1:$I$89,5,0)</f>
        <v>-7.4487616075202836E-14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191.94797389630673</v>
      </c>
      <c r="AO98" s="59">
        <f t="shared" si="90"/>
        <v>273.52540822767878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0.71066376859640057</v>
      </c>
      <c r="AV98" s="21">
        <f>EXP(-LN(2)/25)*AV97+(1-EXP(-LN(2)/25))/(LN(2)/25)*Calculateur!AQ98*Calculateur!AS98*VLOOKUP('Données projet'!$B$10,Paramètres!$A$1:$I$89,3,0)*0.475*44/12</f>
        <v>2.317080805007504</v>
      </c>
      <c r="AW98" s="21">
        <f>EXP(-LN(2)/2)*AW97+(1-EXP(-LN(2)/2))/(LN(2)/2)*AQ98*AT98*VLOOKUP('Données projet'!$B$10,Paramètres!$A$1:$I$89,3,0)*0.475*44/12</f>
        <v>3.8200624135314362E-9</v>
      </c>
      <c r="AX98" s="21">
        <f t="shared" si="60"/>
        <v>3.0277445774239671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3.7</v>
      </c>
      <c r="BD98" s="12">
        <f>IF('Données projet'!$A$88&gt;35,BD97+BC98-BL97,IF(A98&lt;'Données projet'!$A$88,$BA$205^A98,IF(A98='Données projet'!$A$88,'Données projet'!$B$88,BD97+BC98-BL97)))</f>
        <v>211.50000000000003</v>
      </c>
      <c r="BE98" s="13">
        <f>BD98*VLOOKUP('Données projet'!$B$11,Paramètres!$A$1:$I$89,3,0)*VLOOKUP('Données projet'!$B$11,Paramètres!$A$1:$I$89,5,0)</f>
        <v>191.36520000000002</v>
      </c>
      <c r="BF98" s="13">
        <f t="shared" si="91"/>
        <v>47.841653305605021</v>
      </c>
      <c r="BG98" s="20">
        <f t="shared" si="61"/>
        <v>416.61860284059543</v>
      </c>
      <c r="BH98" s="59">
        <f t="shared" si="62"/>
        <v>709.95193617392874</v>
      </c>
      <c r="BI98" s="59">
        <f ca="1">AVERAGE(OFFSET($BH$3,0,0,'Données projet'!$E$11+1,1))-AVERAGE(OFFSET($H$3,0,0,'Données projet'!$E$11+1,1))</f>
        <v>138.8931001150624</v>
      </c>
      <c r="BJ98" s="59">
        <f t="shared" si="92"/>
        <v>48.964659354096625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3.7</v>
      </c>
      <c r="BY98" s="12">
        <f>IF('Données projet'!$A$114&gt;35,BY97+BX98-CG97,IF(A98&lt;'Données projet'!$A$114,$BV$205^A98,IF(A98='Données projet'!$A$114,'Données projet'!$B$114,BY97+BX98-CG97)))</f>
        <v>211.50000000000003</v>
      </c>
      <c r="BZ98" s="13">
        <f>BY98*VLOOKUP('Données projet'!$B$12,Paramètres!$A$1:$I$89,3,0)*VLOOKUP('Données projet'!$B$12,Paramètres!$A$1:$I$89,5,0)</f>
        <v>214.46100000000004</v>
      </c>
      <c r="CA98" s="13">
        <f t="shared" si="93"/>
        <v>52.909230628257596</v>
      </c>
      <c r="CB98" s="20">
        <f t="shared" si="64"/>
        <v>465.66981834421534</v>
      </c>
      <c r="CC98" s="59">
        <f t="shared" si="65"/>
        <v>759.00315167754866</v>
      </c>
      <c r="CD98" s="59">
        <f ca="1">AVERAGE(OFFSET($CC$3,0,0,'Données projet'!$E$12+1,1))-AVERAGE(OFFSET($H$3,0,0,'Données projet'!$E$12+1,1))</f>
        <v>169.2757878405003</v>
      </c>
      <c r="CE98" s="59">
        <f t="shared" si="94"/>
        <v>61.876502626609977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-8.5265128291212022E-14</v>
      </c>
      <c r="CU98" s="17">
        <f>CT98*VLOOKUP('Données projet'!$B$13,Paramètres!$A$1:$I$89,3,0)*VLOOKUP('Données projet'!$B$13,Paramètres!$A$1:$I$89,5,0)</f>
        <v>-6.7836936068488286E-14</v>
      </c>
      <c r="CV98" s="13" t="e">
        <f t="shared" si="95"/>
        <v>#NUM!</v>
      </c>
      <c r="CW98" s="20" t="e">
        <f t="shared" si="67"/>
        <v>#NUM!</v>
      </c>
      <c r="CX98" s="59" t="e">
        <f t="shared" si="68"/>
        <v>#NUM!</v>
      </c>
      <c r="CY98" s="59">
        <f ca="1">AVERAGE(OFFSET($CX$3,0,0,'Données projet'!$E$13+1,1))-AVERAGE(OFFSET($H$3,0,0,'Données projet'!$E$13+1,1))</f>
        <v>141.12810728817544</v>
      </c>
      <c r="CZ98" s="59">
        <f t="shared" si="96"/>
        <v>176.01405805137551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>
        <f>EXP(-LN(2)/35)*DF97+(1-EXP(-LN(2)/35))/(LN(2)/35)*DB98*DC98*VLOOKUP('Données projet'!$B$13,Paramètres!$A$1:$I$89,3,0)*0.475*44/12</f>
        <v>0</v>
      </c>
      <c r="DG98" s="21">
        <f>EXP(-LN(2)/25)*DG97+(1-EXP(-LN(2)/25))/(LN(2)/25)*Calculateur!DB98*Calculateur!DD98*VLOOKUP('Données projet'!$B$13,Paramètres!$A$1:$I$89,3,0)*0.475*44/12</f>
        <v>1.1088113339135892</v>
      </c>
      <c r="DH98" s="21">
        <f>EXP(-LN(2)/2)*DH97+(1-EXP(-LN(2)/2))/(LN(2)/2)*DB98*DE98*VLOOKUP('Données projet'!$B$13,Paramètres!$A$1:$I$89,3,0)*0.475*44/12</f>
        <v>1.3179437965756179E-9</v>
      </c>
      <c r="DI98" s="22">
        <f t="shared" si="69"/>
        <v>1.108811335231533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5.6843418860808015E-14</v>
      </c>
      <c r="DP98" s="17">
        <f>DO98*VLOOKUP('Données projet'!$B$14,Paramètres!$A$1:$I$89,3,0)*VLOOKUP('Données projet'!$B$14,Paramètres!$A$1:$I$89,5,0)</f>
        <v>3.3992364478763198E-14</v>
      </c>
      <c r="DQ98" s="13">
        <f t="shared" si="97"/>
        <v>5.790027782444094E-13</v>
      </c>
      <c r="DR98" s="20">
        <f t="shared" si="70"/>
        <v>1.0676332069095257E-12</v>
      </c>
      <c r="DS98" s="59">
        <f t="shared" si="71"/>
        <v>293.33333333333439</v>
      </c>
      <c r="DT98" s="59">
        <f ca="1">AVERAGE(OFFSET($DS$3,0,0,'Données projet'!$E$14+1,1))-AVERAGE(OFFSET($H$3,0,0,'Données projet'!$E$14+1,1))</f>
        <v>165.39579887388538</v>
      </c>
      <c r="DU98" s="59">
        <f t="shared" si="98"/>
        <v>155.89639262545802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>
        <f>EXP(-LN(2)/35)*EA97+(1-EXP(-LN(2)/35))/(LN(2)/35)*DW98*DX98*VLOOKUP('Données projet'!$B$14,Paramètres!$A$1:$I$89,3,0)*0.475*44/12</f>
        <v>0</v>
      </c>
      <c r="EB98" s="21">
        <f>EXP(-LN(2)/25)*EB97+(1-EXP(-LN(2)/25))/(LN(2)/25)*Calculateur!DW98*Calculateur!DY98*VLOOKUP('Données projet'!$B$14,Paramètres!$A$1:$I$89,3,0)*0.475*44/12</f>
        <v>1.2022770814231691</v>
      </c>
      <c r="EC98" s="21">
        <f>EXP(-LN(2)/2)*EC97+(1-EXP(-LN(2)/2))/(LN(2)/2)*DW98*DZ98*VLOOKUP('Données projet'!$B$14,Paramètres!$A$1:$I$89,3,0)*0.475*44/12</f>
        <v>2.2851553260340938E-9</v>
      </c>
      <c r="ED98" s="22">
        <f t="shared" si="72"/>
        <v>1.2022770837083245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3.7</v>
      </c>
      <c r="EJ98" s="12">
        <f>IF('Données projet'!$A$192&gt;35,EJ97+EI98-ER97,IF(A98&lt;'Données projet'!$A$192,$EG$205^A98,IF(A98='Données projet'!$A$192,'Données projet'!$B$192,EJ97+EI98-ER97)))</f>
        <v>211.50000000000003</v>
      </c>
      <c r="EK98" s="17">
        <f>EJ98*VLOOKUP('Données projet'!$B$15,Paramètres!$A$1:$I$89,3,0)*VLOOKUP('Données projet'!$B$15,Paramètres!$A$1:$I$89,5,0)</f>
        <v>164.97000000000003</v>
      </c>
      <c r="EL98" s="13">
        <f t="shared" si="99"/>
        <v>41.961509246867301</v>
      </c>
      <c r="EM98" s="20">
        <f t="shared" si="73"/>
        <v>360.40571193829396</v>
      </c>
      <c r="EN98" s="59">
        <f t="shared" si="74"/>
        <v>653.73904527162722</v>
      </c>
      <c r="EO98" s="59">
        <f ca="1">AVERAGE(OFFSET($EN$3,0,0,'Données projet'!$E$15+1,1))-AVERAGE(OFFSET($H$3,0,0,'Données projet'!$E$15+1,1))</f>
        <v>104.07220236158577</v>
      </c>
      <c r="EP98" s="59">
        <f t="shared" si="100"/>
        <v>34.162068257911756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>
        <f>EXP(-LN(2)/35)*EV97+(1-EXP(-LN(2)/35))/(LN(2)/35)*ER98*ES98*VLOOKUP('Données projet'!$B$15,Paramètres!$A$1:$I$89,3,0)*0.475*44/12</f>
        <v>0</v>
      </c>
      <c r="EW98" s="21">
        <f>EXP(-LN(2)/25)*EW97+(1-EXP(-LN(2)/25))/(LN(2)/25)*Calculateur!ER98*Calculateur!ET98*VLOOKUP('Données projet'!$B$15,Paramètres!$A$1:$I$89,3,0)*0.475*44/12</f>
        <v>0</v>
      </c>
      <c r="EX98" s="21">
        <f>EXP(-LN(2)/2)*EX97+(1-EXP(-LN(2)/2))/(LN(2)/2)*ER98*EU98*VLOOKUP('Données projet'!$B$15,Paramètres!$A$1:$I$89,3,0)*0.475*44/12</f>
        <v>0</v>
      </c>
      <c r="EY98" s="22">
        <f t="shared" si="75"/>
        <v>0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5.6843418860808015E-14</v>
      </c>
      <c r="FF98" s="17">
        <f>FE98*VLOOKUP('Données projet'!$B$16,Paramètres!$A$1:$I$89,3,0)*VLOOKUP('Données projet'!$B$16,Paramètres!$A$1:$I$89,5,0)</f>
        <v>5.1431925385259088E-14</v>
      </c>
      <c r="FG98" s="13">
        <f t="shared" si="101"/>
        <v>8.3482866290946129E-13</v>
      </c>
      <c r="FH98" s="20">
        <f t="shared" si="76"/>
        <v>1.5435705246133045E-12</v>
      </c>
      <c r="FI98" s="59">
        <f t="shared" si="77"/>
        <v>293.33333333333485</v>
      </c>
      <c r="FJ98" s="59">
        <f ca="1">AVERAGE(OFFSET($FI$3,0,0,'Données projet'!$E$16+1,1))-AVERAGE(OFFSET($H$3,0,0,'Données projet'!$E$16+1,1))</f>
        <v>179.50097986986123</v>
      </c>
      <c r="FK98" s="59">
        <f t="shared" si="102"/>
        <v>287.11838730637578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>
        <f>EXP(-LN(2)/35)*FQ97+(1-EXP(-LN(2)/35))/(LN(2)/35)*FM98*FN98*VLOOKUP('Données projet'!$B$16,Paramètres!$A$1:$I$89,3,0)*0.475*44/12</f>
        <v>0.17206553924929224</v>
      </c>
      <c r="FR98" s="21">
        <f>EXP(-LN(2)/25)*FR97+(1-EXP(-LN(2)/25))/(LN(2)/25)*Calculateur!FM98*Calculateur!FO98*VLOOKUP('Données projet'!$B$16,Paramètres!$A$1:$I$89,3,0)*0.475*44/12</f>
        <v>1.0380624651097203</v>
      </c>
      <c r="FS98" s="21">
        <f>EXP(-LN(2)/2)*FS97+(1-EXP(-LN(2)/2))/(LN(2)/2)*FM98*FP98*VLOOKUP('Données projet'!$B$16,Paramètres!$A$1:$I$89,3,0)*0.475*44/12</f>
        <v>7.4428634857998586E-10</v>
      </c>
      <c r="FT98" s="22">
        <f t="shared" si="78"/>
        <v>1.210128005103299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5.6843418860808015E-14</v>
      </c>
      <c r="GA98" s="17">
        <f>FZ98*VLOOKUP('Données projet'!$B$17,Paramètres!$A$1:$I$89,3,0)*VLOOKUP('Données projet'!$B$17,Paramètres!$A$1:$I$89,5,0)</f>
        <v>3.3992364478763198E-14</v>
      </c>
      <c r="GB98" s="13">
        <f t="shared" si="103"/>
        <v>5.790027782444094E-13</v>
      </c>
      <c r="GC98" s="20">
        <f t="shared" si="79"/>
        <v>1.0676332069095257E-12</v>
      </c>
      <c r="GD98" s="59">
        <f t="shared" si="80"/>
        <v>293.33333333333439</v>
      </c>
      <c r="GE98" s="59">
        <f ca="1">AVERAGE(OFFSET($GD$3,0,0,'Données projet'!$E$17+1,1))-AVERAGE(OFFSET($H$3,0,0,'Données projet'!$E$17+1,1))</f>
        <v>165.39579887388538</v>
      </c>
      <c r="GF98" s="59">
        <f t="shared" si="104"/>
        <v>155.89639262545802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>
        <f>EXP(-LN(2)/35)*GL97+(1-EXP(-LN(2)/35))/(LN(2)/35)*GH98*GI98*VLOOKUP('Données projet'!$B$17,Paramètres!$A$1:$I$89,3,0)*0.475*44/12</f>
        <v>0</v>
      </c>
      <c r="GM98" s="21">
        <f>EXP(-LN(2)/25)*GM97+(1-EXP(-LN(2)/25))/(LN(2)/25)*Calculateur!GH98*Calculateur!GJ98*VLOOKUP('Données projet'!$B$17,Paramètres!$A$1:$I$89,3,0)*0.475*44/12</f>
        <v>1.2022770814231691</v>
      </c>
      <c r="GN98" s="21">
        <f>EXP(-LN(2)/2)*GN97+(1-EXP(-LN(2)/2))/(LN(2)/2)*GH98*GK98*VLOOKUP('Données projet'!$B$17,Paramètres!$A$1:$I$89,3,0)*0.475*44/12</f>
        <v>2.2851553260340938E-9</v>
      </c>
      <c r="GO98" s="21">
        <f t="shared" si="81"/>
        <v>1.2022770837083245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3.4106051316484809E-13</v>
      </c>
      <c r="O99" s="13">
        <f>N99*VLOOKUP('Données projet'!$B$9,Paramètres!$A$1:$I$89,3,0)*VLOOKUP('Données projet'!$B$9,Paramètres!$A$1:$I$89,5,0)</f>
        <v>1.9065282685915009E-13</v>
      </c>
      <c r="P99" s="13">
        <f t="shared" si="87"/>
        <v>2.6568987209435707E-12</v>
      </c>
      <c r="Q99" s="20">
        <f t="shared" ref="Q99:Q130" si="107">(O99+P99)*0.475*44/12</f>
        <v>4.959485612423072E-12</v>
      </c>
      <c r="R99" s="59">
        <f t="shared" si="55"/>
        <v>293.33333333333826</v>
      </c>
      <c r="S99" s="59">
        <f ca="1">AVERAGE(OFFSET($R$3,0,0,'Données projet'!$E$9+1,1))-AVERAGE(OFFSET($H$3,0,0,'Données projet'!$E$9+1,1))</f>
        <v>235.10258076192054</v>
      </c>
      <c r="T99" s="59">
        <f t="shared" si="88"/>
        <v>233.47316052603765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0.92709785578059045</v>
      </c>
      <c r="AA99" s="21">
        <f>EXP(-LN(2)/25)*AA98+(1-EXP(-LN(2)/25))/(LN(2)/25)*Calculateur!V99*Calculateur!X99*VLOOKUP('Données projet'!$B$9,Paramètres!$A$1:$I$89,3,0)*0.475*44/12</f>
        <v>2.9574760471072707</v>
      </c>
      <c r="AB99" s="21">
        <f>EXP(-LN(2)/2)*AB98+(1-EXP(-LN(2)/2))/(LN(2)/2)*V99*Y99*VLOOKUP('Données projet'!$B$9,Paramètres!$A$1:$I$89,3,0)*0.475*44/12</f>
        <v>2.8081799068800049E-9</v>
      </c>
      <c r="AC99" s="22">
        <f t="shared" si="57"/>
        <v>3.8845739056960409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-8.5265128291212022E-14</v>
      </c>
      <c r="AJ99" s="13">
        <f>AI99*VLOOKUP('Données projet'!$B$10,Paramètres!$A$1:$I$89,3,0)*VLOOKUP('Données projet'!$B$10,Paramètres!$A$1:$I$89,5,0)</f>
        <v>-7.4487616075202836E-14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191.94797389630673</v>
      </c>
      <c r="AO99" s="59">
        <f t="shared" si="90"/>
        <v>273.52540822767878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0.69672808555632315</v>
      </c>
      <c r="AV99" s="21">
        <f>EXP(-LN(2)/25)*AV98+(1-EXP(-LN(2)/25))/(LN(2)/25)*Calculateur!AQ99*Calculateur!AS99*VLOOKUP('Données projet'!$B$10,Paramètres!$A$1:$I$89,3,0)*0.475*44/12</f>
        <v>2.2537201085445902</v>
      </c>
      <c r="AW99" s="21">
        <f>EXP(-LN(2)/2)*AW98+(1-EXP(-LN(2)/2))/(LN(2)/2)*AQ99*AT99*VLOOKUP('Données projet'!$B$10,Paramètres!$A$1:$I$89,3,0)*0.475*44/12</f>
        <v>2.701192037163928E-9</v>
      </c>
      <c r="AX99" s="21">
        <f t="shared" si="60"/>
        <v>2.9504481968021055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3.7</v>
      </c>
      <c r="BD99" s="12">
        <f>IF('Données projet'!$A$88&gt;35,BD98+BC99-BL98,IF(A99&lt;'Données projet'!$A$88,$BA$205^A99,IF(A99='Données projet'!$A$88,'Données projet'!$B$88,BD98+BC99-BL98)))</f>
        <v>215.20000000000002</v>
      </c>
      <c r="BE99" s="13">
        <f>BD99*VLOOKUP('Données projet'!$B$11,Paramètres!$A$1:$I$89,3,0)*VLOOKUP('Données projet'!$B$11,Paramètres!$A$1:$I$89,5,0)</f>
        <v>194.71296000000001</v>
      </c>
      <c r="BF99" s="13">
        <f t="shared" si="91"/>
        <v>48.580430855369244</v>
      </c>
      <c r="BG99" s="20">
        <f t="shared" si="61"/>
        <v>423.73598907310139</v>
      </c>
      <c r="BH99" s="59">
        <f t="shared" si="62"/>
        <v>717.06932240643471</v>
      </c>
      <c r="BI99" s="59">
        <f ca="1">AVERAGE(OFFSET($BH$3,0,0,'Données projet'!$E$11+1,1))-AVERAGE(OFFSET($H$3,0,0,'Données projet'!$E$11+1,1))</f>
        <v>138.8931001150624</v>
      </c>
      <c r="BJ99" s="59">
        <f t="shared" si="92"/>
        <v>48.964659354096625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3.7</v>
      </c>
      <c r="BY99" s="12">
        <f>IF('Données projet'!$A$114&gt;35,BY98+BX99-CG98,IF(A99&lt;'Données projet'!$A$114,$BV$205^A99,IF(A99='Données projet'!$A$114,'Données projet'!$B$114,BY98+BX99-CG98)))</f>
        <v>215.20000000000002</v>
      </c>
      <c r="BZ99" s="13">
        <f>BY99*VLOOKUP('Données projet'!$B$12,Paramètres!$A$1:$I$89,3,0)*VLOOKUP('Données projet'!$B$12,Paramètres!$A$1:$I$89,5,0)</f>
        <v>218.21280000000004</v>
      </c>
      <c r="CA99" s="13">
        <f t="shared" si="93"/>
        <v>53.726262420904206</v>
      </c>
      <c r="CB99" s="20">
        <f t="shared" si="64"/>
        <v>473.62720038307492</v>
      </c>
      <c r="CC99" s="59">
        <f t="shared" si="65"/>
        <v>766.96053371640824</v>
      </c>
      <c r="CD99" s="59">
        <f ca="1">AVERAGE(OFFSET($CC$3,0,0,'Données projet'!$E$12+1,1))-AVERAGE(OFFSET($H$3,0,0,'Données projet'!$E$12+1,1))</f>
        <v>169.2757878405003</v>
      </c>
      <c r="CE99" s="59">
        <f t="shared" si="94"/>
        <v>61.876502626609977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-8.5265128291212022E-14</v>
      </c>
      <c r="CU99" s="17">
        <f>CT99*VLOOKUP('Données projet'!$B$13,Paramètres!$A$1:$I$89,3,0)*VLOOKUP('Données projet'!$B$13,Paramètres!$A$1:$I$89,5,0)</f>
        <v>-6.7836936068488286E-14</v>
      </c>
      <c r="CV99" s="13" t="e">
        <f t="shared" si="95"/>
        <v>#NUM!</v>
      </c>
      <c r="CW99" s="20" t="e">
        <f t="shared" si="67"/>
        <v>#NUM!</v>
      </c>
      <c r="CX99" s="59" t="e">
        <f t="shared" si="68"/>
        <v>#NUM!</v>
      </c>
      <c r="CY99" s="59">
        <f ca="1">AVERAGE(OFFSET($CX$3,0,0,'Données projet'!$E$13+1,1))-AVERAGE(OFFSET($H$3,0,0,'Données projet'!$E$13+1,1))</f>
        <v>141.12810728817544</v>
      </c>
      <c r="CZ99" s="59">
        <f t="shared" si="96"/>
        <v>176.01405805137551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>
        <f>EXP(-LN(2)/35)*DF98+(1-EXP(-LN(2)/35))/(LN(2)/35)*DB99*DC99*VLOOKUP('Données projet'!$B$13,Paramètres!$A$1:$I$89,3,0)*0.475*44/12</f>
        <v>0</v>
      </c>
      <c r="DG99" s="21">
        <f>EXP(-LN(2)/25)*DG98+(1-EXP(-LN(2)/25))/(LN(2)/25)*Calculateur!DB99*Calculateur!DD99*VLOOKUP('Données projet'!$B$13,Paramètres!$A$1:$I$89,3,0)*0.475*44/12</f>
        <v>1.0784908296778684</v>
      </c>
      <c r="DH99" s="21">
        <f>EXP(-LN(2)/2)*DH98+(1-EXP(-LN(2)/2))/(LN(2)/2)*DB99*DE99*VLOOKUP('Données projet'!$B$13,Paramètres!$A$1:$I$89,3,0)*0.475*44/12</f>
        <v>9.3192699578136314E-10</v>
      </c>
      <c r="DI99" s="22">
        <f t="shared" si="69"/>
        <v>1.0784908306097953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5.6843418860808015E-14</v>
      </c>
      <c r="DP99" s="17">
        <f>DO99*VLOOKUP('Données projet'!$B$14,Paramètres!$A$1:$I$89,3,0)*VLOOKUP('Données projet'!$B$14,Paramètres!$A$1:$I$89,5,0)</f>
        <v>3.3992364478763198E-14</v>
      </c>
      <c r="DQ99" s="13">
        <f t="shared" si="97"/>
        <v>5.790027782444094E-13</v>
      </c>
      <c r="DR99" s="20">
        <f t="shared" si="70"/>
        <v>1.0676332069095257E-12</v>
      </c>
      <c r="DS99" s="59">
        <f t="shared" si="71"/>
        <v>293.33333333333439</v>
      </c>
      <c r="DT99" s="59">
        <f ca="1">AVERAGE(OFFSET($DS$3,0,0,'Données projet'!$E$14+1,1))-AVERAGE(OFFSET($H$3,0,0,'Données projet'!$E$14+1,1))</f>
        <v>165.39579887388538</v>
      </c>
      <c r="DU99" s="59">
        <f t="shared" si="98"/>
        <v>155.89639262545802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>
        <f>EXP(-LN(2)/35)*EA98+(1-EXP(-LN(2)/35))/(LN(2)/35)*DW99*DX99*VLOOKUP('Données projet'!$B$14,Paramètres!$A$1:$I$89,3,0)*0.475*44/12</f>
        <v>0</v>
      </c>
      <c r="EB99" s="21">
        <f>EXP(-LN(2)/25)*EB98+(1-EXP(-LN(2)/25))/(LN(2)/25)*Calculateur!DW99*Calculateur!DY99*VLOOKUP('Données projet'!$B$14,Paramètres!$A$1:$I$89,3,0)*0.475*44/12</f>
        <v>1.1694007514066487</v>
      </c>
      <c r="EC99" s="21">
        <f>EXP(-LN(2)/2)*EC98+(1-EXP(-LN(2)/2))/(LN(2)/2)*DW99*DZ99*VLOOKUP('Données projet'!$B$14,Paramètres!$A$1:$I$89,3,0)*0.475*44/12</f>
        <v>1.6158488271032637E-9</v>
      </c>
      <c r="ED99" s="22">
        <f t="shared" si="72"/>
        <v>1.1694007530224975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3.7</v>
      </c>
      <c r="EJ99" s="12">
        <f>IF('Données projet'!$A$192&gt;35,EJ98+EI99-ER98,IF(A99&lt;'Données projet'!$A$192,$EG$205^A99,IF(A99='Données projet'!$A$192,'Données projet'!$B$192,EJ98+EI99-ER98)))</f>
        <v>215.20000000000002</v>
      </c>
      <c r="EK99" s="17">
        <f>EJ99*VLOOKUP('Données projet'!$B$15,Paramètres!$A$1:$I$89,3,0)*VLOOKUP('Données projet'!$B$15,Paramètres!$A$1:$I$89,5,0)</f>
        <v>167.85600000000002</v>
      </c>
      <c r="EL99" s="13">
        <f t="shared" si="99"/>
        <v>42.609484783744897</v>
      </c>
      <c r="EM99" s="20">
        <f t="shared" si="73"/>
        <v>366.56071933168909</v>
      </c>
      <c r="EN99" s="59">
        <f t="shared" si="74"/>
        <v>659.8940526650224</v>
      </c>
      <c r="EO99" s="59">
        <f ca="1">AVERAGE(OFFSET($EN$3,0,0,'Données projet'!$E$15+1,1))-AVERAGE(OFFSET($H$3,0,0,'Données projet'!$E$15+1,1))</f>
        <v>104.07220236158577</v>
      </c>
      <c r="EP99" s="59">
        <f t="shared" si="100"/>
        <v>34.162068257911756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>
        <f>EXP(-LN(2)/35)*EV98+(1-EXP(-LN(2)/35))/(LN(2)/35)*ER99*ES99*VLOOKUP('Données projet'!$B$15,Paramètres!$A$1:$I$89,3,0)*0.475*44/12</f>
        <v>0</v>
      </c>
      <c r="EW99" s="21">
        <f>EXP(-LN(2)/25)*EW98+(1-EXP(-LN(2)/25))/(LN(2)/25)*Calculateur!ER99*Calculateur!ET99*VLOOKUP('Données projet'!$B$15,Paramètres!$A$1:$I$89,3,0)*0.475*44/12</f>
        <v>0</v>
      </c>
      <c r="EX99" s="21">
        <f>EXP(-LN(2)/2)*EX98+(1-EXP(-LN(2)/2))/(LN(2)/2)*ER99*EU99*VLOOKUP('Données projet'!$B$15,Paramètres!$A$1:$I$89,3,0)*0.475*44/12</f>
        <v>0</v>
      </c>
      <c r="EY99" s="22">
        <f t="shared" si="75"/>
        <v>0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5.6843418860808015E-14</v>
      </c>
      <c r="FF99" s="17">
        <f>FE99*VLOOKUP('Données projet'!$B$16,Paramètres!$A$1:$I$89,3,0)*VLOOKUP('Données projet'!$B$16,Paramètres!$A$1:$I$89,5,0)</f>
        <v>5.1431925385259088E-14</v>
      </c>
      <c r="FG99" s="13">
        <f t="shared" si="101"/>
        <v>8.3482866290946129E-13</v>
      </c>
      <c r="FH99" s="20">
        <f t="shared" si="76"/>
        <v>1.5435705246133045E-12</v>
      </c>
      <c r="FI99" s="59">
        <f t="shared" si="77"/>
        <v>293.33333333333485</v>
      </c>
      <c r="FJ99" s="59">
        <f ca="1">AVERAGE(OFFSET($FI$3,0,0,'Données projet'!$E$16+1,1))-AVERAGE(OFFSET($H$3,0,0,'Données projet'!$E$16+1,1))</f>
        <v>179.50097986986123</v>
      </c>
      <c r="FK99" s="59">
        <f t="shared" si="102"/>
        <v>287.11838730637578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>
        <f>EXP(-LN(2)/35)*FQ98+(1-EXP(-LN(2)/35))/(LN(2)/35)*FM99*FN99*VLOOKUP('Données projet'!$B$16,Paramètres!$A$1:$I$89,3,0)*0.475*44/12</f>
        <v>0.16869143897422964</v>
      </c>
      <c r="FR99" s="21">
        <f>EXP(-LN(2)/25)*FR98+(1-EXP(-LN(2)/25))/(LN(2)/25)*Calculateur!FM99*Calculateur!FO99*VLOOKUP('Données projet'!$B$16,Paramètres!$A$1:$I$89,3,0)*0.475*44/12</f>
        <v>1.0096765924119626</v>
      </c>
      <c r="FS99" s="21">
        <f>EXP(-LN(2)/2)*FS98+(1-EXP(-LN(2)/2))/(LN(2)/2)*FM99*FP99*VLOOKUP('Données projet'!$B$16,Paramètres!$A$1:$I$89,3,0)*0.475*44/12</f>
        <v>5.2628992422548249E-10</v>
      </c>
      <c r="FT99" s="22">
        <f t="shared" si="78"/>
        <v>1.1783680319124821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5.6843418860808015E-14</v>
      </c>
      <c r="GA99" s="17">
        <f>FZ99*VLOOKUP('Données projet'!$B$17,Paramètres!$A$1:$I$89,3,0)*VLOOKUP('Données projet'!$B$17,Paramètres!$A$1:$I$89,5,0)</f>
        <v>3.3992364478763198E-14</v>
      </c>
      <c r="GB99" s="13">
        <f t="shared" si="103"/>
        <v>5.790027782444094E-13</v>
      </c>
      <c r="GC99" s="20">
        <f t="shared" si="79"/>
        <v>1.0676332069095257E-12</v>
      </c>
      <c r="GD99" s="59">
        <f t="shared" si="80"/>
        <v>293.33333333333439</v>
      </c>
      <c r="GE99" s="59">
        <f ca="1">AVERAGE(OFFSET($GD$3,0,0,'Données projet'!$E$17+1,1))-AVERAGE(OFFSET($H$3,0,0,'Données projet'!$E$17+1,1))</f>
        <v>165.39579887388538</v>
      </c>
      <c r="GF99" s="59">
        <f t="shared" si="104"/>
        <v>155.89639262545802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>
        <f>EXP(-LN(2)/35)*GL98+(1-EXP(-LN(2)/35))/(LN(2)/35)*GH99*GI99*VLOOKUP('Données projet'!$B$17,Paramètres!$A$1:$I$89,3,0)*0.475*44/12</f>
        <v>0</v>
      </c>
      <c r="GM99" s="21">
        <f>EXP(-LN(2)/25)*GM98+(1-EXP(-LN(2)/25))/(LN(2)/25)*Calculateur!GH99*Calculateur!GJ99*VLOOKUP('Données projet'!$B$17,Paramètres!$A$1:$I$89,3,0)*0.475*44/12</f>
        <v>1.1694007514066487</v>
      </c>
      <c r="GN99" s="21">
        <f>EXP(-LN(2)/2)*GN98+(1-EXP(-LN(2)/2))/(LN(2)/2)*GH99*GK99*VLOOKUP('Données projet'!$B$17,Paramètres!$A$1:$I$89,3,0)*0.475*44/12</f>
        <v>1.6158488271032637E-9</v>
      </c>
      <c r="GO99" s="21">
        <f t="shared" si="81"/>
        <v>1.1694007530224975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3.4106051316484809E-13</v>
      </c>
      <c r="O100" s="13">
        <f>N100*VLOOKUP('Données projet'!$B$9,Paramètres!$A$1:$I$89,3,0)*VLOOKUP('Données projet'!$B$9,Paramètres!$A$1:$I$89,5,0)</f>
        <v>1.9065282685915009E-13</v>
      </c>
      <c r="P100" s="13">
        <f t="shared" si="87"/>
        <v>2.6568987209435707E-12</v>
      </c>
      <c r="Q100" s="20">
        <f t="shared" si="107"/>
        <v>4.959485612423072E-12</v>
      </c>
      <c r="R100" s="59">
        <f t="shared" si="55"/>
        <v>293.33333333333826</v>
      </c>
      <c r="S100" s="59">
        <f ca="1">AVERAGE(OFFSET($R$3,0,0,'Données projet'!$E$9+1,1))-AVERAGE(OFFSET($H$3,0,0,'Données projet'!$E$9+1,1))</f>
        <v>235.10258076192054</v>
      </c>
      <c r="T100" s="59">
        <f t="shared" si="88"/>
        <v>233.47316052603765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0.90891803230258916</v>
      </c>
      <c r="AA100" s="21">
        <f>EXP(-LN(2)/25)*AA99+(1-EXP(-LN(2)/25))/(LN(2)/25)*Calculateur!V100*Calculateur!X100*VLOOKUP('Données projet'!$B$9,Paramètres!$A$1:$I$89,3,0)*0.475*44/12</f>
        <v>2.8766037090722163</v>
      </c>
      <c r="AB100" s="21">
        <f>EXP(-LN(2)/2)*AB99+(1-EXP(-LN(2)/2))/(LN(2)/2)*V100*Y100*VLOOKUP('Données projet'!$B$9,Paramètres!$A$1:$I$89,3,0)*0.475*44/12</f>
        <v>1.985683054946659E-9</v>
      </c>
      <c r="AC100" s="22">
        <f t="shared" si="57"/>
        <v>3.7855217433604884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-8.5265128291212022E-14</v>
      </c>
      <c r="AJ100" s="13">
        <f>AI100*VLOOKUP('Données projet'!$B$10,Paramètres!$A$1:$I$89,3,0)*VLOOKUP('Données projet'!$B$10,Paramètres!$A$1:$I$89,5,0)</f>
        <v>-7.4487616075202836E-14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191.94797389630673</v>
      </c>
      <c r="AO100" s="59">
        <f t="shared" si="90"/>
        <v>273.52540822767878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0.68306567276073427</v>
      </c>
      <c r="AV100" s="21">
        <f>EXP(-LN(2)/25)*AV99+(1-EXP(-LN(2)/25))/(LN(2)/25)*Calculateur!AQ100*Calculateur!AS100*VLOOKUP('Données projet'!$B$10,Paramètres!$A$1:$I$89,3,0)*0.475*44/12</f>
        <v>2.1920920136584487</v>
      </c>
      <c r="AW100" s="21">
        <f>EXP(-LN(2)/2)*AW99+(1-EXP(-LN(2)/2))/(LN(2)/2)*AQ100*AT100*VLOOKUP('Données projet'!$B$10,Paramètres!$A$1:$I$89,3,0)*0.475*44/12</f>
        <v>1.9100312067657181E-9</v>
      </c>
      <c r="AX100" s="21">
        <f t="shared" si="60"/>
        <v>2.8751576883292143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3.7</v>
      </c>
      <c r="BD100" s="12">
        <f>IF('Données projet'!$A$88&gt;35,BD99+BC100-BL99,IF(A100&lt;'Données projet'!$A$88,$BA$205^A100,IF(A100='Données projet'!$A$88,'Données projet'!$B$88,BD99+BC100-BL99)))</f>
        <v>218.9</v>
      </c>
      <c r="BE100" s="13">
        <f>BD100*VLOOKUP('Données projet'!$B$11,Paramètres!$A$1:$I$89,3,0)*VLOOKUP('Données projet'!$B$11,Paramètres!$A$1:$I$89,5,0)</f>
        <v>198.06072</v>
      </c>
      <c r="BF100" s="13">
        <f t="shared" si="91"/>
        <v>49.317731290351951</v>
      </c>
      <c r="BG100" s="20">
        <f t="shared" si="61"/>
        <v>430.85080266402957</v>
      </c>
      <c r="BH100" s="59">
        <f t="shared" si="62"/>
        <v>724.18413599736289</v>
      </c>
      <c r="BI100" s="59">
        <f ca="1">AVERAGE(OFFSET($BH$3,0,0,'Données projet'!$E$11+1,1))-AVERAGE(OFFSET($H$3,0,0,'Données projet'!$E$11+1,1))</f>
        <v>138.8931001150624</v>
      </c>
      <c r="BJ100" s="59">
        <f t="shared" si="92"/>
        <v>48.964659354096625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3.7</v>
      </c>
      <c r="BY100" s="12">
        <f>IF('Données projet'!$A$114&gt;35,BY99+BX100-CG99,IF(A100&lt;'Données projet'!$A$114,$BV$205^A100,IF(A100='Données projet'!$A$114,'Données projet'!$B$114,BY99+BX100-CG99)))</f>
        <v>218.9</v>
      </c>
      <c r="BZ100" s="13">
        <f>BY100*VLOOKUP('Données projet'!$B$12,Paramètres!$A$1:$I$89,3,0)*VLOOKUP('Données projet'!$B$12,Paramètres!$A$1:$I$89,5,0)</f>
        <v>221.96459999999999</v>
      </c>
      <c r="CA100" s="13">
        <f t="shared" si="93"/>
        <v>54.54166063692373</v>
      </c>
      <c r="CB100" s="20">
        <f t="shared" si="64"/>
        <v>481.58173727597551</v>
      </c>
      <c r="CC100" s="59">
        <f t="shared" si="65"/>
        <v>774.91507060930883</v>
      </c>
      <c r="CD100" s="59">
        <f ca="1">AVERAGE(OFFSET($CC$3,0,0,'Données projet'!$E$12+1,1))-AVERAGE(OFFSET($H$3,0,0,'Données projet'!$E$12+1,1))</f>
        <v>169.2757878405003</v>
      </c>
      <c r="CE100" s="59">
        <f t="shared" si="94"/>
        <v>61.876502626609977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-8.5265128291212022E-14</v>
      </c>
      <c r="CU100" s="17">
        <f>CT100*VLOOKUP('Données projet'!$B$13,Paramètres!$A$1:$I$89,3,0)*VLOOKUP('Données projet'!$B$13,Paramètres!$A$1:$I$89,5,0)</f>
        <v>-6.7836936068488286E-14</v>
      </c>
      <c r="CV100" s="13" t="e">
        <f t="shared" si="95"/>
        <v>#NUM!</v>
      </c>
      <c r="CW100" s="20" t="e">
        <f t="shared" si="67"/>
        <v>#NUM!</v>
      </c>
      <c r="CX100" s="59" t="e">
        <f t="shared" si="68"/>
        <v>#NUM!</v>
      </c>
      <c r="CY100" s="59">
        <f ca="1">AVERAGE(OFFSET($CX$3,0,0,'Données projet'!$E$13+1,1))-AVERAGE(OFFSET($H$3,0,0,'Données projet'!$E$13+1,1))</f>
        <v>141.12810728817544</v>
      </c>
      <c r="CZ100" s="59">
        <f t="shared" si="96"/>
        <v>176.01405805137551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>
        <f>EXP(-LN(2)/35)*DF99+(1-EXP(-LN(2)/35))/(LN(2)/35)*DB100*DC100*VLOOKUP('Données projet'!$B$13,Paramètres!$A$1:$I$89,3,0)*0.475*44/12</f>
        <v>0</v>
      </c>
      <c r="DG100" s="21">
        <f>EXP(-LN(2)/25)*DG99+(1-EXP(-LN(2)/25))/(LN(2)/25)*Calculateur!DB100*Calculateur!DD100*VLOOKUP('Données projet'!$B$13,Paramètres!$A$1:$I$89,3,0)*0.475*44/12</f>
        <v>1.0489994412249593</v>
      </c>
      <c r="DH100" s="21">
        <f>EXP(-LN(2)/2)*DH99+(1-EXP(-LN(2)/2))/(LN(2)/2)*DB100*DE100*VLOOKUP('Données projet'!$B$13,Paramètres!$A$1:$I$89,3,0)*0.475*44/12</f>
        <v>6.5897189828780896E-10</v>
      </c>
      <c r="DI100" s="22">
        <f t="shared" si="69"/>
        <v>1.0489994418839312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5.6843418860808015E-14</v>
      </c>
      <c r="DP100" s="17">
        <f>DO100*VLOOKUP('Données projet'!$B$14,Paramètres!$A$1:$I$89,3,0)*VLOOKUP('Données projet'!$B$14,Paramètres!$A$1:$I$89,5,0)</f>
        <v>3.3992364478763198E-14</v>
      </c>
      <c r="DQ100" s="13">
        <f t="shared" si="97"/>
        <v>5.790027782444094E-13</v>
      </c>
      <c r="DR100" s="20">
        <f t="shared" si="70"/>
        <v>1.0676332069095257E-12</v>
      </c>
      <c r="DS100" s="59">
        <f t="shared" si="71"/>
        <v>293.33333333333439</v>
      </c>
      <c r="DT100" s="59">
        <f ca="1">AVERAGE(OFFSET($DS$3,0,0,'Données projet'!$E$14+1,1))-AVERAGE(OFFSET($H$3,0,0,'Données projet'!$E$14+1,1))</f>
        <v>165.39579887388538</v>
      </c>
      <c r="DU100" s="59">
        <f t="shared" si="98"/>
        <v>155.89639262545802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>
        <f>EXP(-LN(2)/35)*EA99+(1-EXP(-LN(2)/35))/(LN(2)/35)*DW100*DX100*VLOOKUP('Données projet'!$B$14,Paramètres!$A$1:$I$89,3,0)*0.475*44/12</f>
        <v>0</v>
      </c>
      <c r="EB100" s="21">
        <f>EXP(-LN(2)/25)*EB99+(1-EXP(-LN(2)/25))/(LN(2)/25)*Calculateur!DW100*Calculateur!DY100*VLOOKUP('Données projet'!$B$14,Paramètres!$A$1:$I$89,3,0)*0.475*44/12</f>
        <v>1.1374234263633209</v>
      </c>
      <c r="EC100" s="21">
        <f>EXP(-LN(2)/2)*EC99+(1-EXP(-LN(2)/2))/(LN(2)/2)*DW100*DZ100*VLOOKUP('Données projet'!$B$14,Paramètres!$A$1:$I$89,3,0)*0.475*44/12</f>
        <v>1.1425776630170469E-9</v>
      </c>
      <c r="ED100" s="22">
        <f t="shared" si="72"/>
        <v>1.1374234275058985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3.7</v>
      </c>
      <c r="EJ100" s="12">
        <f>IF('Données projet'!$A$192&gt;35,EJ99+EI100-ER99,IF(A100&lt;'Données projet'!$A$192,$EG$205^A100,IF(A100='Données projet'!$A$192,'Données projet'!$B$192,EJ99+EI100-ER99)))</f>
        <v>218.9</v>
      </c>
      <c r="EK100" s="17">
        <f>EJ100*VLOOKUP('Données projet'!$B$15,Paramètres!$A$1:$I$89,3,0)*VLOOKUP('Données projet'!$B$15,Paramètres!$A$1:$I$89,5,0)</f>
        <v>170.74200000000002</v>
      </c>
      <c r="EL100" s="13">
        <f t="shared" si="99"/>
        <v>43.256164755747903</v>
      </c>
      <c r="EM100" s="20">
        <f t="shared" si="73"/>
        <v>372.71347028292757</v>
      </c>
      <c r="EN100" s="59">
        <f t="shared" si="74"/>
        <v>666.04680361626083</v>
      </c>
      <c r="EO100" s="59">
        <f ca="1">AVERAGE(OFFSET($EN$3,0,0,'Données projet'!$E$15+1,1))-AVERAGE(OFFSET($H$3,0,0,'Données projet'!$E$15+1,1))</f>
        <v>104.07220236158577</v>
      </c>
      <c r="EP100" s="59">
        <f t="shared" si="100"/>
        <v>34.162068257911756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>
        <f>EXP(-LN(2)/35)*EV99+(1-EXP(-LN(2)/35))/(LN(2)/35)*ER100*ES100*VLOOKUP('Données projet'!$B$15,Paramètres!$A$1:$I$89,3,0)*0.475*44/12</f>
        <v>0</v>
      </c>
      <c r="EW100" s="21">
        <f>EXP(-LN(2)/25)*EW99+(1-EXP(-LN(2)/25))/(LN(2)/25)*Calculateur!ER100*Calculateur!ET100*VLOOKUP('Données projet'!$B$15,Paramètres!$A$1:$I$89,3,0)*0.475*44/12</f>
        <v>0</v>
      </c>
      <c r="EX100" s="21">
        <f>EXP(-LN(2)/2)*EX99+(1-EXP(-LN(2)/2))/(LN(2)/2)*ER100*EU100*VLOOKUP('Données projet'!$B$15,Paramètres!$A$1:$I$89,3,0)*0.475*44/12</f>
        <v>0</v>
      </c>
      <c r="EY100" s="22">
        <f t="shared" si="75"/>
        <v>0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5.6843418860808015E-14</v>
      </c>
      <c r="FF100" s="17">
        <f>FE100*VLOOKUP('Données projet'!$B$16,Paramètres!$A$1:$I$89,3,0)*VLOOKUP('Données projet'!$B$16,Paramètres!$A$1:$I$89,5,0)</f>
        <v>5.1431925385259088E-14</v>
      </c>
      <c r="FG100" s="13">
        <f t="shared" si="101"/>
        <v>8.3482866290946129E-13</v>
      </c>
      <c r="FH100" s="20">
        <f t="shared" si="76"/>
        <v>1.5435705246133045E-12</v>
      </c>
      <c r="FI100" s="59">
        <f t="shared" si="77"/>
        <v>293.33333333333485</v>
      </c>
      <c r="FJ100" s="59">
        <f ca="1">AVERAGE(OFFSET($FI$3,0,0,'Données projet'!$E$16+1,1))-AVERAGE(OFFSET($H$3,0,0,'Données projet'!$E$16+1,1))</f>
        <v>179.50097986986123</v>
      </c>
      <c r="FK100" s="59">
        <f t="shared" si="102"/>
        <v>287.11838730637578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>
        <f>EXP(-LN(2)/35)*FQ99+(1-EXP(-LN(2)/35))/(LN(2)/35)*FM100*FN100*VLOOKUP('Données projet'!$B$16,Paramètres!$A$1:$I$89,3,0)*0.475*44/12</f>
        <v>0.16538350274756305</v>
      </c>
      <c r="FR100" s="21">
        <f>EXP(-LN(2)/25)*FR99+(1-EXP(-LN(2)/25))/(LN(2)/25)*Calculateur!FM100*Calculateur!FO100*VLOOKUP('Données projet'!$B$16,Paramètres!$A$1:$I$89,3,0)*0.475*44/12</f>
        <v>0.9820669328958731</v>
      </c>
      <c r="FS100" s="21">
        <f>EXP(-LN(2)/2)*FS99+(1-EXP(-LN(2)/2))/(LN(2)/2)*FM100*FP100*VLOOKUP('Données projet'!$B$16,Paramètres!$A$1:$I$89,3,0)*0.475*44/12</f>
        <v>3.7214317428999293E-10</v>
      </c>
      <c r="FT100" s="22">
        <f t="shared" si="78"/>
        <v>1.1474504360155793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5.6843418860808015E-14</v>
      </c>
      <c r="GA100" s="17">
        <f>FZ100*VLOOKUP('Données projet'!$B$17,Paramètres!$A$1:$I$89,3,0)*VLOOKUP('Données projet'!$B$17,Paramètres!$A$1:$I$89,5,0)</f>
        <v>3.3992364478763198E-14</v>
      </c>
      <c r="GB100" s="13">
        <f t="shared" si="103"/>
        <v>5.790027782444094E-13</v>
      </c>
      <c r="GC100" s="20">
        <f t="shared" si="79"/>
        <v>1.0676332069095257E-12</v>
      </c>
      <c r="GD100" s="59">
        <f t="shared" si="80"/>
        <v>293.33333333333439</v>
      </c>
      <c r="GE100" s="59">
        <f ca="1">AVERAGE(OFFSET($GD$3,0,0,'Données projet'!$E$17+1,1))-AVERAGE(OFFSET($H$3,0,0,'Données projet'!$E$17+1,1))</f>
        <v>165.39579887388538</v>
      </c>
      <c r="GF100" s="59">
        <f t="shared" si="104"/>
        <v>155.89639262545802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>
        <f>EXP(-LN(2)/35)*GL99+(1-EXP(-LN(2)/35))/(LN(2)/35)*GH100*GI100*VLOOKUP('Données projet'!$B$17,Paramètres!$A$1:$I$89,3,0)*0.475*44/12</f>
        <v>0</v>
      </c>
      <c r="GM100" s="21">
        <f>EXP(-LN(2)/25)*GM99+(1-EXP(-LN(2)/25))/(LN(2)/25)*Calculateur!GH100*Calculateur!GJ100*VLOOKUP('Données projet'!$B$17,Paramètres!$A$1:$I$89,3,0)*0.475*44/12</f>
        <v>1.1374234263633209</v>
      </c>
      <c r="GN100" s="21">
        <f>EXP(-LN(2)/2)*GN99+(1-EXP(-LN(2)/2))/(LN(2)/2)*GH100*GK100*VLOOKUP('Données projet'!$B$17,Paramètres!$A$1:$I$89,3,0)*0.475*44/12</f>
        <v>1.1425776630170469E-9</v>
      </c>
      <c r="GO100" s="21">
        <f t="shared" si="81"/>
        <v>1.1374234275058985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3.4106051316484809E-13</v>
      </c>
      <c r="O101" s="13">
        <f>N101*VLOOKUP('Données projet'!$B$9,Paramètres!$A$1:$I$89,3,0)*VLOOKUP('Données projet'!$B$9,Paramètres!$A$1:$I$89,5,0)</f>
        <v>1.9065282685915009E-13</v>
      </c>
      <c r="P101" s="13">
        <f t="shared" si="87"/>
        <v>2.6568987209435707E-12</v>
      </c>
      <c r="Q101" s="20">
        <f t="shared" si="107"/>
        <v>4.959485612423072E-12</v>
      </c>
      <c r="R101" s="59">
        <f t="shared" si="55"/>
        <v>293.33333333333826</v>
      </c>
      <c r="S101" s="59">
        <f ca="1">AVERAGE(OFFSET($R$3,0,0,'Données projet'!$E$9+1,1))-AVERAGE(OFFSET($H$3,0,0,'Données projet'!$E$9+1,1))</f>
        <v>235.10258076192054</v>
      </c>
      <c r="T101" s="59">
        <f t="shared" si="88"/>
        <v>233.47316052603765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0.89109470407439406</v>
      </c>
      <c r="AA101" s="21">
        <f>EXP(-LN(2)/25)*AA100+(1-EXP(-LN(2)/25))/(LN(2)/25)*Calculateur!V101*Calculateur!X101*VLOOKUP('Données projet'!$B$9,Paramètres!$A$1:$I$89,3,0)*0.475*44/12</f>
        <v>2.7979428293736222</v>
      </c>
      <c r="AB101" s="21">
        <f>EXP(-LN(2)/2)*AB100+(1-EXP(-LN(2)/2))/(LN(2)/2)*V101*Y101*VLOOKUP('Données projet'!$B$9,Paramètres!$A$1:$I$89,3,0)*0.475*44/12</f>
        <v>1.4040899534400025E-9</v>
      </c>
      <c r="AC101" s="22">
        <f t="shared" si="57"/>
        <v>3.6890375348521061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-8.5265128291212022E-14</v>
      </c>
      <c r="AJ101" s="13">
        <f>AI101*VLOOKUP('Données projet'!$B$10,Paramètres!$A$1:$I$89,3,0)*VLOOKUP('Données projet'!$B$10,Paramètres!$A$1:$I$89,5,0)</f>
        <v>-7.4487616075202836E-14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191.94797389630673</v>
      </c>
      <c r="AO101" s="59">
        <f t="shared" si="90"/>
        <v>273.52540822767878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0.66967117154681799</v>
      </c>
      <c r="AV101" s="21">
        <f>EXP(-LN(2)/25)*AV100+(1-EXP(-LN(2)/25))/(LN(2)/25)*Calculateur!AQ101*Calculateur!AS101*VLOOKUP('Données projet'!$B$10,Paramètres!$A$1:$I$89,3,0)*0.475*44/12</f>
        <v>2.1321491422678496</v>
      </c>
      <c r="AW101" s="21">
        <f>EXP(-LN(2)/2)*AW100+(1-EXP(-LN(2)/2))/(LN(2)/2)*AQ101*AT101*VLOOKUP('Données projet'!$B$10,Paramètres!$A$1:$I$89,3,0)*0.475*44/12</f>
        <v>1.350596018581964E-9</v>
      </c>
      <c r="AX101" s="21">
        <f t="shared" si="60"/>
        <v>2.8018203151652639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3.7</v>
      </c>
      <c r="BD101" s="12">
        <f>IF('Données projet'!$A$88&gt;35,BD100+BC101-BL100,IF(A101&lt;'Données projet'!$A$88,$BA$205^A101,IF(A101='Données projet'!$A$88,'Données projet'!$B$88,BD100+BC101-BL100)))</f>
        <v>222.6</v>
      </c>
      <c r="BE101" s="13">
        <f>BD101*VLOOKUP('Données projet'!$B$11,Paramètres!$A$1:$I$89,3,0)*VLOOKUP('Données projet'!$B$11,Paramètres!$A$1:$I$89,5,0)</f>
        <v>201.40847999999997</v>
      </c>
      <c r="BF101" s="13">
        <f t="shared" si="91"/>
        <v>50.053582459229212</v>
      </c>
      <c r="BG101" s="20">
        <f t="shared" si="61"/>
        <v>437.96309211649077</v>
      </c>
      <c r="BH101" s="59">
        <f t="shared" si="62"/>
        <v>731.29642544982403</v>
      </c>
      <c r="BI101" s="59">
        <f ca="1">AVERAGE(OFFSET($BH$3,0,0,'Données projet'!$E$11+1,1))-AVERAGE(OFFSET($H$3,0,0,'Données projet'!$E$11+1,1))</f>
        <v>138.8931001150624</v>
      </c>
      <c r="BJ101" s="59">
        <f t="shared" si="92"/>
        <v>48.964659354096625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3.7</v>
      </c>
      <c r="BY101" s="12">
        <f>IF('Données projet'!$A$114&gt;35,BY100+BX101-CG100,IF(A101&lt;'Données projet'!$A$114,$BV$205^A101,IF(A101='Données projet'!$A$114,'Données projet'!$B$114,BY100+BX101-CG100)))</f>
        <v>222.6</v>
      </c>
      <c r="BZ101" s="13">
        <f>BY101*VLOOKUP('Données projet'!$B$12,Paramètres!$A$1:$I$89,3,0)*VLOOKUP('Données projet'!$B$12,Paramètres!$A$1:$I$89,5,0)</f>
        <v>225.71639999999999</v>
      </c>
      <c r="CA101" s="13">
        <f t="shared" si="93"/>
        <v>55.355456074834237</v>
      </c>
      <c r="CB101" s="20">
        <f t="shared" si="64"/>
        <v>489.53348266366964</v>
      </c>
      <c r="CC101" s="59">
        <f t="shared" si="65"/>
        <v>782.86681599700296</v>
      </c>
      <c r="CD101" s="59">
        <f ca="1">AVERAGE(OFFSET($CC$3,0,0,'Données projet'!$E$12+1,1))-AVERAGE(OFFSET($H$3,0,0,'Données projet'!$E$12+1,1))</f>
        <v>169.2757878405003</v>
      </c>
      <c r="CE101" s="59">
        <f t="shared" si="94"/>
        <v>61.876502626609977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-8.5265128291212022E-14</v>
      </c>
      <c r="CU101" s="17">
        <f>CT101*VLOOKUP('Données projet'!$B$13,Paramètres!$A$1:$I$89,3,0)*VLOOKUP('Données projet'!$B$13,Paramètres!$A$1:$I$89,5,0)</f>
        <v>-6.7836936068488286E-14</v>
      </c>
      <c r="CV101" s="13" t="e">
        <f t="shared" si="95"/>
        <v>#NUM!</v>
      </c>
      <c r="CW101" s="20" t="e">
        <f t="shared" si="67"/>
        <v>#NUM!</v>
      </c>
      <c r="CX101" s="59" t="e">
        <f t="shared" si="68"/>
        <v>#NUM!</v>
      </c>
      <c r="CY101" s="59">
        <f ca="1">AVERAGE(OFFSET($CX$3,0,0,'Données projet'!$E$13+1,1))-AVERAGE(OFFSET($H$3,0,0,'Données projet'!$E$13+1,1))</f>
        <v>141.12810728817544</v>
      </c>
      <c r="CZ101" s="59">
        <f t="shared" si="96"/>
        <v>176.01405805137551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>
        <f>EXP(-LN(2)/35)*DF100+(1-EXP(-LN(2)/35))/(LN(2)/35)*DB101*DC101*VLOOKUP('Données projet'!$B$13,Paramètres!$A$1:$I$89,3,0)*0.475*44/12</f>
        <v>0</v>
      </c>
      <c r="DG101" s="21">
        <f>EXP(-LN(2)/25)*DG100+(1-EXP(-LN(2)/25))/(LN(2)/25)*Calculateur!DB101*Calculateur!DD101*VLOOKUP('Données projet'!$B$13,Paramètres!$A$1:$I$89,3,0)*0.475*44/12</f>
        <v>1.0203144963401796</v>
      </c>
      <c r="DH101" s="21">
        <f>EXP(-LN(2)/2)*DH100+(1-EXP(-LN(2)/2))/(LN(2)/2)*DB101*DE101*VLOOKUP('Données projet'!$B$13,Paramètres!$A$1:$I$89,3,0)*0.475*44/12</f>
        <v>4.6596349789068157E-10</v>
      </c>
      <c r="DI101" s="22">
        <f t="shared" si="69"/>
        <v>1.0203144968061431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5.6843418860808015E-14</v>
      </c>
      <c r="DP101" s="17">
        <f>DO101*VLOOKUP('Données projet'!$B$14,Paramètres!$A$1:$I$89,3,0)*VLOOKUP('Données projet'!$B$14,Paramètres!$A$1:$I$89,5,0)</f>
        <v>3.3992364478763198E-14</v>
      </c>
      <c r="DQ101" s="13">
        <f t="shared" si="97"/>
        <v>5.790027782444094E-13</v>
      </c>
      <c r="DR101" s="20">
        <f t="shared" si="70"/>
        <v>1.0676332069095257E-12</v>
      </c>
      <c r="DS101" s="59">
        <f t="shared" si="71"/>
        <v>293.33333333333439</v>
      </c>
      <c r="DT101" s="59">
        <f ca="1">AVERAGE(OFFSET($DS$3,0,0,'Données projet'!$E$14+1,1))-AVERAGE(OFFSET($H$3,0,0,'Données projet'!$E$14+1,1))</f>
        <v>165.39579887388538</v>
      </c>
      <c r="DU101" s="59">
        <f t="shared" si="98"/>
        <v>155.89639262545802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>
        <f>EXP(-LN(2)/35)*EA100+(1-EXP(-LN(2)/35))/(LN(2)/35)*DW101*DX101*VLOOKUP('Données projet'!$B$14,Paramètres!$A$1:$I$89,3,0)*0.475*44/12</f>
        <v>0</v>
      </c>
      <c r="EB101" s="21">
        <f>EXP(-LN(2)/25)*EB100+(1-EXP(-LN(2)/25))/(LN(2)/25)*Calculateur!DW101*Calculateur!DY101*VLOOKUP('Données projet'!$B$14,Paramètres!$A$1:$I$89,3,0)*0.475*44/12</f>
        <v>1.1063205229549176</v>
      </c>
      <c r="EC101" s="21">
        <f>EXP(-LN(2)/2)*EC100+(1-EXP(-LN(2)/2))/(LN(2)/2)*DW101*DZ101*VLOOKUP('Données projet'!$B$14,Paramètres!$A$1:$I$89,3,0)*0.475*44/12</f>
        <v>8.0792441355163183E-10</v>
      </c>
      <c r="ED101" s="22">
        <f t="shared" si="72"/>
        <v>1.106320523762842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3.7</v>
      </c>
      <c r="EJ101" s="12">
        <f>IF('Données projet'!$A$192&gt;35,EJ100+EI101-ER100,IF(A101&lt;'Données projet'!$A$192,$EG$205^A101,IF(A101='Données projet'!$A$192,'Données projet'!$B$192,EJ100+EI101-ER100)))</f>
        <v>222.6</v>
      </c>
      <c r="EK101" s="17">
        <f>EJ101*VLOOKUP('Données projet'!$B$15,Paramètres!$A$1:$I$89,3,0)*VLOOKUP('Données projet'!$B$15,Paramètres!$A$1:$I$89,5,0)</f>
        <v>173.62800000000001</v>
      </c>
      <c r="EL101" s="13">
        <f t="shared" si="99"/>
        <v>43.901573588714463</v>
      </c>
      <c r="EM101" s="20">
        <f t="shared" si="73"/>
        <v>378.86400733367765</v>
      </c>
      <c r="EN101" s="59">
        <f t="shared" si="74"/>
        <v>672.19734066701096</v>
      </c>
      <c r="EO101" s="59">
        <f ca="1">AVERAGE(OFFSET($EN$3,0,0,'Données projet'!$E$15+1,1))-AVERAGE(OFFSET($H$3,0,0,'Données projet'!$E$15+1,1))</f>
        <v>104.07220236158577</v>
      </c>
      <c r="EP101" s="59">
        <f t="shared" si="100"/>
        <v>34.162068257911756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>
        <f>EXP(-LN(2)/35)*EV100+(1-EXP(-LN(2)/35))/(LN(2)/35)*ER101*ES101*VLOOKUP('Données projet'!$B$15,Paramètres!$A$1:$I$89,3,0)*0.475*44/12</f>
        <v>0</v>
      </c>
      <c r="EW101" s="21">
        <f>EXP(-LN(2)/25)*EW100+(1-EXP(-LN(2)/25))/(LN(2)/25)*Calculateur!ER101*Calculateur!ET101*VLOOKUP('Données projet'!$B$15,Paramètres!$A$1:$I$89,3,0)*0.475*44/12</f>
        <v>0</v>
      </c>
      <c r="EX101" s="21">
        <f>EXP(-LN(2)/2)*EX100+(1-EXP(-LN(2)/2))/(LN(2)/2)*ER101*EU101*VLOOKUP('Données projet'!$B$15,Paramètres!$A$1:$I$89,3,0)*0.475*44/12</f>
        <v>0</v>
      </c>
      <c r="EY101" s="22">
        <f t="shared" si="75"/>
        <v>0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5.6843418860808015E-14</v>
      </c>
      <c r="FF101" s="17">
        <f>FE101*VLOOKUP('Données projet'!$B$16,Paramètres!$A$1:$I$89,3,0)*VLOOKUP('Données projet'!$B$16,Paramètres!$A$1:$I$89,5,0)</f>
        <v>5.1431925385259088E-14</v>
      </c>
      <c r="FG101" s="13">
        <f t="shared" si="101"/>
        <v>8.3482866290946129E-13</v>
      </c>
      <c r="FH101" s="20">
        <f t="shared" si="76"/>
        <v>1.5435705246133045E-12</v>
      </c>
      <c r="FI101" s="59">
        <f t="shared" si="77"/>
        <v>293.33333333333485</v>
      </c>
      <c r="FJ101" s="59">
        <f ca="1">AVERAGE(OFFSET($FI$3,0,0,'Données projet'!$E$16+1,1))-AVERAGE(OFFSET($H$3,0,0,'Données projet'!$E$16+1,1))</f>
        <v>179.50097986986123</v>
      </c>
      <c r="FK101" s="59">
        <f t="shared" si="102"/>
        <v>287.11838730637578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>
        <f>EXP(-LN(2)/35)*FQ100+(1-EXP(-LN(2)/35))/(LN(2)/35)*FM101*FN101*VLOOKUP('Données projet'!$B$16,Paramètres!$A$1:$I$89,3,0)*0.475*44/12</f>
        <v>0.16214043313265955</v>
      </c>
      <c r="FR101" s="21">
        <f>EXP(-LN(2)/25)*FR100+(1-EXP(-LN(2)/25))/(LN(2)/25)*Calculateur!FM101*Calculateur!FO101*VLOOKUP('Données projet'!$B$16,Paramètres!$A$1:$I$89,3,0)*0.475*44/12</f>
        <v>0.95521226097117995</v>
      </c>
      <c r="FS101" s="21">
        <f>EXP(-LN(2)/2)*FS100+(1-EXP(-LN(2)/2))/(LN(2)/2)*FM101*FP101*VLOOKUP('Données projet'!$B$16,Paramètres!$A$1:$I$89,3,0)*0.475*44/12</f>
        <v>2.6314496211274124E-10</v>
      </c>
      <c r="FT101" s="22">
        <f t="shared" si="78"/>
        <v>1.1173526943669845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5.6843418860808015E-14</v>
      </c>
      <c r="GA101" s="17">
        <f>FZ101*VLOOKUP('Données projet'!$B$17,Paramètres!$A$1:$I$89,3,0)*VLOOKUP('Données projet'!$B$17,Paramètres!$A$1:$I$89,5,0)</f>
        <v>3.3992364478763198E-14</v>
      </c>
      <c r="GB101" s="13">
        <f t="shared" si="103"/>
        <v>5.790027782444094E-13</v>
      </c>
      <c r="GC101" s="20">
        <f t="shared" si="79"/>
        <v>1.0676332069095257E-12</v>
      </c>
      <c r="GD101" s="59">
        <f t="shared" si="80"/>
        <v>293.33333333333439</v>
      </c>
      <c r="GE101" s="59">
        <f ca="1">AVERAGE(OFFSET($GD$3,0,0,'Données projet'!$E$17+1,1))-AVERAGE(OFFSET($H$3,0,0,'Données projet'!$E$17+1,1))</f>
        <v>165.39579887388538</v>
      </c>
      <c r="GF101" s="59">
        <f t="shared" si="104"/>
        <v>155.89639262545802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>
        <f>EXP(-LN(2)/35)*GL100+(1-EXP(-LN(2)/35))/(LN(2)/35)*GH101*GI101*VLOOKUP('Données projet'!$B$17,Paramètres!$A$1:$I$89,3,0)*0.475*44/12</f>
        <v>0</v>
      </c>
      <c r="GM101" s="21">
        <f>EXP(-LN(2)/25)*GM100+(1-EXP(-LN(2)/25))/(LN(2)/25)*Calculateur!GH101*Calculateur!GJ101*VLOOKUP('Données projet'!$B$17,Paramètres!$A$1:$I$89,3,0)*0.475*44/12</f>
        <v>1.1063205229549176</v>
      </c>
      <c r="GN101" s="21">
        <f>EXP(-LN(2)/2)*GN100+(1-EXP(-LN(2)/2))/(LN(2)/2)*GH101*GK101*VLOOKUP('Données projet'!$B$17,Paramètres!$A$1:$I$89,3,0)*0.475*44/12</f>
        <v>8.0792441355163183E-10</v>
      </c>
      <c r="GO101" s="21">
        <f t="shared" si="81"/>
        <v>1.106320523762842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3.4106051316484809E-13</v>
      </c>
      <c r="O102" s="13">
        <f>N102*VLOOKUP('Données projet'!$B$9,Paramètres!$A$1:$I$89,3,0)*VLOOKUP('Données projet'!$B$9,Paramètres!$A$1:$I$89,5,0)</f>
        <v>1.9065282685915009E-13</v>
      </c>
      <c r="P102" s="13">
        <f t="shared" si="87"/>
        <v>2.6568987209435707E-12</v>
      </c>
      <c r="Q102" s="20">
        <f t="shared" si="107"/>
        <v>4.959485612423072E-12</v>
      </c>
      <c r="R102" s="59">
        <f t="shared" si="55"/>
        <v>293.33333333333826</v>
      </c>
      <c r="S102" s="59">
        <f ca="1">AVERAGE(OFFSET($R$3,0,0,'Données projet'!$E$9+1,1))-AVERAGE(OFFSET($H$3,0,0,'Données projet'!$E$9+1,1))</f>
        <v>235.10258076192054</v>
      </c>
      <c r="T102" s="59">
        <f t="shared" si="88"/>
        <v>233.47316052603765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0.87362088044159714</v>
      </c>
      <c r="AA102" s="21">
        <f>EXP(-LN(2)/25)*AA101+(1-EXP(-LN(2)/25))/(LN(2)/25)*Calculateur!V102*Calculateur!X102*VLOOKUP('Données projet'!$B$9,Paramètres!$A$1:$I$89,3,0)*0.475*44/12</f>
        <v>2.7214329355669817</v>
      </c>
      <c r="AB102" s="21">
        <f>EXP(-LN(2)/2)*AB101+(1-EXP(-LN(2)/2))/(LN(2)/2)*V102*Y102*VLOOKUP('Données projet'!$B$9,Paramètres!$A$1:$I$89,3,0)*0.475*44/12</f>
        <v>9.9284152747332951E-10</v>
      </c>
      <c r="AC102" s="22">
        <f t="shared" si="57"/>
        <v>3.5950538170014203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-8.5265128291212022E-14</v>
      </c>
      <c r="AJ102" s="13">
        <f>AI102*VLOOKUP('Données projet'!$B$10,Paramètres!$A$1:$I$89,3,0)*VLOOKUP('Données projet'!$B$10,Paramètres!$A$1:$I$89,5,0)</f>
        <v>-7.4487616075202836E-14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191.94797389630673</v>
      </c>
      <c r="AO102" s="59">
        <f t="shared" si="90"/>
        <v>273.52540822767878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0.65653932833186757</v>
      </c>
      <c r="AV102" s="21">
        <f>EXP(-LN(2)/25)*AV101+(1-EXP(-LN(2)/25))/(LN(2)/25)*Calculateur!AQ102*Calculateur!AS102*VLOOKUP('Données projet'!$B$10,Paramètres!$A$1:$I$89,3,0)*0.475*44/12</f>
        <v>2.0738454118476848</v>
      </c>
      <c r="AW102" s="21">
        <f>EXP(-LN(2)/2)*AW101+(1-EXP(-LN(2)/2))/(LN(2)/2)*AQ102*AT102*VLOOKUP('Données projet'!$B$10,Paramètres!$A$1:$I$89,3,0)*0.475*44/12</f>
        <v>9.5501560338285905E-10</v>
      </c>
      <c r="AX102" s="21">
        <f t="shared" si="60"/>
        <v>2.7303847411345679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3.7</v>
      </c>
      <c r="BD102" s="12">
        <f>IF('Données projet'!$A$88&gt;35,BD101+BC102-BL101,IF(A102&lt;'Données projet'!$A$88,$BA$205^A102,IF(A102='Données projet'!$A$88,'Données projet'!$B$88,BD101+BC102-BL101)))</f>
        <v>226.29999999999998</v>
      </c>
      <c r="BE102" s="13">
        <f>BD102*VLOOKUP('Données projet'!$B$11,Paramètres!$A$1:$I$89,3,0)*VLOOKUP('Données projet'!$B$11,Paramètres!$A$1:$I$89,5,0)</f>
        <v>204.75623999999999</v>
      </c>
      <c r="BF102" s="13">
        <f t="shared" si="91"/>
        <v>50.788011231821393</v>
      </c>
      <c r="BG102" s="20">
        <f t="shared" si="61"/>
        <v>445.07290422875553</v>
      </c>
      <c r="BH102" s="59">
        <f t="shared" si="62"/>
        <v>738.40623756208879</v>
      </c>
      <c r="BI102" s="59">
        <f ca="1">AVERAGE(OFFSET($BH$3,0,0,'Données projet'!$E$11+1,1))-AVERAGE(OFFSET($H$3,0,0,'Données projet'!$E$11+1,1))</f>
        <v>138.8931001150624</v>
      </c>
      <c r="BJ102" s="59">
        <f t="shared" si="92"/>
        <v>48.964659354096625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3.7</v>
      </c>
      <c r="BY102" s="12">
        <f>IF('Données projet'!$A$114&gt;35,BY101+BX102-CG101,IF(A102&lt;'Données projet'!$A$114,$BV$205^A102,IF(A102='Données projet'!$A$114,'Données projet'!$B$114,BY101+BX102-CG101)))</f>
        <v>226.29999999999998</v>
      </c>
      <c r="BZ102" s="13">
        <f>BY102*VLOOKUP('Données projet'!$B$12,Paramètres!$A$1:$I$89,3,0)*VLOOKUP('Données projet'!$B$12,Paramètres!$A$1:$I$89,5,0)</f>
        <v>229.4682</v>
      </c>
      <c r="CA102" s="13">
        <f t="shared" si="93"/>
        <v>56.167678450613955</v>
      </c>
      <c r="CB102" s="20">
        <f t="shared" si="64"/>
        <v>497.482488301486</v>
      </c>
      <c r="CC102" s="59">
        <f t="shared" si="65"/>
        <v>790.81582163481926</v>
      </c>
      <c r="CD102" s="59">
        <f ca="1">AVERAGE(OFFSET($CC$3,0,0,'Données projet'!$E$12+1,1))-AVERAGE(OFFSET($H$3,0,0,'Données projet'!$E$12+1,1))</f>
        <v>169.2757878405003</v>
      </c>
      <c r="CE102" s="59">
        <f t="shared" si="94"/>
        <v>61.876502626609977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-8.5265128291212022E-14</v>
      </c>
      <c r="CU102" s="17">
        <f>CT102*VLOOKUP('Données projet'!$B$13,Paramètres!$A$1:$I$89,3,0)*VLOOKUP('Données projet'!$B$13,Paramètres!$A$1:$I$89,5,0)</f>
        <v>-6.7836936068488286E-14</v>
      </c>
      <c r="CV102" s="13" t="e">
        <f t="shared" si="95"/>
        <v>#NUM!</v>
      </c>
      <c r="CW102" s="20" t="e">
        <f t="shared" si="67"/>
        <v>#NUM!</v>
      </c>
      <c r="CX102" s="59" t="e">
        <f t="shared" si="68"/>
        <v>#NUM!</v>
      </c>
      <c r="CY102" s="59">
        <f ca="1">AVERAGE(OFFSET($CX$3,0,0,'Données projet'!$E$13+1,1))-AVERAGE(OFFSET($H$3,0,0,'Données projet'!$E$13+1,1))</f>
        <v>141.12810728817544</v>
      </c>
      <c r="CZ102" s="59">
        <f t="shared" si="96"/>
        <v>176.01405805137551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>
        <f>EXP(-LN(2)/35)*DF101+(1-EXP(-LN(2)/35))/(LN(2)/35)*DB102*DC102*VLOOKUP('Données projet'!$B$13,Paramètres!$A$1:$I$89,3,0)*0.475*44/12</f>
        <v>0</v>
      </c>
      <c r="DG102" s="21">
        <f>EXP(-LN(2)/25)*DG101+(1-EXP(-LN(2)/25))/(LN(2)/25)*Calculateur!DB102*Calculateur!DD102*VLOOKUP('Données projet'!$B$13,Paramètres!$A$1:$I$89,3,0)*0.475*44/12</f>
        <v>0.99241394278174999</v>
      </c>
      <c r="DH102" s="21">
        <f>EXP(-LN(2)/2)*DH101+(1-EXP(-LN(2)/2))/(LN(2)/2)*DB102*DE102*VLOOKUP('Données projet'!$B$13,Paramètres!$A$1:$I$89,3,0)*0.475*44/12</f>
        <v>3.2948594914390448E-10</v>
      </c>
      <c r="DI102" s="22">
        <f t="shared" si="69"/>
        <v>0.99241394311123599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5.6843418860808015E-14</v>
      </c>
      <c r="DP102" s="17">
        <f>DO102*VLOOKUP('Données projet'!$B$14,Paramètres!$A$1:$I$89,3,0)*VLOOKUP('Données projet'!$B$14,Paramètres!$A$1:$I$89,5,0)</f>
        <v>3.3992364478763198E-14</v>
      </c>
      <c r="DQ102" s="13">
        <f t="shared" si="97"/>
        <v>5.790027782444094E-13</v>
      </c>
      <c r="DR102" s="20">
        <f t="shared" si="70"/>
        <v>1.0676332069095257E-12</v>
      </c>
      <c r="DS102" s="59">
        <f t="shared" si="71"/>
        <v>293.33333333333439</v>
      </c>
      <c r="DT102" s="59">
        <f ca="1">AVERAGE(OFFSET($DS$3,0,0,'Données projet'!$E$14+1,1))-AVERAGE(OFFSET($H$3,0,0,'Données projet'!$E$14+1,1))</f>
        <v>165.39579887388538</v>
      </c>
      <c r="DU102" s="59">
        <f t="shared" si="98"/>
        <v>155.89639262545802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>
        <f>EXP(-LN(2)/35)*EA101+(1-EXP(-LN(2)/35))/(LN(2)/35)*DW102*DX102*VLOOKUP('Données projet'!$B$14,Paramètres!$A$1:$I$89,3,0)*0.475*44/12</f>
        <v>0</v>
      </c>
      <c r="EB102" s="21">
        <f>EXP(-LN(2)/25)*EB101+(1-EXP(-LN(2)/25))/(LN(2)/25)*Calculateur!DW102*Calculateur!DY102*VLOOKUP('Données projet'!$B$14,Paramètres!$A$1:$I$89,3,0)*0.475*44/12</f>
        <v>1.0760681300758477</v>
      </c>
      <c r="EC102" s="21">
        <f>EXP(-LN(2)/2)*EC101+(1-EXP(-LN(2)/2))/(LN(2)/2)*DW102*DZ102*VLOOKUP('Données projet'!$B$14,Paramètres!$A$1:$I$89,3,0)*0.475*44/12</f>
        <v>5.7128883150852345E-10</v>
      </c>
      <c r="ED102" s="22">
        <f t="shared" si="72"/>
        <v>1.0760681306471365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3.7</v>
      </c>
      <c r="EJ102" s="12">
        <f>IF('Données projet'!$A$192&gt;35,EJ101+EI102-ER101,IF(A102&lt;'Données projet'!$A$192,$EG$205^A102,IF(A102='Données projet'!$A$192,'Données projet'!$B$192,EJ101+EI102-ER101)))</f>
        <v>226.29999999999998</v>
      </c>
      <c r="EK102" s="17">
        <f>EJ102*VLOOKUP('Données projet'!$B$15,Paramètres!$A$1:$I$89,3,0)*VLOOKUP('Données projet'!$B$15,Paramètres!$A$1:$I$89,5,0)</f>
        <v>176.51399999999998</v>
      </c>
      <c r="EL102" s="13">
        <f t="shared" si="99"/>
        <v>44.545734849936593</v>
      </c>
      <c r="EM102" s="20">
        <f t="shared" si="73"/>
        <v>385.01237153030615</v>
      </c>
      <c r="EN102" s="59">
        <f t="shared" si="74"/>
        <v>678.34570486363941</v>
      </c>
      <c r="EO102" s="59">
        <f ca="1">AVERAGE(OFFSET($EN$3,0,0,'Données projet'!$E$15+1,1))-AVERAGE(OFFSET($H$3,0,0,'Données projet'!$E$15+1,1))</f>
        <v>104.07220236158577</v>
      </c>
      <c r="EP102" s="59">
        <f t="shared" si="100"/>
        <v>34.162068257911756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>
        <f>EXP(-LN(2)/35)*EV101+(1-EXP(-LN(2)/35))/(LN(2)/35)*ER102*ES102*VLOOKUP('Données projet'!$B$15,Paramètres!$A$1:$I$89,3,0)*0.475*44/12</f>
        <v>0</v>
      </c>
      <c r="EW102" s="21">
        <f>EXP(-LN(2)/25)*EW101+(1-EXP(-LN(2)/25))/(LN(2)/25)*Calculateur!ER102*Calculateur!ET102*VLOOKUP('Données projet'!$B$15,Paramètres!$A$1:$I$89,3,0)*0.475*44/12</f>
        <v>0</v>
      </c>
      <c r="EX102" s="21">
        <f>EXP(-LN(2)/2)*EX101+(1-EXP(-LN(2)/2))/(LN(2)/2)*ER102*EU102*VLOOKUP('Données projet'!$B$15,Paramètres!$A$1:$I$89,3,0)*0.475*44/12</f>
        <v>0</v>
      </c>
      <c r="EY102" s="22">
        <f t="shared" si="75"/>
        <v>0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5.6843418860808015E-14</v>
      </c>
      <c r="FF102" s="17">
        <f>FE102*VLOOKUP('Données projet'!$B$16,Paramètres!$A$1:$I$89,3,0)*VLOOKUP('Données projet'!$B$16,Paramètres!$A$1:$I$89,5,0)</f>
        <v>5.1431925385259088E-14</v>
      </c>
      <c r="FG102" s="13">
        <f t="shared" si="101"/>
        <v>8.3482866290946129E-13</v>
      </c>
      <c r="FH102" s="20">
        <f t="shared" si="76"/>
        <v>1.5435705246133045E-12</v>
      </c>
      <c r="FI102" s="59">
        <f t="shared" si="77"/>
        <v>293.33333333333485</v>
      </c>
      <c r="FJ102" s="59">
        <f ca="1">AVERAGE(OFFSET($FI$3,0,0,'Données projet'!$E$16+1,1))-AVERAGE(OFFSET($H$3,0,0,'Données projet'!$E$16+1,1))</f>
        <v>179.50097986986123</v>
      </c>
      <c r="FK102" s="59">
        <f t="shared" si="102"/>
        <v>287.11838730637578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>
        <f>EXP(-LN(2)/35)*FQ101+(1-EXP(-LN(2)/35))/(LN(2)/35)*FM102*FN102*VLOOKUP('Données projet'!$B$16,Paramètres!$A$1:$I$89,3,0)*0.475*44/12</f>
        <v>0.15896095813482713</v>
      </c>
      <c r="FR102" s="21">
        <f>EXP(-LN(2)/25)*FR101+(1-EXP(-LN(2)/25))/(LN(2)/25)*Calculateur!FM102*Calculateur!FO102*VLOOKUP('Données projet'!$B$16,Paramètres!$A$1:$I$89,3,0)*0.475*44/12</f>
        <v>0.92909193146249336</v>
      </c>
      <c r="FS102" s="21">
        <f>EXP(-LN(2)/2)*FS101+(1-EXP(-LN(2)/2))/(LN(2)/2)*FM102*FP102*VLOOKUP('Données projet'!$B$16,Paramètres!$A$1:$I$89,3,0)*0.475*44/12</f>
        <v>1.8607158714499647E-10</v>
      </c>
      <c r="FT102" s="22">
        <f t="shared" si="78"/>
        <v>1.0880528897833921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5.6843418860808015E-14</v>
      </c>
      <c r="GA102" s="17">
        <f>FZ102*VLOOKUP('Données projet'!$B$17,Paramètres!$A$1:$I$89,3,0)*VLOOKUP('Données projet'!$B$17,Paramètres!$A$1:$I$89,5,0)</f>
        <v>3.3992364478763198E-14</v>
      </c>
      <c r="GB102" s="13">
        <f t="shared" si="103"/>
        <v>5.790027782444094E-13</v>
      </c>
      <c r="GC102" s="20">
        <f t="shared" si="79"/>
        <v>1.0676332069095257E-12</v>
      </c>
      <c r="GD102" s="59">
        <f t="shared" si="80"/>
        <v>293.33333333333439</v>
      </c>
      <c r="GE102" s="59">
        <f ca="1">AVERAGE(OFFSET($GD$3,0,0,'Données projet'!$E$17+1,1))-AVERAGE(OFFSET($H$3,0,0,'Données projet'!$E$17+1,1))</f>
        <v>165.39579887388538</v>
      </c>
      <c r="GF102" s="59">
        <f t="shared" si="104"/>
        <v>155.89639262545802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>
        <f>EXP(-LN(2)/35)*GL101+(1-EXP(-LN(2)/35))/(LN(2)/35)*GH102*GI102*VLOOKUP('Données projet'!$B$17,Paramètres!$A$1:$I$89,3,0)*0.475*44/12</f>
        <v>0</v>
      </c>
      <c r="GM102" s="21">
        <f>EXP(-LN(2)/25)*GM101+(1-EXP(-LN(2)/25))/(LN(2)/25)*Calculateur!GH102*Calculateur!GJ102*VLOOKUP('Données projet'!$B$17,Paramètres!$A$1:$I$89,3,0)*0.475*44/12</f>
        <v>1.0760681300758477</v>
      </c>
      <c r="GN102" s="21">
        <f>EXP(-LN(2)/2)*GN101+(1-EXP(-LN(2)/2))/(LN(2)/2)*GH102*GK102*VLOOKUP('Données projet'!$B$17,Paramètres!$A$1:$I$89,3,0)*0.475*44/12</f>
        <v>5.7128883150852345E-10</v>
      </c>
      <c r="GO102" s="21">
        <f t="shared" si="81"/>
        <v>1.0760681306471365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3.4106051316484809E-13</v>
      </c>
      <c r="O103" s="13">
        <f>N103*VLOOKUP('Données projet'!$B$9,Paramètres!$A$1:$I$89,3,0)*VLOOKUP('Données projet'!$B$9,Paramètres!$A$1:$I$89,5,0)</f>
        <v>1.9065282685915009E-13</v>
      </c>
      <c r="P103" s="13">
        <f t="shared" si="87"/>
        <v>2.6568987209435707E-12</v>
      </c>
      <c r="Q103" s="20">
        <f t="shared" si="107"/>
        <v>4.959485612423072E-12</v>
      </c>
      <c r="R103" s="59">
        <f t="shared" si="55"/>
        <v>293.33333333333826</v>
      </c>
      <c r="S103" s="59">
        <f ca="1">AVERAGE(OFFSET($R$3,0,0,'Données projet'!$E$9+1,1))-AVERAGE(OFFSET($H$3,0,0,'Données projet'!$E$9+1,1))</f>
        <v>235.10258076192054</v>
      </c>
      <c r="T103" s="59">
        <f t="shared" si="88"/>
        <v>233.47316052603765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0.85648970783225931</v>
      </c>
      <c r="AA103" s="21">
        <f>EXP(-LN(2)/25)*AA102+(1-EXP(-LN(2)/25))/(LN(2)/25)*Calculateur!V103*Calculateur!X103*VLOOKUP('Données projet'!$B$9,Paramètres!$A$1:$I$89,3,0)*0.475*44/12</f>
        <v>2.6470152088299645</v>
      </c>
      <c r="AB103" s="21">
        <f>EXP(-LN(2)/2)*AB102+(1-EXP(-LN(2)/2))/(LN(2)/2)*V103*Y103*VLOOKUP('Données projet'!$B$9,Paramètres!$A$1:$I$89,3,0)*0.475*44/12</f>
        <v>7.0204497672000123E-10</v>
      </c>
      <c r="AC103" s="22">
        <f t="shared" si="57"/>
        <v>3.5035049173642689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-8.5265128291212022E-14</v>
      </c>
      <c r="AJ103" s="13">
        <f>AI103*VLOOKUP('Données projet'!$B$10,Paramètres!$A$1:$I$89,3,0)*VLOOKUP('Données projet'!$B$10,Paramètres!$A$1:$I$89,5,0)</f>
        <v>-7.4487616075202836E-14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191.94797389630673</v>
      </c>
      <c r="AO103" s="59">
        <f t="shared" si="90"/>
        <v>273.52540822767878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0.6436649925527288</v>
      </c>
      <c r="AV103" s="21">
        <f>EXP(-LN(2)/25)*AV102+(1-EXP(-LN(2)/25))/(LN(2)/25)*Calculateur!AQ103*Calculateur!AS103*VLOOKUP('Données projet'!$B$10,Paramètres!$A$1:$I$89,3,0)*0.475*44/12</f>
        <v>2.0171360000019196</v>
      </c>
      <c r="AW103" s="21">
        <f>EXP(-LN(2)/2)*AW102+(1-EXP(-LN(2)/2))/(LN(2)/2)*AQ103*AT103*VLOOKUP('Données projet'!$B$10,Paramètres!$A$1:$I$89,3,0)*0.475*44/12</f>
        <v>6.7529800929098199E-10</v>
      </c>
      <c r="AX103" s="21">
        <f t="shared" si="60"/>
        <v>2.6608009932299463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230</v>
      </c>
      <c r="BB103" s="12">
        <f>VLOOKUP(A103,'Données projet'!$A$87:$I$107,9,0)</f>
        <v>3.7</v>
      </c>
      <c r="BC103" s="12">
        <f t="array" ref="BC103">INDEX(BB:BB,MIN(IF(ISNUMBER(BB103:BB299),ROW(BB103:BB299),"")))</f>
        <v>3.7</v>
      </c>
      <c r="BD103" s="12">
        <f>IF('Données projet'!$A$88&gt;35,BD102+BC103-BL102,IF(A103&lt;'Données projet'!$A$88,$BA$205^A103,IF(A103='Données projet'!$A$88,'Données projet'!$B$88,BD102+BC103-BL102)))</f>
        <v>229.99999999999997</v>
      </c>
      <c r="BE103" s="13">
        <f>BD103*VLOOKUP('Données projet'!$B$11,Paramètres!$A$1:$I$89,3,0)*VLOOKUP('Données projet'!$B$11,Paramètres!$A$1:$I$89,5,0)</f>
        <v>208.10399999999998</v>
      </c>
      <c r="BF103" s="13">
        <f t="shared" si="91"/>
        <v>51.52104354893045</v>
      </c>
      <c r="BG103" s="20">
        <f t="shared" si="61"/>
        <v>452.18028418105382</v>
      </c>
      <c r="BH103" s="59">
        <f t="shared" si="62"/>
        <v>745.51361751438708</v>
      </c>
      <c r="BI103" s="59">
        <f ca="1">AVERAGE(OFFSET($BH$3,0,0,'Données projet'!$E$11+1,1))-AVERAGE(OFFSET($H$3,0,0,'Données projet'!$E$11+1,1))</f>
        <v>138.8931001150624</v>
      </c>
      <c r="BJ103" s="59">
        <f t="shared" si="92"/>
        <v>48.964659354096625</v>
      </c>
      <c r="BK103" s="15">
        <f>IF(ISNA(VLOOKUP(A103,'Données projet'!$A$87:$I$107,3,0)),0,VLOOKUP(A103,'Données projet'!$A$87:$I$107,3,0))</f>
        <v>7</v>
      </c>
      <c r="BL103" s="15">
        <f>IF(ISNA(VLOOKUP(A103,'Données projet'!$A$87:$I$107,4,0)),0,VLOOKUP(A103,'Données projet'!$A$87:$I$107,4,0))</f>
        <v>28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230</v>
      </c>
      <c r="BW103" s="12">
        <f>VLOOKUP(A103,'Données projet'!$A$113:$I$133,9,0)</f>
        <v>3.7</v>
      </c>
      <c r="BX103" s="12">
        <f t="array" ref="BX103">INDEX(BW:BW,MIN(IF(ISNUMBER(BW103:BW299),ROW(BW103:BW299),"")))</f>
        <v>3.7</v>
      </c>
      <c r="BY103" s="12">
        <f>IF('Données projet'!$A$114&gt;35,BY102+BX103-CG102,IF(A103&lt;'Données projet'!$A$114,$BV$205^A103,IF(A103='Données projet'!$A$114,'Données projet'!$B$114,BY102+BX103-CG102)))</f>
        <v>229.99999999999997</v>
      </c>
      <c r="BZ103" s="13">
        <f>BY103*VLOOKUP('Données projet'!$B$12,Paramètres!$A$1:$I$89,3,0)*VLOOKUP('Données projet'!$B$12,Paramètres!$A$1:$I$89,5,0)</f>
        <v>233.22</v>
      </c>
      <c r="CA103" s="13">
        <f t="shared" si="93"/>
        <v>56.978356452817273</v>
      </c>
      <c r="CB103" s="20">
        <f t="shared" si="64"/>
        <v>505.42880415532341</v>
      </c>
      <c r="CC103" s="59">
        <f t="shared" si="65"/>
        <v>798.76213748865666</v>
      </c>
      <c r="CD103" s="59">
        <f ca="1">AVERAGE(OFFSET($CC$3,0,0,'Données projet'!$E$12+1,1))-AVERAGE(OFFSET($H$3,0,0,'Données projet'!$E$12+1,1))</f>
        <v>169.2757878405003</v>
      </c>
      <c r="CE103" s="59">
        <f t="shared" si="94"/>
        <v>61.876502626609977</v>
      </c>
      <c r="CF103" s="15">
        <f>IF(ISNA(VLOOKUP(A103,'Données projet'!$A$113:$I$133,3,0)),0,VLOOKUP(A103,'Données projet'!$A$113:$I$133,3,0))</f>
        <v>7</v>
      </c>
      <c r="CG103" s="15">
        <f>IF(ISNA(VLOOKUP(A103,'Données projet'!$A$113:$I$133,4,0)),0,VLOOKUP(A103,'Données projet'!$A$113:$I$133,4,0))</f>
        <v>28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-8.5265128291212022E-14</v>
      </c>
      <c r="CU103" s="17">
        <f>CT103*VLOOKUP('Données projet'!$B$13,Paramètres!$A$1:$I$89,3,0)*VLOOKUP('Données projet'!$B$13,Paramètres!$A$1:$I$89,5,0)</f>
        <v>-6.7836936068488286E-14</v>
      </c>
      <c r="CV103" s="13" t="e">
        <f t="shared" si="95"/>
        <v>#NUM!</v>
      </c>
      <c r="CW103" s="20" t="e">
        <f t="shared" si="67"/>
        <v>#NUM!</v>
      </c>
      <c r="CX103" s="59" t="e">
        <f t="shared" si="68"/>
        <v>#NUM!</v>
      </c>
      <c r="CY103" s="59">
        <f ca="1">AVERAGE(OFFSET($CX$3,0,0,'Données projet'!$E$13+1,1))-AVERAGE(OFFSET($H$3,0,0,'Données projet'!$E$13+1,1))</f>
        <v>141.12810728817544</v>
      </c>
      <c r="CZ103" s="59">
        <f t="shared" si="96"/>
        <v>176.01405805137551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>
        <f>EXP(-LN(2)/35)*DF102+(1-EXP(-LN(2)/35))/(LN(2)/35)*DB103*DC103*VLOOKUP('Données projet'!$B$13,Paramètres!$A$1:$I$89,3,0)*0.475*44/12</f>
        <v>0</v>
      </c>
      <c r="DG103" s="21">
        <f>EXP(-LN(2)/25)*DG102+(1-EXP(-LN(2)/25))/(LN(2)/25)*Calculateur!DB103*Calculateur!DD103*VLOOKUP('Données projet'!$B$13,Paramètres!$A$1:$I$89,3,0)*0.475*44/12</f>
        <v>0.96527633132760193</v>
      </c>
      <c r="DH103" s="21">
        <f>EXP(-LN(2)/2)*DH102+(1-EXP(-LN(2)/2))/(LN(2)/2)*DB103*DE103*VLOOKUP('Données projet'!$B$13,Paramètres!$A$1:$I$89,3,0)*0.475*44/12</f>
        <v>2.3298174894534079E-10</v>
      </c>
      <c r="DI103" s="22">
        <f t="shared" si="69"/>
        <v>0.96527633156058368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5.6843418860808015E-14</v>
      </c>
      <c r="DP103" s="17">
        <f>DO103*VLOOKUP('Données projet'!$B$14,Paramètres!$A$1:$I$89,3,0)*VLOOKUP('Données projet'!$B$14,Paramètres!$A$1:$I$89,5,0)</f>
        <v>3.3992364478763198E-14</v>
      </c>
      <c r="DQ103" s="13">
        <f t="shared" si="97"/>
        <v>5.790027782444094E-13</v>
      </c>
      <c r="DR103" s="20">
        <f t="shared" si="70"/>
        <v>1.0676332069095257E-12</v>
      </c>
      <c r="DS103" s="59">
        <f t="shared" si="71"/>
        <v>293.33333333333439</v>
      </c>
      <c r="DT103" s="59">
        <f ca="1">AVERAGE(OFFSET($DS$3,0,0,'Données projet'!$E$14+1,1))-AVERAGE(OFFSET($H$3,0,0,'Données projet'!$E$14+1,1))</f>
        <v>165.39579887388538</v>
      </c>
      <c r="DU103" s="59">
        <f t="shared" si="98"/>
        <v>155.89639262545802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>
        <f>EXP(-LN(2)/35)*EA102+(1-EXP(-LN(2)/35))/(LN(2)/35)*DW103*DX103*VLOOKUP('Données projet'!$B$14,Paramètres!$A$1:$I$89,3,0)*0.475*44/12</f>
        <v>0</v>
      </c>
      <c r="EB103" s="21">
        <f>EXP(-LN(2)/25)*EB102+(1-EXP(-LN(2)/25))/(LN(2)/25)*Calculateur!DW103*Calculateur!DY103*VLOOKUP('Données projet'!$B$14,Paramètres!$A$1:$I$89,3,0)*0.475*44/12</f>
        <v>1.04664299047096</v>
      </c>
      <c r="EC103" s="21">
        <f>EXP(-LN(2)/2)*EC102+(1-EXP(-LN(2)/2))/(LN(2)/2)*DW103*DZ103*VLOOKUP('Données projet'!$B$14,Paramètres!$A$1:$I$89,3,0)*0.475*44/12</f>
        <v>4.0396220677581592E-10</v>
      </c>
      <c r="ED103" s="22">
        <f t="shared" si="72"/>
        <v>1.0466429908749222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>
        <f>VLOOKUP(A103,'Données projet'!$A$191:$I$211,2,0)</f>
        <v>230</v>
      </c>
      <c r="EH103" s="12">
        <f>VLOOKUP(A103,'Données projet'!$A$191:$I$211,9,0)</f>
        <v>3.7</v>
      </c>
      <c r="EI103" s="12">
        <f t="array" ref="EI103">INDEX(EH:EH,MIN(IF(ISNUMBER(EH103:EH299),ROW(EH103:EH299),"")))</f>
        <v>3.7</v>
      </c>
      <c r="EJ103" s="12">
        <f>IF('Données projet'!$A$192&gt;35,EJ102+EI103-ER102,IF(A103&lt;'Données projet'!$A$192,$EG$205^A103,IF(A103='Données projet'!$A$192,'Données projet'!$B$192,EJ102+EI103-ER102)))</f>
        <v>229.99999999999997</v>
      </c>
      <c r="EK103" s="17">
        <f>EJ103*VLOOKUP('Données projet'!$B$15,Paramètres!$A$1:$I$89,3,0)*VLOOKUP('Données projet'!$B$15,Paramètres!$A$1:$I$89,5,0)</f>
        <v>179.39999999999998</v>
      </c>
      <c r="EL103" s="13">
        <f t="shared" si="99"/>
        <v>45.188671291872232</v>
      </c>
      <c r="EM103" s="20">
        <f t="shared" si="73"/>
        <v>391.15860250001077</v>
      </c>
      <c r="EN103" s="59">
        <f t="shared" si="74"/>
        <v>684.49193583334409</v>
      </c>
      <c r="EO103" s="59">
        <f ca="1">AVERAGE(OFFSET($EN$3,0,0,'Données projet'!$E$15+1,1))-AVERAGE(OFFSET($H$3,0,0,'Données projet'!$E$15+1,1))</f>
        <v>104.07220236158577</v>
      </c>
      <c r="EP103" s="59">
        <f t="shared" si="100"/>
        <v>34.162068257911756</v>
      </c>
      <c r="EQ103" s="15">
        <f>IF(ISNA(VLOOKUP(A103,'Données projet'!$A$191:$I$211,3,0)),0,VLOOKUP(A103,'Données projet'!$A$191:$I$211,3,0))</f>
        <v>7</v>
      </c>
      <c r="ER103" s="15">
        <f>IF(ISNA(VLOOKUP(A103,'Données projet'!$A$191:$I$211,4,0)),0,VLOOKUP(A103,'Données projet'!$A$191:$I$211,4,0))</f>
        <v>28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>
        <f>EXP(-LN(2)/35)*EV102+(1-EXP(-LN(2)/35))/(LN(2)/35)*ER103*ES103*VLOOKUP('Données projet'!$B$15,Paramètres!$A$1:$I$89,3,0)*0.475*44/12</f>
        <v>0</v>
      </c>
      <c r="EW103" s="21">
        <f>EXP(-LN(2)/25)*EW102+(1-EXP(-LN(2)/25))/(LN(2)/25)*Calculateur!ER103*Calculateur!ET103*VLOOKUP('Données projet'!$B$15,Paramètres!$A$1:$I$89,3,0)*0.475*44/12</f>
        <v>0</v>
      </c>
      <c r="EX103" s="21">
        <f>EXP(-LN(2)/2)*EX102+(1-EXP(-LN(2)/2))/(LN(2)/2)*ER103*EU103*VLOOKUP('Données projet'!$B$15,Paramètres!$A$1:$I$89,3,0)*0.475*44/12</f>
        <v>0</v>
      </c>
      <c r="EY103" s="22">
        <f t="shared" si="75"/>
        <v>0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5.6843418860808015E-14</v>
      </c>
      <c r="FF103" s="17">
        <f>FE103*VLOOKUP('Données projet'!$B$16,Paramètres!$A$1:$I$89,3,0)*VLOOKUP('Données projet'!$B$16,Paramètres!$A$1:$I$89,5,0)</f>
        <v>5.1431925385259088E-14</v>
      </c>
      <c r="FG103" s="13">
        <f t="shared" si="101"/>
        <v>8.3482866290946129E-13</v>
      </c>
      <c r="FH103" s="20">
        <f t="shared" si="76"/>
        <v>1.5435705246133045E-12</v>
      </c>
      <c r="FI103" s="59">
        <f t="shared" si="77"/>
        <v>293.33333333333485</v>
      </c>
      <c r="FJ103" s="59">
        <f ca="1">AVERAGE(OFFSET($FI$3,0,0,'Données projet'!$E$16+1,1))-AVERAGE(OFFSET($H$3,0,0,'Données projet'!$E$16+1,1))</f>
        <v>179.50097986986123</v>
      </c>
      <c r="FK103" s="59">
        <f t="shared" si="102"/>
        <v>287.11838730637578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>
        <f>EXP(-LN(2)/35)*FQ102+(1-EXP(-LN(2)/35))/(LN(2)/35)*FM103*FN103*VLOOKUP('Données projet'!$B$16,Paramètres!$A$1:$I$89,3,0)*0.475*44/12</f>
        <v>0.15584383070241398</v>
      </c>
      <c r="FR103" s="21">
        <f>EXP(-LN(2)/25)*FR102+(1-EXP(-LN(2)/25))/(LN(2)/25)*Calculateur!FM103*Calculateur!FO103*VLOOKUP('Données projet'!$B$16,Paramètres!$A$1:$I$89,3,0)*0.475*44/12</f>
        <v>0.90368586373783022</v>
      </c>
      <c r="FS103" s="21">
        <f>EXP(-LN(2)/2)*FS102+(1-EXP(-LN(2)/2))/(LN(2)/2)*FM103*FP103*VLOOKUP('Données projet'!$B$16,Paramètres!$A$1:$I$89,3,0)*0.475*44/12</f>
        <v>1.3157248105637062E-10</v>
      </c>
      <c r="FT103" s="22">
        <f t="shared" si="78"/>
        <v>1.0595296945718167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5.6843418860808015E-14</v>
      </c>
      <c r="GA103" s="17">
        <f>FZ103*VLOOKUP('Données projet'!$B$17,Paramètres!$A$1:$I$89,3,0)*VLOOKUP('Données projet'!$B$17,Paramètres!$A$1:$I$89,5,0)</f>
        <v>3.3992364478763198E-14</v>
      </c>
      <c r="GB103" s="13">
        <f t="shared" si="103"/>
        <v>5.790027782444094E-13</v>
      </c>
      <c r="GC103" s="20">
        <f t="shared" si="79"/>
        <v>1.0676332069095257E-12</v>
      </c>
      <c r="GD103" s="59">
        <f t="shared" si="80"/>
        <v>293.33333333333439</v>
      </c>
      <c r="GE103" s="59">
        <f ca="1">AVERAGE(OFFSET($GD$3,0,0,'Données projet'!$E$17+1,1))-AVERAGE(OFFSET($H$3,0,0,'Données projet'!$E$17+1,1))</f>
        <v>165.39579887388538</v>
      </c>
      <c r="GF103" s="59">
        <f t="shared" si="104"/>
        <v>155.89639262545802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>
        <f>EXP(-LN(2)/35)*GL102+(1-EXP(-LN(2)/35))/(LN(2)/35)*GH103*GI103*VLOOKUP('Données projet'!$B$17,Paramètres!$A$1:$I$89,3,0)*0.475*44/12</f>
        <v>0</v>
      </c>
      <c r="GM103" s="21">
        <f>EXP(-LN(2)/25)*GM102+(1-EXP(-LN(2)/25))/(LN(2)/25)*Calculateur!GH103*Calculateur!GJ103*VLOOKUP('Données projet'!$B$17,Paramètres!$A$1:$I$89,3,0)*0.475*44/12</f>
        <v>1.04664299047096</v>
      </c>
      <c r="GN103" s="21">
        <f>EXP(-LN(2)/2)*GN102+(1-EXP(-LN(2)/2))/(LN(2)/2)*GH103*GK103*VLOOKUP('Données projet'!$B$17,Paramètres!$A$1:$I$89,3,0)*0.475*44/12</f>
        <v>4.0396220677581592E-10</v>
      </c>
      <c r="GO103" s="21">
        <f t="shared" si="81"/>
        <v>1.0466429908749222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3.4106051316484809E-13</v>
      </c>
      <c r="O104" s="13">
        <f>N104*VLOOKUP('Données projet'!$B$9,Paramètres!$A$1:$I$89,3,0)*VLOOKUP('Données projet'!$B$9,Paramètres!$A$1:$I$89,5,0)</f>
        <v>1.9065282685915009E-13</v>
      </c>
      <c r="P104" s="13">
        <f t="shared" si="87"/>
        <v>2.6568987209435707E-12</v>
      </c>
      <c r="Q104" s="20">
        <f t="shared" si="107"/>
        <v>4.959485612423072E-12</v>
      </c>
      <c r="R104" s="59">
        <f t="shared" si="55"/>
        <v>293.33333333333826</v>
      </c>
      <c r="S104" s="59">
        <f ca="1">AVERAGE(OFFSET($R$3,0,0,'Données projet'!$E$9+1,1))-AVERAGE(OFFSET($H$3,0,0,'Données projet'!$E$9+1,1))</f>
        <v>235.10258076192054</v>
      </c>
      <c r="T104" s="59">
        <f t="shared" si="88"/>
        <v>233.47316052603765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0.83969446706880702</v>
      </c>
      <c r="AA104" s="21">
        <f>EXP(-LN(2)/25)*AA103+(1-EXP(-LN(2)/25))/(LN(2)/25)*Calculateur!V104*Calculateur!X104*VLOOKUP('Données projet'!$B$9,Paramètres!$A$1:$I$89,3,0)*0.475*44/12</f>
        <v>2.5746324387440294</v>
      </c>
      <c r="AB104" s="21">
        <f>EXP(-LN(2)/2)*AB103+(1-EXP(-LN(2)/2))/(LN(2)/2)*V104*Y104*VLOOKUP('Données projet'!$B$9,Paramètres!$A$1:$I$89,3,0)*0.475*44/12</f>
        <v>4.9642076373666476E-10</v>
      </c>
      <c r="AC104" s="22">
        <f t="shared" si="57"/>
        <v>3.4143269063092569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-8.5265128291212022E-14</v>
      </c>
      <c r="AJ104" s="13">
        <f>AI104*VLOOKUP('Données projet'!$B$10,Paramètres!$A$1:$I$89,3,0)*VLOOKUP('Données projet'!$B$10,Paramètres!$A$1:$I$89,5,0)</f>
        <v>-7.4487616075202836E-14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191.94797389630673</v>
      </c>
      <c r="AO104" s="59">
        <f t="shared" si="90"/>
        <v>273.52540822767878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0.63104311464564955</v>
      </c>
      <c r="AV104" s="21">
        <f>EXP(-LN(2)/25)*AV103+(1-EXP(-LN(2)/25))/(LN(2)/25)*Calculateur!AQ104*Calculateur!AS104*VLOOKUP('Données projet'!$B$10,Paramètres!$A$1:$I$89,3,0)*0.475*44/12</f>
        <v>1.9619773100052951</v>
      </c>
      <c r="AW104" s="21">
        <f>EXP(-LN(2)/2)*AW103+(1-EXP(-LN(2)/2))/(LN(2)/2)*AQ104*AT104*VLOOKUP('Données projet'!$B$10,Paramètres!$A$1:$I$89,3,0)*0.475*44/12</f>
        <v>4.7750780169142953E-10</v>
      </c>
      <c r="AX104" s="21">
        <f t="shared" si="60"/>
        <v>2.5930204251284525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3.1</v>
      </c>
      <c r="BD104" s="12">
        <f>IF('Données projet'!$A$88&gt;35,BD103+BC104-BL103,IF(A104&lt;'Données projet'!$A$88,$BA$205^A104,IF(A104='Données projet'!$A$88,'Données projet'!$B$88,BD103+BC104-BL103)))</f>
        <v>205.09999999999997</v>
      </c>
      <c r="BE104" s="13">
        <f>BD104*VLOOKUP('Données projet'!$B$11,Paramètres!$A$1:$I$89,3,0)*VLOOKUP('Données projet'!$B$11,Paramètres!$A$1:$I$89,5,0)</f>
        <v>185.57447999999997</v>
      </c>
      <c r="BF104" s="13">
        <f t="shared" si="91"/>
        <v>46.560195221199436</v>
      </c>
      <c r="BG104" s="20">
        <f t="shared" si="61"/>
        <v>404.30122601025568</v>
      </c>
      <c r="BH104" s="59">
        <f t="shared" si="62"/>
        <v>697.63455934358899</v>
      </c>
      <c r="BI104" s="59">
        <f ca="1">AVERAGE(OFFSET($BH$3,0,0,'Données projet'!$E$11+1,1))-AVERAGE(OFFSET($H$3,0,0,'Données projet'!$E$11+1,1))</f>
        <v>138.8931001150624</v>
      </c>
      <c r="BJ104" s="59">
        <f t="shared" si="92"/>
        <v>48.964659354096625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3.1</v>
      </c>
      <c r="BY104" s="12">
        <f>IF('Données projet'!$A$114&gt;35,BY103+BX104-CG103,IF(A104&lt;'Données projet'!$A$114,$BV$205^A104,IF(A104='Données projet'!$A$114,'Données projet'!$B$114,BY103+BX104-CG103)))</f>
        <v>205.09999999999997</v>
      </c>
      <c r="BZ104" s="13">
        <f>BY104*VLOOKUP('Données projet'!$B$12,Paramètres!$A$1:$I$89,3,0)*VLOOKUP('Données projet'!$B$12,Paramètres!$A$1:$I$89,5,0)</f>
        <v>207.97139999999996</v>
      </c>
      <c r="CA104" s="13">
        <f t="shared" si="93"/>
        <v>51.492035430274818</v>
      </c>
      <c r="CB104" s="20">
        <f t="shared" si="64"/>
        <v>451.89881670772849</v>
      </c>
      <c r="CC104" s="59">
        <f t="shared" si="65"/>
        <v>745.2321500410618</v>
      </c>
      <c r="CD104" s="59">
        <f ca="1">AVERAGE(OFFSET($CC$3,0,0,'Données projet'!$E$12+1,1))-AVERAGE(OFFSET($H$3,0,0,'Données projet'!$E$12+1,1))</f>
        <v>169.2757878405003</v>
      </c>
      <c r="CE104" s="59">
        <f t="shared" si="94"/>
        <v>61.876502626609977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-8.5265128291212022E-14</v>
      </c>
      <c r="CU104" s="17">
        <f>CT104*VLOOKUP('Données projet'!$B$13,Paramètres!$A$1:$I$89,3,0)*VLOOKUP('Données projet'!$B$13,Paramètres!$A$1:$I$89,5,0)</f>
        <v>-6.7836936068488286E-14</v>
      </c>
      <c r="CV104" s="13" t="e">
        <f t="shared" si="95"/>
        <v>#NUM!</v>
      </c>
      <c r="CW104" s="20" t="e">
        <f t="shared" si="67"/>
        <v>#NUM!</v>
      </c>
      <c r="CX104" s="59" t="e">
        <f t="shared" si="68"/>
        <v>#NUM!</v>
      </c>
      <c r="CY104" s="59">
        <f ca="1">AVERAGE(OFFSET($CX$3,0,0,'Données projet'!$E$13+1,1))-AVERAGE(OFFSET($H$3,0,0,'Données projet'!$E$13+1,1))</f>
        <v>141.12810728817544</v>
      </c>
      <c r="CZ104" s="59">
        <f t="shared" si="96"/>
        <v>176.01405805137551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>
        <f>EXP(-LN(2)/35)*DF103+(1-EXP(-LN(2)/35))/(LN(2)/35)*DB104*DC104*VLOOKUP('Données projet'!$B$13,Paramètres!$A$1:$I$89,3,0)*0.475*44/12</f>
        <v>0</v>
      </c>
      <c r="DG104" s="21">
        <f>EXP(-LN(2)/25)*DG103+(1-EXP(-LN(2)/25))/(LN(2)/25)*Calculateur!DB104*Calculateur!DD104*VLOOKUP('Données projet'!$B$13,Paramètres!$A$1:$I$89,3,0)*0.475*44/12</f>
        <v>0.93888079928577262</v>
      </c>
      <c r="DH104" s="21">
        <f>EXP(-LN(2)/2)*DH103+(1-EXP(-LN(2)/2))/(LN(2)/2)*DB104*DE104*VLOOKUP('Données projet'!$B$13,Paramètres!$A$1:$I$89,3,0)*0.475*44/12</f>
        <v>1.6474297457195224E-10</v>
      </c>
      <c r="DI104" s="22">
        <f t="shared" si="69"/>
        <v>0.93888079945051561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5.6843418860808015E-14</v>
      </c>
      <c r="DP104" s="17">
        <f>DO104*VLOOKUP('Données projet'!$B$14,Paramètres!$A$1:$I$89,3,0)*VLOOKUP('Données projet'!$B$14,Paramètres!$A$1:$I$89,5,0)</f>
        <v>3.3992364478763198E-14</v>
      </c>
      <c r="DQ104" s="13">
        <f t="shared" si="97"/>
        <v>5.790027782444094E-13</v>
      </c>
      <c r="DR104" s="20">
        <f t="shared" si="70"/>
        <v>1.0676332069095257E-12</v>
      </c>
      <c r="DS104" s="59">
        <f t="shared" si="71"/>
        <v>293.33333333333439</v>
      </c>
      <c r="DT104" s="59">
        <f ca="1">AVERAGE(OFFSET($DS$3,0,0,'Données projet'!$E$14+1,1))-AVERAGE(OFFSET($H$3,0,0,'Données projet'!$E$14+1,1))</f>
        <v>165.39579887388538</v>
      </c>
      <c r="DU104" s="59">
        <f t="shared" si="98"/>
        <v>155.89639262545802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>
        <f>EXP(-LN(2)/35)*EA103+(1-EXP(-LN(2)/35))/(LN(2)/35)*DW104*DX104*VLOOKUP('Données projet'!$B$14,Paramètres!$A$1:$I$89,3,0)*0.475*44/12</f>
        <v>0</v>
      </c>
      <c r="EB104" s="21">
        <f>EXP(-LN(2)/25)*EB103+(1-EXP(-LN(2)/25))/(LN(2)/25)*Calculateur!DW104*Calculateur!DY104*VLOOKUP('Données projet'!$B$14,Paramètres!$A$1:$I$89,3,0)*0.475*44/12</f>
        <v>1.0180224828559687</v>
      </c>
      <c r="EC104" s="21">
        <f>EXP(-LN(2)/2)*EC103+(1-EXP(-LN(2)/2))/(LN(2)/2)*DW104*DZ104*VLOOKUP('Données projet'!$B$14,Paramètres!$A$1:$I$89,3,0)*0.475*44/12</f>
        <v>2.8564441575426172E-10</v>
      </c>
      <c r="ED104" s="22">
        <f t="shared" si="72"/>
        <v>1.0180224831416131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3.1</v>
      </c>
      <c r="EJ104" s="12">
        <f>IF('Données projet'!$A$192&gt;35,EJ103+EI104-ER103,IF(A104&lt;'Données projet'!$A$192,$EG$205^A104,IF(A104='Données projet'!$A$192,'Données projet'!$B$192,EJ103+EI104-ER103)))</f>
        <v>205.09999999999997</v>
      </c>
      <c r="EK104" s="17">
        <f>EJ104*VLOOKUP('Données projet'!$B$15,Paramètres!$A$1:$I$89,3,0)*VLOOKUP('Données projet'!$B$15,Paramètres!$A$1:$I$89,5,0)</f>
        <v>159.97799999999998</v>
      </c>
      <c r="EL104" s="13">
        <f t="shared" si="99"/>
        <v>40.837553205574764</v>
      </c>
      <c r="EM104" s="20">
        <f t="shared" si="73"/>
        <v>349.75375516637604</v>
      </c>
      <c r="EN104" s="59">
        <f t="shared" si="74"/>
        <v>643.08708849970935</v>
      </c>
      <c r="EO104" s="59">
        <f ca="1">AVERAGE(OFFSET($EN$3,0,0,'Données projet'!$E$15+1,1))-AVERAGE(OFFSET($H$3,0,0,'Données projet'!$E$15+1,1))</f>
        <v>104.07220236158577</v>
      </c>
      <c r="EP104" s="59">
        <f t="shared" si="100"/>
        <v>34.162068257911756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>
        <f>EXP(-LN(2)/35)*EV103+(1-EXP(-LN(2)/35))/(LN(2)/35)*ER104*ES104*VLOOKUP('Données projet'!$B$15,Paramètres!$A$1:$I$89,3,0)*0.475*44/12</f>
        <v>0</v>
      </c>
      <c r="EW104" s="21">
        <f>EXP(-LN(2)/25)*EW103+(1-EXP(-LN(2)/25))/(LN(2)/25)*Calculateur!ER104*Calculateur!ET104*VLOOKUP('Données projet'!$B$15,Paramètres!$A$1:$I$89,3,0)*0.475*44/12</f>
        <v>0</v>
      </c>
      <c r="EX104" s="21">
        <f>EXP(-LN(2)/2)*EX103+(1-EXP(-LN(2)/2))/(LN(2)/2)*ER104*EU104*VLOOKUP('Données projet'!$B$15,Paramètres!$A$1:$I$89,3,0)*0.475*44/12</f>
        <v>0</v>
      </c>
      <c r="EY104" s="22">
        <f t="shared" si="75"/>
        <v>0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5.6843418860808015E-14</v>
      </c>
      <c r="FF104" s="17">
        <f>FE104*VLOOKUP('Données projet'!$B$16,Paramètres!$A$1:$I$89,3,0)*VLOOKUP('Données projet'!$B$16,Paramètres!$A$1:$I$89,5,0)</f>
        <v>5.1431925385259088E-14</v>
      </c>
      <c r="FG104" s="13">
        <f t="shared" si="101"/>
        <v>8.3482866290946129E-13</v>
      </c>
      <c r="FH104" s="20">
        <f t="shared" si="76"/>
        <v>1.5435705246133045E-12</v>
      </c>
      <c r="FI104" s="59">
        <f t="shared" si="77"/>
        <v>293.33333333333485</v>
      </c>
      <c r="FJ104" s="59">
        <f ca="1">AVERAGE(OFFSET($FI$3,0,0,'Données projet'!$E$16+1,1))-AVERAGE(OFFSET($H$3,0,0,'Données projet'!$E$16+1,1))</f>
        <v>179.50097986986123</v>
      </c>
      <c r="FK104" s="59">
        <f t="shared" si="102"/>
        <v>287.11838730637578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>
        <f>EXP(-LN(2)/35)*FQ103+(1-EXP(-LN(2)/35))/(LN(2)/35)*FM104*FN104*VLOOKUP('Données projet'!$B$16,Paramètres!$A$1:$I$89,3,0)*0.475*44/12</f>
        <v>0.15278782823769044</v>
      </c>
      <c r="FR104" s="21">
        <f>EXP(-LN(2)/25)*FR103+(1-EXP(-LN(2)/25))/(LN(2)/25)*Calculateur!FM104*Calculateur!FO104*VLOOKUP('Données projet'!$B$16,Paramètres!$A$1:$I$89,3,0)*0.475*44/12</f>
        <v>0.87897452627114503</v>
      </c>
      <c r="FS104" s="21">
        <f>EXP(-LN(2)/2)*FS103+(1-EXP(-LN(2)/2))/(LN(2)/2)*FM104*FP104*VLOOKUP('Données projet'!$B$16,Paramètres!$A$1:$I$89,3,0)*0.475*44/12</f>
        <v>9.3035793572498233E-11</v>
      </c>
      <c r="FT104" s="22">
        <f t="shared" si="78"/>
        <v>1.0317623546018713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5.6843418860808015E-14</v>
      </c>
      <c r="GA104" s="17">
        <f>FZ104*VLOOKUP('Données projet'!$B$17,Paramètres!$A$1:$I$89,3,0)*VLOOKUP('Données projet'!$B$17,Paramètres!$A$1:$I$89,5,0)</f>
        <v>3.3992364478763198E-14</v>
      </c>
      <c r="GB104" s="13">
        <f t="shared" si="103"/>
        <v>5.790027782444094E-13</v>
      </c>
      <c r="GC104" s="20">
        <f t="shared" si="79"/>
        <v>1.0676332069095257E-12</v>
      </c>
      <c r="GD104" s="59">
        <f t="shared" si="80"/>
        <v>293.33333333333439</v>
      </c>
      <c r="GE104" s="59">
        <f ca="1">AVERAGE(OFFSET($GD$3,0,0,'Données projet'!$E$17+1,1))-AVERAGE(OFFSET($H$3,0,0,'Données projet'!$E$17+1,1))</f>
        <v>165.39579887388538</v>
      </c>
      <c r="GF104" s="59">
        <f t="shared" si="104"/>
        <v>155.89639262545802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>
        <f>EXP(-LN(2)/35)*GL103+(1-EXP(-LN(2)/35))/(LN(2)/35)*GH104*GI104*VLOOKUP('Données projet'!$B$17,Paramètres!$A$1:$I$89,3,0)*0.475*44/12</f>
        <v>0</v>
      </c>
      <c r="GM104" s="21">
        <f>EXP(-LN(2)/25)*GM103+(1-EXP(-LN(2)/25))/(LN(2)/25)*Calculateur!GH104*Calculateur!GJ104*VLOOKUP('Données projet'!$B$17,Paramètres!$A$1:$I$89,3,0)*0.475*44/12</f>
        <v>1.0180224828559687</v>
      </c>
      <c r="GN104" s="21">
        <f>EXP(-LN(2)/2)*GN103+(1-EXP(-LN(2)/2))/(LN(2)/2)*GH104*GK104*VLOOKUP('Données projet'!$B$17,Paramètres!$A$1:$I$89,3,0)*0.475*44/12</f>
        <v>2.8564441575426172E-10</v>
      </c>
      <c r="GO104" s="21">
        <f t="shared" si="81"/>
        <v>1.0180224831416131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3.4106051316484809E-13</v>
      </c>
      <c r="O105" s="13">
        <f>N105*VLOOKUP('Données projet'!$B$9,Paramètres!$A$1:$I$89,3,0)*VLOOKUP('Données projet'!$B$9,Paramètres!$A$1:$I$89,5,0)</f>
        <v>1.9065282685915009E-13</v>
      </c>
      <c r="P105" s="13">
        <f t="shared" si="87"/>
        <v>2.6568987209435707E-12</v>
      </c>
      <c r="Q105" s="20">
        <f t="shared" si="107"/>
        <v>4.959485612423072E-12</v>
      </c>
      <c r="R105" s="59">
        <f t="shared" si="55"/>
        <v>293.33333333333826</v>
      </c>
      <c r="S105" s="59">
        <f ca="1">AVERAGE(OFFSET($R$3,0,0,'Données projet'!$E$9+1,1))-AVERAGE(OFFSET($H$3,0,0,'Données projet'!$E$9+1,1))</f>
        <v>235.10258076192054</v>
      </c>
      <c r="T105" s="59">
        <f t="shared" si="88"/>
        <v>233.47316052603765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0.82322857073264077</v>
      </c>
      <c r="AA105" s="21">
        <f>EXP(-LN(2)/25)*AA104+(1-EXP(-LN(2)/25))/(LN(2)/25)*Calculateur!V105*Calculateur!X105*VLOOKUP('Données projet'!$B$9,Paramètres!$A$1:$I$89,3,0)*0.475*44/12</f>
        <v>2.5042289793125385</v>
      </c>
      <c r="AB105" s="21">
        <f>EXP(-LN(2)/2)*AB104+(1-EXP(-LN(2)/2))/(LN(2)/2)*V105*Y105*VLOOKUP('Données projet'!$B$9,Paramètres!$A$1:$I$89,3,0)*0.475*44/12</f>
        <v>3.5102248836000062E-10</v>
      </c>
      <c r="AC105" s="22">
        <f t="shared" si="57"/>
        <v>3.3274575503962014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-8.5265128291212022E-14</v>
      </c>
      <c r="AJ105" s="13">
        <f>AI105*VLOOKUP('Données projet'!$B$10,Paramètres!$A$1:$I$89,3,0)*VLOOKUP('Données projet'!$B$10,Paramètres!$A$1:$I$89,5,0)</f>
        <v>-7.4487616075202836E-14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191.94797389630673</v>
      </c>
      <c r="AO105" s="59">
        <f t="shared" si="90"/>
        <v>273.52540822767878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0.61866874406574279</v>
      </c>
      <c r="AV105" s="21">
        <f>EXP(-LN(2)/25)*AV104+(1-EXP(-LN(2)/25))/(LN(2)/25)*Calculateur!AQ105*Calculateur!AS105*VLOOKUP('Données projet'!$B$10,Paramètres!$A$1:$I$89,3,0)*0.475*44/12</f>
        <v>1.9083269372872977</v>
      </c>
      <c r="AW105" s="21">
        <f>EXP(-LN(2)/2)*AW104+(1-EXP(-LN(2)/2))/(LN(2)/2)*AQ105*AT105*VLOOKUP('Données projet'!$B$10,Paramètres!$A$1:$I$89,3,0)*0.475*44/12</f>
        <v>3.37649004645491E-10</v>
      </c>
      <c r="AX105" s="21">
        <f t="shared" si="60"/>
        <v>2.5269956816906896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3.1</v>
      </c>
      <c r="BD105" s="12">
        <f>IF('Données projet'!$A$88&gt;35,BD104+BC105-BL104,IF(A105&lt;'Données projet'!$A$88,$BA$205^A105,IF(A105='Données projet'!$A$88,'Données projet'!$B$88,BD104+BC105-BL104)))</f>
        <v>208.19999999999996</v>
      </c>
      <c r="BE105" s="13">
        <f>BD105*VLOOKUP('Données projet'!$B$11,Paramètres!$A$1:$I$89,3,0)*VLOOKUP('Données projet'!$B$11,Paramètres!$A$1:$I$89,5,0)</f>
        <v>188.37935999999996</v>
      </c>
      <c r="BF105" s="13">
        <f t="shared" si="91"/>
        <v>47.181473920005914</v>
      </c>
      <c r="BG105" s="20">
        <f t="shared" si="61"/>
        <v>410.26845241067684</v>
      </c>
      <c r="BH105" s="59">
        <f t="shared" si="62"/>
        <v>703.60178574401016</v>
      </c>
      <c r="BI105" s="59">
        <f ca="1">AVERAGE(OFFSET($BH$3,0,0,'Données projet'!$E$11+1,1))-AVERAGE(OFFSET($H$3,0,0,'Données projet'!$E$11+1,1))</f>
        <v>138.8931001150624</v>
      </c>
      <c r="BJ105" s="59">
        <f t="shared" si="92"/>
        <v>48.964659354096625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3.1</v>
      </c>
      <c r="BY105" s="12">
        <f>IF('Données projet'!$A$114&gt;35,BY104+BX105-CG104,IF(A105&lt;'Données projet'!$A$114,$BV$205^A105,IF(A105='Données projet'!$A$114,'Données projet'!$B$114,BY104+BX105-CG104)))</f>
        <v>208.19999999999996</v>
      </c>
      <c r="BZ105" s="13">
        <f>BY105*VLOOKUP('Données projet'!$B$12,Paramètres!$A$1:$I$89,3,0)*VLOOKUP('Données projet'!$B$12,Paramètres!$A$1:$I$89,5,0)</f>
        <v>211.11479999999997</v>
      </c>
      <c r="CA105" s="13">
        <f t="shared" si="93"/>
        <v>52.179122428493677</v>
      </c>
      <c r="CB105" s="20">
        <f t="shared" si="64"/>
        <v>458.57024822962643</v>
      </c>
      <c r="CC105" s="59">
        <f t="shared" si="65"/>
        <v>751.90358156295974</v>
      </c>
      <c r="CD105" s="59">
        <f ca="1">AVERAGE(OFFSET($CC$3,0,0,'Données projet'!$E$12+1,1))-AVERAGE(OFFSET($H$3,0,0,'Données projet'!$E$12+1,1))</f>
        <v>169.2757878405003</v>
      </c>
      <c r="CE105" s="59">
        <f t="shared" si="94"/>
        <v>61.876502626609977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-8.5265128291212022E-14</v>
      </c>
      <c r="CU105" s="17">
        <f>CT105*VLOOKUP('Données projet'!$B$13,Paramètres!$A$1:$I$89,3,0)*VLOOKUP('Données projet'!$B$13,Paramètres!$A$1:$I$89,5,0)</f>
        <v>-6.7836936068488286E-14</v>
      </c>
      <c r="CV105" s="13" t="e">
        <f t="shared" si="95"/>
        <v>#NUM!</v>
      </c>
      <c r="CW105" s="20" t="e">
        <f t="shared" si="67"/>
        <v>#NUM!</v>
      </c>
      <c r="CX105" s="59" t="e">
        <f t="shared" si="68"/>
        <v>#NUM!</v>
      </c>
      <c r="CY105" s="59">
        <f ca="1">AVERAGE(OFFSET($CX$3,0,0,'Données projet'!$E$13+1,1))-AVERAGE(OFFSET($H$3,0,0,'Données projet'!$E$13+1,1))</f>
        <v>141.12810728817544</v>
      </c>
      <c r="CZ105" s="59">
        <f t="shared" si="96"/>
        <v>176.01405805137551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>
        <f>EXP(-LN(2)/35)*DF104+(1-EXP(-LN(2)/35))/(LN(2)/35)*DB105*DC105*VLOOKUP('Données projet'!$B$13,Paramètres!$A$1:$I$89,3,0)*0.475*44/12</f>
        <v>0</v>
      </c>
      <c r="DG105" s="21">
        <f>EXP(-LN(2)/25)*DG104+(1-EXP(-LN(2)/25))/(LN(2)/25)*Calculateur!DB105*Calculateur!DD105*VLOOKUP('Données projet'!$B$13,Paramètres!$A$1:$I$89,3,0)*0.475*44/12</f>
        <v>0.91320705445570782</v>
      </c>
      <c r="DH105" s="21">
        <f>EXP(-LN(2)/2)*DH104+(1-EXP(-LN(2)/2))/(LN(2)/2)*DB105*DE105*VLOOKUP('Données projet'!$B$13,Paramètres!$A$1:$I$89,3,0)*0.475*44/12</f>
        <v>1.1649087447267039E-10</v>
      </c>
      <c r="DI105" s="22">
        <f t="shared" si="69"/>
        <v>0.91320705457219875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5.6843418860808015E-14</v>
      </c>
      <c r="DP105" s="17">
        <f>DO105*VLOOKUP('Données projet'!$B$14,Paramètres!$A$1:$I$89,3,0)*VLOOKUP('Données projet'!$B$14,Paramètres!$A$1:$I$89,5,0)</f>
        <v>3.3992364478763198E-14</v>
      </c>
      <c r="DQ105" s="13">
        <f t="shared" si="97"/>
        <v>5.790027782444094E-13</v>
      </c>
      <c r="DR105" s="20">
        <f t="shared" si="70"/>
        <v>1.0676332069095257E-12</v>
      </c>
      <c r="DS105" s="59">
        <f t="shared" si="71"/>
        <v>293.33333333333439</v>
      </c>
      <c r="DT105" s="59">
        <f ca="1">AVERAGE(OFFSET($DS$3,0,0,'Données projet'!$E$14+1,1))-AVERAGE(OFFSET($H$3,0,0,'Données projet'!$E$14+1,1))</f>
        <v>165.39579887388538</v>
      </c>
      <c r="DU105" s="59">
        <f t="shared" si="98"/>
        <v>155.89639262545802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>
        <f>EXP(-LN(2)/35)*EA104+(1-EXP(-LN(2)/35))/(LN(2)/35)*DW105*DX105*VLOOKUP('Données projet'!$B$14,Paramètres!$A$1:$I$89,3,0)*0.475*44/12</f>
        <v>0</v>
      </c>
      <c r="EB105" s="21">
        <f>EXP(-LN(2)/25)*EB104+(1-EXP(-LN(2)/25))/(LN(2)/25)*Calculateur!DW105*Calculateur!DY105*VLOOKUP('Données projet'!$B$14,Paramètres!$A$1:$I$89,3,0)*0.475*44/12</f>
        <v>0.99018460452679657</v>
      </c>
      <c r="EC105" s="21">
        <f>EXP(-LN(2)/2)*EC104+(1-EXP(-LN(2)/2))/(LN(2)/2)*DW105*DZ105*VLOOKUP('Données projet'!$B$14,Paramètres!$A$1:$I$89,3,0)*0.475*44/12</f>
        <v>2.0198110338790796E-10</v>
      </c>
      <c r="ED105" s="22">
        <f t="shared" si="72"/>
        <v>0.99018460472877767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3.1</v>
      </c>
      <c r="EJ105" s="12">
        <f>IF('Données projet'!$A$192&gt;35,EJ104+EI105-ER104,IF(A105&lt;'Données projet'!$A$192,$EG$205^A105,IF(A105='Données projet'!$A$192,'Données projet'!$B$192,EJ104+EI105-ER104)))</f>
        <v>208.19999999999996</v>
      </c>
      <c r="EK105" s="17">
        <f>EJ105*VLOOKUP('Données projet'!$B$15,Paramètres!$A$1:$I$89,3,0)*VLOOKUP('Données projet'!$B$15,Paramètres!$A$1:$I$89,5,0)</f>
        <v>162.39599999999999</v>
      </c>
      <c r="EL105" s="13">
        <f t="shared" si="99"/>
        <v>41.382471494629698</v>
      </c>
      <c r="EM105" s="20">
        <f t="shared" si="73"/>
        <v>354.91417118648002</v>
      </c>
      <c r="EN105" s="59">
        <f t="shared" si="74"/>
        <v>648.24750451981333</v>
      </c>
      <c r="EO105" s="59">
        <f ca="1">AVERAGE(OFFSET($EN$3,0,0,'Données projet'!$E$15+1,1))-AVERAGE(OFFSET($H$3,0,0,'Données projet'!$E$15+1,1))</f>
        <v>104.07220236158577</v>
      </c>
      <c r="EP105" s="59">
        <f t="shared" si="100"/>
        <v>34.162068257911756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>
        <f>EXP(-LN(2)/35)*EV104+(1-EXP(-LN(2)/35))/(LN(2)/35)*ER105*ES105*VLOOKUP('Données projet'!$B$15,Paramètres!$A$1:$I$89,3,0)*0.475*44/12</f>
        <v>0</v>
      </c>
      <c r="EW105" s="21">
        <f>EXP(-LN(2)/25)*EW104+(1-EXP(-LN(2)/25))/(LN(2)/25)*Calculateur!ER105*Calculateur!ET105*VLOOKUP('Données projet'!$B$15,Paramètres!$A$1:$I$89,3,0)*0.475*44/12</f>
        <v>0</v>
      </c>
      <c r="EX105" s="21">
        <f>EXP(-LN(2)/2)*EX104+(1-EXP(-LN(2)/2))/(LN(2)/2)*ER105*EU105*VLOOKUP('Données projet'!$B$15,Paramètres!$A$1:$I$89,3,0)*0.475*44/12</f>
        <v>0</v>
      </c>
      <c r="EY105" s="22">
        <f t="shared" si="75"/>
        <v>0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5.6843418860808015E-14</v>
      </c>
      <c r="FF105" s="17">
        <f>FE105*VLOOKUP('Données projet'!$B$16,Paramètres!$A$1:$I$89,3,0)*VLOOKUP('Données projet'!$B$16,Paramètres!$A$1:$I$89,5,0)</f>
        <v>5.1431925385259088E-14</v>
      </c>
      <c r="FG105" s="13">
        <f t="shared" si="101"/>
        <v>8.3482866290946129E-13</v>
      </c>
      <c r="FH105" s="20">
        <f t="shared" si="76"/>
        <v>1.5435705246133045E-12</v>
      </c>
      <c r="FI105" s="59">
        <f t="shared" si="77"/>
        <v>293.33333333333485</v>
      </c>
      <c r="FJ105" s="59">
        <f ca="1">AVERAGE(OFFSET($FI$3,0,0,'Données projet'!$E$16+1,1))-AVERAGE(OFFSET($H$3,0,0,'Données projet'!$E$16+1,1))</f>
        <v>179.50097986986123</v>
      </c>
      <c r="FK105" s="59">
        <f t="shared" si="102"/>
        <v>287.11838730637578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>
        <f>EXP(-LN(2)/35)*FQ104+(1-EXP(-LN(2)/35))/(LN(2)/35)*FM105*FN105*VLOOKUP('Données projet'!$B$16,Paramètres!$A$1:$I$89,3,0)*0.475*44/12</f>
        <v>0.14979175211732268</v>
      </c>
      <c r="FR105" s="21">
        <f>EXP(-LN(2)/25)*FR104+(1-EXP(-LN(2)/25))/(LN(2)/25)*Calculateur!FM105*Calculateur!FO105*VLOOKUP('Données projet'!$B$16,Paramètres!$A$1:$I$89,3,0)*0.475*44/12</f>
        <v>0.85493892162699914</v>
      </c>
      <c r="FS105" s="21">
        <f>EXP(-LN(2)/2)*FS104+(1-EXP(-LN(2)/2))/(LN(2)/2)*FM105*FP105*VLOOKUP('Données projet'!$B$16,Paramètres!$A$1:$I$89,3,0)*0.475*44/12</f>
        <v>6.5786240528185311E-11</v>
      </c>
      <c r="FT105" s="22">
        <f t="shared" si="78"/>
        <v>1.0047306738101081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5.6843418860808015E-14</v>
      </c>
      <c r="GA105" s="17">
        <f>FZ105*VLOOKUP('Données projet'!$B$17,Paramètres!$A$1:$I$89,3,0)*VLOOKUP('Données projet'!$B$17,Paramètres!$A$1:$I$89,5,0)</f>
        <v>3.3992364478763198E-14</v>
      </c>
      <c r="GB105" s="13">
        <f t="shared" si="103"/>
        <v>5.790027782444094E-13</v>
      </c>
      <c r="GC105" s="20">
        <f t="shared" si="79"/>
        <v>1.0676332069095257E-12</v>
      </c>
      <c r="GD105" s="59">
        <f t="shared" si="80"/>
        <v>293.33333333333439</v>
      </c>
      <c r="GE105" s="59">
        <f ca="1">AVERAGE(OFFSET($GD$3,0,0,'Données projet'!$E$17+1,1))-AVERAGE(OFFSET($H$3,0,0,'Données projet'!$E$17+1,1))</f>
        <v>165.39579887388538</v>
      </c>
      <c r="GF105" s="59">
        <f t="shared" si="104"/>
        <v>155.89639262545802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>
        <f>EXP(-LN(2)/35)*GL104+(1-EXP(-LN(2)/35))/(LN(2)/35)*GH105*GI105*VLOOKUP('Données projet'!$B$17,Paramètres!$A$1:$I$89,3,0)*0.475*44/12</f>
        <v>0</v>
      </c>
      <c r="GM105" s="21">
        <f>EXP(-LN(2)/25)*GM104+(1-EXP(-LN(2)/25))/(LN(2)/25)*Calculateur!GH105*Calculateur!GJ105*VLOOKUP('Données projet'!$B$17,Paramètres!$A$1:$I$89,3,0)*0.475*44/12</f>
        <v>0.99018460452679657</v>
      </c>
      <c r="GN105" s="21">
        <f>EXP(-LN(2)/2)*GN104+(1-EXP(-LN(2)/2))/(LN(2)/2)*GH105*GK105*VLOOKUP('Données projet'!$B$17,Paramètres!$A$1:$I$89,3,0)*0.475*44/12</f>
        <v>2.0198110338790796E-10</v>
      </c>
      <c r="GO105" s="21">
        <f t="shared" si="81"/>
        <v>0.99018460472877767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3.4106051316484809E-13</v>
      </c>
      <c r="O106" s="13">
        <f>N106*VLOOKUP('Données projet'!$B$9,Paramètres!$A$1:$I$89,3,0)*VLOOKUP('Données projet'!$B$9,Paramètres!$A$1:$I$89,5,0)</f>
        <v>1.9065282685915009E-13</v>
      </c>
      <c r="P106" s="13">
        <f t="shared" si="87"/>
        <v>2.6568987209435707E-12</v>
      </c>
      <c r="Q106" s="20">
        <f t="shared" si="107"/>
        <v>4.959485612423072E-12</v>
      </c>
      <c r="R106" s="59">
        <f t="shared" si="55"/>
        <v>293.33333333333826</v>
      </c>
      <c r="S106" s="59">
        <f ca="1">AVERAGE(OFFSET($R$3,0,0,'Données projet'!$E$9+1,1))-AVERAGE(OFFSET($H$3,0,0,'Données projet'!$E$9+1,1))</f>
        <v>235.10258076192054</v>
      </c>
      <c r="T106" s="59">
        <f t="shared" si="88"/>
        <v>233.47316052603765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0.80708556058042158</v>
      </c>
      <c r="AA106" s="21">
        <f>EXP(-LN(2)/25)*AA105+(1-EXP(-LN(2)/25))/(LN(2)/25)*Calculateur!V106*Calculateur!X106*VLOOKUP('Données projet'!$B$9,Paramètres!$A$1:$I$89,3,0)*0.475*44/12</f>
        <v>2.4357507061815586</v>
      </c>
      <c r="AB106" s="21">
        <f>EXP(-LN(2)/2)*AB105+(1-EXP(-LN(2)/2))/(LN(2)/2)*V106*Y106*VLOOKUP('Données projet'!$B$9,Paramètres!$A$1:$I$89,3,0)*0.475*44/12</f>
        <v>2.4821038186833238E-10</v>
      </c>
      <c r="AC106" s="22">
        <f t="shared" si="57"/>
        <v>3.2428362670101905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-8.5265128291212022E-14</v>
      </c>
      <c r="AJ106" s="13">
        <f>AI106*VLOOKUP('Données projet'!$B$10,Paramètres!$A$1:$I$89,3,0)*VLOOKUP('Données projet'!$B$10,Paramètres!$A$1:$I$89,5,0)</f>
        <v>-7.4487616075202836E-14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191.94797389630673</v>
      </c>
      <c r="AO106" s="59">
        <f t="shared" si="90"/>
        <v>273.52540822767878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0.60653702734528714</v>
      </c>
      <c r="AV106" s="21">
        <f>EXP(-LN(2)/25)*AV105+(1-EXP(-LN(2)/25))/(LN(2)/25)*Calculateur!AQ106*Calculateur!AS106*VLOOKUP('Données projet'!$B$10,Paramètres!$A$1:$I$89,3,0)*0.475*44/12</f>
        <v>1.8561436368326245</v>
      </c>
      <c r="AW106" s="21">
        <f>EXP(-LN(2)/2)*AW105+(1-EXP(-LN(2)/2))/(LN(2)/2)*AQ106*AT106*VLOOKUP('Données projet'!$B$10,Paramètres!$A$1:$I$89,3,0)*0.475*44/12</f>
        <v>2.3875390084571476E-10</v>
      </c>
      <c r="AX106" s="21">
        <f t="shared" si="60"/>
        <v>2.4626806644166654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3.1</v>
      </c>
      <c r="BD106" s="12">
        <f>IF('Données projet'!$A$88&gt;35,BD105+BC106-BL105,IF(A106&lt;'Données projet'!$A$88,$BA$205^A106,IF(A106='Données projet'!$A$88,'Données projet'!$B$88,BD105+BC106-BL105)))</f>
        <v>211.29999999999995</v>
      </c>
      <c r="BE106" s="13">
        <f>BD106*VLOOKUP('Données projet'!$B$11,Paramètres!$A$1:$I$89,3,0)*VLOOKUP('Données projet'!$B$11,Paramètres!$A$1:$I$89,5,0)</f>
        <v>191.18423999999993</v>
      </c>
      <c r="BF106" s="13">
        <f t="shared" si="91"/>
        <v>47.80167674561666</v>
      </c>
      <c r="BG106" s="20">
        <f t="shared" si="61"/>
        <v>416.23380499861554</v>
      </c>
      <c r="BH106" s="59">
        <f t="shared" si="62"/>
        <v>709.56713833194885</v>
      </c>
      <c r="BI106" s="59">
        <f ca="1">AVERAGE(OFFSET($BH$3,0,0,'Données projet'!$E$11+1,1))-AVERAGE(OFFSET($H$3,0,0,'Données projet'!$E$11+1,1))</f>
        <v>138.8931001150624</v>
      </c>
      <c r="BJ106" s="59">
        <f t="shared" si="92"/>
        <v>48.964659354096625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3.1</v>
      </c>
      <c r="BY106" s="12">
        <f>IF('Données projet'!$A$114&gt;35,BY105+BX106-CG105,IF(A106&lt;'Données projet'!$A$114,$BV$205^A106,IF(A106='Données projet'!$A$114,'Données projet'!$B$114,BY105+BX106-CG105)))</f>
        <v>211.29999999999995</v>
      </c>
      <c r="BZ106" s="13">
        <f>BY106*VLOOKUP('Données projet'!$B$12,Paramètres!$A$1:$I$89,3,0)*VLOOKUP('Données projet'!$B$12,Paramètres!$A$1:$I$89,5,0)</f>
        <v>214.25819999999996</v>
      </c>
      <c r="CA106" s="13">
        <f t="shared" si="93"/>
        <v>52.86501959276859</v>
      </c>
      <c r="CB106" s="20">
        <f t="shared" si="64"/>
        <v>465.23960745740527</v>
      </c>
      <c r="CC106" s="59">
        <f t="shared" si="65"/>
        <v>758.57294079073858</v>
      </c>
      <c r="CD106" s="59">
        <f ca="1">AVERAGE(OFFSET($CC$3,0,0,'Données projet'!$E$12+1,1))-AVERAGE(OFFSET($H$3,0,0,'Données projet'!$E$12+1,1))</f>
        <v>169.2757878405003</v>
      </c>
      <c r="CE106" s="59">
        <f t="shared" si="94"/>
        <v>61.876502626609977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-8.5265128291212022E-14</v>
      </c>
      <c r="CU106" s="17">
        <f>CT106*VLOOKUP('Données projet'!$B$13,Paramètres!$A$1:$I$89,3,0)*VLOOKUP('Données projet'!$B$13,Paramètres!$A$1:$I$89,5,0)</f>
        <v>-6.7836936068488286E-14</v>
      </c>
      <c r="CV106" s="13" t="e">
        <f t="shared" si="95"/>
        <v>#NUM!</v>
      </c>
      <c r="CW106" s="20" t="e">
        <f t="shared" si="67"/>
        <v>#NUM!</v>
      </c>
      <c r="CX106" s="59" t="e">
        <f t="shared" si="68"/>
        <v>#NUM!</v>
      </c>
      <c r="CY106" s="59">
        <f ca="1">AVERAGE(OFFSET($CX$3,0,0,'Données projet'!$E$13+1,1))-AVERAGE(OFFSET($H$3,0,0,'Données projet'!$E$13+1,1))</f>
        <v>141.12810728817544</v>
      </c>
      <c r="CZ106" s="59">
        <f t="shared" si="96"/>
        <v>176.01405805137551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>
        <f>EXP(-LN(2)/35)*DF105+(1-EXP(-LN(2)/35))/(LN(2)/35)*DB106*DC106*VLOOKUP('Données projet'!$B$13,Paramètres!$A$1:$I$89,3,0)*0.475*44/12</f>
        <v>0</v>
      </c>
      <c r="DG106" s="21">
        <f>EXP(-LN(2)/25)*DG105+(1-EXP(-LN(2)/25))/(LN(2)/25)*Calculateur!DB106*Calculateur!DD106*VLOOKUP('Données projet'!$B$13,Paramètres!$A$1:$I$89,3,0)*0.475*44/12</f>
        <v>0.8882353595281447</v>
      </c>
      <c r="DH106" s="21">
        <f>EXP(-LN(2)/2)*DH105+(1-EXP(-LN(2)/2))/(LN(2)/2)*DB106*DE106*VLOOKUP('Données projet'!$B$13,Paramètres!$A$1:$I$89,3,0)*0.475*44/12</f>
        <v>8.237148728597612E-11</v>
      </c>
      <c r="DI106" s="22">
        <f t="shared" si="69"/>
        <v>0.88823535961051614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5.6843418860808015E-14</v>
      </c>
      <c r="DP106" s="17">
        <f>DO106*VLOOKUP('Données projet'!$B$14,Paramètres!$A$1:$I$89,3,0)*VLOOKUP('Données projet'!$B$14,Paramètres!$A$1:$I$89,5,0)</f>
        <v>3.3992364478763198E-14</v>
      </c>
      <c r="DQ106" s="13">
        <f t="shared" si="97"/>
        <v>5.790027782444094E-13</v>
      </c>
      <c r="DR106" s="20">
        <f t="shared" si="70"/>
        <v>1.0676332069095257E-12</v>
      </c>
      <c r="DS106" s="59">
        <f t="shared" si="71"/>
        <v>293.33333333333439</v>
      </c>
      <c r="DT106" s="59">
        <f ca="1">AVERAGE(OFFSET($DS$3,0,0,'Données projet'!$E$14+1,1))-AVERAGE(OFFSET($H$3,0,0,'Données projet'!$E$14+1,1))</f>
        <v>165.39579887388538</v>
      </c>
      <c r="DU106" s="59">
        <f t="shared" si="98"/>
        <v>155.89639262545802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>
        <f>EXP(-LN(2)/35)*EA105+(1-EXP(-LN(2)/35))/(LN(2)/35)*DW106*DX106*VLOOKUP('Données projet'!$B$14,Paramètres!$A$1:$I$89,3,0)*0.475*44/12</f>
        <v>0</v>
      </c>
      <c r="EB106" s="21">
        <f>EXP(-LN(2)/25)*EB105+(1-EXP(-LN(2)/25))/(LN(2)/25)*Calculateur!DW106*Calculateur!DY106*VLOOKUP('Données projet'!$B$14,Paramètres!$A$1:$I$89,3,0)*0.475*44/12</f>
        <v>0.96310795444446606</v>
      </c>
      <c r="EC106" s="21">
        <f>EXP(-LN(2)/2)*EC105+(1-EXP(-LN(2)/2))/(LN(2)/2)*DW106*DZ106*VLOOKUP('Données projet'!$B$14,Paramètres!$A$1:$I$89,3,0)*0.475*44/12</f>
        <v>1.4282220787713086E-10</v>
      </c>
      <c r="ED106" s="22">
        <f t="shared" si="72"/>
        <v>0.96310795458728826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3.1</v>
      </c>
      <c r="EJ106" s="12">
        <f>IF('Données projet'!$A$192&gt;35,EJ105+EI106-ER105,IF(A106&lt;'Données projet'!$A$192,$EG$205^A106,IF(A106='Données projet'!$A$192,'Données projet'!$B$192,EJ105+EI106-ER105)))</f>
        <v>211.29999999999995</v>
      </c>
      <c r="EK106" s="17">
        <f>EJ106*VLOOKUP('Données projet'!$B$15,Paramètres!$A$1:$I$89,3,0)*VLOOKUP('Données projet'!$B$15,Paramètres!$A$1:$I$89,5,0)</f>
        <v>164.81399999999996</v>
      </c>
      <c r="EL106" s="13">
        <f t="shared" si="99"/>
        <v>41.926446144409439</v>
      </c>
      <c r="EM106" s="20">
        <f t="shared" si="73"/>
        <v>360.07294370151311</v>
      </c>
      <c r="EN106" s="59">
        <f t="shared" si="74"/>
        <v>653.40627703484643</v>
      </c>
      <c r="EO106" s="59">
        <f ca="1">AVERAGE(OFFSET($EN$3,0,0,'Données projet'!$E$15+1,1))-AVERAGE(OFFSET($H$3,0,0,'Données projet'!$E$15+1,1))</f>
        <v>104.07220236158577</v>
      </c>
      <c r="EP106" s="59">
        <f t="shared" si="100"/>
        <v>34.162068257911756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>
        <f>EXP(-LN(2)/35)*EV105+(1-EXP(-LN(2)/35))/(LN(2)/35)*ER106*ES106*VLOOKUP('Données projet'!$B$15,Paramètres!$A$1:$I$89,3,0)*0.475*44/12</f>
        <v>0</v>
      </c>
      <c r="EW106" s="21">
        <f>EXP(-LN(2)/25)*EW105+(1-EXP(-LN(2)/25))/(LN(2)/25)*Calculateur!ER106*Calculateur!ET106*VLOOKUP('Données projet'!$B$15,Paramètres!$A$1:$I$89,3,0)*0.475*44/12</f>
        <v>0</v>
      </c>
      <c r="EX106" s="21">
        <f>EXP(-LN(2)/2)*EX105+(1-EXP(-LN(2)/2))/(LN(2)/2)*ER106*EU106*VLOOKUP('Données projet'!$B$15,Paramètres!$A$1:$I$89,3,0)*0.475*44/12</f>
        <v>0</v>
      </c>
      <c r="EY106" s="22">
        <f t="shared" si="75"/>
        <v>0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5.6843418860808015E-14</v>
      </c>
      <c r="FF106" s="17">
        <f>FE106*VLOOKUP('Données projet'!$B$16,Paramètres!$A$1:$I$89,3,0)*VLOOKUP('Données projet'!$B$16,Paramètres!$A$1:$I$89,5,0)</f>
        <v>5.1431925385259088E-14</v>
      </c>
      <c r="FG106" s="13">
        <f t="shared" si="101"/>
        <v>8.3482866290946129E-13</v>
      </c>
      <c r="FH106" s="20">
        <f t="shared" si="76"/>
        <v>1.5435705246133045E-12</v>
      </c>
      <c r="FI106" s="59">
        <f t="shared" si="77"/>
        <v>293.33333333333485</v>
      </c>
      <c r="FJ106" s="59">
        <f ca="1">AVERAGE(OFFSET($FI$3,0,0,'Données projet'!$E$16+1,1))-AVERAGE(OFFSET($H$3,0,0,'Données projet'!$E$16+1,1))</f>
        <v>179.50097986986123</v>
      </c>
      <c r="FK106" s="59">
        <f t="shared" si="102"/>
        <v>287.11838730637578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>
        <f>EXP(-LN(2)/35)*FQ105+(1-EXP(-LN(2)/35))/(LN(2)/35)*FM106*FN106*VLOOKUP('Données projet'!$B$16,Paramètres!$A$1:$I$89,3,0)*0.475*44/12</f>
        <v>0.14685442722224934</v>
      </c>
      <c r="FR106" s="21">
        <f>EXP(-LN(2)/25)*FR105+(1-EXP(-LN(2)/25))/(LN(2)/25)*Calculateur!FM106*Calculateur!FO106*VLOOKUP('Données projet'!$B$16,Paramètres!$A$1:$I$89,3,0)*0.475*44/12</f>
        <v>0.83156057185582499</v>
      </c>
      <c r="FS106" s="21">
        <f>EXP(-LN(2)/2)*FS105+(1-EXP(-LN(2)/2))/(LN(2)/2)*FM106*FP106*VLOOKUP('Données projet'!$B$16,Paramètres!$A$1:$I$89,3,0)*0.475*44/12</f>
        <v>4.6517896786249116E-11</v>
      </c>
      <c r="FT106" s="22">
        <f t="shared" si="78"/>
        <v>0.97841499912459229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5.6843418860808015E-14</v>
      </c>
      <c r="GA106" s="17">
        <f>FZ106*VLOOKUP('Données projet'!$B$17,Paramètres!$A$1:$I$89,3,0)*VLOOKUP('Données projet'!$B$17,Paramètres!$A$1:$I$89,5,0)</f>
        <v>3.3992364478763198E-14</v>
      </c>
      <c r="GB106" s="13">
        <f t="shared" si="103"/>
        <v>5.790027782444094E-13</v>
      </c>
      <c r="GC106" s="20">
        <f t="shared" si="79"/>
        <v>1.0676332069095257E-12</v>
      </c>
      <c r="GD106" s="59">
        <f t="shared" si="80"/>
        <v>293.33333333333439</v>
      </c>
      <c r="GE106" s="59">
        <f ca="1">AVERAGE(OFFSET($GD$3,0,0,'Données projet'!$E$17+1,1))-AVERAGE(OFFSET($H$3,0,0,'Données projet'!$E$17+1,1))</f>
        <v>165.39579887388538</v>
      </c>
      <c r="GF106" s="59">
        <f t="shared" si="104"/>
        <v>155.89639262545802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>
        <f>EXP(-LN(2)/35)*GL105+(1-EXP(-LN(2)/35))/(LN(2)/35)*GH106*GI106*VLOOKUP('Données projet'!$B$17,Paramètres!$A$1:$I$89,3,0)*0.475*44/12</f>
        <v>0</v>
      </c>
      <c r="GM106" s="21">
        <f>EXP(-LN(2)/25)*GM105+(1-EXP(-LN(2)/25))/(LN(2)/25)*Calculateur!GH106*Calculateur!GJ106*VLOOKUP('Données projet'!$B$17,Paramètres!$A$1:$I$89,3,0)*0.475*44/12</f>
        <v>0.96310795444446606</v>
      </c>
      <c r="GN106" s="21">
        <f>EXP(-LN(2)/2)*GN105+(1-EXP(-LN(2)/2))/(LN(2)/2)*GH106*GK106*VLOOKUP('Données projet'!$B$17,Paramètres!$A$1:$I$89,3,0)*0.475*44/12</f>
        <v>1.4282220787713086E-10</v>
      </c>
      <c r="GO106" s="21">
        <f t="shared" si="81"/>
        <v>0.96310795458728826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3.4106051316484809E-13</v>
      </c>
      <c r="O107" s="13">
        <f>N107*VLOOKUP('Données projet'!$B$9,Paramètres!$A$1:$I$89,3,0)*VLOOKUP('Données projet'!$B$9,Paramètres!$A$1:$I$89,5,0)</f>
        <v>1.9065282685915009E-13</v>
      </c>
      <c r="P107" s="13">
        <f t="shared" si="87"/>
        <v>2.6568987209435707E-12</v>
      </c>
      <c r="Q107" s="20">
        <f t="shared" si="107"/>
        <v>4.959485612423072E-12</v>
      </c>
      <c r="R107" s="59">
        <f t="shared" si="55"/>
        <v>293.33333333333826</v>
      </c>
      <c r="S107" s="59">
        <f ca="1">AVERAGE(OFFSET($R$3,0,0,'Données projet'!$E$9+1,1))-AVERAGE(OFFSET($H$3,0,0,'Données projet'!$E$9+1,1))</f>
        <v>235.10258076192054</v>
      </c>
      <c r="T107" s="59">
        <f t="shared" si="88"/>
        <v>233.47316052603765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0.79125910501102348</v>
      </c>
      <c r="AA107" s="21">
        <f>EXP(-LN(2)/25)*AA106+(1-EXP(-LN(2)/25))/(LN(2)/25)*Calculateur!V107*Calculateur!X107*VLOOKUP('Données projet'!$B$9,Paramètres!$A$1:$I$89,3,0)*0.475*44/12</f>
        <v>2.3691449750304612</v>
      </c>
      <c r="AB107" s="21">
        <f>EXP(-LN(2)/2)*AB106+(1-EXP(-LN(2)/2))/(LN(2)/2)*V107*Y107*VLOOKUP('Données projet'!$B$9,Paramètres!$A$1:$I$89,3,0)*0.475*44/12</f>
        <v>1.7551124418000031E-10</v>
      </c>
      <c r="AC107" s="22">
        <f t="shared" si="57"/>
        <v>3.1604040802169959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-8.5265128291212022E-14</v>
      </c>
      <c r="AJ107" s="13">
        <f>AI107*VLOOKUP('Données projet'!$B$10,Paramètres!$A$1:$I$89,3,0)*VLOOKUP('Données projet'!$B$10,Paramètres!$A$1:$I$89,5,0)</f>
        <v>-7.4487616075202836E-14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191.94797389630673</v>
      </c>
      <c r="AO107" s="59">
        <f t="shared" si="90"/>
        <v>273.52540822767878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0.59464320619010314</v>
      </c>
      <c r="AV107" s="21">
        <f>EXP(-LN(2)/25)*AV106+(1-EXP(-LN(2)/25))/(LN(2)/25)*Calculateur!AQ107*Calculateur!AS107*VLOOKUP('Données projet'!$B$10,Paramètres!$A$1:$I$89,3,0)*0.475*44/12</f>
        <v>1.8053872914730849</v>
      </c>
      <c r="AW107" s="21">
        <f>EXP(-LN(2)/2)*AW106+(1-EXP(-LN(2)/2))/(LN(2)/2)*AQ107*AT107*VLOOKUP('Données projet'!$B$10,Paramètres!$A$1:$I$89,3,0)*0.475*44/12</f>
        <v>1.688245023227455E-10</v>
      </c>
      <c r="AX107" s="21">
        <f t="shared" si="60"/>
        <v>2.4000304978320126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3.1</v>
      </c>
      <c r="BD107" s="12">
        <f>IF('Données projet'!$A$88&gt;35,BD106+BC107-BL106,IF(A107&lt;'Données projet'!$A$88,$BA$205^A107,IF(A107='Données projet'!$A$88,'Données projet'!$B$88,BD106+BC107-BL106)))</f>
        <v>214.39999999999995</v>
      </c>
      <c r="BE107" s="13">
        <f>BD107*VLOOKUP('Données projet'!$B$11,Paramètres!$A$1:$I$89,3,0)*VLOOKUP('Données projet'!$B$11,Paramètres!$A$1:$I$89,5,0)</f>
        <v>193.98911999999996</v>
      </c>
      <c r="BF107" s="13">
        <f t="shared" si="91"/>
        <v>48.420821305775434</v>
      </c>
      <c r="BG107" s="20">
        <f t="shared" si="61"/>
        <v>422.19731444089211</v>
      </c>
      <c r="BH107" s="59">
        <f t="shared" si="62"/>
        <v>715.53064777422537</v>
      </c>
      <c r="BI107" s="59">
        <f ca="1">AVERAGE(OFFSET($BH$3,0,0,'Données projet'!$E$11+1,1))-AVERAGE(OFFSET($H$3,0,0,'Données projet'!$E$11+1,1))</f>
        <v>138.8931001150624</v>
      </c>
      <c r="BJ107" s="59">
        <f t="shared" si="92"/>
        <v>48.964659354096625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3.1</v>
      </c>
      <c r="BY107" s="12">
        <f>IF('Données projet'!$A$114&gt;35,BY106+BX107-CG106,IF(A107&lt;'Données projet'!$A$114,$BV$205^A107,IF(A107='Données projet'!$A$114,'Données projet'!$B$114,BY106+BX107-CG106)))</f>
        <v>214.39999999999995</v>
      </c>
      <c r="BZ107" s="13">
        <f>BY107*VLOOKUP('Données projet'!$B$12,Paramètres!$A$1:$I$89,3,0)*VLOOKUP('Données projet'!$B$12,Paramètres!$A$1:$I$89,5,0)</f>
        <v>217.40159999999997</v>
      </c>
      <c r="CA107" s="13">
        <f t="shared" si="93"/>
        <v>53.549746395925119</v>
      </c>
      <c r="CB107" s="20">
        <f t="shared" si="64"/>
        <v>471.90692830623624</v>
      </c>
      <c r="CC107" s="59">
        <f t="shared" si="65"/>
        <v>765.24026163956955</v>
      </c>
      <c r="CD107" s="59">
        <f ca="1">AVERAGE(OFFSET($CC$3,0,0,'Données projet'!$E$12+1,1))-AVERAGE(OFFSET($H$3,0,0,'Données projet'!$E$12+1,1))</f>
        <v>169.2757878405003</v>
      </c>
      <c r="CE107" s="59">
        <f t="shared" si="94"/>
        <v>61.876502626609977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-8.5265128291212022E-14</v>
      </c>
      <c r="CU107" s="17">
        <f>CT107*VLOOKUP('Données projet'!$B$13,Paramètres!$A$1:$I$89,3,0)*VLOOKUP('Données projet'!$B$13,Paramètres!$A$1:$I$89,5,0)</f>
        <v>-6.7836936068488286E-14</v>
      </c>
      <c r="CV107" s="13" t="e">
        <f t="shared" si="95"/>
        <v>#NUM!</v>
      </c>
      <c r="CW107" s="20" t="e">
        <f t="shared" si="67"/>
        <v>#NUM!</v>
      </c>
      <c r="CX107" s="59" t="e">
        <f t="shared" si="68"/>
        <v>#NUM!</v>
      </c>
      <c r="CY107" s="59">
        <f ca="1">AVERAGE(OFFSET($CX$3,0,0,'Données projet'!$E$13+1,1))-AVERAGE(OFFSET($H$3,0,0,'Données projet'!$E$13+1,1))</f>
        <v>141.12810728817544</v>
      </c>
      <c r="CZ107" s="59">
        <f t="shared" si="96"/>
        <v>176.01405805137551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>
        <f>EXP(-LN(2)/35)*DF106+(1-EXP(-LN(2)/35))/(LN(2)/35)*DB107*DC107*VLOOKUP('Données projet'!$B$13,Paramètres!$A$1:$I$89,3,0)*0.475*44/12</f>
        <v>0</v>
      </c>
      <c r="DG107" s="21">
        <f>EXP(-LN(2)/25)*DG106+(1-EXP(-LN(2)/25))/(LN(2)/25)*Calculateur!DB107*Calculateur!DD107*VLOOKUP('Données projet'!$B$13,Paramètres!$A$1:$I$89,3,0)*0.475*44/12</f>
        <v>0.86394651691158009</v>
      </c>
      <c r="DH107" s="21">
        <f>EXP(-LN(2)/2)*DH106+(1-EXP(-LN(2)/2))/(LN(2)/2)*DB107*DE107*VLOOKUP('Données projet'!$B$13,Paramètres!$A$1:$I$89,3,0)*0.475*44/12</f>
        <v>5.8245437236335196E-11</v>
      </c>
      <c r="DI107" s="22">
        <f t="shared" si="69"/>
        <v>0.8639465169698255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5.6843418860808015E-14</v>
      </c>
      <c r="DP107" s="17">
        <f>DO107*VLOOKUP('Données projet'!$B$14,Paramètres!$A$1:$I$89,3,0)*VLOOKUP('Données projet'!$B$14,Paramètres!$A$1:$I$89,5,0)</f>
        <v>3.3992364478763198E-14</v>
      </c>
      <c r="DQ107" s="13">
        <f t="shared" si="97"/>
        <v>5.790027782444094E-13</v>
      </c>
      <c r="DR107" s="20">
        <f t="shared" si="70"/>
        <v>1.0676332069095257E-12</v>
      </c>
      <c r="DS107" s="59">
        <f t="shared" si="71"/>
        <v>293.33333333333439</v>
      </c>
      <c r="DT107" s="59">
        <f ca="1">AVERAGE(OFFSET($DS$3,0,0,'Données projet'!$E$14+1,1))-AVERAGE(OFFSET($H$3,0,0,'Données projet'!$E$14+1,1))</f>
        <v>165.39579887388538</v>
      </c>
      <c r="DU107" s="59">
        <f t="shared" si="98"/>
        <v>155.89639262545802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>
        <f>EXP(-LN(2)/35)*EA106+(1-EXP(-LN(2)/35))/(LN(2)/35)*DW107*DX107*VLOOKUP('Données projet'!$B$14,Paramètres!$A$1:$I$89,3,0)*0.475*44/12</f>
        <v>0</v>
      </c>
      <c r="EB107" s="21">
        <f>EXP(-LN(2)/25)*EB106+(1-EXP(-LN(2)/25))/(LN(2)/25)*Calculateur!DW107*Calculateur!DY107*VLOOKUP('Données projet'!$B$14,Paramètres!$A$1:$I$89,3,0)*0.475*44/12</f>
        <v>0.93677171678253601</v>
      </c>
      <c r="EC107" s="21">
        <f>EXP(-LN(2)/2)*EC106+(1-EXP(-LN(2)/2))/(LN(2)/2)*DW107*DZ107*VLOOKUP('Données projet'!$B$14,Paramètres!$A$1:$I$89,3,0)*0.475*44/12</f>
        <v>1.0099055169395398E-10</v>
      </c>
      <c r="ED107" s="22">
        <f t="shared" si="72"/>
        <v>0.93677171688352656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3.1</v>
      </c>
      <c r="EJ107" s="12">
        <f>IF('Données projet'!$A$192&gt;35,EJ106+EI107-ER106,IF(A107&lt;'Données projet'!$A$192,$EG$205^A107,IF(A107='Données projet'!$A$192,'Données projet'!$B$192,EJ106+EI107-ER106)))</f>
        <v>214.39999999999995</v>
      </c>
      <c r="EK107" s="17">
        <f>EJ107*VLOOKUP('Données projet'!$B$15,Paramètres!$A$1:$I$89,3,0)*VLOOKUP('Données projet'!$B$15,Paramètres!$A$1:$I$89,5,0)</f>
        <v>167.23199999999997</v>
      </c>
      <c r="EL107" s="13">
        <f t="shared" si="99"/>
        <v>42.469492598516922</v>
      </c>
      <c r="EM107" s="20">
        <f t="shared" si="73"/>
        <v>365.23009960908354</v>
      </c>
      <c r="EN107" s="59">
        <f t="shared" si="74"/>
        <v>658.56343294241685</v>
      </c>
      <c r="EO107" s="59">
        <f ca="1">AVERAGE(OFFSET($EN$3,0,0,'Données projet'!$E$15+1,1))-AVERAGE(OFFSET($H$3,0,0,'Données projet'!$E$15+1,1))</f>
        <v>104.07220236158577</v>
      </c>
      <c r="EP107" s="59">
        <f t="shared" si="100"/>
        <v>34.162068257911756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>
        <f>EXP(-LN(2)/35)*EV106+(1-EXP(-LN(2)/35))/(LN(2)/35)*ER107*ES107*VLOOKUP('Données projet'!$B$15,Paramètres!$A$1:$I$89,3,0)*0.475*44/12</f>
        <v>0</v>
      </c>
      <c r="EW107" s="21">
        <f>EXP(-LN(2)/25)*EW106+(1-EXP(-LN(2)/25))/(LN(2)/25)*Calculateur!ER107*Calculateur!ET107*VLOOKUP('Données projet'!$B$15,Paramètres!$A$1:$I$89,3,0)*0.475*44/12</f>
        <v>0</v>
      </c>
      <c r="EX107" s="21">
        <f>EXP(-LN(2)/2)*EX106+(1-EXP(-LN(2)/2))/(LN(2)/2)*ER107*EU107*VLOOKUP('Données projet'!$B$15,Paramètres!$A$1:$I$89,3,0)*0.475*44/12</f>
        <v>0</v>
      </c>
      <c r="EY107" s="22">
        <f t="shared" si="75"/>
        <v>0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5.6843418860808015E-14</v>
      </c>
      <c r="FF107" s="17">
        <f>FE107*VLOOKUP('Données projet'!$B$16,Paramètres!$A$1:$I$89,3,0)*VLOOKUP('Données projet'!$B$16,Paramètres!$A$1:$I$89,5,0)</f>
        <v>5.1431925385259088E-14</v>
      </c>
      <c r="FG107" s="13">
        <f t="shared" si="101"/>
        <v>8.3482866290946129E-13</v>
      </c>
      <c r="FH107" s="20">
        <f t="shared" si="76"/>
        <v>1.5435705246133045E-12</v>
      </c>
      <c r="FI107" s="59">
        <f t="shared" si="77"/>
        <v>293.33333333333485</v>
      </c>
      <c r="FJ107" s="59">
        <f ca="1">AVERAGE(OFFSET($FI$3,0,0,'Données projet'!$E$16+1,1))-AVERAGE(OFFSET($H$3,0,0,'Données projet'!$E$16+1,1))</f>
        <v>179.50097986986123</v>
      </c>
      <c r="FK107" s="59">
        <f t="shared" si="102"/>
        <v>287.11838730637578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>
        <f>EXP(-LN(2)/35)*FQ106+(1-EXP(-LN(2)/35))/(LN(2)/35)*FM107*FN107*VLOOKUP('Données projet'!$B$16,Paramètres!$A$1:$I$89,3,0)*0.475*44/12</f>
        <v>0.1439747014767771</v>
      </c>
      <c r="FR107" s="21">
        <f>EXP(-LN(2)/25)*FR106+(1-EXP(-LN(2)/25))/(LN(2)/25)*Calculateur!FM107*Calculateur!FO107*VLOOKUP('Données projet'!$B$16,Paramètres!$A$1:$I$89,3,0)*0.475*44/12</f>
        <v>0.80882150428855759</v>
      </c>
      <c r="FS107" s="21">
        <f>EXP(-LN(2)/2)*FS106+(1-EXP(-LN(2)/2))/(LN(2)/2)*FM107*FP107*VLOOKUP('Données projet'!$B$16,Paramètres!$A$1:$I$89,3,0)*0.475*44/12</f>
        <v>3.2893120264092656E-11</v>
      </c>
      <c r="FT107" s="22">
        <f t="shared" si="78"/>
        <v>0.95279620579822788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5.6843418860808015E-14</v>
      </c>
      <c r="GA107" s="17">
        <f>FZ107*VLOOKUP('Données projet'!$B$17,Paramètres!$A$1:$I$89,3,0)*VLOOKUP('Données projet'!$B$17,Paramètres!$A$1:$I$89,5,0)</f>
        <v>3.3992364478763198E-14</v>
      </c>
      <c r="GB107" s="13">
        <f t="shared" si="103"/>
        <v>5.790027782444094E-13</v>
      </c>
      <c r="GC107" s="20">
        <f t="shared" si="79"/>
        <v>1.0676332069095257E-12</v>
      </c>
      <c r="GD107" s="59">
        <f t="shared" si="80"/>
        <v>293.33333333333439</v>
      </c>
      <c r="GE107" s="59">
        <f ca="1">AVERAGE(OFFSET($GD$3,0,0,'Données projet'!$E$17+1,1))-AVERAGE(OFFSET($H$3,0,0,'Données projet'!$E$17+1,1))</f>
        <v>165.39579887388538</v>
      </c>
      <c r="GF107" s="59">
        <f t="shared" si="104"/>
        <v>155.89639262545802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>
        <f>EXP(-LN(2)/35)*GL106+(1-EXP(-LN(2)/35))/(LN(2)/35)*GH107*GI107*VLOOKUP('Données projet'!$B$17,Paramètres!$A$1:$I$89,3,0)*0.475*44/12</f>
        <v>0</v>
      </c>
      <c r="GM107" s="21">
        <f>EXP(-LN(2)/25)*GM106+(1-EXP(-LN(2)/25))/(LN(2)/25)*Calculateur!GH107*Calculateur!GJ107*VLOOKUP('Données projet'!$B$17,Paramètres!$A$1:$I$89,3,0)*0.475*44/12</f>
        <v>0.93677171678253601</v>
      </c>
      <c r="GN107" s="21">
        <f>EXP(-LN(2)/2)*GN106+(1-EXP(-LN(2)/2))/(LN(2)/2)*GH107*GK107*VLOOKUP('Données projet'!$B$17,Paramètres!$A$1:$I$89,3,0)*0.475*44/12</f>
        <v>1.0099055169395398E-10</v>
      </c>
      <c r="GO107" s="21">
        <f t="shared" si="81"/>
        <v>0.93677171688352656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3.4106051316484809E-13</v>
      </c>
      <c r="O108" s="13">
        <f>N108*VLOOKUP('Données projet'!$B$9,Paramètres!$A$1:$I$89,3,0)*VLOOKUP('Données projet'!$B$9,Paramètres!$A$1:$I$89,5,0)</f>
        <v>1.9065282685915009E-13</v>
      </c>
      <c r="P108" s="13">
        <f t="shared" si="87"/>
        <v>2.6568987209435707E-12</v>
      </c>
      <c r="Q108" s="20">
        <f t="shared" si="107"/>
        <v>4.959485612423072E-12</v>
      </c>
      <c r="R108" s="59">
        <f t="shared" si="55"/>
        <v>293.33333333333826</v>
      </c>
      <c r="S108" s="59">
        <f ca="1">AVERAGE(OFFSET($R$3,0,0,'Données projet'!$E$9+1,1))-AVERAGE(OFFSET($H$3,0,0,'Données projet'!$E$9+1,1))</f>
        <v>235.10258076192054</v>
      </c>
      <c r="T108" s="59">
        <f t="shared" si="88"/>
        <v>233.47316052603765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0.77574299658215651</v>
      </c>
      <c r="AA108" s="21">
        <f>EXP(-LN(2)/25)*AA107+(1-EXP(-LN(2)/25))/(LN(2)/25)*Calculateur!V108*Calculateur!X108*VLOOKUP('Données projet'!$B$9,Paramètres!$A$1:$I$89,3,0)*0.475*44/12</f>
        <v>2.3043605811003336</v>
      </c>
      <c r="AB108" s="21">
        <f>EXP(-LN(2)/2)*AB107+(1-EXP(-LN(2)/2))/(LN(2)/2)*V108*Y108*VLOOKUP('Données projet'!$B$9,Paramètres!$A$1:$I$89,3,0)*0.475*44/12</f>
        <v>1.2410519093416619E-10</v>
      </c>
      <c r="AC108" s="22">
        <f t="shared" si="57"/>
        <v>3.0801035778065953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-8.5265128291212022E-14</v>
      </c>
      <c r="AJ108" s="13">
        <f>AI108*VLOOKUP('Données projet'!$B$10,Paramètres!$A$1:$I$89,3,0)*VLOOKUP('Données projet'!$B$10,Paramètres!$A$1:$I$89,5,0)</f>
        <v>-7.4487616075202836E-14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191.94797389630673</v>
      </c>
      <c r="AO108" s="59">
        <f t="shared" si="90"/>
        <v>273.52540822767878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0.5829826156132577</v>
      </c>
      <c r="AV108" s="21">
        <f>EXP(-LN(2)/25)*AV107+(1-EXP(-LN(2)/25))/(LN(2)/25)*Calculateur!AQ108*Calculateur!AS108*VLOOKUP('Données projet'!$B$10,Paramètres!$A$1:$I$89,3,0)*0.475*44/12</f>
        <v>1.756018881046562</v>
      </c>
      <c r="AW108" s="21">
        <f>EXP(-LN(2)/2)*AW107+(1-EXP(-LN(2)/2))/(LN(2)/2)*AQ108*AT108*VLOOKUP('Données projet'!$B$10,Paramètres!$A$1:$I$89,3,0)*0.475*44/12</f>
        <v>1.1937695042285738E-10</v>
      </c>
      <c r="AX108" s="21">
        <f t="shared" si="60"/>
        <v>2.3390014967791966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3.1</v>
      </c>
      <c r="BD108" s="12">
        <f>IF('Données projet'!$A$88&gt;35,BD107+BC108-BL107,IF(A108&lt;'Données projet'!$A$88,$BA$205^A108,IF(A108='Données projet'!$A$88,'Données projet'!$B$88,BD107+BC108-BL107)))</f>
        <v>217.49999999999994</v>
      </c>
      <c r="BE108" s="13">
        <f>BD108*VLOOKUP('Données projet'!$B$11,Paramètres!$A$1:$I$89,3,0)*VLOOKUP('Données projet'!$B$11,Paramètres!$A$1:$I$89,5,0)</f>
        <v>196.79399999999995</v>
      </c>
      <c r="BF108" s="13">
        <f t="shared" si="91"/>
        <v>49.038924669809596</v>
      </c>
      <c r="BG108" s="20">
        <f t="shared" si="61"/>
        <v>428.15901046658496</v>
      </c>
      <c r="BH108" s="59">
        <f t="shared" si="62"/>
        <v>721.49234379991822</v>
      </c>
      <c r="BI108" s="59">
        <f ca="1">AVERAGE(OFFSET($BH$3,0,0,'Données projet'!$E$11+1,1))-AVERAGE(OFFSET($H$3,0,0,'Données projet'!$E$11+1,1))</f>
        <v>138.8931001150624</v>
      </c>
      <c r="BJ108" s="59">
        <f t="shared" si="92"/>
        <v>48.964659354096625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3.1</v>
      </c>
      <c r="BY108" s="12">
        <f>IF('Données projet'!$A$114&gt;35,BY107+BX108-CG107,IF(A108&lt;'Données projet'!$A$114,$BV$205^A108,IF(A108='Données projet'!$A$114,'Données projet'!$B$114,BY107+BX108-CG107)))</f>
        <v>217.49999999999994</v>
      </c>
      <c r="BZ108" s="13">
        <f>BY108*VLOOKUP('Données projet'!$B$12,Paramètres!$A$1:$I$89,3,0)*VLOOKUP('Données projet'!$B$12,Paramètres!$A$1:$I$89,5,0)</f>
        <v>220.54499999999996</v>
      </c>
      <c r="CA108" s="13">
        <f t="shared" si="93"/>
        <v>54.233321715341468</v>
      </c>
      <c r="CB108" s="20">
        <f t="shared" si="64"/>
        <v>478.57224365421962</v>
      </c>
      <c r="CC108" s="59">
        <f t="shared" si="65"/>
        <v>771.90557698755288</v>
      </c>
      <c r="CD108" s="59">
        <f ca="1">AVERAGE(OFFSET($CC$3,0,0,'Données projet'!$E$12+1,1))-AVERAGE(OFFSET($H$3,0,0,'Données projet'!$E$12+1,1))</f>
        <v>169.2757878405003</v>
      </c>
      <c r="CE108" s="59">
        <f t="shared" si="94"/>
        <v>61.876502626609977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-8.5265128291212022E-14</v>
      </c>
      <c r="CU108" s="17">
        <f>CT108*VLOOKUP('Données projet'!$B$13,Paramètres!$A$1:$I$89,3,0)*VLOOKUP('Données projet'!$B$13,Paramètres!$A$1:$I$89,5,0)</f>
        <v>-6.7836936068488286E-14</v>
      </c>
      <c r="CV108" s="13" t="e">
        <f t="shared" si="95"/>
        <v>#NUM!</v>
      </c>
      <c r="CW108" s="20" t="e">
        <f t="shared" si="67"/>
        <v>#NUM!</v>
      </c>
      <c r="CX108" s="59" t="e">
        <f t="shared" si="68"/>
        <v>#NUM!</v>
      </c>
      <c r="CY108" s="59">
        <f ca="1">AVERAGE(OFFSET($CX$3,0,0,'Données projet'!$E$13+1,1))-AVERAGE(OFFSET($H$3,0,0,'Données projet'!$E$13+1,1))</f>
        <v>141.12810728817544</v>
      </c>
      <c r="CZ108" s="59">
        <f t="shared" si="96"/>
        <v>176.01405805137551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>
        <f>EXP(-LN(2)/35)*DF107+(1-EXP(-LN(2)/35))/(LN(2)/35)*DB108*DC108*VLOOKUP('Données projet'!$B$13,Paramètres!$A$1:$I$89,3,0)*0.475*44/12</f>
        <v>0</v>
      </c>
      <c r="DG108" s="21">
        <f>EXP(-LN(2)/25)*DG107+(1-EXP(-LN(2)/25))/(LN(2)/25)*Calculateur!DB108*Calculateur!DD108*VLOOKUP('Données projet'!$B$13,Paramètres!$A$1:$I$89,3,0)*0.475*44/12</f>
        <v>0.84032185397366022</v>
      </c>
      <c r="DH108" s="21">
        <f>EXP(-LN(2)/2)*DH107+(1-EXP(-LN(2)/2))/(LN(2)/2)*DB108*DE108*VLOOKUP('Données projet'!$B$13,Paramètres!$A$1:$I$89,3,0)*0.475*44/12</f>
        <v>4.118574364298806E-11</v>
      </c>
      <c r="DI108" s="22">
        <f t="shared" si="69"/>
        <v>0.84032185401484594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5.6843418860808015E-14</v>
      </c>
      <c r="DP108" s="17">
        <f>DO108*VLOOKUP('Données projet'!$B$14,Paramètres!$A$1:$I$89,3,0)*VLOOKUP('Données projet'!$B$14,Paramètres!$A$1:$I$89,5,0)</f>
        <v>3.3992364478763198E-14</v>
      </c>
      <c r="DQ108" s="13">
        <f t="shared" si="97"/>
        <v>5.790027782444094E-13</v>
      </c>
      <c r="DR108" s="20">
        <f t="shared" si="70"/>
        <v>1.0676332069095257E-12</v>
      </c>
      <c r="DS108" s="59">
        <f t="shared" si="71"/>
        <v>293.33333333333439</v>
      </c>
      <c r="DT108" s="59">
        <f ca="1">AVERAGE(OFFSET($DS$3,0,0,'Données projet'!$E$14+1,1))-AVERAGE(OFFSET($H$3,0,0,'Données projet'!$E$14+1,1))</f>
        <v>165.39579887388538</v>
      </c>
      <c r="DU108" s="59">
        <f t="shared" si="98"/>
        <v>155.89639262545802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>
        <f>EXP(-LN(2)/35)*EA107+(1-EXP(-LN(2)/35))/(LN(2)/35)*DW108*DX108*VLOOKUP('Données projet'!$B$14,Paramètres!$A$1:$I$89,3,0)*0.475*44/12</f>
        <v>0</v>
      </c>
      <c r="EB108" s="21">
        <f>EXP(-LN(2)/25)*EB107+(1-EXP(-LN(2)/25))/(LN(2)/25)*Calculateur!DW108*Calculateur!DY108*VLOOKUP('Données projet'!$B$14,Paramètres!$A$1:$I$89,3,0)*0.475*44/12</f>
        <v>0.91115564492443402</v>
      </c>
      <c r="EC108" s="21">
        <f>EXP(-LN(2)/2)*EC107+(1-EXP(-LN(2)/2))/(LN(2)/2)*DW108*DZ108*VLOOKUP('Données projet'!$B$14,Paramètres!$A$1:$I$89,3,0)*0.475*44/12</f>
        <v>7.1411103938565431E-11</v>
      </c>
      <c r="ED108" s="22">
        <f t="shared" si="72"/>
        <v>0.91115564499584512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3.1</v>
      </c>
      <c r="EJ108" s="12">
        <f>IF('Données projet'!$A$192&gt;35,EJ107+EI108-ER107,IF(A108&lt;'Données projet'!$A$192,$EG$205^A108,IF(A108='Données projet'!$A$192,'Données projet'!$B$192,EJ107+EI108-ER107)))</f>
        <v>217.49999999999994</v>
      </c>
      <c r="EK108" s="17">
        <f>EJ108*VLOOKUP('Données projet'!$B$15,Paramètres!$A$1:$I$89,3,0)*VLOOKUP('Données projet'!$B$15,Paramètres!$A$1:$I$89,5,0)</f>
        <v>169.64999999999995</v>
      </c>
      <c r="EL108" s="13">
        <f t="shared" si="99"/>
        <v>43.011625828314827</v>
      </c>
      <c r="EM108" s="20">
        <f t="shared" si="73"/>
        <v>370.38566498431487</v>
      </c>
      <c r="EN108" s="59">
        <f t="shared" si="74"/>
        <v>663.71899831764813</v>
      </c>
      <c r="EO108" s="59">
        <f ca="1">AVERAGE(OFFSET($EN$3,0,0,'Données projet'!$E$15+1,1))-AVERAGE(OFFSET($H$3,0,0,'Données projet'!$E$15+1,1))</f>
        <v>104.07220236158577</v>
      </c>
      <c r="EP108" s="59">
        <f t="shared" si="100"/>
        <v>34.162068257911756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>
        <f>EXP(-LN(2)/35)*EV107+(1-EXP(-LN(2)/35))/(LN(2)/35)*ER108*ES108*VLOOKUP('Données projet'!$B$15,Paramètres!$A$1:$I$89,3,0)*0.475*44/12</f>
        <v>0</v>
      </c>
      <c r="EW108" s="21">
        <f>EXP(-LN(2)/25)*EW107+(1-EXP(-LN(2)/25))/(LN(2)/25)*Calculateur!ER108*Calculateur!ET108*VLOOKUP('Données projet'!$B$15,Paramètres!$A$1:$I$89,3,0)*0.475*44/12</f>
        <v>0</v>
      </c>
      <c r="EX108" s="21">
        <f>EXP(-LN(2)/2)*EX107+(1-EXP(-LN(2)/2))/(LN(2)/2)*ER108*EU108*VLOOKUP('Données projet'!$B$15,Paramètres!$A$1:$I$89,3,0)*0.475*44/12</f>
        <v>0</v>
      </c>
      <c r="EY108" s="22">
        <f t="shared" si="75"/>
        <v>0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5.6843418860808015E-14</v>
      </c>
      <c r="FF108" s="17">
        <f>FE108*VLOOKUP('Données projet'!$B$16,Paramètres!$A$1:$I$89,3,0)*VLOOKUP('Données projet'!$B$16,Paramètres!$A$1:$I$89,5,0)</f>
        <v>5.1431925385259088E-14</v>
      </c>
      <c r="FG108" s="13">
        <f t="shared" si="101"/>
        <v>8.3482866290946129E-13</v>
      </c>
      <c r="FH108" s="20">
        <f t="shared" si="76"/>
        <v>1.5435705246133045E-12</v>
      </c>
      <c r="FI108" s="59">
        <f t="shared" si="77"/>
        <v>293.33333333333485</v>
      </c>
      <c r="FJ108" s="59">
        <f ca="1">AVERAGE(OFFSET($FI$3,0,0,'Données projet'!$E$16+1,1))-AVERAGE(OFFSET($H$3,0,0,'Données projet'!$E$16+1,1))</f>
        <v>179.50097986986123</v>
      </c>
      <c r="FK108" s="59">
        <f t="shared" si="102"/>
        <v>287.11838730637578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>
        <f>EXP(-LN(2)/35)*FQ107+(1-EXP(-LN(2)/35))/(LN(2)/35)*FM108*FN108*VLOOKUP('Données projet'!$B$16,Paramètres!$A$1:$I$89,3,0)*0.475*44/12</f>
        <v>0.14115144539671431</v>
      </c>
      <c r="FR108" s="21">
        <f>EXP(-LN(2)/25)*FR107+(1-EXP(-LN(2)/25))/(LN(2)/25)*Calculateur!FM108*Calculateur!FO108*VLOOKUP('Données projet'!$B$16,Paramètres!$A$1:$I$89,3,0)*0.475*44/12</f>
        <v>0.78670423771971265</v>
      </c>
      <c r="FS108" s="21">
        <f>EXP(-LN(2)/2)*FS107+(1-EXP(-LN(2)/2))/(LN(2)/2)*FM108*FP108*VLOOKUP('Données projet'!$B$16,Paramètres!$A$1:$I$89,3,0)*0.475*44/12</f>
        <v>2.3258948393124558E-11</v>
      </c>
      <c r="FT108" s="22">
        <f t="shared" si="78"/>
        <v>0.92785568313968592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5.6843418860808015E-14</v>
      </c>
      <c r="GA108" s="17">
        <f>FZ108*VLOOKUP('Données projet'!$B$17,Paramètres!$A$1:$I$89,3,0)*VLOOKUP('Données projet'!$B$17,Paramètres!$A$1:$I$89,5,0)</f>
        <v>3.3992364478763198E-14</v>
      </c>
      <c r="GB108" s="13">
        <f t="shared" si="103"/>
        <v>5.790027782444094E-13</v>
      </c>
      <c r="GC108" s="20">
        <f t="shared" si="79"/>
        <v>1.0676332069095257E-12</v>
      </c>
      <c r="GD108" s="59">
        <f t="shared" si="80"/>
        <v>293.33333333333439</v>
      </c>
      <c r="GE108" s="59">
        <f ca="1">AVERAGE(OFFSET($GD$3,0,0,'Données projet'!$E$17+1,1))-AVERAGE(OFFSET($H$3,0,0,'Données projet'!$E$17+1,1))</f>
        <v>165.39579887388538</v>
      </c>
      <c r="GF108" s="59">
        <f t="shared" si="104"/>
        <v>155.89639262545802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>
        <f>EXP(-LN(2)/35)*GL107+(1-EXP(-LN(2)/35))/(LN(2)/35)*GH108*GI108*VLOOKUP('Données projet'!$B$17,Paramètres!$A$1:$I$89,3,0)*0.475*44/12</f>
        <v>0</v>
      </c>
      <c r="GM108" s="21">
        <f>EXP(-LN(2)/25)*GM107+(1-EXP(-LN(2)/25))/(LN(2)/25)*Calculateur!GH108*Calculateur!GJ108*VLOOKUP('Données projet'!$B$17,Paramètres!$A$1:$I$89,3,0)*0.475*44/12</f>
        <v>0.91115564492443402</v>
      </c>
      <c r="GN108" s="21">
        <f>EXP(-LN(2)/2)*GN107+(1-EXP(-LN(2)/2))/(LN(2)/2)*GH108*GK108*VLOOKUP('Données projet'!$B$17,Paramètres!$A$1:$I$89,3,0)*0.475*44/12</f>
        <v>7.1411103938565431E-11</v>
      </c>
      <c r="GO108" s="21">
        <f t="shared" si="81"/>
        <v>0.91115564499584512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3.4106051316484809E-13</v>
      </c>
      <c r="O109" s="13">
        <f>N109*VLOOKUP('Données projet'!$B$9,Paramètres!$A$1:$I$89,3,0)*VLOOKUP('Données projet'!$B$9,Paramètres!$A$1:$I$89,5,0)</f>
        <v>1.9065282685915009E-13</v>
      </c>
      <c r="P109" s="13">
        <f t="shared" si="87"/>
        <v>2.6568987209435707E-12</v>
      </c>
      <c r="Q109" s="20">
        <f t="shared" si="107"/>
        <v>4.959485612423072E-12</v>
      </c>
      <c r="R109" s="59">
        <f t="shared" si="55"/>
        <v>293.33333333333826</v>
      </c>
      <c r="S109" s="59">
        <f ca="1">AVERAGE(OFFSET($R$3,0,0,'Données projet'!$E$9+1,1))-AVERAGE(OFFSET($H$3,0,0,'Données projet'!$E$9+1,1))</f>
        <v>235.10258076192054</v>
      </c>
      <c r="T109" s="59">
        <f t="shared" si="88"/>
        <v>233.47316052603765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0.76053114957568801</v>
      </c>
      <c r="AA109" s="21">
        <f>EXP(-LN(2)/25)*AA108+(1-EXP(-LN(2)/25))/(LN(2)/25)*Calculateur!V109*Calculateur!X109*VLOOKUP('Données projet'!$B$9,Paramètres!$A$1:$I$89,3,0)*0.475*44/12</f>
        <v>2.2413477198290885</v>
      </c>
      <c r="AB109" s="21">
        <f>EXP(-LN(2)/2)*AB108+(1-EXP(-LN(2)/2))/(LN(2)/2)*V109*Y109*VLOOKUP('Données projet'!$B$9,Paramètres!$A$1:$I$89,3,0)*0.475*44/12</f>
        <v>8.7755622090000154E-11</v>
      </c>
      <c r="AC109" s="22">
        <f t="shared" si="57"/>
        <v>3.0018788694925322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-8.5265128291212022E-14</v>
      </c>
      <c r="AJ109" s="13">
        <f>AI109*VLOOKUP('Données projet'!$B$10,Paramètres!$A$1:$I$89,3,0)*VLOOKUP('Données projet'!$B$10,Paramètres!$A$1:$I$89,5,0)</f>
        <v>-7.4487616075202836E-14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191.94797389630673</v>
      </c>
      <c r="AO109" s="59">
        <f t="shared" si="90"/>
        <v>273.52540822767878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0.57155068210536619</v>
      </c>
      <c r="AV109" s="21">
        <f>EXP(-LN(2)/25)*AV108+(1-EXP(-LN(2)/25))/(LN(2)/25)*Calculateur!AQ109*Calculateur!AS109*VLOOKUP('Données projet'!$B$10,Paramètres!$A$1:$I$89,3,0)*0.475*44/12</f>
        <v>1.7080004523993242</v>
      </c>
      <c r="AW109" s="21">
        <f>EXP(-LN(2)/2)*AW108+(1-EXP(-LN(2)/2))/(LN(2)/2)*AQ109*AT109*VLOOKUP('Données projet'!$B$10,Paramètres!$A$1:$I$89,3,0)*0.475*44/12</f>
        <v>8.4412251161372749E-11</v>
      </c>
      <c r="AX109" s="21">
        <f t="shared" si="60"/>
        <v>2.2795511345891026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3.1</v>
      </c>
      <c r="BD109" s="12">
        <f>IF('Données projet'!$A$88&gt;35,BD108+BC109-BL108,IF(A109&lt;'Données projet'!$A$88,$BA$205^A109,IF(A109='Données projet'!$A$88,'Données projet'!$B$88,BD108+BC109-BL108)))</f>
        <v>220.59999999999994</v>
      </c>
      <c r="BE109" s="13">
        <f>BD109*VLOOKUP('Données projet'!$B$11,Paramètres!$A$1:$I$89,3,0)*VLOOKUP('Données projet'!$B$11,Paramètres!$A$1:$I$89,5,0)</f>
        <v>199.59887999999992</v>
      </c>
      <c r="BF109" s="13">
        <f t="shared" si="91"/>
        <v>49.656003392528994</v>
      </c>
      <c r="BG109" s="20">
        <f t="shared" si="61"/>
        <v>434.1189219086545</v>
      </c>
      <c r="BH109" s="59">
        <f t="shared" si="62"/>
        <v>727.45225524198781</v>
      </c>
      <c r="BI109" s="59">
        <f ca="1">AVERAGE(OFFSET($BH$3,0,0,'Données projet'!$E$11+1,1))-AVERAGE(OFFSET($H$3,0,0,'Données projet'!$E$11+1,1))</f>
        <v>138.8931001150624</v>
      </c>
      <c r="BJ109" s="59">
        <f t="shared" si="92"/>
        <v>48.964659354096625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3.1</v>
      </c>
      <c r="BY109" s="12">
        <f>IF('Données projet'!$A$114&gt;35,BY108+BX109-CG108,IF(A109&lt;'Données projet'!$A$114,$BV$205^A109,IF(A109='Données projet'!$A$114,'Données projet'!$B$114,BY108+BX109-CG108)))</f>
        <v>220.59999999999994</v>
      </c>
      <c r="BZ109" s="13">
        <f>BY109*VLOOKUP('Données projet'!$B$12,Paramètres!$A$1:$I$89,3,0)*VLOOKUP('Données projet'!$B$12,Paramètres!$A$1:$I$89,5,0)</f>
        <v>223.68839999999994</v>
      </c>
      <c r="CA109" s="13">
        <f t="shared" si="93"/>
        <v>54.915763859378501</v>
      </c>
      <c r="CB109" s="20">
        <f t="shared" si="64"/>
        <v>485.23558538841735</v>
      </c>
      <c r="CC109" s="59">
        <f t="shared" si="65"/>
        <v>778.56891872175061</v>
      </c>
      <c r="CD109" s="59">
        <f ca="1">AVERAGE(OFFSET($CC$3,0,0,'Données projet'!$E$12+1,1))-AVERAGE(OFFSET($H$3,0,0,'Données projet'!$E$12+1,1))</f>
        <v>169.2757878405003</v>
      </c>
      <c r="CE109" s="59">
        <f t="shared" si="94"/>
        <v>61.876502626609977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-8.5265128291212022E-14</v>
      </c>
      <c r="CU109" s="17">
        <f>CT109*VLOOKUP('Données projet'!$B$13,Paramètres!$A$1:$I$89,3,0)*VLOOKUP('Données projet'!$B$13,Paramètres!$A$1:$I$89,5,0)</f>
        <v>-6.7836936068488286E-14</v>
      </c>
      <c r="CV109" s="13" t="e">
        <f t="shared" si="95"/>
        <v>#NUM!</v>
      </c>
      <c r="CW109" s="20" t="e">
        <f t="shared" si="67"/>
        <v>#NUM!</v>
      </c>
      <c r="CX109" s="59" t="e">
        <f t="shared" si="68"/>
        <v>#NUM!</v>
      </c>
      <c r="CY109" s="59">
        <f ca="1">AVERAGE(OFFSET($CX$3,0,0,'Données projet'!$E$13+1,1))-AVERAGE(OFFSET($H$3,0,0,'Données projet'!$E$13+1,1))</f>
        <v>141.12810728817544</v>
      </c>
      <c r="CZ109" s="59">
        <f t="shared" si="96"/>
        <v>176.01405805137551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>
        <f>EXP(-LN(2)/35)*DF108+(1-EXP(-LN(2)/35))/(LN(2)/35)*DB109*DC109*VLOOKUP('Données projet'!$B$13,Paramètres!$A$1:$I$89,3,0)*0.475*44/12</f>
        <v>0</v>
      </c>
      <c r="DG109" s="21">
        <f>EXP(-LN(2)/25)*DG108+(1-EXP(-LN(2)/25))/(LN(2)/25)*Calculateur!DB109*Calculateur!DD109*VLOOKUP('Données projet'!$B$13,Paramètres!$A$1:$I$89,3,0)*0.475*44/12</f>
        <v>0.81734320868614474</v>
      </c>
      <c r="DH109" s="21">
        <f>EXP(-LN(2)/2)*DH108+(1-EXP(-LN(2)/2))/(LN(2)/2)*DB109*DE109*VLOOKUP('Données projet'!$B$13,Paramètres!$A$1:$I$89,3,0)*0.475*44/12</f>
        <v>2.9122718618167598E-11</v>
      </c>
      <c r="DI109" s="22">
        <f t="shared" si="69"/>
        <v>0.81734320871526744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5.6843418860808015E-14</v>
      </c>
      <c r="DP109" s="17">
        <f>DO109*VLOOKUP('Données projet'!$B$14,Paramètres!$A$1:$I$89,3,0)*VLOOKUP('Données projet'!$B$14,Paramètres!$A$1:$I$89,5,0)</f>
        <v>3.3992364478763198E-14</v>
      </c>
      <c r="DQ109" s="13">
        <f t="shared" si="97"/>
        <v>5.790027782444094E-13</v>
      </c>
      <c r="DR109" s="20">
        <f t="shared" si="70"/>
        <v>1.0676332069095257E-12</v>
      </c>
      <c r="DS109" s="59">
        <f t="shared" si="71"/>
        <v>293.33333333333439</v>
      </c>
      <c r="DT109" s="59">
        <f ca="1">AVERAGE(OFFSET($DS$3,0,0,'Données projet'!$E$14+1,1))-AVERAGE(OFFSET($H$3,0,0,'Données projet'!$E$14+1,1))</f>
        <v>165.39579887388538</v>
      </c>
      <c r="DU109" s="59">
        <f t="shared" si="98"/>
        <v>155.89639262545802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>
        <f>EXP(-LN(2)/35)*EA108+(1-EXP(-LN(2)/35))/(LN(2)/35)*DW109*DX109*VLOOKUP('Données projet'!$B$14,Paramètres!$A$1:$I$89,3,0)*0.475*44/12</f>
        <v>0</v>
      </c>
      <c r="EB109" s="21">
        <f>EXP(-LN(2)/25)*EB108+(1-EXP(-LN(2)/25))/(LN(2)/25)*Calculateur!DW109*Calculateur!DY109*VLOOKUP('Données projet'!$B$14,Paramètres!$A$1:$I$89,3,0)*0.475*44/12</f>
        <v>0.88624004589838246</v>
      </c>
      <c r="EC109" s="21">
        <f>EXP(-LN(2)/2)*EC108+(1-EXP(-LN(2)/2))/(LN(2)/2)*DW109*DZ109*VLOOKUP('Données projet'!$B$14,Paramètres!$A$1:$I$89,3,0)*0.475*44/12</f>
        <v>5.0495275846976989E-11</v>
      </c>
      <c r="ED109" s="22">
        <f t="shared" si="72"/>
        <v>0.88624004594887773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3.1</v>
      </c>
      <c r="EJ109" s="12">
        <f>IF('Données projet'!$A$192&gt;35,EJ108+EI109-ER108,IF(A109&lt;'Données projet'!$A$192,$EG$205^A109,IF(A109='Données projet'!$A$192,'Données projet'!$B$192,EJ108+EI109-ER108)))</f>
        <v>220.59999999999994</v>
      </c>
      <c r="EK109" s="17">
        <f>EJ109*VLOOKUP('Données projet'!$B$15,Paramètres!$A$1:$I$89,3,0)*VLOOKUP('Données projet'!$B$15,Paramètres!$A$1:$I$89,5,0)</f>
        <v>172.06799999999996</v>
      </c>
      <c r="EL109" s="13">
        <f t="shared" si="99"/>
        <v>43.552860353886778</v>
      </c>
      <c r="EM109" s="20">
        <f t="shared" si="73"/>
        <v>375.53966511635275</v>
      </c>
      <c r="EN109" s="59">
        <f t="shared" si="74"/>
        <v>668.87299844968607</v>
      </c>
      <c r="EO109" s="59">
        <f ca="1">AVERAGE(OFFSET($EN$3,0,0,'Données projet'!$E$15+1,1))-AVERAGE(OFFSET($H$3,0,0,'Données projet'!$E$15+1,1))</f>
        <v>104.07220236158577</v>
      </c>
      <c r="EP109" s="59">
        <f t="shared" si="100"/>
        <v>34.162068257911756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>
        <f>EXP(-LN(2)/35)*EV108+(1-EXP(-LN(2)/35))/(LN(2)/35)*ER109*ES109*VLOOKUP('Données projet'!$B$15,Paramètres!$A$1:$I$89,3,0)*0.475*44/12</f>
        <v>0</v>
      </c>
      <c r="EW109" s="21">
        <f>EXP(-LN(2)/25)*EW108+(1-EXP(-LN(2)/25))/(LN(2)/25)*Calculateur!ER109*Calculateur!ET109*VLOOKUP('Données projet'!$B$15,Paramètres!$A$1:$I$89,3,0)*0.475*44/12</f>
        <v>0</v>
      </c>
      <c r="EX109" s="21">
        <f>EXP(-LN(2)/2)*EX108+(1-EXP(-LN(2)/2))/(LN(2)/2)*ER109*EU109*VLOOKUP('Données projet'!$B$15,Paramètres!$A$1:$I$89,3,0)*0.475*44/12</f>
        <v>0</v>
      </c>
      <c r="EY109" s="22">
        <f t="shared" si="75"/>
        <v>0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5.6843418860808015E-14</v>
      </c>
      <c r="FF109" s="17">
        <f>FE109*VLOOKUP('Données projet'!$B$16,Paramètres!$A$1:$I$89,3,0)*VLOOKUP('Données projet'!$B$16,Paramètres!$A$1:$I$89,5,0)</f>
        <v>5.1431925385259088E-14</v>
      </c>
      <c r="FG109" s="13">
        <f t="shared" si="101"/>
        <v>8.3482866290946129E-13</v>
      </c>
      <c r="FH109" s="20">
        <f t="shared" si="76"/>
        <v>1.5435705246133045E-12</v>
      </c>
      <c r="FI109" s="59">
        <f t="shared" si="77"/>
        <v>293.33333333333485</v>
      </c>
      <c r="FJ109" s="59">
        <f ca="1">AVERAGE(OFFSET($FI$3,0,0,'Données projet'!$E$16+1,1))-AVERAGE(OFFSET($H$3,0,0,'Données projet'!$E$16+1,1))</f>
        <v>179.50097986986123</v>
      </c>
      <c r="FK109" s="59">
        <f t="shared" si="102"/>
        <v>287.11838730637578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>
        <f>EXP(-LN(2)/35)*FQ108+(1-EXP(-LN(2)/35))/(LN(2)/35)*FM109*FN109*VLOOKUP('Données projet'!$B$16,Paramètres!$A$1:$I$89,3,0)*0.475*44/12</f>
        <v>0.13838355164636537</v>
      </c>
      <c r="FR109" s="21">
        <f>EXP(-LN(2)/25)*FR108+(1-EXP(-LN(2)/25))/(LN(2)/25)*Calculateur!FM109*Calculateur!FO109*VLOOKUP('Données projet'!$B$16,Paramètres!$A$1:$I$89,3,0)*0.475*44/12</f>
        <v>0.76519176896828933</v>
      </c>
      <c r="FS109" s="21">
        <f>EXP(-LN(2)/2)*FS108+(1-EXP(-LN(2)/2))/(LN(2)/2)*FM109*FP109*VLOOKUP('Données projet'!$B$16,Paramètres!$A$1:$I$89,3,0)*0.475*44/12</f>
        <v>1.6446560132046328E-11</v>
      </c>
      <c r="FT109" s="22">
        <f t="shared" si="78"/>
        <v>0.90357532063110124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5.6843418860808015E-14</v>
      </c>
      <c r="GA109" s="17">
        <f>FZ109*VLOOKUP('Données projet'!$B$17,Paramètres!$A$1:$I$89,3,0)*VLOOKUP('Données projet'!$B$17,Paramètres!$A$1:$I$89,5,0)</f>
        <v>3.3992364478763198E-14</v>
      </c>
      <c r="GB109" s="13">
        <f t="shared" si="103"/>
        <v>5.790027782444094E-13</v>
      </c>
      <c r="GC109" s="20">
        <f t="shared" si="79"/>
        <v>1.0676332069095257E-12</v>
      </c>
      <c r="GD109" s="59">
        <f t="shared" si="80"/>
        <v>293.33333333333439</v>
      </c>
      <c r="GE109" s="59">
        <f ca="1">AVERAGE(OFFSET($GD$3,0,0,'Données projet'!$E$17+1,1))-AVERAGE(OFFSET($H$3,0,0,'Données projet'!$E$17+1,1))</f>
        <v>165.39579887388538</v>
      </c>
      <c r="GF109" s="59">
        <f t="shared" si="104"/>
        <v>155.89639262545802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>
        <f>EXP(-LN(2)/35)*GL108+(1-EXP(-LN(2)/35))/(LN(2)/35)*GH109*GI109*VLOOKUP('Données projet'!$B$17,Paramètres!$A$1:$I$89,3,0)*0.475*44/12</f>
        <v>0</v>
      </c>
      <c r="GM109" s="21">
        <f>EXP(-LN(2)/25)*GM108+(1-EXP(-LN(2)/25))/(LN(2)/25)*Calculateur!GH109*Calculateur!GJ109*VLOOKUP('Données projet'!$B$17,Paramètres!$A$1:$I$89,3,0)*0.475*44/12</f>
        <v>0.88624004589838246</v>
      </c>
      <c r="GN109" s="21">
        <f>EXP(-LN(2)/2)*GN108+(1-EXP(-LN(2)/2))/(LN(2)/2)*GH109*GK109*VLOOKUP('Données projet'!$B$17,Paramètres!$A$1:$I$89,3,0)*0.475*44/12</f>
        <v>5.0495275846976989E-11</v>
      </c>
      <c r="GO109" s="21">
        <f t="shared" si="81"/>
        <v>0.88624004594887773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3.4106051316484809E-13</v>
      </c>
      <c r="O110" s="13">
        <f>N110*VLOOKUP('Données projet'!$B$9,Paramètres!$A$1:$I$89,3,0)*VLOOKUP('Données projet'!$B$9,Paramètres!$A$1:$I$89,5,0)</f>
        <v>1.9065282685915009E-13</v>
      </c>
      <c r="P110" s="13">
        <f t="shared" si="87"/>
        <v>2.6568987209435707E-12</v>
      </c>
      <c r="Q110" s="20">
        <f t="shared" si="107"/>
        <v>4.959485612423072E-12</v>
      </c>
      <c r="R110" s="59">
        <f t="shared" si="55"/>
        <v>293.33333333333826</v>
      </c>
      <c r="S110" s="59">
        <f ca="1">AVERAGE(OFFSET($R$3,0,0,'Données projet'!$E$9+1,1))-AVERAGE(OFFSET($H$3,0,0,'Données projet'!$E$9+1,1))</f>
        <v>235.10258076192054</v>
      </c>
      <c r="T110" s="59">
        <f t="shared" si="88"/>
        <v>233.47316052603765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0.7456175976107059</v>
      </c>
      <c r="AA110" s="21">
        <f>EXP(-LN(2)/25)*AA109+(1-EXP(-LN(2)/25))/(LN(2)/25)*Calculateur!V110*Calculateur!X110*VLOOKUP('Données projet'!$B$9,Paramètres!$A$1:$I$89,3,0)*0.475*44/12</f>
        <v>2.1800579485630083</v>
      </c>
      <c r="AB110" s="21">
        <f>EXP(-LN(2)/2)*AB109+(1-EXP(-LN(2)/2))/(LN(2)/2)*V110*Y110*VLOOKUP('Données projet'!$B$9,Paramètres!$A$1:$I$89,3,0)*0.475*44/12</f>
        <v>6.2052595467083095E-11</v>
      </c>
      <c r="AC110" s="22">
        <f t="shared" si="57"/>
        <v>2.9256755462357669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-8.5265128291212022E-14</v>
      </c>
      <c r="AJ110" s="13">
        <f>AI110*VLOOKUP('Données projet'!$B$10,Paramètres!$A$1:$I$89,3,0)*VLOOKUP('Données projet'!$B$10,Paramètres!$A$1:$I$89,5,0)</f>
        <v>-7.4487616075202836E-14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191.94797389630673</v>
      </c>
      <c r="AO110" s="59">
        <f t="shared" si="90"/>
        <v>273.52540822767878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0.5603429218407735</v>
      </c>
      <c r="AV110" s="21">
        <f>EXP(-LN(2)/25)*AV109+(1-EXP(-LN(2)/25))/(LN(2)/25)*Calculateur!AQ110*Calculateur!AS110*VLOOKUP('Données projet'!$B$10,Paramètres!$A$1:$I$89,3,0)*0.475*44/12</f>
        <v>1.6612950902086245</v>
      </c>
      <c r="AW110" s="21">
        <f>EXP(-LN(2)/2)*AW109+(1-EXP(-LN(2)/2))/(LN(2)/2)*AQ110*AT110*VLOOKUP('Données projet'!$B$10,Paramètres!$A$1:$I$89,3,0)*0.475*44/12</f>
        <v>5.9688475211428691E-11</v>
      </c>
      <c r="AX110" s="21">
        <f t="shared" si="60"/>
        <v>2.2216380121090862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3.1</v>
      </c>
      <c r="BD110" s="12">
        <f>IF('Données projet'!$A$88&gt;35,BD109+BC110-BL109,IF(A110&lt;'Données projet'!$A$88,$BA$205^A110,IF(A110='Données projet'!$A$88,'Données projet'!$B$88,BD109+BC110-BL109)))</f>
        <v>223.69999999999993</v>
      </c>
      <c r="BE110" s="13">
        <f>BD110*VLOOKUP('Données projet'!$B$11,Paramètres!$A$1:$I$89,3,0)*VLOOKUP('Données projet'!$B$11,Paramètres!$A$1:$I$89,5,0)</f>
        <v>202.40375999999992</v>
      </c>
      <c r="BF110" s="13">
        <f t="shared" si="91"/>
        <v>50.272073536742994</v>
      </c>
      <c r="BG110" s="20">
        <f t="shared" si="61"/>
        <v>440.0770767431606</v>
      </c>
      <c r="BH110" s="59">
        <f t="shared" si="62"/>
        <v>733.41041007649392</v>
      </c>
      <c r="BI110" s="59">
        <f ca="1">AVERAGE(OFFSET($BH$3,0,0,'Données projet'!$E$11+1,1))-AVERAGE(OFFSET($H$3,0,0,'Données projet'!$E$11+1,1))</f>
        <v>138.8931001150624</v>
      </c>
      <c r="BJ110" s="59">
        <f t="shared" si="92"/>
        <v>48.964659354096625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3.1</v>
      </c>
      <c r="BY110" s="12">
        <f>IF('Données projet'!$A$114&gt;35,BY109+BX110-CG109,IF(A110&lt;'Données projet'!$A$114,$BV$205^A110,IF(A110='Données projet'!$A$114,'Données projet'!$B$114,BY109+BX110-CG109)))</f>
        <v>223.69999999999993</v>
      </c>
      <c r="BZ110" s="13">
        <f>BY110*VLOOKUP('Données projet'!$B$12,Paramètres!$A$1:$I$89,3,0)*VLOOKUP('Données projet'!$B$12,Paramètres!$A$1:$I$89,5,0)</f>
        <v>226.83179999999996</v>
      </c>
      <c r="CA110" s="13">
        <f t="shared" si="93"/>
        <v>55.597090592281802</v>
      </c>
      <c r="CB110" s="20">
        <f t="shared" si="64"/>
        <v>491.89698444822398</v>
      </c>
      <c r="CC110" s="59">
        <f t="shared" si="65"/>
        <v>785.23031778155723</v>
      </c>
      <c r="CD110" s="59">
        <f ca="1">AVERAGE(OFFSET($CC$3,0,0,'Données projet'!$E$12+1,1))-AVERAGE(OFFSET($H$3,0,0,'Données projet'!$E$12+1,1))</f>
        <v>169.2757878405003</v>
      </c>
      <c r="CE110" s="59">
        <f t="shared" si="94"/>
        <v>61.876502626609977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-8.5265128291212022E-14</v>
      </c>
      <c r="CU110" s="17">
        <f>CT110*VLOOKUP('Données projet'!$B$13,Paramètres!$A$1:$I$89,3,0)*VLOOKUP('Données projet'!$B$13,Paramètres!$A$1:$I$89,5,0)</f>
        <v>-6.7836936068488286E-14</v>
      </c>
      <c r="CV110" s="13" t="e">
        <f t="shared" si="95"/>
        <v>#NUM!</v>
      </c>
      <c r="CW110" s="20" t="e">
        <f t="shared" si="67"/>
        <v>#NUM!</v>
      </c>
      <c r="CX110" s="59" t="e">
        <f t="shared" si="68"/>
        <v>#NUM!</v>
      </c>
      <c r="CY110" s="59">
        <f ca="1">AVERAGE(OFFSET($CX$3,0,0,'Données projet'!$E$13+1,1))-AVERAGE(OFFSET($H$3,0,0,'Données projet'!$E$13+1,1))</f>
        <v>141.12810728817544</v>
      </c>
      <c r="CZ110" s="59">
        <f t="shared" si="96"/>
        <v>176.01405805137551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>
        <f>EXP(-LN(2)/35)*DF109+(1-EXP(-LN(2)/35))/(LN(2)/35)*DB110*DC110*VLOOKUP('Données projet'!$B$13,Paramètres!$A$1:$I$89,3,0)*0.475*44/12</f>
        <v>0</v>
      </c>
      <c r="DG110" s="21">
        <f>EXP(-LN(2)/25)*DG109+(1-EXP(-LN(2)/25))/(LN(2)/25)*Calculateur!DB110*Calculateur!DD110*VLOOKUP('Données projet'!$B$13,Paramètres!$A$1:$I$89,3,0)*0.475*44/12</f>
        <v>0.79499291566241082</v>
      </c>
      <c r="DH110" s="21">
        <f>EXP(-LN(2)/2)*DH109+(1-EXP(-LN(2)/2))/(LN(2)/2)*DB110*DE110*VLOOKUP('Données projet'!$B$13,Paramètres!$A$1:$I$89,3,0)*0.475*44/12</f>
        <v>2.059287182149403E-11</v>
      </c>
      <c r="DI110" s="22">
        <f t="shared" si="69"/>
        <v>0.79499291568300368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5.6843418860808015E-14</v>
      </c>
      <c r="DP110" s="17">
        <f>DO110*VLOOKUP('Données projet'!$B$14,Paramètres!$A$1:$I$89,3,0)*VLOOKUP('Données projet'!$B$14,Paramètres!$A$1:$I$89,5,0)</f>
        <v>3.3992364478763198E-14</v>
      </c>
      <c r="DQ110" s="13">
        <f t="shared" si="97"/>
        <v>5.790027782444094E-13</v>
      </c>
      <c r="DR110" s="20">
        <f t="shared" si="70"/>
        <v>1.0676332069095257E-12</v>
      </c>
      <c r="DS110" s="59">
        <f t="shared" si="71"/>
        <v>293.33333333333439</v>
      </c>
      <c r="DT110" s="59">
        <f ca="1">AVERAGE(OFFSET($DS$3,0,0,'Données projet'!$E$14+1,1))-AVERAGE(OFFSET($H$3,0,0,'Données projet'!$E$14+1,1))</f>
        <v>165.39579887388538</v>
      </c>
      <c r="DU110" s="59">
        <f t="shared" si="98"/>
        <v>155.89639262545802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>
        <f>EXP(-LN(2)/35)*EA109+(1-EXP(-LN(2)/35))/(LN(2)/35)*DW110*DX110*VLOOKUP('Données projet'!$B$14,Paramètres!$A$1:$I$89,3,0)*0.475*44/12</f>
        <v>0</v>
      </c>
      <c r="EB110" s="21">
        <f>EXP(-LN(2)/25)*EB109+(1-EXP(-LN(2)/25))/(LN(2)/25)*Calculateur!DW110*Calculateur!DY110*VLOOKUP('Données projet'!$B$14,Paramètres!$A$1:$I$89,3,0)*0.475*44/12</f>
        <v>0.86200576523795269</v>
      </c>
      <c r="EC110" s="21">
        <f>EXP(-LN(2)/2)*EC109+(1-EXP(-LN(2)/2))/(LN(2)/2)*DW110*DZ110*VLOOKUP('Données projet'!$B$14,Paramètres!$A$1:$I$89,3,0)*0.475*44/12</f>
        <v>3.5705551969282716E-11</v>
      </c>
      <c r="ED110" s="22">
        <f t="shared" si="72"/>
        <v>0.86200576527365824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3.1</v>
      </c>
      <c r="EJ110" s="12">
        <f>IF('Données projet'!$A$192&gt;35,EJ109+EI110-ER109,IF(A110&lt;'Données projet'!$A$192,$EG$205^A110,IF(A110='Données projet'!$A$192,'Données projet'!$B$192,EJ109+EI110-ER109)))</f>
        <v>223.69999999999993</v>
      </c>
      <c r="EK110" s="17">
        <f>EJ110*VLOOKUP('Données projet'!$B$15,Paramètres!$A$1:$I$89,3,0)*VLOOKUP('Données projet'!$B$15,Paramètres!$A$1:$I$89,5,0)</f>
        <v>174.48599999999996</v>
      </c>
      <c r="EL110" s="13">
        <f t="shared" si="99"/>
        <v>44.093210263786823</v>
      </c>
      <c r="EM110" s="20">
        <f t="shared" si="73"/>
        <v>380.69212454276203</v>
      </c>
      <c r="EN110" s="59">
        <f t="shared" si="74"/>
        <v>674.02545787609529</v>
      </c>
      <c r="EO110" s="59">
        <f ca="1">AVERAGE(OFFSET($EN$3,0,0,'Données projet'!$E$15+1,1))-AVERAGE(OFFSET($H$3,0,0,'Données projet'!$E$15+1,1))</f>
        <v>104.07220236158577</v>
      </c>
      <c r="EP110" s="59">
        <f t="shared" si="100"/>
        <v>34.162068257911756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>
        <f>EXP(-LN(2)/35)*EV109+(1-EXP(-LN(2)/35))/(LN(2)/35)*ER110*ES110*VLOOKUP('Données projet'!$B$15,Paramètres!$A$1:$I$89,3,0)*0.475*44/12</f>
        <v>0</v>
      </c>
      <c r="EW110" s="21">
        <f>EXP(-LN(2)/25)*EW109+(1-EXP(-LN(2)/25))/(LN(2)/25)*Calculateur!ER110*Calculateur!ET110*VLOOKUP('Données projet'!$B$15,Paramètres!$A$1:$I$89,3,0)*0.475*44/12</f>
        <v>0</v>
      </c>
      <c r="EX110" s="21">
        <f>EXP(-LN(2)/2)*EX109+(1-EXP(-LN(2)/2))/(LN(2)/2)*ER110*EU110*VLOOKUP('Données projet'!$B$15,Paramètres!$A$1:$I$89,3,0)*0.475*44/12</f>
        <v>0</v>
      </c>
      <c r="EY110" s="22">
        <f t="shared" si="75"/>
        <v>0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5.6843418860808015E-14</v>
      </c>
      <c r="FF110" s="17">
        <f>FE110*VLOOKUP('Données projet'!$B$16,Paramètres!$A$1:$I$89,3,0)*VLOOKUP('Données projet'!$B$16,Paramètres!$A$1:$I$89,5,0)</f>
        <v>5.1431925385259088E-14</v>
      </c>
      <c r="FG110" s="13">
        <f t="shared" si="101"/>
        <v>8.3482866290946129E-13</v>
      </c>
      <c r="FH110" s="20">
        <f t="shared" si="76"/>
        <v>1.5435705246133045E-12</v>
      </c>
      <c r="FI110" s="59">
        <f t="shared" si="77"/>
        <v>293.33333333333485</v>
      </c>
      <c r="FJ110" s="59">
        <f ca="1">AVERAGE(OFFSET($FI$3,0,0,'Données projet'!$E$16+1,1))-AVERAGE(OFFSET($H$3,0,0,'Données projet'!$E$16+1,1))</f>
        <v>179.50097986986123</v>
      </c>
      <c r="FK110" s="59">
        <f t="shared" si="102"/>
        <v>287.11838730637578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>
        <f>EXP(-LN(2)/35)*FQ109+(1-EXP(-LN(2)/35))/(LN(2)/35)*FM110*FN110*VLOOKUP('Données projet'!$B$16,Paramètres!$A$1:$I$89,3,0)*0.475*44/12</f>
        <v>0.13566993460421228</v>
      </c>
      <c r="FR110" s="21">
        <f>EXP(-LN(2)/25)*FR109+(1-EXP(-LN(2)/25))/(LN(2)/25)*Calculateur!FM110*Calculateur!FO110*VLOOKUP('Données projet'!$B$16,Paramètres!$A$1:$I$89,3,0)*0.475*44/12</f>
        <v>0.74426755980616521</v>
      </c>
      <c r="FS110" s="21">
        <f>EXP(-LN(2)/2)*FS109+(1-EXP(-LN(2)/2))/(LN(2)/2)*FM110*FP110*VLOOKUP('Données projet'!$B$16,Paramètres!$A$1:$I$89,3,0)*0.475*44/12</f>
        <v>1.1629474196562279E-11</v>
      </c>
      <c r="FT110" s="22">
        <f t="shared" si="78"/>
        <v>0.87993749442200697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5.6843418860808015E-14</v>
      </c>
      <c r="GA110" s="17">
        <f>FZ110*VLOOKUP('Données projet'!$B$17,Paramètres!$A$1:$I$89,3,0)*VLOOKUP('Données projet'!$B$17,Paramètres!$A$1:$I$89,5,0)</f>
        <v>3.3992364478763198E-14</v>
      </c>
      <c r="GB110" s="13">
        <f t="shared" si="103"/>
        <v>5.790027782444094E-13</v>
      </c>
      <c r="GC110" s="20">
        <f t="shared" si="79"/>
        <v>1.0676332069095257E-12</v>
      </c>
      <c r="GD110" s="59">
        <f t="shared" si="80"/>
        <v>293.33333333333439</v>
      </c>
      <c r="GE110" s="59">
        <f ca="1">AVERAGE(OFFSET($GD$3,0,0,'Données projet'!$E$17+1,1))-AVERAGE(OFFSET($H$3,0,0,'Données projet'!$E$17+1,1))</f>
        <v>165.39579887388538</v>
      </c>
      <c r="GF110" s="59">
        <f t="shared" si="104"/>
        <v>155.89639262545802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>
        <f>EXP(-LN(2)/35)*GL109+(1-EXP(-LN(2)/35))/(LN(2)/35)*GH110*GI110*VLOOKUP('Données projet'!$B$17,Paramètres!$A$1:$I$89,3,0)*0.475*44/12</f>
        <v>0</v>
      </c>
      <c r="GM110" s="21">
        <f>EXP(-LN(2)/25)*GM109+(1-EXP(-LN(2)/25))/(LN(2)/25)*Calculateur!GH110*Calculateur!GJ110*VLOOKUP('Données projet'!$B$17,Paramètres!$A$1:$I$89,3,0)*0.475*44/12</f>
        <v>0.86200576523795269</v>
      </c>
      <c r="GN110" s="21">
        <f>EXP(-LN(2)/2)*GN109+(1-EXP(-LN(2)/2))/(LN(2)/2)*GH110*GK110*VLOOKUP('Données projet'!$B$17,Paramètres!$A$1:$I$89,3,0)*0.475*44/12</f>
        <v>3.5705551969282716E-11</v>
      </c>
      <c r="GO110" s="21">
        <f t="shared" si="81"/>
        <v>0.86200576527365824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3.4106051316484809E-13</v>
      </c>
      <c r="O111" s="13">
        <f>N111*VLOOKUP('Données projet'!$B$9,Paramètres!$A$1:$I$89,3,0)*VLOOKUP('Données projet'!$B$9,Paramètres!$A$1:$I$89,5,0)</f>
        <v>1.9065282685915009E-13</v>
      </c>
      <c r="P111" s="13">
        <f t="shared" si="87"/>
        <v>2.6568987209435707E-12</v>
      </c>
      <c r="Q111" s="20">
        <f t="shared" si="107"/>
        <v>4.959485612423072E-12</v>
      </c>
      <c r="R111" s="59">
        <f t="shared" si="55"/>
        <v>293.33333333333826</v>
      </c>
      <c r="S111" s="59">
        <f ca="1">AVERAGE(OFFSET($R$3,0,0,'Données projet'!$E$9+1,1))-AVERAGE(OFFSET($H$3,0,0,'Données projet'!$E$9+1,1))</f>
        <v>235.10258076192054</v>
      </c>
      <c r="T111" s="59">
        <f t="shared" si="88"/>
        <v>233.47316052603765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0.73099649130338851</v>
      </c>
      <c r="AA111" s="21">
        <f>EXP(-LN(2)/25)*AA110+(1-EXP(-LN(2)/25))/(LN(2)/25)*Calculateur!V111*Calculateur!X111*VLOOKUP('Données projet'!$B$9,Paramètres!$A$1:$I$89,3,0)*0.475*44/12</f>
        <v>2.1204441493152877</v>
      </c>
      <c r="AB111" s="21">
        <f>EXP(-LN(2)/2)*AB110+(1-EXP(-LN(2)/2))/(LN(2)/2)*V111*Y111*VLOOKUP('Données projet'!$B$9,Paramètres!$A$1:$I$89,3,0)*0.475*44/12</f>
        <v>4.3877811045000077E-11</v>
      </c>
      <c r="AC111" s="22">
        <f t="shared" si="57"/>
        <v>2.8514406406625539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-8.5265128291212022E-14</v>
      </c>
      <c r="AJ111" s="13">
        <f>AI111*VLOOKUP('Données projet'!$B$10,Paramètres!$A$1:$I$89,3,0)*VLOOKUP('Données projet'!$B$10,Paramètres!$A$1:$I$89,5,0)</f>
        <v>-7.4487616075202836E-14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191.94797389630673</v>
      </c>
      <c r="AO111" s="59">
        <f t="shared" si="90"/>
        <v>273.52540822767878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0.54935493891891074</v>
      </c>
      <c r="AV111" s="21">
        <f>EXP(-LN(2)/25)*AV110+(1-EXP(-LN(2)/25))/(LN(2)/25)*Calculateur!AQ111*Calculateur!AS111*VLOOKUP('Données projet'!$B$10,Paramètres!$A$1:$I$89,3,0)*0.475*44/12</f>
        <v>1.6158668886031577</v>
      </c>
      <c r="AW111" s="21">
        <f>EXP(-LN(2)/2)*AW110+(1-EXP(-LN(2)/2))/(LN(2)/2)*AQ111*AT111*VLOOKUP('Données projet'!$B$10,Paramètres!$A$1:$I$89,3,0)*0.475*44/12</f>
        <v>4.2206125580686375E-11</v>
      </c>
      <c r="AX111" s="21">
        <f t="shared" si="60"/>
        <v>2.1652218275642747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3.1</v>
      </c>
      <c r="BD111" s="12">
        <f>IF('Données projet'!$A$88&gt;35,BD110+BC111-BL110,IF(A111&lt;'Données projet'!$A$88,$BA$205^A111,IF(A111='Données projet'!$A$88,'Données projet'!$B$88,BD110+BC111-BL110)))</f>
        <v>226.79999999999993</v>
      </c>
      <c r="BE111" s="13">
        <f>BD111*VLOOKUP('Données projet'!$B$11,Paramètres!$A$1:$I$89,3,0)*VLOOKUP('Données projet'!$B$11,Paramètres!$A$1:$I$89,5,0)</f>
        <v>205.20863999999995</v>
      </c>
      <c r="BF111" s="13">
        <f t="shared" si="91"/>
        <v>50.887150694493549</v>
      </c>
      <c r="BG111" s="20">
        <f t="shared" si="61"/>
        <v>446.03350212624281</v>
      </c>
      <c r="BH111" s="59">
        <f t="shared" si="62"/>
        <v>739.36683545957612</v>
      </c>
      <c r="BI111" s="59">
        <f ca="1">AVERAGE(OFFSET($BH$3,0,0,'Données projet'!$E$11+1,1))-AVERAGE(OFFSET($H$3,0,0,'Données projet'!$E$11+1,1))</f>
        <v>138.8931001150624</v>
      </c>
      <c r="BJ111" s="59">
        <f t="shared" si="92"/>
        <v>48.964659354096625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3.1</v>
      </c>
      <c r="BY111" s="12">
        <f>IF('Données projet'!$A$114&gt;35,BY110+BX111-CG110,IF(A111&lt;'Données projet'!$A$114,$BV$205^A111,IF(A111='Données projet'!$A$114,'Données projet'!$B$114,BY110+BX111-CG110)))</f>
        <v>226.79999999999993</v>
      </c>
      <c r="BZ111" s="13">
        <f>BY111*VLOOKUP('Données projet'!$B$12,Paramètres!$A$1:$I$89,3,0)*VLOOKUP('Données projet'!$B$12,Paramètres!$A$1:$I$89,5,0)</f>
        <v>229.97519999999994</v>
      </c>
      <c r="CA111" s="13">
        <f t="shared" si="93"/>
        <v>56.277319157664266</v>
      </c>
      <c r="CB111" s="20">
        <f t="shared" si="64"/>
        <v>498.55647086626522</v>
      </c>
      <c r="CC111" s="59">
        <f t="shared" si="65"/>
        <v>791.88980419959853</v>
      </c>
      <c r="CD111" s="59">
        <f ca="1">AVERAGE(OFFSET($CC$3,0,0,'Données projet'!$E$12+1,1))-AVERAGE(OFFSET($H$3,0,0,'Données projet'!$E$12+1,1))</f>
        <v>169.2757878405003</v>
      </c>
      <c r="CE111" s="59">
        <f t="shared" si="94"/>
        <v>61.876502626609977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-8.5265128291212022E-14</v>
      </c>
      <c r="CU111" s="17">
        <f>CT111*VLOOKUP('Données projet'!$B$13,Paramètres!$A$1:$I$89,3,0)*VLOOKUP('Données projet'!$B$13,Paramètres!$A$1:$I$89,5,0)</f>
        <v>-6.7836936068488286E-14</v>
      </c>
      <c r="CV111" s="13" t="e">
        <f t="shared" si="95"/>
        <v>#NUM!</v>
      </c>
      <c r="CW111" s="20" t="e">
        <f t="shared" si="67"/>
        <v>#NUM!</v>
      </c>
      <c r="CX111" s="59" t="e">
        <f t="shared" si="68"/>
        <v>#NUM!</v>
      </c>
      <c r="CY111" s="59">
        <f ca="1">AVERAGE(OFFSET($CX$3,0,0,'Données projet'!$E$13+1,1))-AVERAGE(OFFSET($H$3,0,0,'Données projet'!$E$13+1,1))</f>
        <v>141.12810728817544</v>
      </c>
      <c r="CZ111" s="59">
        <f t="shared" si="96"/>
        <v>176.01405805137551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>
        <f>EXP(-LN(2)/35)*DF110+(1-EXP(-LN(2)/35))/(LN(2)/35)*DB111*DC111*VLOOKUP('Données projet'!$B$13,Paramètres!$A$1:$I$89,3,0)*0.475*44/12</f>
        <v>0</v>
      </c>
      <c r="DG111" s="21">
        <f>EXP(-LN(2)/25)*DG110+(1-EXP(-LN(2)/25))/(LN(2)/25)*Calculateur!DB111*Calculateur!DD111*VLOOKUP('Données projet'!$B$13,Paramètres!$A$1:$I$89,3,0)*0.475*44/12</f>
        <v>0.77325379257676174</v>
      </c>
      <c r="DH111" s="21">
        <f>EXP(-LN(2)/2)*DH110+(1-EXP(-LN(2)/2))/(LN(2)/2)*DB111*DE111*VLOOKUP('Données projet'!$B$13,Paramètres!$A$1:$I$89,3,0)*0.475*44/12</f>
        <v>1.4561359309083799E-11</v>
      </c>
      <c r="DI111" s="22">
        <f t="shared" si="69"/>
        <v>0.7732537925913231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5.6843418860808015E-14</v>
      </c>
      <c r="DP111" s="17">
        <f>DO111*VLOOKUP('Données projet'!$B$14,Paramètres!$A$1:$I$89,3,0)*VLOOKUP('Données projet'!$B$14,Paramètres!$A$1:$I$89,5,0)</f>
        <v>3.3992364478763198E-14</v>
      </c>
      <c r="DQ111" s="13">
        <f t="shared" si="97"/>
        <v>5.790027782444094E-13</v>
      </c>
      <c r="DR111" s="20">
        <f t="shared" si="70"/>
        <v>1.0676332069095257E-12</v>
      </c>
      <c r="DS111" s="59">
        <f t="shared" si="71"/>
        <v>293.33333333333439</v>
      </c>
      <c r="DT111" s="59">
        <f ca="1">AVERAGE(OFFSET($DS$3,0,0,'Données projet'!$E$14+1,1))-AVERAGE(OFFSET($H$3,0,0,'Données projet'!$E$14+1,1))</f>
        <v>165.39579887388538</v>
      </c>
      <c r="DU111" s="59">
        <f t="shared" si="98"/>
        <v>155.89639262545802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>
        <f>EXP(-LN(2)/35)*EA110+(1-EXP(-LN(2)/35))/(LN(2)/35)*DW111*DX111*VLOOKUP('Données projet'!$B$14,Paramètres!$A$1:$I$89,3,0)*0.475*44/12</f>
        <v>0</v>
      </c>
      <c r="EB111" s="21">
        <f>EXP(-LN(2)/25)*EB110+(1-EXP(-LN(2)/25))/(LN(2)/25)*Calculateur!DW111*Calculateur!DY111*VLOOKUP('Données projet'!$B$14,Paramètres!$A$1:$I$89,3,0)*0.475*44/12</f>
        <v>0.83843417225660777</v>
      </c>
      <c r="EC111" s="21">
        <f>EXP(-LN(2)/2)*EC110+(1-EXP(-LN(2)/2))/(LN(2)/2)*DW111*DZ111*VLOOKUP('Données projet'!$B$14,Paramètres!$A$1:$I$89,3,0)*0.475*44/12</f>
        <v>2.5247637923488495E-11</v>
      </c>
      <c r="ED111" s="22">
        <f t="shared" si="72"/>
        <v>0.83843417228185546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3.1</v>
      </c>
      <c r="EJ111" s="12">
        <f>IF('Données projet'!$A$192&gt;35,EJ110+EI111-ER110,IF(A111&lt;'Données projet'!$A$192,$EG$205^A111,IF(A111='Données projet'!$A$192,'Données projet'!$B$192,EJ110+EI111-ER110)))</f>
        <v>226.79999999999993</v>
      </c>
      <c r="EK111" s="17">
        <f>EJ111*VLOOKUP('Données projet'!$B$15,Paramètres!$A$1:$I$89,3,0)*VLOOKUP('Données projet'!$B$15,Paramètres!$A$1:$I$89,5,0)</f>
        <v>176.90399999999994</v>
      </c>
      <c r="EL111" s="13">
        <f t="shared" si="99"/>
        <v>44.632689233663157</v>
      </c>
      <c r="EM111" s="20">
        <f t="shared" si="73"/>
        <v>385.84306708196317</v>
      </c>
      <c r="EN111" s="59">
        <f t="shared" si="74"/>
        <v>679.17640041529648</v>
      </c>
      <c r="EO111" s="59">
        <f ca="1">AVERAGE(OFFSET($EN$3,0,0,'Données projet'!$E$15+1,1))-AVERAGE(OFFSET($H$3,0,0,'Données projet'!$E$15+1,1))</f>
        <v>104.07220236158577</v>
      </c>
      <c r="EP111" s="59">
        <f t="shared" si="100"/>
        <v>34.162068257911756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>
        <f>EXP(-LN(2)/35)*EV110+(1-EXP(-LN(2)/35))/(LN(2)/35)*ER111*ES111*VLOOKUP('Données projet'!$B$15,Paramètres!$A$1:$I$89,3,0)*0.475*44/12</f>
        <v>0</v>
      </c>
      <c r="EW111" s="21">
        <f>EXP(-LN(2)/25)*EW110+(1-EXP(-LN(2)/25))/(LN(2)/25)*Calculateur!ER111*Calculateur!ET111*VLOOKUP('Données projet'!$B$15,Paramètres!$A$1:$I$89,3,0)*0.475*44/12</f>
        <v>0</v>
      </c>
      <c r="EX111" s="21">
        <f>EXP(-LN(2)/2)*EX110+(1-EXP(-LN(2)/2))/(LN(2)/2)*ER111*EU111*VLOOKUP('Données projet'!$B$15,Paramètres!$A$1:$I$89,3,0)*0.475*44/12</f>
        <v>0</v>
      </c>
      <c r="EY111" s="22">
        <f t="shared" si="75"/>
        <v>0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5.6843418860808015E-14</v>
      </c>
      <c r="FF111" s="17">
        <f>FE111*VLOOKUP('Données projet'!$B$16,Paramètres!$A$1:$I$89,3,0)*VLOOKUP('Données projet'!$B$16,Paramètres!$A$1:$I$89,5,0)</f>
        <v>5.1431925385259088E-14</v>
      </c>
      <c r="FG111" s="13">
        <f t="shared" si="101"/>
        <v>8.3482866290946129E-13</v>
      </c>
      <c r="FH111" s="20">
        <f t="shared" si="76"/>
        <v>1.5435705246133045E-12</v>
      </c>
      <c r="FI111" s="59">
        <f t="shared" si="77"/>
        <v>293.33333333333485</v>
      </c>
      <c r="FJ111" s="59">
        <f ca="1">AVERAGE(OFFSET($FI$3,0,0,'Données projet'!$E$16+1,1))-AVERAGE(OFFSET($H$3,0,0,'Données projet'!$E$16+1,1))</f>
        <v>179.50097986986123</v>
      </c>
      <c r="FK111" s="59">
        <f t="shared" si="102"/>
        <v>287.11838730637578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>
        <f>EXP(-LN(2)/35)*FQ110+(1-EXP(-LN(2)/35))/(LN(2)/35)*FM111*FN111*VLOOKUP('Données projet'!$B$16,Paramètres!$A$1:$I$89,3,0)*0.475*44/12</f>
        <v>0.13300952993711285</v>
      </c>
      <c r="FR111" s="21">
        <f>EXP(-LN(2)/25)*FR110+(1-EXP(-LN(2)/25))/(LN(2)/25)*Calculateur!FM111*Calculateur!FO111*VLOOKUP('Données projet'!$B$16,Paramètres!$A$1:$I$89,3,0)*0.475*44/12</f>
        <v>0.72391552424393568</v>
      </c>
      <c r="FS111" s="21">
        <f>EXP(-LN(2)/2)*FS110+(1-EXP(-LN(2)/2))/(LN(2)/2)*FM111*FP111*VLOOKUP('Données projet'!$B$16,Paramètres!$A$1:$I$89,3,0)*0.475*44/12</f>
        <v>8.2232800660231639E-12</v>
      </c>
      <c r="FT111" s="22">
        <f t="shared" si="78"/>
        <v>0.85692505418927178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5.6843418860808015E-14</v>
      </c>
      <c r="GA111" s="17">
        <f>FZ111*VLOOKUP('Données projet'!$B$17,Paramètres!$A$1:$I$89,3,0)*VLOOKUP('Données projet'!$B$17,Paramètres!$A$1:$I$89,5,0)</f>
        <v>3.3992364478763198E-14</v>
      </c>
      <c r="GB111" s="13">
        <f t="shared" si="103"/>
        <v>5.790027782444094E-13</v>
      </c>
      <c r="GC111" s="20">
        <f t="shared" si="79"/>
        <v>1.0676332069095257E-12</v>
      </c>
      <c r="GD111" s="59">
        <f t="shared" si="80"/>
        <v>293.33333333333439</v>
      </c>
      <c r="GE111" s="59">
        <f ca="1">AVERAGE(OFFSET($GD$3,0,0,'Données projet'!$E$17+1,1))-AVERAGE(OFFSET($H$3,0,0,'Données projet'!$E$17+1,1))</f>
        <v>165.39579887388538</v>
      </c>
      <c r="GF111" s="59">
        <f t="shared" si="104"/>
        <v>155.89639262545802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>
        <f>EXP(-LN(2)/35)*GL110+(1-EXP(-LN(2)/35))/(LN(2)/35)*GH111*GI111*VLOOKUP('Données projet'!$B$17,Paramètres!$A$1:$I$89,3,0)*0.475*44/12</f>
        <v>0</v>
      </c>
      <c r="GM111" s="21">
        <f>EXP(-LN(2)/25)*GM110+(1-EXP(-LN(2)/25))/(LN(2)/25)*Calculateur!GH111*Calculateur!GJ111*VLOOKUP('Données projet'!$B$17,Paramètres!$A$1:$I$89,3,0)*0.475*44/12</f>
        <v>0.83843417225660777</v>
      </c>
      <c r="GN111" s="21">
        <f>EXP(-LN(2)/2)*GN110+(1-EXP(-LN(2)/2))/(LN(2)/2)*GH111*GK111*VLOOKUP('Données projet'!$B$17,Paramètres!$A$1:$I$89,3,0)*0.475*44/12</f>
        <v>2.5247637923488495E-11</v>
      </c>
      <c r="GO111" s="21">
        <f t="shared" si="81"/>
        <v>0.83843417228185546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3.4106051316484809E-13</v>
      </c>
      <c r="O112" s="13">
        <f>N112*VLOOKUP('Données projet'!$B$9,Paramètres!$A$1:$I$89,3,0)*VLOOKUP('Données projet'!$B$9,Paramètres!$A$1:$I$89,5,0)</f>
        <v>1.9065282685915009E-13</v>
      </c>
      <c r="P112" s="13">
        <f t="shared" si="87"/>
        <v>2.6568987209435707E-12</v>
      </c>
      <c r="Q112" s="20">
        <f t="shared" si="107"/>
        <v>4.959485612423072E-12</v>
      </c>
      <c r="R112" s="59">
        <f t="shared" si="55"/>
        <v>293.33333333333826</v>
      </c>
      <c r="S112" s="59">
        <f ca="1">AVERAGE(OFFSET($R$3,0,0,'Données projet'!$E$9+1,1))-AVERAGE(OFFSET($H$3,0,0,'Données projet'!$E$9+1,1))</f>
        <v>235.10258076192054</v>
      </c>
      <c r="T112" s="59">
        <f t="shared" si="88"/>
        <v>233.47316052603765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0.71666209597276331</v>
      </c>
      <c r="AA112" s="21">
        <f>EXP(-LN(2)/25)*AA111+(1-EXP(-LN(2)/25))/(LN(2)/25)*Calculateur!V112*Calculateur!X112*VLOOKUP('Données projet'!$B$9,Paramètres!$A$1:$I$89,3,0)*0.475*44/12</f>
        <v>2.0624604925429497</v>
      </c>
      <c r="AB112" s="21">
        <f>EXP(-LN(2)/2)*AB111+(1-EXP(-LN(2)/2))/(LN(2)/2)*V112*Y112*VLOOKUP('Données projet'!$B$9,Paramètres!$A$1:$I$89,3,0)*0.475*44/12</f>
        <v>3.1026297733541547E-11</v>
      </c>
      <c r="AC112" s="22">
        <f t="shared" si="57"/>
        <v>2.7791225885467394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-8.5265128291212022E-14</v>
      </c>
      <c r="AJ112" s="13">
        <f>AI112*VLOOKUP('Données projet'!$B$10,Paramètres!$A$1:$I$89,3,0)*VLOOKUP('Données projet'!$B$10,Paramètres!$A$1:$I$89,5,0)</f>
        <v>-7.4487616075202836E-14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191.94797389630673</v>
      </c>
      <c r="AO112" s="59">
        <f t="shared" si="90"/>
        <v>273.52540822767878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0.53858242364013786</v>
      </c>
      <c r="AV112" s="21">
        <f>EXP(-LN(2)/25)*AV111+(1-EXP(-LN(2)/25))/(LN(2)/25)*Calculateur!AQ112*Calculateur!AS112*VLOOKUP('Données projet'!$B$10,Paramètres!$A$1:$I$89,3,0)*0.475*44/12</f>
        <v>1.5716809235595579</v>
      </c>
      <c r="AW112" s="21">
        <f>EXP(-LN(2)/2)*AW111+(1-EXP(-LN(2)/2))/(LN(2)/2)*AQ112*AT112*VLOOKUP('Données projet'!$B$10,Paramètres!$A$1:$I$89,3,0)*0.475*44/12</f>
        <v>2.9844237605714345E-11</v>
      </c>
      <c r="AX112" s="21">
        <f t="shared" si="60"/>
        <v>2.11026334722954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3.1</v>
      </c>
      <c r="BD112" s="12">
        <f>IF('Données projet'!$A$88&gt;35,BD111+BC112-BL111,IF(A112&lt;'Données projet'!$A$88,$BA$205^A112,IF(A112='Données projet'!$A$88,'Données projet'!$B$88,BD111+BC112-BL111)))</f>
        <v>229.89999999999992</v>
      </c>
      <c r="BE112" s="13">
        <f>BD112*VLOOKUP('Données projet'!$B$11,Paramètres!$A$1:$I$89,3,0)*VLOOKUP('Données projet'!$B$11,Paramètres!$A$1:$I$89,5,0)</f>
        <v>208.01351999999994</v>
      </c>
      <c r="BF112" s="13">
        <f t="shared" si="91"/>
        <v>51.501250007095145</v>
      </c>
      <c r="BG112" s="20">
        <f t="shared" si="61"/>
        <v>451.98822442902389</v>
      </c>
      <c r="BH112" s="59">
        <f t="shared" si="62"/>
        <v>745.3215577623572</v>
      </c>
      <c r="BI112" s="59">
        <f ca="1">AVERAGE(OFFSET($BH$3,0,0,'Données projet'!$E$11+1,1))-AVERAGE(OFFSET($H$3,0,0,'Données projet'!$E$11+1,1))</f>
        <v>138.8931001150624</v>
      </c>
      <c r="BJ112" s="59">
        <f t="shared" si="92"/>
        <v>48.964659354096625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3.1</v>
      </c>
      <c r="BY112" s="12">
        <f>IF('Données projet'!$A$114&gt;35,BY111+BX112-CG111,IF(A112&lt;'Données projet'!$A$114,$BV$205^A112,IF(A112='Données projet'!$A$114,'Données projet'!$B$114,BY111+BX112-CG111)))</f>
        <v>229.89999999999992</v>
      </c>
      <c r="BZ112" s="13">
        <f>BY112*VLOOKUP('Données projet'!$B$12,Paramètres!$A$1:$I$89,3,0)*VLOOKUP('Données projet'!$B$12,Paramètres!$A$1:$I$89,5,0)</f>
        <v>233.11859999999993</v>
      </c>
      <c r="CA112" s="13">
        <f t="shared" si="93"/>
        <v>56.956466300668332</v>
      </c>
      <c r="CB112" s="20">
        <f t="shared" si="64"/>
        <v>505.21407380699725</v>
      </c>
      <c r="CC112" s="59">
        <f t="shared" si="65"/>
        <v>798.54740714033051</v>
      </c>
      <c r="CD112" s="59">
        <f ca="1">AVERAGE(OFFSET($CC$3,0,0,'Données projet'!$E$12+1,1))-AVERAGE(OFFSET($H$3,0,0,'Données projet'!$E$12+1,1))</f>
        <v>169.2757878405003</v>
      </c>
      <c r="CE112" s="59">
        <f t="shared" si="94"/>
        <v>61.876502626609977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-8.5265128291212022E-14</v>
      </c>
      <c r="CU112" s="17">
        <f>CT112*VLOOKUP('Données projet'!$B$13,Paramètres!$A$1:$I$89,3,0)*VLOOKUP('Données projet'!$B$13,Paramètres!$A$1:$I$89,5,0)</f>
        <v>-6.7836936068488286E-14</v>
      </c>
      <c r="CV112" s="13" t="e">
        <f t="shared" si="95"/>
        <v>#NUM!</v>
      </c>
      <c r="CW112" s="20" t="e">
        <f t="shared" si="67"/>
        <v>#NUM!</v>
      </c>
      <c r="CX112" s="59" t="e">
        <f t="shared" si="68"/>
        <v>#NUM!</v>
      </c>
      <c r="CY112" s="59">
        <f ca="1">AVERAGE(OFFSET($CX$3,0,0,'Données projet'!$E$13+1,1))-AVERAGE(OFFSET($H$3,0,0,'Données projet'!$E$13+1,1))</f>
        <v>141.12810728817544</v>
      </c>
      <c r="CZ112" s="59">
        <f t="shared" si="96"/>
        <v>176.01405805137551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>
        <f>EXP(-LN(2)/35)*DF111+(1-EXP(-LN(2)/35))/(LN(2)/35)*DB112*DC112*VLOOKUP('Données projet'!$B$13,Paramètres!$A$1:$I$89,3,0)*0.475*44/12</f>
        <v>0</v>
      </c>
      <c r="DG112" s="21">
        <f>EXP(-LN(2)/25)*DG111+(1-EXP(-LN(2)/25))/(LN(2)/25)*Calculateur!DB112*Calculateur!DD112*VLOOKUP('Données projet'!$B$13,Paramètres!$A$1:$I$89,3,0)*0.475*44/12</f>
        <v>0.75210912695510057</v>
      </c>
      <c r="DH112" s="21">
        <f>EXP(-LN(2)/2)*DH111+(1-EXP(-LN(2)/2))/(LN(2)/2)*DB112*DE112*VLOOKUP('Données projet'!$B$13,Paramètres!$A$1:$I$89,3,0)*0.475*44/12</f>
        <v>1.0296435910747015E-11</v>
      </c>
      <c r="DI112" s="22">
        <f t="shared" si="69"/>
        <v>0.752109126965397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5.6843418860808015E-14</v>
      </c>
      <c r="DP112" s="17">
        <f>DO112*VLOOKUP('Données projet'!$B$14,Paramètres!$A$1:$I$89,3,0)*VLOOKUP('Données projet'!$B$14,Paramètres!$A$1:$I$89,5,0)</f>
        <v>3.3992364478763198E-14</v>
      </c>
      <c r="DQ112" s="13">
        <f t="shared" si="97"/>
        <v>5.790027782444094E-13</v>
      </c>
      <c r="DR112" s="20">
        <f t="shared" si="70"/>
        <v>1.0676332069095257E-12</v>
      </c>
      <c r="DS112" s="59">
        <f t="shared" si="71"/>
        <v>293.33333333333439</v>
      </c>
      <c r="DT112" s="59">
        <f ca="1">AVERAGE(OFFSET($DS$3,0,0,'Données projet'!$E$14+1,1))-AVERAGE(OFFSET($H$3,0,0,'Données projet'!$E$14+1,1))</f>
        <v>165.39579887388538</v>
      </c>
      <c r="DU112" s="59">
        <f t="shared" si="98"/>
        <v>155.89639262545802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>
        <f>EXP(-LN(2)/35)*EA111+(1-EXP(-LN(2)/35))/(LN(2)/35)*DW112*DX112*VLOOKUP('Données projet'!$B$14,Paramètres!$A$1:$I$89,3,0)*0.475*44/12</f>
        <v>0</v>
      </c>
      <c r="EB112" s="21">
        <f>EXP(-LN(2)/25)*EB111+(1-EXP(-LN(2)/25))/(LN(2)/25)*Calculateur!DW112*Calculateur!DY112*VLOOKUP('Données projet'!$B$14,Paramètres!$A$1:$I$89,3,0)*0.475*44/12</f>
        <v>0.81550714572491401</v>
      </c>
      <c r="EC112" s="21">
        <f>EXP(-LN(2)/2)*EC111+(1-EXP(-LN(2)/2))/(LN(2)/2)*DW112*DZ112*VLOOKUP('Données projet'!$B$14,Paramètres!$A$1:$I$89,3,0)*0.475*44/12</f>
        <v>1.7852775984641358E-11</v>
      </c>
      <c r="ED112" s="22">
        <f t="shared" si="72"/>
        <v>0.81550714574276684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3.1</v>
      </c>
      <c r="EJ112" s="12">
        <f>IF('Données projet'!$A$192&gt;35,EJ111+EI112-ER111,IF(A112&lt;'Données projet'!$A$192,$EG$205^A112,IF(A112='Données projet'!$A$192,'Données projet'!$B$192,EJ111+EI112-ER111)))</f>
        <v>229.89999999999992</v>
      </c>
      <c r="EK112" s="17">
        <f>EJ112*VLOOKUP('Données projet'!$B$15,Paramètres!$A$1:$I$89,3,0)*VLOOKUP('Données projet'!$B$15,Paramètres!$A$1:$I$89,5,0)</f>
        <v>179.32199999999995</v>
      </c>
      <c r="EL112" s="13">
        <f t="shared" si="99"/>
        <v>45.171310543834437</v>
      </c>
      <c r="EM112" s="20">
        <f t="shared" si="73"/>
        <v>390.99251586384486</v>
      </c>
      <c r="EN112" s="59">
        <f t="shared" si="74"/>
        <v>684.32584919717817</v>
      </c>
      <c r="EO112" s="59">
        <f ca="1">AVERAGE(OFFSET($EN$3,0,0,'Données projet'!$E$15+1,1))-AVERAGE(OFFSET($H$3,0,0,'Données projet'!$E$15+1,1))</f>
        <v>104.07220236158577</v>
      </c>
      <c r="EP112" s="59">
        <f t="shared" si="100"/>
        <v>34.162068257911756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>
        <f>EXP(-LN(2)/35)*EV111+(1-EXP(-LN(2)/35))/(LN(2)/35)*ER112*ES112*VLOOKUP('Données projet'!$B$15,Paramètres!$A$1:$I$89,3,0)*0.475*44/12</f>
        <v>0</v>
      </c>
      <c r="EW112" s="21">
        <f>EXP(-LN(2)/25)*EW111+(1-EXP(-LN(2)/25))/(LN(2)/25)*Calculateur!ER112*Calculateur!ET112*VLOOKUP('Données projet'!$B$15,Paramètres!$A$1:$I$89,3,0)*0.475*44/12</f>
        <v>0</v>
      </c>
      <c r="EX112" s="21">
        <f>EXP(-LN(2)/2)*EX111+(1-EXP(-LN(2)/2))/(LN(2)/2)*ER112*EU112*VLOOKUP('Données projet'!$B$15,Paramètres!$A$1:$I$89,3,0)*0.475*44/12</f>
        <v>0</v>
      </c>
      <c r="EY112" s="22">
        <f t="shared" si="75"/>
        <v>0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5.6843418860808015E-14</v>
      </c>
      <c r="FF112" s="17">
        <f>FE112*VLOOKUP('Données projet'!$B$16,Paramètres!$A$1:$I$89,3,0)*VLOOKUP('Données projet'!$B$16,Paramètres!$A$1:$I$89,5,0)</f>
        <v>5.1431925385259088E-14</v>
      </c>
      <c r="FG112" s="13">
        <f t="shared" si="101"/>
        <v>8.3482866290946129E-13</v>
      </c>
      <c r="FH112" s="20">
        <f t="shared" si="76"/>
        <v>1.5435705246133045E-12</v>
      </c>
      <c r="FI112" s="59">
        <f t="shared" si="77"/>
        <v>293.33333333333485</v>
      </c>
      <c r="FJ112" s="59">
        <f ca="1">AVERAGE(OFFSET($FI$3,0,0,'Données projet'!$E$16+1,1))-AVERAGE(OFFSET($H$3,0,0,'Données projet'!$E$16+1,1))</f>
        <v>179.50097986986123</v>
      </c>
      <c r="FK112" s="59">
        <f t="shared" si="102"/>
        <v>287.11838730637578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>
        <f>EXP(-LN(2)/35)*FQ111+(1-EXP(-LN(2)/35))/(LN(2)/35)*FM112*FN112*VLOOKUP('Données projet'!$B$16,Paramètres!$A$1:$I$89,3,0)*0.475*44/12</f>
        <v>0.13040129418284863</v>
      </c>
      <c r="FR112" s="21">
        <f>EXP(-LN(2)/25)*FR111+(1-EXP(-LN(2)/25))/(LN(2)/25)*Calculateur!FM112*Calculateur!FO112*VLOOKUP('Données projet'!$B$16,Paramètres!$A$1:$I$89,3,0)*0.475*44/12</f>
        <v>0.70412001616442232</v>
      </c>
      <c r="FS112" s="21">
        <f>EXP(-LN(2)/2)*FS111+(1-EXP(-LN(2)/2))/(LN(2)/2)*FM112*FP112*VLOOKUP('Données projet'!$B$16,Paramètres!$A$1:$I$89,3,0)*0.475*44/12</f>
        <v>5.8147370982811396E-12</v>
      </c>
      <c r="FT112" s="22">
        <f t="shared" si="78"/>
        <v>0.83452131035308563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5.6843418860808015E-14</v>
      </c>
      <c r="GA112" s="17">
        <f>FZ112*VLOOKUP('Données projet'!$B$17,Paramètres!$A$1:$I$89,3,0)*VLOOKUP('Données projet'!$B$17,Paramètres!$A$1:$I$89,5,0)</f>
        <v>3.3992364478763198E-14</v>
      </c>
      <c r="GB112" s="13">
        <f t="shared" si="103"/>
        <v>5.790027782444094E-13</v>
      </c>
      <c r="GC112" s="20">
        <f t="shared" si="79"/>
        <v>1.0676332069095257E-12</v>
      </c>
      <c r="GD112" s="59">
        <f t="shared" si="80"/>
        <v>293.33333333333439</v>
      </c>
      <c r="GE112" s="59">
        <f ca="1">AVERAGE(OFFSET($GD$3,0,0,'Données projet'!$E$17+1,1))-AVERAGE(OFFSET($H$3,0,0,'Données projet'!$E$17+1,1))</f>
        <v>165.39579887388538</v>
      </c>
      <c r="GF112" s="59">
        <f t="shared" si="104"/>
        <v>155.89639262545802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>
        <f>EXP(-LN(2)/35)*GL111+(1-EXP(-LN(2)/35))/(LN(2)/35)*GH112*GI112*VLOOKUP('Données projet'!$B$17,Paramètres!$A$1:$I$89,3,0)*0.475*44/12</f>
        <v>0</v>
      </c>
      <c r="GM112" s="21">
        <f>EXP(-LN(2)/25)*GM111+(1-EXP(-LN(2)/25))/(LN(2)/25)*Calculateur!GH112*Calculateur!GJ112*VLOOKUP('Données projet'!$B$17,Paramètres!$A$1:$I$89,3,0)*0.475*44/12</f>
        <v>0.81550714572491401</v>
      </c>
      <c r="GN112" s="21">
        <f>EXP(-LN(2)/2)*GN111+(1-EXP(-LN(2)/2))/(LN(2)/2)*GH112*GK112*VLOOKUP('Données projet'!$B$17,Paramètres!$A$1:$I$89,3,0)*0.475*44/12</f>
        <v>1.7852775984641358E-11</v>
      </c>
      <c r="GO112" s="21">
        <f t="shared" si="81"/>
        <v>0.81550714574276684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3.4106051316484809E-13</v>
      </c>
      <c r="O113" s="13">
        <f>N113*VLOOKUP('Données projet'!$B$9,Paramètres!$A$1:$I$89,3,0)*VLOOKUP('Données projet'!$B$9,Paramètres!$A$1:$I$89,5,0)</f>
        <v>1.9065282685915009E-13</v>
      </c>
      <c r="P113" s="13">
        <f t="shared" si="87"/>
        <v>2.6568987209435707E-12</v>
      </c>
      <c r="Q113" s="20">
        <f t="shared" si="107"/>
        <v>4.959485612423072E-12</v>
      </c>
      <c r="R113" s="59">
        <f t="shared" si="55"/>
        <v>293.33333333333826</v>
      </c>
      <c r="S113" s="59">
        <f ca="1">AVERAGE(OFFSET($R$3,0,0,'Données projet'!$E$9+1,1))-AVERAGE(OFFSET($H$3,0,0,'Données projet'!$E$9+1,1))</f>
        <v>235.10258076192054</v>
      </c>
      <c r="T113" s="59">
        <f t="shared" si="88"/>
        <v>233.47316052603765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0.70260878939145388</v>
      </c>
      <c r="AA113" s="21">
        <f>EXP(-LN(2)/25)*AA112+(1-EXP(-LN(2)/25))/(LN(2)/25)*Calculateur!V113*Calculateur!X113*VLOOKUP('Données projet'!$B$9,Paramètres!$A$1:$I$89,3,0)*0.475*44/12</f>
        <v>2.0060624019142792</v>
      </c>
      <c r="AB113" s="21">
        <f>EXP(-LN(2)/2)*AB112+(1-EXP(-LN(2)/2))/(LN(2)/2)*V113*Y113*VLOOKUP('Données projet'!$B$9,Paramètres!$A$1:$I$89,3,0)*0.475*44/12</f>
        <v>2.1938905522500039E-11</v>
      </c>
      <c r="AC113" s="22">
        <f t="shared" si="57"/>
        <v>2.7086711913276718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-8.5265128291212022E-14</v>
      </c>
      <c r="AJ113" s="13">
        <f>AI113*VLOOKUP('Données projet'!$B$10,Paramètres!$A$1:$I$89,3,0)*VLOOKUP('Données projet'!$B$10,Paramètres!$A$1:$I$89,5,0)</f>
        <v>-7.4487616075202836E-14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191.94797389630673</v>
      </c>
      <c r="AO113" s="59">
        <f t="shared" si="90"/>
        <v>273.52540822767878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0.52802115081539625</v>
      </c>
      <c r="AV113" s="21">
        <f>EXP(-LN(2)/25)*AV112+(1-EXP(-LN(2)/25))/(LN(2)/25)*Calculateur!AQ113*Calculateur!AS113*VLOOKUP('Données projet'!$B$10,Paramètres!$A$1:$I$89,3,0)*0.475*44/12</f>
        <v>1.5287032260537141</v>
      </c>
      <c r="AW113" s="21">
        <f>EXP(-LN(2)/2)*AW112+(1-EXP(-LN(2)/2))/(LN(2)/2)*AQ113*AT113*VLOOKUP('Données projet'!$B$10,Paramètres!$A$1:$I$89,3,0)*0.475*44/12</f>
        <v>2.1103062790343187E-11</v>
      </c>
      <c r="AX113" s="21">
        <f t="shared" si="60"/>
        <v>2.0567243768902133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233</v>
      </c>
      <c r="BB113" s="12">
        <f>VLOOKUP(A113,'Données projet'!$A$87:$I$107,9,0)</f>
        <v>3.1</v>
      </c>
      <c r="BC113" s="12">
        <f t="array" ref="BC113">INDEX(BB:BB,MIN(IF(ISNUMBER(BB113:BB309),ROW(BB113:BB309),"")))</f>
        <v>3.1</v>
      </c>
      <c r="BD113" s="12">
        <f>IF('Données projet'!$A$88&gt;35,BD112+BC113-BL112,IF(A113&lt;'Données projet'!$A$88,$BA$205^A113,IF(A113='Données projet'!$A$88,'Données projet'!$B$88,BD112+BC113-BL112)))</f>
        <v>232.99999999999991</v>
      </c>
      <c r="BE113" s="13">
        <f>BD113*VLOOKUP('Données projet'!$B$11,Paramètres!$A$1:$I$89,3,0)*VLOOKUP('Données projet'!$B$11,Paramètres!$A$1:$I$89,5,0)</f>
        <v>210.81839999999988</v>
      </c>
      <c r="BF113" s="13">
        <f t="shared" si="91"/>
        <v>52.114386184062155</v>
      </c>
      <c r="BG113" s="20">
        <f t="shared" si="61"/>
        <v>457.94126927057465</v>
      </c>
      <c r="BH113" s="59">
        <f t="shared" si="62"/>
        <v>751.27460260390797</v>
      </c>
      <c r="BI113" s="59">
        <f ca="1">AVERAGE(OFFSET($BH$3,0,0,'Données projet'!$E$11+1,1))-AVERAGE(OFFSET($H$3,0,0,'Données projet'!$E$11+1,1))</f>
        <v>138.8931001150624</v>
      </c>
      <c r="BJ113" s="59">
        <f t="shared" si="92"/>
        <v>48.964659354096625</v>
      </c>
      <c r="BK113" s="15">
        <f>IF(ISNA(VLOOKUP(A113,'Données projet'!$A$87:$I$107,3,0)),0,VLOOKUP(A113,'Données projet'!$A$87:$I$107,3,0))</f>
        <v>8</v>
      </c>
      <c r="BL113" s="15">
        <f>IF(ISNA(VLOOKUP(A113,'Données projet'!$A$87:$I$107,4,0)),0,VLOOKUP(A113,'Données projet'!$A$87:$I$107,4,0))</f>
        <v>27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233</v>
      </c>
      <c r="BW113" s="12">
        <f>VLOOKUP(A113,'Données projet'!$A$113:$I$133,9,0)</f>
        <v>3.1</v>
      </c>
      <c r="BX113" s="12">
        <f t="array" ref="BX113">INDEX(BW:BW,MIN(IF(ISNUMBER(BW113:BW309),ROW(BW113:BW309),"")))</f>
        <v>3.1</v>
      </c>
      <c r="BY113" s="12">
        <f>IF('Données projet'!$A$114&gt;35,BY112+BX113-CG112,IF(A113&lt;'Données projet'!$A$114,$BV$205^A113,IF(A113='Données projet'!$A$114,'Données projet'!$B$114,BY112+BX113-CG112)))</f>
        <v>232.99999999999991</v>
      </c>
      <c r="BZ113" s="13">
        <f>BY113*VLOOKUP('Données projet'!$B$12,Paramètres!$A$1:$I$89,3,0)*VLOOKUP('Données projet'!$B$12,Paramètres!$A$1:$I$89,5,0)</f>
        <v>236.26199999999994</v>
      </c>
      <c r="CA113" s="13">
        <f t="shared" si="93"/>
        <v>57.634548288898394</v>
      </c>
      <c r="CB113" s="20">
        <f t="shared" si="64"/>
        <v>511.86982160316455</v>
      </c>
      <c r="CC113" s="59">
        <f t="shared" si="65"/>
        <v>805.20315493649787</v>
      </c>
      <c r="CD113" s="59">
        <f ca="1">AVERAGE(OFFSET($CC$3,0,0,'Données projet'!$E$12+1,1))-AVERAGE(OFFSET($H$3,0,0,'Données projet'!$E$12+1,1))</f>
        <v>169.2757878405003</v>
      </c>
      <c r="CE113" s="59">
        <f t="shared" si="94"/>
        <v>61.876502626609977</v>
      </c>
      <c r="CF113" s="15">
        <f>IF(ISNA(VLOOKUP(A113,'Données projet'!$A$113:$I$133,3,0)),0,VLOOKUP(A113,'Données projet'!$A$113:$I$133,3,0))</f>
        <v>8</v>
      </c>
      <c r="CG113" s="15">
        <f>IF(ISNA(VLOOKUP(A113,'Données projet'!$A$113:$I$133,4,0)),0,VLOOKUP(A113,'Données projet'!$A$113:$I$133,4,0))</f>
        <v>27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-8.5265128291212022E-14</v>
      </c>
      <c r="CU113" s="17">
        <f>CT113*VLOOKUP('Données projet'!$B$13,Paramètres!$A$1:$I$89,3,0)*VLOOKUP('Données projet'!$B$13,Paramètres!$A$1:$I$89,5,0)</f>
        <v>-6.7836936068488286E-14</v>
      </c>
      <c r="CV113" s="13" t="e">
        <f t="shared" si="95"/>
        <v>#NUM!</v>
      </c>
      <c r="CW113" s="20" t="e">
        <f t="shared" si="67"/>
        <v>#NUM!</v>
      </c>
      <c r="CX113" s="59" t="e">
        <f t="shared" si="68"/>
        <v>#NUM!</v>
      </c>
      <c r="CY113" s="59">
        <f ca="1">AVERAGE(OFFSET($CX$3,0,0,'Données projet'!$E$13+1,1))-AVERAGE(OFFSET($H$3,0,0,'Données projet'!$E$13+1,1))</f>
        <v>141.12810728817544</v>
      </c>
      <c r="CZ113" s="59">
        <f t="shared" si="96"/>
        <v>176.01405805137551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>
        <f>EXP(-LN(2)/35)*DF112+(1-EXP(-LN(2)/35))/(LN(2)/35)*DB113*DC113*VLOOKUP('Données projet'!$B$13,Paramètres!$A$1:$I$89,3,0)*0.475*44/12</f>
        <v>0</v>
      </c>
      <c r="DG113" s="21">
        <f>EXP(-LN(2)/25)*DG112+(1-EXP(-LN(2)/25))/(LN(2)/25)*Calculateur!DB113*Calculateur!DD113*VLOOKUP('Données projet'!$B$13,Paramètres!$A$1:$I$89,3,0)*0.475*44/12</f>
        <v>0.73154266332681328</v>
      </c>
      <c r="DH113" s="21">
        <f>EXP(-LN(2)/2)*DH112+(1-EXP(-LN(2)/2))/(LN(2)/2)*DB113*DE113*VLOOKUP('Données projet'!$B$13,Paramètres!$A$1:$I$89,3,0)*0.475*44/12</f>
        <v>7.2806796545418995E-12</v>
      </c>
      <c r="DI113" s="22">
        <f t="shared" si="69"/>
        <v>0.73154266333409401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5.6843418860808015E-14</v>
      </c>
      <c r="DP113" s="17">
        <f>DO113*VLOOKUP('Données projet'!$B$14,Paramètres!$A$1:$I$89,3,0)*VLOOKUP('Données projet'!$B$14,Paramètres!$A$1:$I$89,5,0)</f>
        <v>3.3992364478763198E-14</v>
      </c>
      <c r="DQ113" s="13">
        <f t="shared" si="97"/>
        <v>5.790027782444094E-13</v>
      </c>
      <c r="DR113" s="20">
        <f t="shared" si="70"/>
        <v>1.0676332069095257E-12</v>
      </c>
      <c r="DS113" s="59">
        <f t="shared" si="71"/>
        <v>293.33333333333439</v>
      </c>
      <c r="DT113" s="59">
        <f ca="1">AVERAGE(OFFSET($DS$3,0,0,'Données projet'!$E$14+1,1))-AVERAGE(OFFSET($H$3,0,0,'Données projet'!$E$14+1,1))</f>
        <v>165.39579887388538</v>
      </c>
      <c r="DU113" s="59">
        <f t="shared" si="98"/>
        <v>155.89639262545802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>
        <f>EXP(-LN(2)/35)*EA112+(1-EXP(-LN(2)/35))/(LN(2)/35)*DW113*DX113*VLOOKUP('Données projet'!$B$14,Paramètres!$A$1:$I$89,3,0)*0.475*44/12</f>
        <v>0</v>
      </c>
      <c r="EB113" s="21">
        <f>EXP(-LN(2)/25)*EB112+(1-EXP(-LN(2)/25))/(LN(2)/25)*Calculateur!DW113*Calculateur!DY113*VLOOKUP('Données projet'!$B$14,Paramètres!$A$1:$I$89,3,0)*0.475*44/12</f>
        <v>0.79320705993940932</v>
      </c>
      <c r="EC113" s="21">
        <f>EXP(-LN(2)/2)*EC112+(1-EXP(-LN(2)/2))/(LN(2)/2)*DW113*DZ113*VLOOKUP('Données projet'!$B$14,Paramètres!$A$1:$I$89,3,0)*0.475*44/12</f>
        <v>1.2623818961744247E-11</v>
      </c>
      <c r="ED113" s="22">
        <f t="shared" si="72"/>
        <v>0.79320705995203311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>
        <f>VLOOKUP(A113,'Données projet'!$A$191:$I$211,2,0)</f>
        <v>233</v>
      </c>
      <c r="EH113" s="12">
        <f>VLOOKUP(A113,'Données projet'!$A$191:$I$211,9,0)</f>
        <v>3.1</v>
      </c>
      <c r="EI113" s="12">
        <f t="array" ref="EI113">INDEX(EH:EH,MIN(IF(ISNUMBER(EH113:EH309),ROW(EH113:EH309),"")))</f>
        <v>3.1</v>
      </c>
      <c r="EJ113" s="12">
        <f>IF('Données projet'!$A$192&gt;35,EJ112+EI113-ER112,IF(A113&lt;'Données projet'!$A$192,$EG$205^A113,IF(A113='Données projet'!$A$192,'Données projet'!$B$192,EJ112+EI113-ER112)))</f>
        <v>232.99999999999991</v>
      </c>
      <c r="EK113" s="17">
        <f>EJ113*VLOOKUP('Données projet'!$B$15,Paramètres!$A$1:$I$89,3,0)*VLOOKUP('Données projet'!$B$15,Paramètres!$A$1:$I$89,5,0)</f>
        <v>181.73999999999995</v>
      </c>
      <c r="EL113" s="13">
        <f t="shared" si="99"/>
        <v>45.709087095891377</v>
      </c>
      <c r="EM113" s="20">
        <f t="shared" si="73"/>
        <v>396.14049335867747</v>
      </c>
      <c r="EN113" s="59">
        <f t="shared" si="74"/>
        <v>689.47382669201079</v>
      </c>
      <c r="EO113" s="59">
        <f ca="1">AVERAGE(OFFSET($EN$3,0,0,'Données projet'!$E$15+1,1))-AVERAGE(OFFSET($H$3,0,0,'Données projet'!$E$15+1,1))</f>
        <v>104.07220236158577</v>
      </c>
      <c r="EP113" s="59">
        <f t="shared" si="100"/>
        <v>34.162068257911756</v>
      </c>
      <c r="EQ113" s="15">
        <f>IF(ISNA(VLOOKUP(A113,'Données projet'!$A$191:$I$211,3,0)),0,VLOOKUP(A113,'Données projet'!$A$191:$I$211,3,0))</f>
        <v>8</v>
      </c>
      <c r="ER113" s="15">
        <f>IF(ISNA(VLOOKUP(A113,'Données projet'!$A$191:$I$211,4,0)),0,VLOOKUP(A113,'Données projet'!$A$191:$I$211,4,0))</f>
        <v>27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>
        <f>EXP(-LN(2)/35)*EV112+(1-EXP(-LN(2)/35))/(LN(2)/35)*ER113*ES113*VLOOKUP('Données projet'!$B$15,Paramètres!$A$1:$I$89,3,0)*0.475*44/12</f>
        <v>0</v>
      </c>
      <c r="EW113" s="21">
        <f>EXP(-LN(2)/25)*EW112+(1-EXP(-LN(2)/25))/(LN(2)/25)*Calculateur!ER113*Calculateur!ET113*VLOOKUP('Données projet'!$B$15,Paramètres!$A$1:$I$89,3,0)*0.475*44/12</f>
        <v>0</v>
      </c>
      <c r="EX113" s="21">
        <f>EXP(-LN(2)/2)*EX112+(1-EXP(-LN(2)/2))/(LN(2)/2)*ER113*EU113*VLOOKUP('Données projet'!$B$15,Paramètres!$A$1:$I$89,3,0)*0.475*44/12</f>
        <v>0</v>
      </c>
      <c r="EY113" s="22">
        <f t="shared" si="75"/>
        <v>0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5.6843418860808015E-14</v>
      </c>
      <c r="FF113" s="17">
        <f>FE113*VLOOKUP('Données projet'!$B$16,Paramètres!$A$1:$I$89,3,0)*VLOOKUP('Données projet'!$B$16,Paramètres!$A$1:$I$89,5,0)</f>
        <v>5.1431925385259088E-14</v>
      </c>
      <c r="FG113" s="13">
        <f t="shared" si="101"/>
        <v>8.3482866290946129E-13</v>
      </c>
      <c r="FH113" s="20">
        <f t="shared" si="76"/>
        <v>1.5435705246133045E-12</v>
      </c>
      <c r="FI113" s="59">
        <f t="shared" si="77"/>
        <v>293.33333333333485</v>
      </c>
      <c r="FJ113" s="59">
        <f ca="1">AVERAGE(OFFSET($FI$3,0,0,'Données projet'!$E$16+1,1))-AVERAGE(OFFSET($H$3,0,0,'Données projet'!$E$16+1,1))</f>
        <v>179.50097986986123</v>
      </c>
      <c r="FK113" s="59">
        <f t="shared" si="102"/>
        <v>287.11838730637578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>
        <f>EXP(-LN(2)/35)*FQ112+(1-EXP(-LN(2)/35))/(LN(2)/35)*FM113*FN113*VLOOKUP('Données projet'!$B$16,Paramètres!$A$1:$I$89,3,0)*0.475*44/12</f>
        <v>0.1278442043408588</v>
      </c>
      <c r="FR113" s="21">
        <f>EXP(-LN(2)/25)*FR112+(1-EXP(-LN(2)/25))/(LN(2)/25)*Calculateur!FM113*Calculateur!FO113*VLOOKUP('Données projet'!$B$16,Paramètres!$A$1:$I$89,3,0)*0.475*44/12</f>
        <v>0.68486581729434381</v>
      </c>
      <c r="FS113" s="21">
        <f>EXP(-LN(2)/2)*FS112+(1-EXP(-LN(2)/2))/(LN(2)/2)*FM113*FP113*VLOOKUP('Données projet'!$B$16,Paramètres!$A$1:$I$89,3,0)*0.475*44/12</f>
        <v>4.1116400330115819E-12</v>
      </c>
      <c r="FT113" s="22">
        <f t="shared" si="78"/>
        <v>0.81271002163931416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5.6843418860808015E-14</v>
      </c>
      <c r="GA113" s="17">
        <f>FZ113*VLOOKUP('Données projet'!$B$17,Paramètres!$A$1:$I$89,3,0)*VLOOKUP('Données projet'!$B$17,Paramètres!$A$1:$I$89,5,0)</f>
        <v>3.3992364478763198E-14</v>
      </c>
      <c r="GB113" s="13">
        <f t="shared" si="103"/>
        <v>5.790027782444094E-13</v>
      </c>
      <c r="GC113" s="20">
        <f t="shared" si="79"/>
        <v>1.0676332069095257E-12</v>
      </c>
      <c r="GD113" s="59">
        <f t="shared" si="80"/>
        <v>293.33333333333439</v>
      </c>
      <c r="GE113" s="59">
        <f ca="1">AVERAGE(OFFSET($GD$3,0,0,'Données projet'!$E$17+1,1))-AVERAGE(OFFSET($H$3,0,0,'Données projet'!$E$17+1,1))</f>
        <v>165.39579887388538</v>
      </c>
      <c r="GF113" s="59">
        <f t="shared" si="104"/>
        <v>155.89639262545802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>
        <f>EXP(-LN(2)/35)*GL112+(1-EXP(-LN(2)/35))/(LN(2)/35)*GH113*GI113*VLOOKUP('Données projet'!$B$17,Paramètres!$A$1:$I$89,3,0)*0.475*44/12</f>
        <v>0</v>
      </c>
      <c r="GM113" s="21">
        <f>EXP(-LN(2)/25)*GM112+(1-EXP(-LN(2)/25))/(LN(2)/25)*Calculateur!GH113*Calculateur!GJ113*VLOOKUP('Données projet'!$B$17,Paramètres!$A$1:$I$89,3,0)*0.475*44/12</f>
        <v>0.79320705993940932</v>
      </c>
      <c r="GN113" s="21">
        <f>EXP(-LN(2)/2)*GN112+(1-EXP(-LN(2)/2))/(LN(2)/2)*GH113*GK113*VLOOKUP('Données projet'!$B$17,Paramètres!$A$1:$I$89,3,0)*0.475*44/12</f>
        <v>1.2623818961744247E-11</v>
      </c>
      <c r="GO113" s="21">
        <f t="shared" si="81"/>
        <v>0.79320705995203311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3.4106051316484809E-13</v>
      </c>
      <c r="O114" s="13">
        <f>N114*VLOOKUP('Données projet'!$B$9,Paramètres!$A$1:$I$89,3,0)*VLOOKUP('Données projet'!$B$9,Paramètres!$A$1:$I$89,5,0)</f>
        <v>1.9065282685915009E-13</v>
      </c>
      <c r="P114" s="13">
        <f t="shared" si="87"/>
        <v>2.6568987209435707E-12</v>
      </c>
      <c r="Q114" s="20">
        <f t="shared" si="107"/>
        <v>4.959485612423072E-12</v>
      </c>
      <c r="R114" s="59">
        <f t="shared" si="55"/>
        <v>293.33333333333826</v>
      </c>
      <c r="S114" s="59">
        <f ca="1">AVERAGE(OFFSET($R$3,0,0,'Données projet'!$E$9+1,1))-AVERAGE(OFFSET($H$3,0,0,'Données projet'!$E$9+1,1))</f>
        <v>235.10258076192054</v>
      </c>
      <c r="T114" s="59">
        <f t="shared" si="88"/>
        <v>233.47316052603765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0.68883105958053326</v>
      </c>
      <c r="AA114" s="21">
        <f>EXP(-LN(2)/25)*AA113+(1-EXP(-LN(2)/25))/(LN(2)/25)*Calculateur!V114*Calculateur!X114*VLOOKUP('Données projet'!$B$9,Paramètres!$A$1:$I$89,3,0)*0.475*44/12</f>
        <v>1.9512065200396964</v>
      </c>
      <c r="AB114" s="21">
        <f>EXP(-LN(2)/2)*AB113+(1-EXP(-LN(2)/2))/(LN(2)/2)*V114*Y114*VLOOKUP('Données projet'!$B$9,Paramètres!$A$1:$I$89,3,0)*0.475*44/12</f>
        <v>1.5513148866770774E-11</v>
      </c>
      <c r="AC114" s="22">
        <f t="shared" si="57"/>
        <v>2.6400375796357429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-8.5265128291212022E-14</v>
      </c>
      <c r="AJ114" s="13">
        <f>AI114*VLOOKUP('Données projet'!$B$10,Paramètres!$A$1:$I$89,3,0)*VLOOKUP('Données projet'!$B$10,Paramètres!$A$1:$I$89,5,0)</f>
        <v>-7.4487616075202836E-14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191.94797389630673</v>
      </c>
      <c r="AO114" s="59">
        <f t="shared" si="90"/>
        <v>273.52540822767878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0.51766697810900741</v>
      </c>
      <c r="AV114" s="21">
        <f>EXP(-LN(2)/25)*AV113+(1-EXP(-LN(2)/25))/(LN(2)/25)*Calculateur!AQ114*Calculateur!AS114*VLOOKUP('Données projet'!$B$10,Paramètres!$A$1:$I$89,3,0)*0.475*44/12</f>
        <v>1.4869007559462666</v>
      </c>
      <c r="AW114" s="21">
        <f>EXP(-LN(2)/2)*AW113+(1-EXP(-LN(2)/2))/(LN(2)/2)*AQ114*AT114*VLOOKUP('Données projet'!$B$10,Paramètres!$A$1:$I$89,3,0)*0.475*44/12</f>
        <v>1.4922118802857173E-11</v>
      </c>
      <c r="AX114" s="21">
        <f t="shared" si="60"/>
        <v>2.0045677340701964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2.8</v>
      </c>
      <c r="BD114" s="12">
        <f>IF('Données projet'!$A$88&gt;35,BD113+BC114-BL113,IF(A114&lt;'Données projet'!$A$88,$BA$205^A114,IF(A114='Données projet'!$A$88,'Données projet'!$B$88,BD113+BC114-BL113)))</f>
        <v>208.79999999999993</v>
      </c>
      <c r="BE114" s="13">
        <f>BD114*VLOOKUP('Données projet'!$B$11,Paramètres!$A$1:$I$89,3,0)*VLOOKUP('Données projet'!$B$11,Paramètres!$A$1:$I$89,5,0)</f>
        <v>188.9222399999999</v>
      </c>
      <c r="BF114" s="13">
        <f t="shared" si="91"/>
        <v>47.301596587245974</v>
      </c>
      <c r="BG114" s="20">
        <f t="shared" si="61"/>
        <v>411.42318205611986</v>
      </c>
      <c r="BH114" s="59">
        <f t="shared" si="62"/>
        <v>704.75651538945317</v>
      </c>
      <c r="BI114" s="59">
        <f ca="1">AVERAGE(OFFSET($BH$3,0,0,'Données projet'!$E$11+1,1))-AVERAGE(OFFSET($H$3,0,0,'Données projet'!$E$11+1,1))</f>
        <v>138.8931001150624</v>
      </c>
      <c r="BJ114" s="59">
        <f t="shared" si="92"/>
        <v>48.964659354096625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2.8</v>
      </c>
      <c r="BY114" s="12">
        <f>IF('Données projet'!$A$114&gt;35,BY113+BX114-CG113,IF(A114&lt;'Données projet'!$A$114,$BV$205^A114,IF(A114='Données projet'!$A$114,'Données projet'!$B$114,BY113+BX114-CG113)))</f>
        <v>208.79999999999993</v>
      </c>
      <c r="BZ114" s="13">
        <f>BY114*VLOOKUP('Données projet'!$B$12,Paramètres!$A$1:$I$89,3,0)*VLOOKUP('Données projet'!$B$12,Paramètres!$A$1:$I$89,5,0)</f>
        <v>211.72319999999996</v>
      </c>
      <c r="CA114" s="13">
        <f t="shared" si="93"/>
        <v>52.311968964212078</v>
      </c>
      <c r="CB114" s="20">
        <f t="shared" si="64"/>
        <v>459.86125261266926</v>
      </c>
      <c r="CC114" s="59">
        <f t="shared" si="65"/>
        <v>753.19458594600258</v>
      </c>
      <c r="CD114" s="59">
        <f ca="1">AVERAGE(OFFSET($CC$3,0,0,'Données projet'!$E$12+1,1))-AVERAGE(OFFSET($H$3,0,0,'Données projet'!$E$12+1,1))</f>
        <v>169.2757878405003</v>
      </c>
      <c r="CE114" s="59">
        <f t="shared" si="94"/>
        <v>61.876502626609977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-8.5265128291212022E-14</v>
      </c>
      <c r="CU114" s="17">
        <f>CT114*VLOOKUP('Données projet'!$B$13,Paramètres!$A$1:$I$89,3,0)*VLOOKUP('Données projet'!$B$13,Paramètres!$A$1:$I$89,5,0)</f>
        <v>-6.7836936068488286E-14</v>
      </c>
      <c r="CV114" s="13" t="e">
        <f t="shared" si="95"/>
        <v>#NUM!</v>
      </c>
      <c r="CW114" s="20" t="e">
        <f t="shared" si="67"/>
        <v>#NUM!</v>
      </c>
      <c r="CX114" s="59" t="e">
        <f t="shared" si="68"/>
        <v>#NUM!</v>
      </c>
      <c r="CY114" s="59">
        <f ca="1">AVERAGE(OFFSET($CX$3,0,0,'Données projet'!$E$13+1,1))-AVERAGE(OFFSET($H$3,0,0,'Données projet'!$E$13+1,1))</f>
        <v>141.12810728817544</v>
      </c>
      <c r="CZ114" s="59">
        <f t="shared" si="96"/>
        <v>176.01405805137551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>
        <f>EXP(-LN(2)/35)*DF113+(1-EXP(-LN(2)/35))/(LN(2)/35)*DB114*DC114*VLOOKUP('Données projet'!$B$13,Paramètres!$A$1:$I$89,3,0)*0.475*44/12</f>
        <v>0</v>
      </c>
      <c r="DG114" s="21">
        <f>EXP(-LN(2)/25)*DG113+(1-EXP(-LN(2)/25))/(LN(2)/25)*Calculateur!DB114*Calculateur!DD114*VLOOKUP('Données projet'!$B$13,Paramètres!$A$1:$I$89,3,0)*0.475*44/12</f>
        <v>0.71153859072798487</v>
      </c>
      <c r="DH114" s="21">
        <f>EXP(-LN(2)/2)*DH113+(1-EXP(-LN(2)/2))/(LN(2)/2)*DB114*DE114*VLOOKUP('Données projet'!$B$13,Paramètres!$A$1:$I$89,3,0)*0.475*44/12</f>
        <v>5.1482179553735075E-12</v>
      </c>
      <c r="DI114" s="22">
        <f t="shared" si="69"/>
        <v>0.71153859073313308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5.6843418860808015E-14</v>
      </c>
      <c r="DP114" s="17">
        <f>DO114*VLOOKUP('Données projet'!$B$14,Paramètres!$A$1:$I$89,3,0)*VLOOKUP('Données projet'!$B$14,Paramètres!$A$1:$I$89,5,0)</f>
        <v>3.3992364478763198E-14</v>
      </c>
      <c r="DQ114" s="13">
        <f t="shared" si="97"/>
        <v>5.790027782444094E-13</v>
      </c>
      <c r="DR114" s="20">
        <f t="shared" si="70"/>
        <v>1.0676332069095257E-12</v>
      </c>
      <c r="DS114" s="59">
        <f t="shared" si="71"/>
        <v>293.33333333333439</v>
      </c>
      <c r="DT114" s="59">
        <f ca="1">AVERAGE(OFFSET($DS$3,0,0,'Données projet'!$E$14+1,1))-AVERAGE(OFFSET($H$3,0,0,'Données projet'!$E$14+1,1))</f>
        <v>165.39579887388538</v>
      </c>
      <c r="DU114" s="59">
        <f t="shared" si="98"/>
        <v>155.89639262545802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>
        <f>EXP(-LN(2)/35)*EA113+(1-EXP(-LN(2)/35))/(LN(2)/35)*DW114*DX114*VLOOKUP('Données projet'!$B$14,Paramètres!$A$1:$I$89,3,0)*0.475*44/12</f>
        <v>0</v>
      </c>
      <c r="EB114" s="21">
        <f>EXP(-LN(2)/25)*EB113+(1-EXP(-LN(2)/25))/(LN(2)/25)*Calculateur!DW114*Calculateur!DY114*VLOOKUP('Données projet'!$B$14,Paramètres!$A$1:$I$89,3,0)*0.475*44/12</f>
        <v>0.77151677117241979</v>
      </c>
      <c r="EC114" s="21">
        <f>EXP(-LN(2)/2)*EC113+(1-EXP(-LN(2)/2))/(LN(2)/2)*DW114*DZ114*VLOOKUP('Données projet'!$B$14,Paramètres!$A$1:$I$89,3,0)*0.475*44/12</f>
        <v>8.9263879923206789E-12</v>
      </c>
      <c r="ED114" s="22">
        <f t="shared" si="72"/>
        <v>0.77151677118134621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2.8</v>
      </c>
      <c r="EJ114" s="12">
        <f>IF('Données projet'!$A$192&gt;35,EJ113+EI114-ER113,IF(A114&lt;'Données projet'!$A$192,$EG$205^A114,IF(A114='Données projet'!$A$192,'Données projet'!$B$192,EJ113+EI114-ER113)))</f>
        <v>208.79999999999993</v>
      </c>
      <c r="EK114" s="17">
        <f>EJ114*VLOOKUP('Données projet'!$B$15,Paramètres!$A$1:$I$89,3,0)*VLOOKUP('Données projet'!$B$15,Paramètres!$A$1:$I$89,5,0)</f>
        <v>162.86399999999995</v>
      </c>
      <c r="EL114" s="13">
        <f t="shared" si="99"/>
        <v>41.487830069509123</v>
      </c>
      <c r="EM114" s="20">
        <f t="shared" si="73"/>
        <v>355.91277070439497</v>
      </c>
      <c r="EN114" s="59">
        <f t="shared" si="74"/>
        <v>649.24610403772829</v>
      </c>
      <c r="EO114" s="59">
        <f ca="1">AVERAGE(OFFSET($EN$3,0,0,'Données projet'!$E$15+1,1))-AVERAGE(OFFSET($H$3,0,0,'Données projet'!$E$15+1,1))</f>
        <v>104.07220236158577</v>
      </c>
      <c r="EP114" s="59">
        <f t="shared" si="100"/>
        <v>34.162068257911756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>
        <f>EXP(-LN(2)/35)*EV113+(1-EXP(-LN(2)/35))/(LN(2)/35)*ER114*ES114*VLOOKUP('Données projet'!$B$15,Paramètres!$A$1:$I$89,3,0)*0.475*44/12</f>
        <v>0</v>
      </c>
      <c r="EW114" s="21">
        <f>EXP(-LN(2)/25)*EW113+(1-EXP(-LN(2)/25))/(LN(2)/25)*Calculateur!ER114*Calculateur!ET114*VLOOKUP('Données projet'!$B$15,Paramètres!$A$1:$I$89,3,0)*0.475*44/12</f>
        <v>0</v>
      </c>
      <c r="EX114" s="21">
        <f>EXP(-LN(2)/2)*EX113+(1-EXP(-LN(2)/2))/(LN(2)/2)*ER114*EU114*VLOOKUP('Données projet'!$B$15,Paramètres!$A$1:$I$89,3,0)*0.475*44/12</f>
        <v>0</v>
      </c>
      <c r="EY114" s="22">
        <f t="shared" si="75"/>
        <v>0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5.6843418860808015E-14</v>
      </c>
      <c r="FF114" s="17">
        <f>FE114*VLOOKUP('Données projet'!$B$16,Paramètres!$A$1:$I$89,3,0)*VLOOKUP('Données projet'!$B$16,Paramètres!$A$1:$I$89,5,0)</f>
        <v>5.1431925385259088E-14</v>
      </c>
      <c r="FG114" s="13">
        <f t="shared" si="101"/>
        <v>8.3482866290946129E-13</v>
      </c>
      <c r="FH114" s="20">
        <f t="shared" si="76"/>
        <v>1.5435705246133045E-12</v>
      </c>
      <c r="FI114" s="59">
        <f t="shared" si="77"/>
        <v>293.33333333333485</v>
      </c>
      <c r="FJ114" s="59">
        <f ca="1">AVERAGE(OFFSET($FI$3,0,0,'Données projet'!$E$16+1,1))-AVERAGE(OFFSET($H$3,0,0,'Données projet'!$E$16+1,1))</f>
        <v>179.50097986986123</v>
      </c>
      <c r="FK114" s="59">
        <f t="shared" si="102"/>
        <v>287.11838730637578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>
        <f>EXP(-LN(2)/35)*FQ113+(1-EXP(-LN(2)/35))/(LN(2)/35)*FM114*FN114*VLOOKUP('Données projet'!$B$16,Paramètres!$A$1:$I$89,3,0)*0.475*44/12</f>
        <v>0.12533725747099958</v>
      </c>
      <c r="FR114" s="21">
        <f>EXP(-LN(2)/25)*FR113+(1-EXP(-LN(2)/25))/(LN(2)/25)*Calculateur!FM114*Calculateur!FO114*VLOOKUP('Données projet'!$B$16,Paramètres!$A$1:$I$89,3,0)*0.475*44/12</f>
        <v>0.66613812550490192</v>
      </c>
      <c r="FS114" s="21">
        <f>EXP(-LN(2)/2)*FS113+(1-EXP(-LN(2)/2))/(LN(2)/2)*FM114*FP114*VLOOKUP('Données projet'!$B$16,Paramètres!$A$1:$I$89,3,0)*0.475*44/12</f>
        <v>2.9073685491405698E-12</v>
      </c>
      <c r="FT114" s="22">
        <f t="shared" si="78"/>
        <v>0.79147538297880882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5.6843418860808015E-14</v>
      </c>
      <c r="GA114" s="17">
        <f>FZ114*VLOOKUP('Données projet'!$B$17,Paramètres!$A$1:$I$89,3,0)*VLOOKUP('Données projet'!$B$17,Paramètres!$A$1:$I$89,5,0)</f>
        <v>3.3992364478763198E-14</v>
      </c>
      <c r="GB114" s="13">
        <f t="shared" si="103"/>
        <v>5.790027782444094E-13</v>
      </c>
      <c r="GC114" s="20">
        <f t="shared" si="79"/>
        <v>1.0676332069095257E-12</v>
      </c>
      <c r="GD114" s="59">
        <f t="shared" si="80"/>
        <v>293.33333333333439</v>
      </c>
      <c r="GE114" s="59">
        <f ca="1">AVERAGE(OFFSET($GD$3,0,0,'Données projet'!$E$17+1,1))-AVERAGE(OFFSET($H$3,0,0,'Données projet'!$E$17+1,1))</f>
        <v>165.39579887388538</v>
      </c>
      <c r="GF114" s="59">
        <f t="shared" si="104"/>
        <v>155.89639262545802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>
        <f>EXP(-LN(2)/35)*GL113+(1-EXP(-LN(2)/35))/(LN(2)/35)*GH114*GI114*VLOOKUP('Données projet'!$B$17,Paramètres!$A$1:$I$89,3,0)*0.475*44/12</f>
        <v>0</v>
      </c>
      <c r="GM114" s="21">
        <f>EXP(-LN(2)/25)*GM113+(1-EXP(-LN(2)/25))/(LN(2)/25)*Calculateur!GH114*Calculateur!GJ114*VLOOKUP('Données projet'!$B$17,Paramètres!$A$1:$I$89,3,0)*0.475*44/12</f>
        <v>0.77151677117241979</v>
      </c>
      <c r="GN114" s="21">
        <f>EXP(-LN(2)/2)*GN113+(1-EXP(-LN(2)/2))/(LN(2)/2)*GH114*GK114*VLOOKUP('Données projet'!$B$17,Paramètres!$A$1:$I$89,3,0)*0.475*44/12</f>
        <v>8.9263879923206789E-12</v>
      </c>
      <c r="GO114" s="21">
        <f t="shared" si="81"/>
        <v>0.77151677118134621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3.4106051316484809E-13</v>
      </c>
      <c r="O115" s="13">
        <f>N115*VLOOKUP('Données projet'!$B$9,Paramètres!$A$1:$I$89,3,0)*VLOOKUP('Données projet'!$B$9,Paramètres!$A$1:$I$89,5,0)</f>
        <v>1.9065282685915009E-13</v>
      </c>
      <c r="P115" s="13">
        <f t="shared" si="87"/>
        <v>2.6568987209435707E-12</v>
      </c>
      <c r="Q115" s="20">
        <f t="shared" si="107"/>
        <v>4.959485612423072E-12</v>
      </c>
      <c r="R115" s="59">
        <f t="shared" si="55"/>
        <v>293.33333333333826</v>
      </c>
      <c r="S115" s="59">
        <f ca="1">AVERAGE(OFFSET($R$3,0,0,'Données projet'!$E$9+1,1))-AVERAGE(OFFSET($H$3,0,0,'Données projet'!$E$9+1,1))</f>
        <v>235.10258076192054</v>
      </c>
      <c r="T115" s="59">
        <f t="shared" si="88"/>
        <v>233.47316052603765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0.67532350264761942</v>
      </c>
      <c r="AA115" s="21">
        <f>EXP(-LN(2)/25)*AA114+(1-EXP(-LN(2)/25))/(LN(2)/25)*Calculateur!V115*Calculateur!X115*VLOOKUP('Données projet'!$B$9,Paramètres!$A$1:$I$89,3,0)*0.475*44/12</f>
        <v>1.8978506751397195</v>
      </c>
      <c r="AB115" s="21">
        <f>EXP(-LN(2)/2)*AB114+(1-EXP(-LN(2)/2))/(LN(2)/2)*V115*Y115*VLOOKUP('Données projet'!$B$9,Paramètres!$A$1:$I$89,3,0)*0.475*44/12</f>
        <v>1.0969452761250019E-11</v>
      </c>
      <c r="AC115" s="22">
        <f t="shared" si="57"/>
        <v>2.5731741777983084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-8.5265128291212022E-14</v>
      </c>
      <c r="AJ115" s="13">
        <f>AI115*VLOOKUP('Données projet'!$B$10,Paramètres!$A$1:$I$89,3,0)*VLOOKUP('Données projet'!$B$10,Paramètres!$A$1:$I$89,5,0)</f>
        <v>-7.4487616075202836E-14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191.94797389630673</v>
      </c>
      <c r="AO115" s="59">
        <f t="shared" si="90"/>
        <v>273.52540822767878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0.50751584441396913</v>
      </c>
      <c r="AV115" s="21">
        <f>EXP(-LN(2)/25)*AV114+(1-EXP(-LN(2)/25))/(LN(2)/25)*Calculateur!AQ115*Calculateur!AS115*VLOOKUP('Données projet'!$B$10,Paramètres!$A$1:$I$89,3,0)*0.475*44/12</f>
        <v>1.4462413765822035</v>
      </c>
      <c r="AW115" s="21">
        <f>EXP(-LN(2)/2)*AW114+(1-EXP(-LN(2)/2))/(LN(2)/2)*AQ115*AT115*VLOOKUP('Données projet'!$B$10,Paramètres!$A$1:$I$89,3,0)*0.475*44/12</f>
        <v>1.0551531395171594E-11</v>
      </c>
      <c r="AX115" s="21">
        <f t="shared" si="60"/>
        <v>1.9537572210067242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2.8</v>
      </c>
      <c r="BD115" s="12">
        <f>IF('Données projet'!$A$88&gt;35,BD114+BC115-BL114,IF(A115&lt;'Données projet'!$A$88,$BA$205^A115,IF(A115='Données projet'!$A$88,'Données projet'!$B$88,BD114+BC115-BL114)))</f>
        <v>211.59999999999994</v>
      </c>
      <c r="BE115" s="13">
        <f>BD115*VLOOKUP('Données projet'!$B$11,Paramètres!$A$1:$I$89,3,0)*VLOOKUP('Données projet'!$B$11,Paramètres!$A$1:$I$89,5,0)</f>
        <v>191.45567999999994</v>
      </c>
      <c r="BF115" s="13">
        <f t="shared" si="91"/>
        <v>47.861639935303188</v>
      </c>
      <c r="BG115" s="20">
        <f t="shared" si="61"/>
        <v>416.81099888731961</v>
      </c>
      <c r="BH115" s="59">
        <f t="shared" si="62"/>
        <v>710.14433222065293</v>
      </c>
      <c r="BI115" s="59">
        <f ca="1">AVERAGE(OFFSET($BH$3,0,0,'Données projet'!$E$11+1,1))-AVERAGE(OFFSET($H$3,0,0,'Données projet'!$E$11+1,1))</f>
        <v>138.8931001150624</v>
      </c>
      <c r="BJ115" s="59">
        <f t="shared" si="92"/>
        <v>48.964659354096625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2.8</v>
      </c>
      <c r="BY115" s="12">
        <f>IF('Données projet'!$A$114&gt;35,BY114+BX115-CG114,IF(A115&lt;'Données projet'!$A$114,$BV$205^A115,IF(A115='Données projet'!$A$114,'Données projet'!$B$114,BY114+BX115-CG114)))</f>
        <v>211.59999999999994</v>
      </c>
      <c r="BZ115" s="13">
        <f>BY115*VLOOKUP('Données projet'!$B$12,Paramètres!$A$1:$I$89,3,0)*VLOOKUP('Données projet'!$B$12,Paramètres!$A$1:$I$89,5,0)</f>
        <v>214.56239999999994</v>
      </c>
      <c r="CA115" s="13">
        <f t="shared" si="93"/>
        <v>52.931334320900206</v>
      </c>
      <c r="CB115" s="20">
        <f t="shared" si="64"/>
        <v>465.88492060890104</v>
      </c>
      <c r="CC115" s="59">
        <f t="shared" si="65"/>
        <v>759.21825394223436</v>
      </c>
      <c r="CD115" s="59">
        <f ca="1">AVERAGE(OFFSET($CC$3,0,0,'Données projet'!$E$12+1,1))-AVERAGE(OFFSET($H$3,0,0,'Données projet'!$E$12+1,1))</f>
        <v>169.2757878405003</v>
      </c>
      <c r="CE115" s="59">
        <f t="shared" si="94"/>
        <v>61.876502626609977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-8.5265128291212022E-14</v>
      </c>
      <c r="CU115" s="17">
        <f>CT115*VLOOKUP('Données projet'!$B$13,Paramètres!$A$1:$I$89,3,0)*VLOOKUP('Données projet'!$B$13,Paramètres!$A$1:$I$89,5,0)</f>
        <v>-6.7836936068488286E-14</v>
      </c>
      <c r="CV115" s="13" t="e">
        <f t="shared" si="95"/>
        <v>#NUM!</v>
      </c>
      <c r="CW115" s="20" t="e">
        <f t="shared" si="67"/>
        <v>#NUM!</v>
      </c>
      <c r="CX115" s="59" t="e">
        <f t="shared" si="68"/>
        <v>#NUM!</v>
      </c>
      <c r="CY115" s="59">
        <f ca="1">AVERAGE(OFFSET($CX$3,0,0,'Données projet'!$E$13+1,1))-AVERAGE(OFFSET($H$3,0,0,'Données projet'!$E$13+1,1))</f>
        <v>141.12810728817544</v>
      </c>
      <c r="CZ115" s="59">
        <f t="shared" si="96"/>
        <v>176.01405805137551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>
        <f>EXP(-LN(2)/35)*DF114+(1-EXP(-LN(2)/35))/(LN(2)/35)*DB115*DC115*VLOOKUP('Données projet'!$B$13,Paramètres!$A$1:$I$89,3,0)*0.475*44/12</f>
        <v>0</v>
      </c>
      <c r="DG115" s="21">
        <f>EXP(-LN(2)/25)*DG114+(1-EXP(-LN(2)/25))/(LN(2)/25)*Calculateur!DB115*Calculateur!DD115*VLOOKUP('Données projet'!$B$13,Paramètres!$A$1:$I$89,3,0)*0.475*44/12</f>
        <v>0.69208153054633992</v>
      </c>
      <c r="DH115" s="21">
        <f>EXP(-LN(2)/2)*DH114+(1-EXP(-LN(2)/2))/(LN(2)/2)*DB115*DE115*VLOOKUP('Données projet'!$B$13,Paramètres!$A$1:$I$89,3,0)*0.475*44/12</f>
        <v>3.6403398272709498E-12</v>
      </c>
      <c r="DI115" s="22">
        <f t="shared" si="69"/>
        <v>0.69208153054998023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5.6843418860808015E-14</v>
      </c>
      <c r="DP115" s="17">
        <f>DO115*VLOOKUP('Données projet'!$B$14,Paramètres!$A$1:$I$89,3,0)*VLOOKUP('Données projet'!$B$14,Paramètres!$A$1:$I$89,5,0)</f>
        <v>3.3992364478763198E-14</v>
      </c>
      <c r="DQ115" s="13">
        <f t="shared" si="97"/>
        <v>5.790027782444094E-13</v>
      </c>
      <c r="DR115" s="20">
        <f t="shared" si="70"/>
        <v>1.0676332069095257E-12</v>
      </c>
      <c r="DS115" s="59">
        <f t="shared" si="71"/>
        <v>293.33333333333439</v>
      </c>
      <c r="DT115" s="59">
        <f ca="1">AVERAGE(OFFSET($DS$3,0,0,'Données projet'!$E$14+1,1))-AVERAGE(OFFSET($H$3,0,0,'Données projet'!$E$14+1,1))</f>
        <v>165.39579887388538</v>
      </c>
      <c r="DU115" s="59">
        <f t="shared" si="98"/>
        <v>155.89639262545802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>
        <f>EXP(-LN(2)/35)*EA114+(1-EXP(-LN(2)/35))/(LN(2)/35)*DW115*DX115*VLOOKUP('Données projet'!$B$14,Paramètres!$A$1:$I$89,3,0)*0.475*44/12</f>
        <v>0</v>
      </c>
      <c r="EB115" s="21">
        <f>EXP(-LN(2)/25)*EB114+(1-EXP(-LN(2)/25))/(LN(2)/25)*Calculateur!DW115*Calculateur!DY115*VLOOKUP('Données projet'!$B$14,Paramètres!$A$1:$I$89,3,0)*0.475*44/12</f>
        <v>0.7504196044924063</v>
      </c>
      <c r="EC115" s="21">
        <f>EXP(-LN(2)/2)*EC114+(1-EXP(-LN(2)/2))/(LN(2)/2)*DW115*DZ115*VLOOKUP('Données projet'!$B$14,Paramètres!$A$1:$I$89,3,0)*0.475*44/12</f>
        <v>6.3119094808721237E-12</v>
      </c>
      <c r="ED115" s="22">
        <f t="shared" si="72"/>
        <v>0.75041960449871825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2.8</v>
      </c>
      <c r="EJ115" s="12">
        <f>IF('Données projet'!$A$192&gt;35,EJ114+EI115-ER114,IF(A115&lt;'Données projet'!$A$192,$EG$205^A115,IF(A115='Données projet'!$A$192,'Données projet'!$B$192,EJ114+EI115-ER114)))</f>
        <v>211.59999999999994</v>
      </c>
      <c r="EK115" s="17">
        <f>EJ115*VLOOKUP('Données projet'!$B$15,Paramètres!$A$1:$I$89,3,0)*VLOOKUP('Données projet'!$B$15,Paramètres!$A$1:$I$89,5,0)</f>
        <v>165.04799999999994</v>
      </c>
      <c r="EL115" s="13">
        <f t="shared" si="99"/>
        <v>41.979039350635581</v>
      </c>
      <c r="EM115" s="20">
        <f t="shared" si="73"/>
        <v>360.57209353569016</v>
      </c>
      <c r="EN115" s="59">
        <f t="shared" si="74"/>
        <v>653.90542686902347</v>
      </c>
      <c r="EO115" s="59">
        <f ca="1">AVERAGE(OFFSET($EN$3,0,0,'Données projet'!$E$15+1,1))-AVERAGE(OFFSET($H$3,0,0,'Données projet'!$E$15+1,1))</f>
        <v>104.07220236158577</v>
      </c>
      <c r="EP115" s="59">
        <f t="shared" si="100"/>
        <v>34.162068257911756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>
        <f>EXP(-LN(2)/35)*EV114+(1-EXP(-LN(2)/35))/(LN(2)/35)*ER115*ES115*VLOOKUP('Données projet'!$B$15,Paramètres!$A$1:$I$89,3,0)*0.475*44/12</f>
        <v>0</v>
      </c>
      <c r="EW115" s="21">
        <f>EXP(-LN(2)/25)*EW114+(1-EXP(-LN(2)/25))/(LN(2)/25)*Calculateur!ER115*Calculateur!ET115*VLOOKUP('Données projet'!$B$15,Paramètres!$A$1:$I$89,3,0)*0.475*44/12</f>
        <v>0</v>
      </c>
      <c r="EX115" s="21">
        <f>EXP(-LN(2)/2)*EX114+(1-EXP(-LN(2)/2))/(LN(2)/2)*ER115*EU115*VLOOKUP('Données projet'!$B$15,Paramètres!$A$1:$I$89,3,0)*0.475*44/12</f>
        <v>0</v>
      </c>
      <c r="EY115" s="22">
        <f t="shared" si="75"/>
        <v>0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5.6843418860808015E-14</v>
      </c>
      <c r="FF115" s="17">
        <f>FE115*VLOOKUP('Données projet'!$B$16,Paramètres!$A$1:$I$89,3,0)*VLOOKUP('Données projet'!$B$16,Paramètres!$A$1:$I$89,5,0)</f>
        <v>5.1431925385259088E-14</v>
      </c>
      <c r="FG115" s="13">
        <f t="shared" si="101"/>
        <v>8.3482866290946129E-13</v>
      </c>
      <c r="FH115" s="20">
        <f t="shared" si="76"/>
        <v>1.5435705246133045E-12</v>
      </c>
      <c r="FI115" s="59">
        <f t="shared" si="77"/>
        <v>293.33333333333485</v>
      </c>
      <c r="FJ115" s="59">
        <f ca="1">AVERAGE(OFFSET($FI$3,0,0,'Données projet'!$E$16+1,1))-AVERAGE(OFFSET($H$3,0,0,'Données projet'!$E$16+1,1))</f>
        <v>179.50097986986123</v>
      </c>
      <c r="FK115" s="59">
        <f t="shared" si="102"/>
        <v>287.11838730637578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>
        <f>EXP(-LN(2)/35)*FQ114+(1-EXP(-LN(2)/35))/(LN(2)/35)*FM115*FN115*VLOOKUP('Données projet'!$B$16,Paramètres!$A$1:$I$89,3,0)*0.475*44/12</f>
        <v>0.12287947030017171</v>
      </c>
      <c r="FR115" s="21">
        <f>EXP(-LN(2)/25)*FR114+(1-EXP(-LN(2)/25))/(LN(2)/25)*Calculateur!FM115*Calculateur!FO115*VLOOKUP('Données projet'!$B$16,Paramètres!$A$1:$I$89,3,0)*0.475*44/12</f>
        <v>0.64792254343228883</v>
      </c>
      <c r="FS115" s="21">
        <f>EXP(-LN(2)/2)*FS114+(1-EXP(-LN(2)/2))/(LN(2)/2)*FM115*FP115*VLOOKUP('Données projet'!$B$16,Paramètres!$A$1:$I$89,3,0)*0.475*44/12</f>
        <v>2.055820016505791E-12</v>
      </c>
      <c r="FT115" s="22">
        <f t="shared" si="78"/>
        <v>0.77080201373451629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5.6843418860808015E-14</v>
      </c>
      <c r="GA115" s="17">
        <f>FZ115*VLOOKUP('Données projet'!$B$17,Paramètres!$A$1:$I$89,3,0)*VLOOKUP('Données projet'!$B$17,Paramètres!$A$1:$I$89,5,0)</f>
        <v>3.3992364478763198E-14</v>
      </c>
      <c r="GB115" s="13">
        <f t="shared" si="103"/>
        <v>5.790027782444094E-13</v>
      </c>
      <c r="GC115" s="20">
        <f t="shared" si="79"/>
        <v>1.0676332069095257E-12</v>
      </c>
      <c r="GD115" s="59">
        <f t="shared" si="80"/>
        <v>293.33333333333439</v>
      </c>
      <c r="GE115" s="59">
        <f ca="1">AVERAGE(OFFSET($GD$3,0,0,'Données projet'!$E$17+1,1))-AVERAGE(OFFSET($H$3,0,0,'Données projet'!$E$17+1,1))</f>
        <v>165.39579887388538</v>
      </c>
      <c r="GF115" s="59">
        <f t="shared" si="104"/>
        <v>155.89639262545802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>
        <f>EXP(-LN(2)/35)*GL114+(1-EXP(-LN(2)/35))/(LN(2)/35)*GH115*GI115*VLOOKUP('Données projet'!$B$17,Paramètres!$A$1:$I$89,3,0)*0.475*44/12</f>
        <v>0</v>
      </c>
      <c r="GM115" s="21">
        <f>EXP(-LN(2)/25)*GM114+(1-EXP(-LN(2)/25))/(LN(2)/25)*Calculateur!GH115*Calculateur!GJ115*VLOOKUP('Données projet'!$B$17,Paramètres!$A$1:$I$89,3,0)*0.475*44/12</f>
        <v>0.7504196044924063</v>
      </c>
      <c r="GN115" s="21">
        <f>EXP(-LN(2)/2)*GN114+(1-EXP(-LN(2)/2))/(LN(2)/2)*GH115*GK115*VLOOKUP('Données projet'!$B$17,Paramètres!$A$1:$I$89,3,0)*0.475*44/12</f>
        <v>6.3119094808721237E-12</v>
      </c>
      <c r="GO115" s="21">
        <f t="shared" si="81"/>
        <v>0.75041960449871825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3.4106051316484809E-13</v>
      </c>
      <c r="O116" s="13">
        <f>N116*VLOOKUP('Données projet'!$B$9,Paramètres!$A$1:$I$89,3,0)*VLOOKUP('Données projet'!$B$9,Paramètres!$A$1:$I$89,5,0)</f>
        <v>1.9065282685915009E-13</v>
      </c>
      <c r="P116" s="13">
        <f t="shared" si="87"/>
        <v>2.6568987209435707E-12</v>
      </c>
      <c r="Q116" s="20">
        <f t="shared" si="107"/>
        <v>4.959485612423072E-12</v>
      </c>
      <c r="R116" s="59">
        <f t="shared" si="55"/>
        <v>293.33333333333826</v>
      </c>
      <c r="S116" s="59">
        <f ca="1">AVERAGE(OFFSET($R$3,0,0,'Données projet'!$E$9+1,1))-AVERAGE(OFFSET($H$3,0,0,'Données projet'!$E$9+1,1))</f>
        <v>235.10258076192054</v>
      </c>
      <c r="T116" s="59">
        <f t="shared" si="88"/>
        <v>233.47316052603765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0.66208082066736385</v>
      </c>
      <c r="AA116" s="21">
        <f>EXP(-LN(2)/25)*AA115+(1-EXP(-LN(2)/25))/(LN(2)/25)*Calculateur!V116*Calculateur!X116*VLOOKUP('Données projet'!$B$9,Paramètres!$A$1:$I$89,3,0)*0.475*44/12</f>
        <v>1.8459538486243945</v>
      </c>
      <c r="AB116" s="21">
        <f>EXP(-LN(2)/2)*AB115+(1-EXP(-LN(2)/2))/(LN(2)/2)*V116*Y116*VLOOKUP('Données projet'!$B$9,Paramètres!$A$1:$I$89,3,0)*0.475*44/12</f>
        <v>7.7565744333853868E-12</v>
      </c>
      <c r="AC116" s="22">
        <f t="shared" si="57"/>
        <v>2.5080346692995148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-8.5265128291212022E-14</v>
      </c>
      <c r="AJ116" s="13">
        <f>AI116*VLOOKUP('Données projet'!$B$10,Paramètres!$A$1:$I$89,3,0)*VLOOKUP('Données projet'!$B$10,Paramètres!$A$1:$I$89,5,0)</f>
        <v>-7.4487616075202836E-14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191.94797389630673</v>
      </c>
      <c r="AO116" s="59">
        <f t="shared" si="90"/>
        <v>273.52540822767878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0.49756376825911036</v>
      </c>
      <c r="AV116" s="21">
        <f>EXP(-LN(2)/25)*AV115+(1-EXP(-LN(2)/25))/(LN(2)/25)*Calculateur!AQ116*Calculateur!AS116*VLOOKUP('Données projet'!$B$10,Paramètres!$A$1:$I$89,3,0)*0.475*44/12</f>
        <v>1.4066938300850347</v>
      </c>
      <c r="AW116" s="21">
        <f>EXP(-LN(2)/2)*AW115+(1-EXP(-LN(2)/2))/(LN(2)/2)*AQ116*AT116*VLOOKUP('Données projet'!$B$10,Paramètres!$A$1:$I$89,3,0)*0.475*44/12</f>
        <v>7.4610594014285863E-12</v>
      </c>
      <c r="AX116" s="21">
        <f t="shared" si="60"/>
        <v>1.9042575983516061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2.8</v>
      </c>
      <c r="BD116" s="12">
        <f>IF('Données projet'!$A$88&gt;35,BD115+BC116-BL115,IF(A116&lt;'Données projet'!$A$88,$BA$205^A116,IF(A116='Données projet'!$A$88,'Données projet'!$B$88,BD115+BC116-BL115)))</f>
        <v>214.39999999999995</v>
      </c>
      <c r="BE116" s="13">
        <f>BD116*VLOOKUP('Données projet'!$B$11,Paramètres!$A$1:$I$89,3,0)*VLOOKUP('Données projet'!$B$11,Paramètres!$A$1:$I$89,5,0)</f>
        <v>193.98911999999996</v>
      </c>
      <c r="BF116" s="13">
        <f t="shared" si="91"/>
        <v>48.420821305775434</v>
      </c>
      <c r="BG116" s="20">
        <f t="shared" si="61"/>
        <v>422.19731444089211</v>
      </c>
      <c r="BH116" s="59">
        <f t="shared" si="62"/>
        <v>715.53064777422537</v>
      </c>
      <c r="BI116" s="59">
        <f ca="1">AVERAGE(OFFSET($BH$3,0,0,'Données projet'!$E$11+1,1))-AVERAGE(OFFSET($H$3,0,0,'Données projet'!$E$11+1,1))</f>
        <v>138.8931001150624</v>
      </c>
      <c r="BJ116" s="59">
        <f t="shared" si="92"/>
        <v>48.964659354096625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2.8</v>
      </c>
      <c r="BY116" s="12">
        <f>IF('Données projet'!$A$114&gt;35,BY115+BX116-CG115,IF(A116&lt;'Données projet'!$A$114,$BV$205^A116,IF(A116='Données projet'!$A$114,'Données projet'!$B$114,BY115+BX116-CG115)))</f>
        <v>214.39999999999995</v>
      </c>
      <c r="BZ116" s="13">
        <f>BY116*VLOOKUP('Données projet'!$B$12,Paramètres!$A$1:$I$89,3,0)*VLOOKUP('Données projet'!$B$12,Paramètres!$A$1:$I$89,5,0)</f>
        <v>217.40159999999997</v>
      </c>
      <c r="CA116" s="13">
        <f t="shared" si="93"/>
        <v>53.549746395925119</v>
      </c>
      <c r="CB116" s="20">
        <f t="shared" si="64"/>
        <v>471.90692830623624</v>
      </c>
      <c r="CC116" s="59">
        <f t="shared" si="65"/>
        <v>765.24026163956955</v>
      </c>
      <c r="CD116" s="59">
        <f ca="1">AVERAGE(OFFSET($CC$3,0,0,'Données projet'!$E$12+1,1))-AVERAGE(OFFSET($H$3,0,0,'Données projet'!$E$12+1,1))</f>
        <v>169.2757878405003</v>
      </c>
      <c r="CE116" s="59">
        <f t="shared" si="94"/>
        <v>61.876502626609977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-8.5265128291212022E-14</v>
      </c>
      <c r="CU116" s="17">
        <f>CT116*VLOOKUP('Données projet'!$B$13,Paramètres!$A$1:$I$89,3,0)*VLOOKUP('Données projet'!$B$13,Paramètres!$A$1:$I$89,5,0)</f>
        <v>-6.7836936068488286E-14</v>
      </c>
      <c r="CV116" s="13" t="e">
        <f t="shared" si="95"/>
        <v>#NUM!</v>
      </c>
      <c r="CW116" s="20" t="e">
        <f t="shared" si="67"/>
        <v>#NUM!</v>
      </c>
      <c r="CX116" s="59" t="e">
        <f t="shared" si="68"/>
        <v>#NUM!</v>
      </c>
      <c r="CY116" s="59">
        <f ca="1">AVERAGE(OFFSET($CX$3,0,0,'Données projet'!$E$13+1,1))-AVERAGE(OFFSET($H$3,0,0,'Données projet'!$E$13+1,1))</f>
        <v>141.12810728817544</v>
      </c>
      <c r="CZ116" s="59">
        <f t="shared" si="96"/>
        <v>176.01405805137551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>
        <f>EXP(-LN(2)/35)*DF115+(1-EXP(-LN(2)/35))/(LN(2)/35)*DB116*DC116*VLOOKUP('Données projet'!$B$13,Paramètres!$A$1:$I$89,3,0)*0.475*44/12</f>
        <v>0</v>
      </c>
      <c r="DG116" s="21">
        <f>EXP(-LN(2)/25)*DG115+(1-EXP(-LN(2)/25))/(LN(2)/25)*Calculateur!DB116*Calculateur!DD116*VLOOKUP('Données projet'!$B$13,Paramètres!$A$1:$I$89,3,0)*0.475*44/12</f>
        <v>0.67315652469856435</v>
      </c>
      <c r="DH116" s="21">
        <f>EXP(-LN(2)/2)*DH115+(1-EXP(-LN(2)/2))/(LN(2)/2)*DB116*DE116*VLOOKUP('Données projet'!$B$13,Paramètres!$A$1:$I$89,3,0)*0.475*44/12</f>
        <v>2.5741089776867538E-12</v>
      </c>
      <c r="DI116" s="22">
        <f t="shared" si="69"/>
        <v>0.67315652470113851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5.6843418860808015E-14</v>
      </c>
      <c r="DP116" s="17">
        <f>DO116*VLOOKUP('Données projet'!$B$14,Paramètres!$A$1:$I$89,3,0)*VLOOKUP('Données projet'!$B$14,Paramètres!$A$1:$I$89,5,0)</f>
        <v>3.3992364478763198E-14</v>
      </c>
      <c r="DQ116" s="13">
        <f t="shared" si="97"/>
        <v>5.790027782444094E-13</v>
      </c>
      <c r="DR116" s="20">
        <f t="shared" si="70"/>
        <v>1.0676332069095257E-12</v>
      </c>
      <c r="DS116" s="59">
        <f t="shared" si="71"/>
        <v>293.33333333333439</v>
      </c>
      <c r="DT116" s="59">
        <f ca="1">AVERAGE(OFFSET($DS$3,0,0,'Données projet'!$E$14+1,1))-AVERAGE(OFFSET($H$3,0,0,'Données projet'!$E$14+1,1))</f>
        <v>165.39579887388538</v>
      </c>
      <c r="DU116" s="59">
        <f t="shared" si="98"/>
        <v>155.89639262545802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>
        <f>EXP(-LN(2)/35)*EA115+(1-EXP(-LN(2)/35))/(LN(2)/35)*DW116*DX116*VLOOKUP('Données projet'!$B$14,Paramètres!$A$1:$I$89,3,0)*0.475*44/12</f>
        <v>0</v>
      </c>
      <c r="EB116" s="21">
        <f>EXP(-LN(2)/25)*EB115+(1-EXP(-LN(2)/25))/(LN(2)/25)*Calculateur!DW116*Calculateur!DY116*VLOOKUP('Données projet'!$B$14,Paramètres!$A$1:$I$89,3,0)*0.475*44/12</f>
        <v>0.72989934094470954</v>
      </c>
      <c r="EC116" s="21">
        <f>EXP(-LN(2)/2)*EC115+(1-EXP(-LN(2)/2))/(LN(2)/2)*DW116*DZ116*VLOOKUP('Données projet'!$B$14,Paramètres!$A$1:$I$89,3,0)*0.475*44/12</f>
        <v>4.4631939961603395E-12</v>
      </c>
      <c r="ED116" s="22">
        <f t="shared" si="72"/>
        <v>0.72989934094917275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2.8</v>
      </c>
      <c r="EJ116" s="12">
        <f>IF('Données projet'!$A$192&gt;35,EJ115+EI116-ER115,IF(A116&lt;'Données projet'!$A$192,$EG$205^A116,IF(A116='Données projet'!$A$192,'Données projet'!$B$192,EJ115+EI116-ER115)))</f>
        <v>214.39999999999995</v>
      </c>
      <c r="EK116" s="17">
        <f>EJ116*VLOOKUP('Données projet'!$B$15,Paramètres!$A$1:$I$89,3,0)*VLOOKUP('Données projet'!$B$15,Paramètres!$A$1:$I$89,5,0)</f>
        <v>167.23199999999997</v>
      </c>
      <c r="EL116" s="13">
        <f t="shared" si="99"/>
        <v>42.469492598516922</v>
      </c>
      <c r="EM116" s="20">
        <f t="shared" si="73"/>
        <v>365.23009960908354</v>
      </c>
      <c r="EN116" s="59">
        <f t="shared" si="74"/>
        <v>658.56343294241685</v>
      </c>
      <c r="EO116" s="59">
        <f ca="1">AVERAGE(OFFSET($EN$3,0,0,'Données projet'!$E$15+1,1))-AVERAGE(OFFSET($H$3,0,0,'Données projet'!$E$15+1,1))</f>
        <v>104.07220236158577</v>
      </c>
      <c r="EP116" s="59">
        <f t="shared" si="100"/>
        <v>34.162068257911756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>
        <f>EXP(-LN(2)/35)*EV115+(1-EXP(-LN(2)/35))/(LN(2)/35)*ER116*ES116*VLOOKUP('Données projet'!$B$15,Paramètres!$A$1:$I$89,3,0)*0.475*44/12</f>
        <v>0</v>
      </c>
      <c r="EW116" s="21">
        <f>EXP(-LN(2)/25)*EW115+(1-EXP(-LN(2)/25))/(LN(2)/25)*Calculateur!ER116*Calculateur!ET116*VLOOKUP('Données projet'!$B$15,Paramètres!$A$1:$I$89,3,0)*0.475*44/12</f>
        <v>0</v>
      </c>
      <c r="EX116" s="21">
        <f>EXP(-LN(2)/2)*EX115+(1-EXP(-LN(2)/2))/(LN(2)/2)*ER116*EU116*VLOOKUP('Données projet'!$B$15,Paramètres!$A$1:$I$89,3,0)*0.475*44/12</f>
        <v>0</v>
      </c>
      <c r="EY116" s="22">
        <f t="shared" si="75"/>
        <v>0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5.6843418860808015E-14</v>
      </c>
      <c r="FF116" s="17">
        <f>FE116*VLOOKUP('Données projet'!$B$16,Paramètres!$A$1:$I$89,3,0)*VLOOKUP('Données projet'!$B$16,Paramètres!$A$1:$I$89,5,0)</f>
        <v>5.1431925385259088E-14</v>
      </c>
      <c r="FG116" s="13">
        <f t="shared" si="101"/>
        <v>8.3482866290946129E-13</v>
      </c>
      <c r="FH116" s="20">
        <f t="shared" si="76"/>
        <v>1.5435705246133045E-12</v>
      </c>
      <c r="FI116" s="59">
        <f t="shared" si="77"/>
        <v>293.33333333333485</v>
      </c>
      <c r="FJ116" s="59">
        <f ca="1">AVERAGE(OFFSET($FI$3,0,0,'Données projet'!$E$16+1,1))-AVERAGE(OFFSET($H$3,0,0,'Données projet'!$E$16+1,1))</f>
        <v>179.50097986986123</v>
      </c>
      <c r="FK116" s="59">
        <f t="shared" si="102"/>
        <v>287.11838730637578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>
        <f>EXP(-LN(2)/35)*FQ115+(1-EXP(-LN(2)/35))/(LN(2)/35)*FM116*FN116*VLOOKUP('Données projet'!$B$16,Paramètres!$A$1:$I$89,3,0)*0.475*44/12</f>
        <v>0.12046987883666162</v>
      </c>
      <c r="FR116" s="21">
        <f>EXP(-LN(2)/25)*FR115+(1-EXP(-LN(2)/25))/(LN(2)/25)*Calculateur!FM116*Calculateur!FO116*VLOOKUP('Données projet'!$B$16,Paramètres!$A$1:$I$89,3,0)*0.475*44/12</f>
        <v>0.63020506740936721</v>
      </c>
      <c r="FS116" s="21">
        <f>EXP(-LN(2)/2)*FS115+(1-EXP(-LN(2)/2))/(LN(2)/2)*FM116*FP116*VLOOKUP('Données projet'!$B$16,Paramètres!$A$1:$I$89,3,0)*0.475*44/12</f>
        <v>1.4536842745702849E-12</v>
      </c>
      <c r="FT116" s="22">
        <f t="shared" si="78"/>
        <v>0.75067494624748254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5.6843418860808015E-14</v>
      </c>
      <c r="GA116" s="17">
        <f>FZ116*VLOOKUP('Données projet'!$B$17,Paramètres!$A$1:$I$89,3,0)*VLOOKUP('Données projet'!$B$17,Paramètres!$A$1:$I$89,5,0)</f>
        <v>3.3992364478763198E-14</v>
      </c>
      <c r="GB116" s="13">
        <f t="shared" si="103"/>
        <v>5.790027782444094E-13</v>
      </c>
      <c r="GC116" s="20">
        <f t="shared" si="79"/>
        <v>1.0676332069095257E-12</v>
      </c>
      <c r="GD116" s="59">
        <f t="shared" si="80"/>
        <v>293.33333333333439</v>
      </c>
      <c r="GE116" s="59">
        <f ca="1">AVERAGE(OFFSET($GD$3,0,0,'Données projet'!$E$17+1,1))-AVERAGE(OFFSET($H$3,0,0,'Données projet'!$E$17+1,1))</f>
        <v>165.39579887388538</v>
      </c>
      <c r="GF116" s="59">
        <f t="shared" si="104"/>
        <v>155.89639262545802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>
        <f>EXP(-LN(2)/35)*GL115+(1-EXP(-LN(2)/35))/(LN(2)/35)*GH116*GI116*VLOOKUP('Données projet'!$B$17,Paramètres!$A$1:$I$89,3,0)*0.475*44/12</f>
        <v>0</v>
      </c>
      <c r="GM116" s="21">
        <f>EXP(-LN(2)/25)*GM115+(1-EXP(-LN(2)/25))/(LN(2)/25)*Calculateur!GH116*Calculateur!GJ116*VLOOKUP('Données projet'!$B$17,Paramètres!$A$1:$I$89,3,0)*0.475*44/12</f>
        <v>0.72989934094470954</v>
      </c>
      <c r="GN116" s="21">
        <f>EXP(-LN(2)/2)*GN115+(1-EXP(-LN(2)/2))/(LN(2)/2)*GH116*GK116*VLOOKUP('Données projet'!$B$17,Paramètres!$A$1:$I$89,3,0)*0.475*44/12</f>
        <v>4.4631939961603395E-12</v>
      </c>
      <c r="GO116" s="21">
        <f t="shared" si="81"/>
        <v>0.72989934094917275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3.4106051316484809E-13</v>
      </c>
      <c r="O117" s="13">
        <f>N117*VLOOKUP('Données projet'!$B$9,Paramètres!$A$1:$I$89,3,0)*VLOOKUP('Données projet'!$B$9,Paramètres!$A$1:$I$89,5,0)</f>
        <v>1.9065282685915009E-13</v>
      </c>
      <c r="P117" s="13">
        <f t="shared" si="87"/>
        <v>2.6568987209435707E-12</v>
      </c>
      <c r="Q117" s="20">
        <f t="shared" si="107"/>
        <v>4.959485612423072E-12</v>
      </c>
      <c r="R117" s="59">
        <f t="shared" si="55"/>
        <v>293.33333333333826</v>
      </c>
      <c r="S117" s="59">
        <f ca="1">AVERAGE(OFFSET($R$3,0,0,'Données projet'!$E$9+1,1))-AVERAGE(OFFSET($H$3,0,0,'Données projet'!$E$9+1,1))</f>
        <v>235.10258076192054</v>
      </c>
      <c r="T117" s="59">
        <f t="shared" si="88"/>
        <v>233.47316052603765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0.64909781960350266</v>
      </c>
      <c r="AA117" s="21">
        <f>EXP(-LN(2)/25)*AA116+(1-EXP(-LN(2)/25))/(LN(2)/25)*Calculateur!V117*Calculateur!X117*VLOOKUP('Données projet'!$B$9,Paramètres!$A$1:$I$89,3,0)*0.475*44/12</f>
        <v>1.7954761435592665</v>
      </c>
      <c r="AB117" s="21">
        <f>EXP(-LN(2)/2)*AB116+(1-EXP(-LN(2)/2))/(LN(2)/2)*V117*Y117*VLOOKUP('Données projet'!$B$9,Paramètres!$A$1:$I$89,3,0)*0.475*44/12</f>
        <v>5.4847263806250096E-12</v>
      </c>
      <c r="AC117" s="22">
        <f t="shared" si="57"/>
        <v>2.4445739631682541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-8.5265128291212022E-14</v>
      </c>
      <c r="AJ117" s="13">
        <f>AI117*VLOOKUP('Données projet'!$B$10,Paramètres!$A$1:$I$89,3,0)*VLOOKUP('Données projet'!$B$10,Paramètres!$A$1:$I$89,5,0)</f>
        <v>-7.4487616075202836E-14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191.94797389630673</v>
      </c>
      <c r="AO117" s="59">
        <f t="shared" si="90"/>
        <v>273.52540822767878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0.48780684624748127</v>
      </c>
      <c r="AV117" s="21">
        <f>EXP(-LN(2)/25)*AV116+(1-EXP(-LN(2)/25))/(LN(2)/25)*Calculateur!AQ117*Calculateur!AS117*VLOOKUP('Données projet'!$B$10,Paramètres!$A$1:$I$89,3,0)*0.475*44/12</f>
        <v>1.3682277133265459</v>
      </c>
      <c r="AW117" s="21">
        <f>EXP(-LN(2)/2)*AW116+(1-EXP(-LN(2)/2))/(LN(2)/2)*AQ117*AT117*VLOOKUP('Données projet'!$B$10,Paramètres!$A$1:$I$89,3,0)*0.475*44/12</f>
        <v>5.2757656975857968E-12</v>
      </c>
      <c r="AX117" s="21">
        <f t="shared" si="60"/>
        <v>1.8560345595793031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2.8</v>
      </c>
      <c r="BD117" s="12">
        <f>IF('Données projet'!$A$88&gt;35,BD116+BC117-BL116,IF(A117&lt;'Données projet'!$A$88,$BA$205^A117,IF(A117='Données projet'!$A$88,'Données projet'!$B$88,BD116+BC117-BL116)))</f>
        <v>217.19999999999996</v>
      </c>
      <c r="BE117" s="13">
        <f>BD117*VLOOKUP('Données projet'!$B$11,Paramètres!$A$1:$I$89,3,0)*VLOOKUP('Données projet'!$B$11,Paramètres!$A$1:$I$89,5,0)</f>
        <v>196.52255999999997</v>
      </c>
      <c r="BF117" s="13">
        <f t="shared" si="91"/>
        <v>48.979153257338155</v>
      </c>
      <c r="BG117" s="20">
        <f t="shared" si="61"/>
        <v>427.58215058986383</v>
      </c>
      <c r="BH117" s="59">
        <f t="shared" si="62"/>
        <v>720.91548392319714</v>
      </c>
      <c r="BI117" s="59">
        <f ca="1">AVERAGE(OFFSET($BH$3,0,0,'Données projet'!$E$11+1,1))-AVERAGE(OFFSET($H$3,0,0,'Données projet'!$E$11+1,1))</f>
        <v>138.8931001150624</v>
      </c>
      <c r="BJ117" s="59">
        <f t="shared" si="92"/>
        <v>48.964659354096625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2.8</v>
      </c>
      <c r="BY117" s="12">
        <f>IF('Données projet'!$A$114&gt;35,BY116+BX117-CG116,IF(A117&lt;'Données projet'!$A$114,$BV$205^A117,IF(A117='Données projet'!$A$114,'Données projet'!$B$114,BY116+BX117-CG116)))</f>
        <v>217.19999999999996</v>
      </c>
      <c r="BZ117" s="13">
        <f>BY117*VLOOKUP('Données projet'!$B$12,Paramètres!$A$1:$I$89,3,0)*VLOOKUP('Données projet'!$B$12,Paramètres!$A$1:$I$89,5,0)</f>
        <v>220.24079999999998</v>
      </c>
      <c r="CA117" s="13">
        <f t="shared" si="93"/>
        <v>54.167219078226751</v>
      </c>
      <c r="CB117" s="20">
        <f t="shared" si="64"/>
        <v>477.92729989457825</v>
      </c>
      <c r="CC117" s="59">
        <f t="shared" si="65"/>
        <v>771.26063322791151</v>
      </c>
      <c r="CD117" s="59">
        <f ca="1">AVERAGE(OFFSET($CC$3,0,0,'Données projet'!$E$12+1,1))-AVERAGE(OFFSET($H$3,0,0,'Données projet'!$E$12+1,1))</f>
        <v>169.2757878405003</v>
      </c>
      <c r="CE117" s="59">
        <f t="shared" si="94"/>
        <v>61.876502626609977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-8.5265128291212022E-14</v>
      </c>
      <c r="CU117" s="17">
        <f>CT117*VLOOKUP('Données projet'!$B$13,Paramètres!$A$1:$I$89,3,0)*VLOOKUP('Données projet'!$B$13,Paramètres!$A$1:$I$89,5,0)</f>
        <v>-6.7836936068488286E-14</v>
      </c>
      <c r="CV117" s="13" t="e">
        <f t="shared" si="95"/>
        <v>#NUM!</v>
      </c>
      <c r="CW117" s="20" t="e">
        <f t="shared" si="67"/>
        <v>#NUM!</v>
      </c>
      <c r="CX117" s="59" t="e">
        <f t="shared" si="68"/>
        <v>#NUM!</v>
      </c>
      <c r="CY117" s="59">
        <f ca="1">AVERAGE(OFFSET($CX$3,0,0,'Données projet'!$E$13+1,1))-AVERAGE(OFFSET($H$3,0,0,'Données projet'!$E$13+1,1))</f>
        <v>141.12810728817544</v>
      </c>
      <c r="CZ117" s="59">
        <f t="shared" si="96"/>
        <v>176.01405805137551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>
        <f>EXP(-LN(2)/35)*DF116+(1-EXP(-LN(2)/35))/(LN(2)/35)*DB117*DC117*VLOOKUP('Données projet'!$B$13,Paramètres!$A$1:$I$89,3,0)*0.475*44/12</f>
        <v>0</v>
      </c>
      <c r="DG117" s="21">
        <f>EXP(-LN(2)/25)*DG116+(1-EXP(-LN(2)/25))/(LN(2)/25)*Calculateur!DB117*Calculateur!DD117*VLOOKUP('Données projet'!$B$13,Paramètres!$A$1:$I$89,3,0)*0.475*44/12</f>
        <v>0.65474902413091896</v>
      </c>
      <c r="DH117" s="21">
        <f>EXP(-LN(2)/2)*DH116+(1-EXP(-LN(2)/2))/(LN(2)/2)*DB117*DE117*VLOOKUP('Données projet'!$B$13,Paramètres!$A$1:$I$89,3,0)*0.475*44/12</f>
        <v>1.8201699136354749E-12</v>
      </c>
      <c r="DI117" s="22">
        <f t="shared" si="69"/>
        <v>0.65474902413273917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5.6843418860808015E-14</v>
      </c>
      <c r="DP117" s="17">
        <f>DO117*VLOOKUP('Données projet'!$B$14,Paramètres!$A$1:$I$89,3,0)*VLOOKUP('Données projet'!$B$14,Paramètres!$A$1:$I$89,5,0)</f>
        <v>3.3992364478763198E-14</v>
      </c>
      <c r="DQ117" s="13">
        <f t="shared" si="97"/>
        <v>5.790027782444094E-13</v>
      </c>
      <c r="DR117" s="20">
        <f t="shared" si="70"/>
        <v>1.0676332069095257E-12</v>
      </c>
      <c r="DS117" s="59">
        <f t="shared" si="71"/>
        <v>293.33333333333439</v>
      </c>
      <c r="DT117" s="59">
        <f ca="1">AVERAGE(OFFSET($DS$3,0,0,'Données projet'!$E$14+1,1))-AVERAGE(OFFSET($H$3,0,0,'Données projet'!$E$14+1,1))</f>
        <v>165.39579887388538</v>
      </c>
      <c r="DU117" s="59">
        <f t="shared" si="98"/>
        <v>155.89639262545802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>
        <f>EXP(-LN(2)/35)*EA116+(1-EXP(-LN(2)/35))/(LN(2)/35)*DW117*DX117*VLOOKUP('Données projet'!$B$14,Paramètres!$A$1:$I$89,3,0)*0.475*44/12</f>
        <v>0</v>
      </c>
      <c r="EB117" s="21">
        <f>EXP(-LN(2)/25)*EB116+(1-EXP(-LN(2)/25))/(LN(2)/25)*Calculateur!DW117*Calculateur!DY117*VLOOKUP('Données projet'!$B$14,Paramètres!$A$1:$I$89,3,0)*0.475*44/12</f>
        <v>0.70994020508283828</v>
      </c>
      <c r="EC117" s="21">
        <f>EXP(-LN(2)/2)*EC116+(1-EXP(-LN(2)/2))/(LN(2)/2)*DW117*DZ117*VLOOKUP('Données projet'!$B$14,Paramètres!$A$1:$I$89,3,0)*0.475*44/12</f>
        <v>3.1559547404360618E-12</v>
      </c>
      <c r="ED117" s="22">
        <f t="shared" si="72"/>
        <v>0.7099402050859942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2.8</v>
      </c>
      <c r="EJ117" s="12">
        <f>IF('Données projet'!$A$192&gt;35,EJ116+EI117-ER116,IF(A117&lt;'Données projet'!$A$192,$EG$205^A117,IF(A117='Données projet'!$A$192,'Données projet'!$B$192,EJ116+EI117-ER116)))</f>
        <v>217.19999999999996</v>
      </c>
      <c r="EK117" s="17">
        <f>EJ117*VLOOKUP('Données projet'!$B$15,Paramètres!$A$1:$I$89,3,0)*VLOOKUP('Données projet'!$B$15,Paramètres!$A$1:$I$89,5,0)</f>
        <v>169.41599999999997</v>
      </c>
      <c r="EL117" s="13">
        <f t="shared" si="99"/>
        <v>42.959200828261054</v>
      </c>
      <c r="EM117" s="20">
        <f t="shared" si="73"/>
        <v>369.88680810922125</v>
      </c>
      <c r="EN117" s="59">
        <f t="shared" si="74"/>
        <v>663.22014144255456</v>
      </c>
      <c r="EO117" s="59">
        <f ca="1">AVERAGE(OFFSET($EN$3,0,0,'Données projet'!$E$15+1,1))-AVERAGE(OFFSET($H$3,0,0,'Données projet'!$E$15+1,1))</f>
        <v>104.07220236158577</v>
      </c>
      <c r="EP117" s="59">
        <f t="shared" si="100"/>
        <v>34.162068257911756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>
        <f>EXP(-LN(2)/35)*EV116+(1-EXP(-LN(2)/35))/(LN(2)/35)*ER117*ES117*VLOOKUP('Données projet'!$B$15,Paramètres!$A$1:$I$89,3,0)*0.475*44/12</f>
        <v>0</v>
      </c>
      <c r="EW117" s="21">
        <f>EXP(-LN(2)/25)*EW116+(1-EXP(-LN(2)/25))/(LN(2)/25)*Calculateur!ER117*Calculateur!ET117*VLOOKUP('Données projet'!$B$15,Paramètres!$A$1:$I$89,3,0)*0.475*44/12</f>
        <v>0</v>
      </c>
      <c r="EX117" s="21">
        <f>EXP(-LN(2)/2)*EX116+(1-EXP(-LN(2)/2))/(LN(2)/2)*ER117*EU117*VLOOKUP('Données projet'!$B$15,Paramètres!$A$1:$I$89,3,0)*0.475*44/12</f>
        <v>0</v>
      </c>
      <c r="EY117" s="22">
        <f t="shared" si="75"/>
        <v>0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5.6843418860808015E-14</v>
      </c>
      <c r="FF117" s="17">
        <f>FE117*VLOOKUP('Données projet'!$B$16,Paramètres!$A$1:$I$89,3,0)*VLOOKUP('Données projet'!$B$16,Paramètres!$A$1:$I$89,5,0)</f>
        <v>5.1431925385259088E-14</v>
      </c>
      <c r="FG117" s="13">
        <f t="shared" si="101"/>
        <v>8.3482866290946129E-13</v>
      </c>
      <c r="FH117" s="20">
        <f t="shared" si="76"/>
        <v>1.5435705246133045E-12</v>
      </c>
      <c r="FI117" s="59">
        <f t="shared" si="77"/>
        <v>293.33333333333485</v>
      </c>
      <c r="FJ117" s="59">
        <f ca="1">AVERAGE(OFFSET($FI$3,0,0,'Données projet'!$E$16+1,1))-AVERAGE(OFFSET($H$3,0,0,'Données projet'!$E$16+1,1))</f>
        <v>179.50097986986123</v>
      </c>
      <c r="FK117" s="59">
        <f t="shared" si="102"/>
        <v>287.11838730637578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>
        <f>EXP(-LN(2)/35)*FQ116+(1-EXP(-LN(2)/35))/(LN(2)/35)*FM117*FN117*VLOOKUP('Données projet'!$B$16,Paramètres!$A$1:$I$89,3,0)*0.475*44/12</f>
        <v>0.11810753799204529</v>
      </c>
      <c r="FR117" s="21">
        <f>EXP(-LN(2)/25)*FR116+(1-EXP(-LN(2)/25))/(LN(2)/25)*Calculateur!FM117*Calculateur!FO117*VLOOKUP('Données projet'!$B$16,Paramètres!$A$1:$I$89,3,0)*0.475*44/12</f>
        <v>0.61297207670001397</v>
      </c>
      <c r="FS117" s="21">
        <f>EXP(-LN(2)/2)*FS116+(1-EXP(-LN(2)/2))/(LN(2)/2)*FM117*FP117*VLOOKUP('Données projet'!$B$16,Paramètres!$A$1:$I$89,3,0)*0.475*44/12</f>
        <v>1.0279100082528955E-12</v>
      </c>
      <c r="FT117" s="22">
        <f t="shared" si="78"/>
        <v>0.73107961469308724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5.6843418860808015E-14</v>
      </c>
      <c r="GA117" s="17">
        <f>FZ117*VLOOKUP('Données projet'!$B$17,Paramètres!$A$1:$I$89,3,0)*VLOOKUP('Données projet'!$B$17,Paramètres!$A$1:$I$89,5,0)</f>
        <v>3.3992364478763198E-14</v>
      </c>
      <c r="GB117" s="13">
        <f t="shared" si="103"/>
        <v>5.790027782444094E-13</v>
      </c>
      <c r="GC117" s="20">
        <f t="shared" si="79"/>
        <v>1.0676332069095257E-12</v>
      </c>
      <c r="GD117" s="59">
        <f t="shared" si="80"/>
        <v>293.33333333333439</v>
      </c>
      <c r="GE117" s="59">
        <f ca="1">AVERAGE(OFFSET($GD$3,0,0,'Données projet'!$E$17+1,1))-AVERAGE(OFFSET($H$3,0,0,'Données projet'!$E$17+1,1))</f>
        <v>165.39579887388538</v>
      </c>
      <c r="GF117" s="59">
        <f t="shared" si="104"/>
        <v>155.89639262545802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>
        <f>EXP(-LN(2)/35)*GL116+(1-EXP(-LN(2)/35))/(LN(2)/35)*GH117*GI117*VLOOKUP('Données projet'!$B$17,Paramètres!$A$1:$I$89,3,0)*0.475*44/12</f>
        <v>0</v>
      </c>
      <c r="GM117" s="21">
        <f>EXP(-LN(2)/25)*GM116+(1-EXP(-LN(2)/25))/(LN(2)/25)*Calculateur!GH117*Calculateur!GJ117*VLOOKUP('Données projet'!$B$17,Paramètres!$A$1:$I$89,3,0)*0.475*44/12</f>
        <v>0.70994020508283828</v>
      </c>
      <c r="GN117" s="21">
        <f>EXP(-LN(2)/2)*GN116+(1-EXP(-LN(2)/2))/(LN(2)/2)*GH117*GK117*VLOOKUP('Données projet'!$B$17,Paramètres!$A$1:$I$89,3,0)*0.475*44/12</f>
        <v>3.1559547404360618E-12</v>
      </c>
      <c r="GO117" s="21">
        <f t="shared" si="81"/>
        <v>0.7099402050859942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3.4106051316484809E-13</v>
      </c>
      <c r="O118" s="13">
        <f>N118*VLOOKUP('Données projet'!$B$9,Paramètres!$A$1:$I$89,3,0)*VLOOKUP('Données projet'!$B$9,Paramètres!$A$1:$I$89,5,0)</f>
        <v>1.9065282685915009E-13</v>
      </c>
      <c r="P118" s="13">
        <f t="shared" si="87"/>
        <v>2.6568987209435707E-12</v>
      </c>
      <c r="Q118" s="20">
        <f t="shared" si="107"/>
        <v>4.959485612423072E-12</v>
      </c>
      <c r="R118" s="59">
        <f t="shared" si="55"/>
        <v>293.33333333333826</v>
      </c>
      <c r="S118" s="59">
        <f ca="1">AVERAGE(OFFSET($R$3,0,0,'Données projet'!$E$9+1,1))-AVERAGE(OFFSET($H$3,0,0,'Données projet'!$E$9+1,1))</f>
        <v>235.10258076192054</v>
      </c>
      <c r="T118" s="59">
        <f t="shared" si="88"/>
        <v>233.47316052603765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0.63636940727165503</v>
      </c>
      <c r="AA118" s="21">
        <f>EXP(-LN(2)/25)*AA117+(1-EXP(-LN(2)/25))/(LN(2)/25)*Calculateur!V118*Calculateur!X118*VLOOKUP('Données projet'!$B$9,Paramètres!$A$1:$I$89,3,0)*0.475*44/12</f>
        <v>1.7463787539936517</v>
      </c>
      <c r="AB118" s="21">
        <f>EXP(-LN(2)/2)*AB117+(1-EXP(-LN(2)/2))/(LN(2)/2)*V118*Y118*VLOOKUP('Données projet'!$B$9,Paramètres!$A$1:$I$89,3,0)*0.475*44/12</f>
        <v>3.8782872166926934E-12</v>
      </c>
      <c r="AC118" s="22">
        <f t="shared" si="57"/>
        <v>2.382748161269185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-8.5265128291212022E-14</v>
      </c>
      <c r="AJ118" s="13">
        <f>AI118*VLOOKUP('Données projet'!$B$10,Paramètres!$A$1:$I$89,3,0)*VLOOKUP('Données projet'!$B$10,Paramètres!$A$1:$I$89,5,0)</f>
        <v>-7.4487616075202836E-14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191.94797389630673</v>
      </c>
      <c r="AO118" s="59">
        <f t="shared" si="90"/>
        <v>273.52540822767878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0.47824125152536545</v>
      </c>
      <c r="AV118" s="21">
        <f>EXP(-LN(2)/25)*AV117+(1-EXP(-LN(2)/25))/(LN(2)/25)*Calculateur!AQ118*Calculateur!AS118*VLOOKUP('Données projet'!$B$10,Paramètres!$A$1:$I$89,3,0)*0.475*44/12</f>
        <v>1.3308134545536632</v>
      </c>
      <c r="AW118" s="21">
        <f>EXP(-LN(2)/2)*AW117+(1-EXP(-LN(2)/2))/(LN(2)/2)*AQ118*AT118*VLOOKUP('Données projet'!$B$10,Paramètres!$A$1:$I$89,3,0)*0.475*44/12</f>
        <v>3.7305297007142932E-12</v>
      </c>
      <c r="AX118" s="21">
        <f t="shared" si="60"/>
        <v>1.8090547060827593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2.8</v>
      </c>
      <c r="BD118" s="12">
        <f>IF('Données projet'!$A$88&gt;35,BD117+BC118-BL117,IF(A118&lt;'Données projet'!$A$88,$BA$205^A118,IF(A118='Données projet'!$A$88,'Données projet'!$B$88,BD117+BC118-BL117)))</f>
        <v>219.99999999999997</v>
      </c>
      <c r="BE118" s="13">
        <f>BD118*VLOOKUP('Données projet'!$B$11,Paramètres!$A$1:$I$89,3,0)*VLOOKUP('Données projet'!$B$11,Paramètres!$A$1:$I$89,5,0)</f>
        <v>199.05599999999998</v>
      </c>
      <c r="BF118" s="13">
        <f t="shared" si="91"/>
        <v>49.536648006253934</v>
      </c>
      <c r="BG118" s="20">
        <f t="shared" si="61"/>
        <v>432.96552861089225</v>
      </c>
      <c r="BH118" s="59">
        <f t="shared" si="62"/>
        <v>726.29886194422556</v>
      </c>
      <c r="BI118" s="59">
        <f ca="1">AVERAGE(OFFSET($BH$3,0,0,'Données projet'!$E$11+1,1))-AVERAGE(OFFSET($H$3,0,0,'Données projet'!$E$11+1,1))</f>
        <v>138.8931001150624</v>
      </c>
      <c r="BJ118" s="59">
        <f t="shared" si="92"/>
        <v>48.964659354096625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2.8</v>
      </c>
      <c r="BY118" s="12">
        <f>IF('Données projet'!$A$114&gt;35,BY117+BX118-CG117,IF(A118&lt;'Données projet'!$A$114,$BV$205^A118,IF(A118='Données projet'!$A$114,'Données projet'!$B$114,BY117+BX118-CG117)))</f>
        <v>219.99999999999997</v>
      </c>
      <c r="BZ118" s="13">
        <f>BY118*VLOOKUP('Données projet'!$B$12,Paramètres!$A$1:$I$89,3,0)*VLOOKUP('Données projet'!$B$12,Paramètres!$A$1:$I$89,5,0)</f>
        <v>223.08</v>
      </c>
      <c r="CA118" s="13">
        <f t="shared" si="93"/>
        <v>54.783765878062667</v>
      </c>
      <c r="CB118" s="20">
        <f t="shared" si="64"/>
        <v>483.94605890429244</v>
      </c>
      <c r="CC118" s="59">
        <f t="shared" si="65"/>
        <v>777.27939223762576</v>
      </c>
      <c r="CD118" s="59">
        <f ca="1">AVERAGE(OFFSET($CC$3,0,0,'Données projet'!$E$12+1,1))-AVERAGE(OFFSET($H$3,0,0,'Données projet'!$E$12+1,1))</f>
        <v>169.2757878405003</v>
      </c>
      <c r="CE118" s="59">
        <f t="shared" si="94"/>
        <v>61.876502626609977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-8.5265128291212022E-14</v>
      </c>
      <c r="CU118" s="17">
        <f>CT118*VLOOKUP('Données projet'!$B$13,Paramètres!$A$1:$I$89,3,0)*VLOOKUP('Données projet'!$B$13,Paramètres!$A$1:$I$89,5,0)</f>
        <v>-6.7836936068488286E-14</v>
      </c>
      <c r="CV118" s="13" t="e">
        <f t="shared" si="95"/>
        <v>#NUM!</v>
      </c>
      <c r="CW118" s="20" t="e">
        <f t="shared" si="67"/>
        <v>#NUM!</v>
      </c>
      <c r="CX118" s="59" t="e">
        <f t="shared" si="68"/>
        <v>#NUM!</v>
      </c>
      <c r="CY118" s="59">
        <f ca="1">AVERAGE(OFFSET($CX$3,0,0,'Données projet'!$E$13+1,1))-AVERAGE(OFFSET($H$3,0,0,'Données projet'!$E$13+1,1))</f>
        <v>141.12810728817544</v>
      </c>
      <c r="CZ118" s="59">
        <f t="shared" si="96"/>
        <v>176.01405805137551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>
        <f>EXP(-LN(2)/35)*DF117+(1-EXP(-LN(2)/35))/(LN(2)/35)*DB118*DC118*VLOOKUP('Données projet'!$B$13,Paramètres!$A$1:$I$89,3,0)*0.475*44/12</f>
        <v>0</v>
      </c>
      <c r="DG118" s="21">
        <f>EXP(-LN(2)/25)*DG117+(1-EXP(-LN(2)/25))/(LN(2)/25)*Calculateur!DB118*Calculateur!DD118*VLOOKUP('Données projet'!$B$13,Paramètres!$A$1:$I$89,3,0)*0.475*44/12</f>
        <v>0.6368448776343042</v>
      </c>
      <c r="DH118" s="21">
        <f>EXP(-LN(2)/2)*DH117+(1-EXP(-LN(2)/2))/(LN(2)/2)*DB118*DE118*VLOOKUP('Données projet'!$B$13,Paramètres!$A$1:$I$89,3,0)*0.475*44/12</f>
        <v>1.2870544888433769E-12</v>
      </c>
      <c r="DI118" s="22">
        <f t="shared" si="69"/>
        <v>0.63684487763559128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5.6843418860808015E-14</v>
      </c>
      <c r="DP118" s="17">
        <f>DO118*VLOOKUP('Données projet'!$B$14,Paramètres!$A$1:$I$89,3,0)*VLOOKUP('Données projet'!$B$14,Paramètres!$A$1:$I$89,5,0)</f>
        <v>3.3992364478763198E-14</v>
      </c>
      <c r="DQ118" s="13">
        <f t="shared" si="97"/>
        <v>5.790027782444094E-13</v>
      </c>
      <c r="DR118" s="20">
        <f t="shared" si="70"/>
        <v>1.0676332069095257E-12</v>
      </c>
      <c r="DS118" s="59">
        <f t="shared" si="71"/>
        <v>293.33333333333439</v>
      </c>
      <c r="DT118" s="59">
        <f ca="1">AVERAGE(OFFSET($DS$3,0,0,'Données projet'!$E$14+1,1))-AVERAGE(OFFSET($H$3,0,0,'Données projet'!$E$14+1,1))</f>
        <v>165.39579887388538</v>
      </c>
      <c r="DU118" s="59">
        <f t="shared" si="98"/>
        <v>155.89639262545802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>
        <f>EXP(-LN(2)/35)*EA117+(1-EXP(-LN(2)/35))/(LN(2)/35)*DW118*DX118*VLOOKUP('Données projet'!$B$14,Paramètres!$A$1:$I$89,3,0)*0.475*44/12</f>
        <v>0</v>
      </c>
      <c r="EB118" s="21">
        <f>EXP(-LN(2)/25)*EB117+(1-EXP(-LN(2)/25))/(LN(2)/25)*Calculateur!DW118*Calculateur!DY118*VLOOKUP('Données projet'!$B$14,Paramètres!$A$1:$I$89,3,0)*0.475*44/12</f>
        <v>0.69052685284071524</v>
      </c>
      <c r="EC118" s="21">
        <f>EXP(-LN(2)/2)*EC117+(1-EXP(-LN(2)/2))/(LN(2)/2)*DW118*DZ118*VLOOKUP('Données projet'!$B$14,Paramètres!$A$1:$I$89,3,0)*0.475*44/12</f>
        <v>2.2315969980801697E-12</v>
      </c>
      <c r="ED118" s="22">
        <f t="shared" si="72"/>
        <v>0.69052685284294679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2.8</v>
      </c>
      <c r="EJ118" s="12">
        <f>IF('Données projet'!$A$192&gt;35,EJ117+EI118-ER117,IF(A118&lt;'Données projet'!$A$192,$EG$205^A118,IF(A118='Données projet'!$A$192,'Données projet'!$B$192,EJ117+EI118-ER117)))</f>
        <v>219.99999999999997</v>
      </c>
      <c r="EK118" s="17">
        <f>EJ118*VLOOKUP('Données projet'!$B$15,Paramètres!$A$1:$I$89,3,0)*VLOOKUP('Données projet'!$B$15,Paramètres!$A$1:$I$89,5,0)</f>
        <v>171.6</v>
      </c>
      <c r="EL118" s="13">
        <f t="shared" si="99"/>
        <v>43.44817475464852</v>
      </c>
      <c r="EM118" s="20">
        <f t="shared" si="73"/>
        <v>374.54223769767958</v>
      </c>
      <c r="EN118" s="59">
        <f t="shared" si="74"/>
        <v>667.8755710310129</v>
      </c>
      <c r="EO118" s="59">
        <f ca="1">AVERAGE(OFFSET($EN$3,0,0,'Données projet'!$E$15+1,1))-AVERAGE(OFFSET($H$3,0,0,'Données projet'!$E$15+1,1))</f>
        <v>104.07220236158577</v>
      </c>
      <c r="EP118" s="59">
        <f t="shared" si="100"/>
        <v>34.162068257911756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>
        <f>EXP(-LN(2)/35)*EV117+(1-EXP(-LN(2)/35))/(LN(2)/35)*ER118*ES118*VLOOKUP('Données projet'!$B$15,Paramètres!$A$1:$I$89,3,0)*0.475*44/12</f>
        <v>0</v>
      </c>
      <c r="EW118" s="21">
        <f>EXP(-LN(2)/25)*EW117+(1-EXP(-LN(2)/25))/(LN(2)/25)*Calculateur!ER118*Calculateur!ET118*VLOOKUP('Données projet'!$B$15,Paramètres!$A$1:$I$89,3,0)*0.475*44/12</f>
        <v>0</v>
      </c>
      <c r="EX118" s="21">
        <f>EXP(-LN(2)/2)*EX117+(1-EXP(-LN(2)/2))/(LN(2)/2)*ER118*EU118*VLOOKUP('Données projet'!$B$15,Paramètres!$A$1:$I$89,3,0)*0.475*44/12</f>
        <v>0</v>
      </c>
      <c r="EY118" s="22">
        <f t="shared" si="75"/>
        <v>0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5.6843418860808015E-14</v>
      </c>
      <c r="FF118" s="17">
        <f>FE118*VLOOKUP('Données projet'!$B$16,Paramètres!$A$1:$I$89,3,0)*VLOOKUP('Données projet'!$B$16,Paramètres!$A$1:$I$89,5,0)</f>
        <v>5.1431925385259088E-14</v>
      </c>
      <c r="FG118" s="13">
        <f t="shared" si="101"/>
        <v>8.3482866290946129E-13</v>
      </c>
      <c r="FH118" s="20">
        <f t="shared" si="76"/>
        <v>1.5435705246133045E-12</v>
      </c>
      <c r="FI118" s="59">
        <f t="shared" si="77"/>
        <v>293.33333333333485</v>
      </c>
      <c r="FJ118" s="59">
        <f ca="1">AVERAGE(OFFSET($FI$3,0,0,'Données projet'!$E$16+1,1))-AVERAGE(OFFSET($H$3,0,0,'Données projet'!$E$16+1,1))</f>
        <v>179.50097986986123</v>
      </c>
      <c r="FK118" s="59">
        <f t="shared" si="102"/>
        <v>287.11838730637578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>
        <f>EXP(-LN(2)/35)*FQ117+(1-EXP(-LN(2)/35))/(LN(2)/35)*FM118*FN118*VLOOKUP('Données projet'!$B$16,Paramètres!$A$1:$I$89,3,0)*0.475*44/12</f>
        <v>0.11579152121050625</v>
      </c>
      <c r="FR118" s="21">
        <f>EXP(-LN(2)/25)*FR117+(1-EXP(-LN(2)/25))/(LN(2)/25)*Calculateur!FM118*Calculateur!FO118*VLOOKUP('Données projet'!$B$16,Paramètres!$A$1:$I$89,3,0)*0.475*44/12</f>
        <v>0.59621032302785149</v>
      </c>
      <c r="FS118" s="21">
        <f>EXP(-LN(2)/2)*FS117+(1-EXP(-LN(2)/2))/(LN(2)/2)*FM118*FP118*VLOOKUP('Données projet'!$B$16,Paramètres!$A$1:$I$89,3,0)*0.475*44/12</f>
        <v>7.2684213728514244E-13</v>
      </c>
      <c r="FT118" s="22">
        <f t="shared" si="78"/>
        <v>0.71200184423908464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5.6843418860808015E-14</v>
      </c>
      <c r="GA118" s="17">
        <f>FZ118*VLOOKUP('Données projet'!$B$17,Paramètres!$A$1:$I$89,3,0)*VLOOKUP('Données projet'!$B$17,Paramètres!$A$1:$I$89,5,0)</f>
        <v>3.3992364478763198E-14</v>
      </c>
      <c r="GB118" s="13">
        <f t="shared" si="103"/>
        <v>5.790027782444094E-13</v>
      </c>
      <c r="GC118" s="20">
        <f t="shared" si="79"/>
        <v>1.0676332069095257E-12</v>
      </c>
      <c r="GD118" s="59">
        <f t="shared" si="80"/>
        <v>293.33333333333439</v>
      </c>
      <c r="GE118" s="59">
        <f ca="1">AVERAGE(OFFSET($GD$3,0,0,'Données projet'!$E$17+1,1))-AVERAGE(OFFSET($H$3,0,0,'Données projet'!$E$17+1,1))</f>
        <v>165.39579887388538</v>
      </c>
      <c r="GF118" s="59">
        <f t="shared" si="104"/>
        <v>155.89639262545802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>
        <f>EXP(-LN(2)/35)*GL117+(1-EXP(-LN(2)/35))/(LN(2)/35)*GH118*GI118*VLOOKUP('Données projet'!$B$17,Paramètres!$A$1:$I$89,3,0)*0.475*44/12</f>
        <v>0</v>
      </c>
      <c r="GM118" s="21">
        <f>EXP(-LN(2)/25)*GM117+(1-EXP(-LN(2)/25))/(LN(2)/25)*Calculateur!GH118*Calculateur!GJ118*VLOOKUP('Données projet'!$B$17,Paramètres!$A$1:$I$89,3,0)*0.475*44/12</f>
        <v>0.69052685284071524</v>
      </c>
      <c r="GN118" s="21">
        <f>EXP(-LN(2)/2)*GN117+(1-EXP(-LN(2)/2))/(LN(2)/2)*GH118*GK118*VLOOKUP('Données projet'!$B$17,Paramètres!$A$1:$I$89,3,0)*0.475*44/12</f>
        <v>2.2315969980801697E-12</v>
      </c>
      <c r="GO118" s="21">
        <f t="shared" si="81"/>
        <v>0.69052685284294679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3.4106051316484809E-13</v>
      </c>
      <c r="O119" s="13">
        <f>N119*VLOOKUP('Données projet'!$B$9,Paramètres!$A$1:$I$89,3,0)*VLOOKUP('Données projet'!$B$9,Paramètres!$A$1:$I$89,5,0)</f>
        <v>1.9065282685915009E-13</v>
      </c>
      <c r="P119" s="13">
        <f t="shared" si="87"/>
        <v>2.6568987209435707E-12</v>
      </c>
      <c r="Q119" s="20">
        <f t="shared" si="107"/>
        <v>4.959485612423072E-12</v>
      </c>
      <c r="R119" s="59">
        <f t="shared" si="55"/>
        <v>293.33333333333826</v>
      </c>
      <c r="S119" s="59">
        <f ca="1">AVERAGE(OFFSET($R$3,0,0,'Données projet'!$E$9+1,1))-AVERAGE(OFFSET($H$3,0,0,'Données projet'!$E$9+1,1))</f>
        <v>235.10258076192054</v>
      </c>
      <c r="T119" s="59">
        <f t="shared" si="88"/>
        <v>233.47316052603765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0.62389059134206992</v>
      </c>
      <c r="AA119" s="21">
        <f>EXP(-LN(2)/25)*AA118+(1-EXP(-LN(2)/25))/(LN(2)/25)*Calculateur!V119*Calculateur!X119*VLOOKUP('Données projet'!$B$9,Paramètres!$A$1:$I$89,3,0)*0.475*44/12</f>
        <v>1.698623935127628</v>
      </c>
      <c r="AB119" s="21">
        <f>EXP(-LN(2)/2)*AB118+(1-EXP(-LN(2)/2))/(LN(2)/2)*V119*Y119*VLOOKUP('Données projet'!$B$9,Paramètres!$A$1:$I$89,3,0)*0.475*44/12</f>
        <v>2.7423631903125048E-12</v>
      </c>
      <c r="AC119" s="22">
        <f t="shared" si="57"/>
        <v>2.3225145264724403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-8.5265128291212022E-14</v>
      </c>
      <c r="AJ119" s="13">
        <f>AI119*VLOOKUP('Données projet'!$B$10,Paramètres!$A$1:$I$89,3,0)*VLOOKUP('Données projet'!$B$10,Paramètres!$A$1:$I$89,5,0)</f>
        <v>-7.4487616075202836E-14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191.94797389630673</v>
      </c>
      <c r="AO119" s="59">
        <f t="shared" si="90"/>
        <v>273.52540822767878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0.46886323228131366</v>
      </c>
      <c r="AV119" s="21">
        <f>EXP(-LN(2)/25)*AV118+(1-EXP(-LN(2)/25))/(LN(2)/25)*Calculateur!AQ119*Calculateur!AS119*VLOOKUP('Données projet'!$B$10,Paramètres!$A$1:$I$89,3,0)*0.475*44/12</f>
        <v>1.2944222906544554</v>
      </c>
      <c r="AW119" s="21">
        <f>EXP(-LN(2)/2)*AW118+(1-EXP(-LN(2)/2))/(LN(2)/2)*AQ119*AT119*VLOOKUP('Données projet'!$B$10,Paramètres!$A$1:$I$89,3,0)*0.475*44/12</f>
        <v>2.6378828487928984E-12</v>
      </c>
      <c r="AX119" s="21">
        <f t="shared" si="60"/>
        <v>1.763285522938407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2.8</v>
      </c>
      <c r="BD119" s="12">
        <f>IF('Données projet'!$A$88&gt;35,BD118+BC119-BL118,IF(A119&lt;'Données projet'!$A$88,$BA$205^A119,IF(A119='Données projet'!$A$88,'Données projet'!$B$88,BD118+BC119-BL118)))</f>
        <v>222.79999999999998</v>
      </c>
      <c r="BE119" s="13">
        <f>BD119*VLOOKUP('Données projet'!$B$11,Paramètres!$A$1:$I$89,3,0)*VLOOKUP('Données projet'!$B$11,Paramètres!$A$1:$I$89,5,0)</f>
        <v>201.58944</v>
      </c>
      <c r="BF119" s="13">
        <f t="shared" si="91"/>
        <v>50.093317439945402</v>
      </c>
      <c r="BG119" s="20">
        <f t="shared" si="61"/>
        <v>438.34746920790485</v>
      </c>
      <c r="BH119" s="59">
        <f t="shared" si="62"/>
        <v>731.68080254123811</v>
      </c>
      <c r="BI119" s="59">
        <f ca="1">AVERAGE(OFFSET($BH$3,0,0,'Données projet'!$E$11+1,1))-AVERAGE(OFFSET($H$3,0,0,'Données projet'!$E$11+1,1))</f>
        <v>138.8931001150624</v>
      </c>
      <c r="BJ119" s="59">
        <f t="shared" si="92"/>
        <v>48.964659354096625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2.8</v>
      </c>
      <c r="BY119" s="12">
        <f>IF('Données projet'!$A$114&gt;35,BY118+BX119-CG118,IF(A119&lt;'Données projet'!$A$114,$BV$205^A119,IF(A119='Données projet'!$A$114,'Données projet'!$B$114,BY118+BX119-CG118)))</f>
        <v>222.79999999999998</v>
      </c>
      <c r="BZ119" s="13">
        <f>BY119*VLOOKUP('Données projet'!$B$12,Paramètres!$A$1:$I$89,3,0)*VLOOKUP('Données projet'!$B$12,Paramètres!$A$1:$I$89,5,0)</f>
        <v>225.91919999999999</v>
      </c>
      <c r="CA119" s="13">
        <f t="shared" si="93"/>
        <v>55.399399942018199</v>
      </c>
      <c r="CB119" s="20">
        <f t="shared" si="64"/>
        <v>489.96322823234829</v>
      </c>
      <c r="CC119" s="59">
        <f t="shared" si="65"/>
        <v>783.2965615656816</v>
      </c>
      <c r="CD119" s="59">
        <f ca="1">AVERAGE(OFFSET($CC$3,0,0,'Données projet'!$E$12+1,1))-AVERAGE(OFFSET($H$3,0,0,'Données projet'!$E$12+1,1))</f>
        <v>169.2757878405003</v>
      </c>
      <c r="CE119" s="59">
        <f t="shared" si="94"/>
        <v>61.876502626609977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-8.5265128291212022E-14</v>
      </c>
      <c r="CU119" s="17">
        <f>CT119*VLOOKUP('Données projet'!$B$13,Paramètres!$A$1:$I$89,3,0)*VLOOKUP('Données projet'!$B$13,Paramètres!$A$1:$I$89,5,0)</f>
        <v>-6.7836936068488286E-14</v>
      </c>
      <c r="CV119" s="13" t="e">
        <f t="shared" si="95"/>
        <v>#NUM!</v>
      </c>
      <c r="CW119" s="20" t="e">
        <f t="shared" si="67"/>
        <v>#NUM!</v>
      </c>
      <c r="CX119" s="59" t="e">
        <f t="shared" si="68"/>
        <v>#NUM!</v>
      </c>
      <c r="CY119" s="59">
        <f ca="1">AVERAGE(OFFSET($CX$3,0,0,'Données projet'!$E$13+1,1))-AVERAGE(OFFSET($H$3,0,0,'Données projet'!$E$13+1,1))</f>
        <v>141.12810728817544</v>
      </c>
      <c r="CZ119" s="59">
        <f t="shared" si="96"/>
        <v>176.01405805137551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>
        <f>EXP(-LN(2)/35)*DF118+(1-EXP(-LN(2)/35))/(LN(2)/35)*DB119*DC119*VLOOKUP('Données projet'!$B$13,Paramètres!$A$1:$I$89,3,0)*0.475*44/12</f>
        <v>0</v>
      </c>
      <c r="DG119" s="21">
        <f>EXP(-LN(2)/25)*DG118+(1-EXP(-LN(2)/25))/(LN(2)/25)*Calculateur!DB119*Calculateur!DD119*VLOOKUP('Données projet'!$B$13,Paramètres!$A$1:$I$89,3,0)*0.475*44/12</f>
        <v>0.61943032096517758</v>
      </c>
      <c r="DH119" s="21">
        <f>EXP(-LN(2)/2)*DH118+(1-EXP(-LN(2)/2))/(LN(2)/2)*DB119*DE119*VLOOKUP('Données projet'!$B$13,Paramètres!$A$1:$I$89,3,0)*0.475*44/12</f>
        <v>9.1008495681773744E-13</v>
      </c>
      <c r="DI119" s="22">
        <f t="shared" si="69"/>
        <v>0.61943032096608763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5.6843418860808015E-14</v>
      </c>
      <c r="DP119" s="17">
        <f>DO119*VLOOKUP('Données projet'!$B$14,Paramètres!$A$1:$I$89,3,0)*VLOOKUP('Données projet'!$B$14,Paramètres!$A$1:$I$89,5,0)</f>
        <v>3.3992364478763198E-14</v>
      </c>
      <c r="DQ119" s="13">
        <f t="shared" si="97"/>
        <v>5.790027782444094E-13</v>
      </c>
      <c r="DR119" s="20">
        <f t="shared" si="70"/>
        <v>1.0676332069095257E-12</v>
      </c>
      <c r="DS119" s="59">
        <f t="shared" si="71"/>
        <v>293.33333333333439</v>
      </c>
      <c r="DT119" s="59">
        <f ca="1">AVERAGE(OFFSET($DS$3,0,0,'Données projet'!$E$14+1,1))-AVERAGE(OFFSET($H$3,0,0,'Données projet'!$E$14+1,1))</f>
        <v>165.39579887388538</v>
      </c>
      <c r="DU119" s="59">
        <f t="shared" si="98"/>
        <v>155.89639262545802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>
        <f>EXP(-LN(2)/35)*EA118+(1-EXP(-LN(2)/35))/(LN(2)/35)*DW119*DX119*VLOOKUP('Données projet'!$B$14,Paramètres!$A$1:$I$89,3,0)*0.475*44/12</f>
        <v>0</v>
      </c>
      <c r="EB119" s="21">
        <f>EXP(-LN(2)/25)*EB118+(1-EXP(-LN(2)/25))/(LN(2)/25)*Calculateur!DW119*Calculateur!DY119*VLOOKUP('Données projet'!$B$14,Paramètres!$A$1:$I$89,3,0)*0.475*44/12</f>
        <v>0.6716443597365569</v>
      </c>
      <c r="EC119" s="21">
        <f>EXP(-LN(2)/2)*EC118+(1-EXP(-LN(2)/2))/(LN(2)/2)*DW119*DZ119*VLOOKUP('Données projet'!$B$14,Paramètres!$A$1:$I$89,3,0)*0.475*44/12</f>
        <v>1.5779773702180309E-12</v>
      </c>
      <c r="ED119" s="22">
        <f t="shared" si="72"/>
        <v>0.67164435973813486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2.8</v>
      </c>
      <c r="EJ119" s="12">
        <f>IF('Données projet'!$A$192&gt;35,EJ118+EI119-ER118,IF(A119&lt;'Données projet'!$A$192,$EG$205^A119,IF(A119='Données projet'!$A$192,'Données projet'!$B$192,EJ118+EI119-ER118)))</f>
        <v>222.79999999999998</v>
      </c>
      <c r="EK119" s="17">
        <f>EJ119*VLOOKUP('Données projet'!$B$15,Paramètres!$A$1:$I$89,3,0)*VLOOKUP('Données projet'!$B$15,Paramètres!$A$1:$I$89,5,0)</f>
        <v>173.78399999999999</v>
      </c>
      <c r="EL119" s="13">
        <f t="shared" si="99"/>
        <v>43.936424804037102</v>
      </c>
      <c r="EM119" s="20">
        <f t="shared" si="73"/>
        <v>379.19640653369788</v>
      </c>
      <c r="EN119" s="59">
        <f t="shared" si="74"/>
        <v>672.52973986703114</v>
      </c>
      <c r="EO119" s="59">
        <f ca="1">AVERAGE(OFFSET($EN$3,0,0,'Données projet'!$E$15+1,1))-AVERAGE(OFFSET($H$3,0,0,'Données projet'!$E$15+1,1))</f>
        <v>104.07220236158577</v>
      </c>
      <c r="EP119" s="59">
        <f t="shared" si="100"/>
        <v>34.162068257911756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>
        <f>EXP(-LN(2)/35)*EV118+(1-EXP(-LN(2)/35))/(LN(2)/35)*ER119*ES119*VLOOKUP('Données projet'!$B$15,Paramètres!$A$1:$I$89,3,0)*0.475*44/12</f>
        <v>0</v>
      </c>
      <c r="EW119" s="21">
        <f>EXP(-LN(2)/25)*EW118+(1-EXP(-LN(2)/25))/(LN(2)/25)*Calculateur!ER119*Calculateur!ET119*VLOOKUP('Données projet'!$B$15,Paramètres!$A$1:$I$89,3,0)*0.475*44/12</f>
        <v>0</v>
      </c>
      <c r="EX119" s="21">
        <f>EXP(-LN(2)/2)*EX118+(1-EXP(-LN(2)/2))/(LN(2)/2)*ER119*EU119*VLOOKUP('Données projet'!$B$15,Paramètres!$A$1:$I$89,3,0)*0.475*44/12</f>
        <v>0</v>
      </c>
      <c r="EY119" s="22">
        <f t="shared" si="75"/>
        <v>0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5.6843418860808015E-14</v>
      </c>
      <c r="FF119" s="17">
        <f>FE119*VLOOKUP('Données projet'!$B$16,Paramètres!$A$1:$I$89,3,0)*VLOOKUP('Données projet'!$B$16,Paramètres!$A$1:$I$89,5,0)</f>
        <v>5.1431925385259088E-14</v>
      </c>
      <c r="FG119" s="13">
        <f t="shared" si="101"/>
        <v>8.3482866290946129E-13</v>
      </c>
      <c r="FH119" s="20">
        <f t="shared" si="76"/>
        <v>1.5435705246133045E-12</v>
      </c>
      <c r="FI119" s="59">
        <f t="shared" si="77"/>
        <v>293.33333333333485</v>
      </c>
      <c r="FJ119" s="59">
        <f ca="1">AVERAGE(OFFSET($FI$3,0,0,'Données projet'!$E$16+1,1))-AVERAGE(OFFSET($H$3,0,0,'Données projet'!$E$16+1,1))</f>
        <v>179.50097986986123</v>
      </c>
      <c r="FK119" s="59">
        <f t="shared" si="102"/>
        <v>287.11838730637578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>
        <f>EXP(-LN(2)/35)*FQ118+(1-EXP(-LN(2)/35))/(LN(2)/35)*FM119*FN119*VLOOKUP('Données projet'!$B$16,Paramètres!$A$1:$I$89,3,0)*0.475*44/12</f>
        <v>0.11352092010542243</v>
      </c>
      <c r="FR119" s="21">
        <f>EXP(-LN(2)/25)*FR118+(1-EXP(-LN(2)/25))/(LN(2)/25)*Calculateur!FM119*Calculateur!FO119*VLOOKUP('Données projet'!$B$16,Paramètres!$A$1:$I$89,3,0)*0.475*44/12</f>
        <v>0.57990692039131664</v>
      </c>
      <c r="FS119" s="21">
        <f>EXP(-LN(2)/2)*FS118+(1-EXP(-LN(2)/2))/(LN(2)/2)*FM119*FP119*VLOOKUP('Données projet'!$B$16,Paramètres!$A$1:$I$89,3,0)*0.475*44/12</f>
        <v>5.1395500412644774E-13</v>
      </c>
      <c r="FT119" s="22">
        <f t="shared" si="78"/>
        <v>0.69342784049725303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5.6843418860808015E-14</v>
      </c>
      <c r="GA119" s="17">
        <f>FZ119*VLOOKUP('Données projet'!$B$17,Paramètres!$A$1:$I$89,3,0)*VLOOKUP('Données projet'!$B$17,Paramètres!$A$1:$I$89,5,0)</f>
        <v>3.3992364478763198E-14</v>
      </c>
      <c r="GB119" s="13">
        <f t="shared" si="103"/>
        <v>5.790027782444094E-13</v>
      </c>
      <c r="GC119" s="20">
        <f t="shared" si="79"/>
        <v>1.0676332069095257E-12</v>
      </c>
      <c r="GD119" s="59">
        <f t="shared" si="80"/>
        <v>293.33333333333439</v>
      </c>
      <c r="GE119" s="59">
        <f ca="1">AVERAGE(OFFSET($GD$3,0,0,'Données projet'!$E$17+1,1))-AVERAGE(OFFSET($H$3,0,0,'Données projet'!$E$17+1,1))</f>
        <v>165.39579887388538</v>
      </c>
      <c r="GF119" s="59">
        <f t="shared" si="104"/>
        <v>155.89639262545802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>
        <f>EXP(-LN(2)/35)*GL118+(1-EXP(-LN(2)/35))/(LN(2)/35)*GH119*GI119*VLOOKUP('Données projet'!$B$17,Paramètres!$A$1:$I$89,3,0)*0.475*44/12</f>
        <v>0</v>
      </c>
      <c r="GM119" s="21">
        <f>EXP(-LN(2)/25)*GM118+(1-EXP(-LN(2)/25))/(LN(2)/25)*Calculateur!GH119*Calculateur!GJ119*VLOOKUP('Données projet'!$B$17,Paramètres!$A$1:$I$89,3,0)*0.475*44/12</f>
        <v>0.6716443597365569</v>
      </c>
      <c r="GN119" s="21">
        <f>EXP(-LN(2)/2)*GN118+(1-EXP(-LN(2)/2))/(LN(2)/2)*GH119*GK119*VLOOKUP('Données projet'!$B$17,Paramètres!$A$1:$I$89,3,0)*0.475*44/12</f>
        <v>1.5779773702180309E-12</v>
      </c>
      <c r="GO119" s="21">
        <f t="shared" si="81"/>
        <v>0.67164435973813486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3.4106051316484809E-13</v>
      </c>
      <c r="O120" s="13">
        <f>N120*VLOOKUP('Données projet'!$B$9,Paramètres!$A$1:$I$89,3,0)*VLOOKUP('Données projet'!$B$9,Paramètres!$A$1:$I$89,5,0)</f>
        <v>1.9065282685915009E-13</v>
      </c>
      <c r="P120" s="13">
        <f t="shared" si="87"/>
        <v>2.6568987209435707E-12</v>
      </c>
      <c r="Q120" s="20">
        <f t="shared" si="107"/>
        <v>4.959485612423072E-12</v>
      </c>
      <c r="R120" s="59">
        <f t="shared" si="55"/>
        <v>293.33333333333826</v>
      </c>
      <c r="S120" s="59">
        <f ca="1">AVERAGE(OFFSET($R$3,0,0,'Données projet'!$E$9+1,1))-AVERAGE(OFFSET($H$3,0,0,'Données projet'!$E$9+1,1))</f>
        <v>235.10258076192054</v>
      </c>
      <c r="T120" s="59">
        <f t="shared" si="88"/>
        <v>233.47316052603765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0.61165647738153783</v>
      </c>
      <c r="AA120" s="21">
        <f>EXP(-LN(2)/25)*AA119+(1-EXP(-LN(2)/25))/(LN(2)/25)*Calculateur!V120*Calculateur!X120*VLOOKUP('Données projet'!$B$9,Paramètres!$A$1:$I$89,3,0)*0.475*44/12</f>
        <v>1.6521749742948124</v>
      </c>
      <c r="AB120" s="21">
        <f>EXP(-LN(2)/2)*AB119+(1-EXP(-LN(2)/2))/(LN(2)/2)*V120*Y120*VLOOKUP('Données projet'!$B$9,Paramètres!$A$1:$I$89,3,0)*0.475*44/12</f>
        <v>1.9391436083463467E-12</v>
      </c>
      <c r="AC120" s="22">
        <f t="shared" si="57"/>
        <v>2.2638314516782896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-8.5265128291212022E-14</v>
      </c>
      <c r="AJ120" s="13">
        <f>AI120*VLOOKUP('Données projet'!$B$10,Paramètres!$A$1:$I$89,3,0)*VLOOKUP('Données projet'!$B$10,Paramètres!$A$1:$I$89,5,0)</f>
        <v>-7.4487616075202836E-14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191.94797389630673</v>
      </c>
      <c r="AO120" s="59">
        <f t="shared" si="90"/>
        <v>273.52540822767878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0.45966911027461077</v>
      </c>
      <c r="AV120" s="21">
        <f>EXP(-LN(2)/25)*AV119+(1-EXP(-LN(2)/25))/(LN(2)/25)*Calculateur!AQ120*Calculateur!AS120*VLOOKUP('Données projet'!$B$10,Paramètres!$A$1:$I$89,3,0)*0.475*44/12</f>
        <v>1.2590262450457994</v>
      </c>
      <c r="AW120" s="21">
        <f>EXP(-LN(2)/2)*AW119+(1-EXP(-LN(2)/2))/(LN(2)/2)*AQ120*AT120*VLOOKUP('Données projet'!$B$10,Paramètres!$A$1:$I$89,3,0)*0.475*44/12</f>
        <v>1.8652648503571466E-12</v>
      </c>
      <c r="AX120" s="21">
        <f t="shared" si="60"/>
        <v>1.7186953553222755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2.8</v>
      </c>
      <c r="BD120" s="12">
        <f>IF('Données projet'!$A$88&gt;35,BD119+BC120-BL119,IF(A120&lt;'Données projet'!$A$88,$BA$205^A120,IF(A120='Données projet'!$A$88,'Données projet'!$B$88,BD119+BC120-BL119)))</f>
        <v>225.6</v>
      </c>
      <c r="BE120" s="13">
        <f>BD120*VLOOKUP('Données projet'!$B$11,Paramètres!$A$1:$I$89,3,0)*VLOOKUP('Données projet'!$B$11,Paramètres!$A$1:$I$89,5,0)</f>
        <v>204.12287999999998</v>
      </c>
      <c r="BF120" s="13">
        <f t="shared" si="91"/>
        <v>50.649173129865886</v>
      </c>
      <c r="BG120" s="20">
        <f t="shared" si="61"/>
        <v>443.72799253451632</v>
      </c>
      <c r="BH120" s="59">
        <f t="shared" si="62"/>
        <v>737.06132586784963</v>
      </c>
      <c r="BI120" s="59">
        <f ca="1">AVERAGE(OFFSET($BH$3,0,0,'Données projet'!$E$11+1,1))-AVERAGE(OFFSET($H$3,0,0,'Données projet'!$E$11+1,1))</f>
        <v>138.8931001150624</v>
      </c>
      <c r="BJ120" s="59">
        <f t="shared" si="92"/>
        <v>48.964659354096625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2.8</v>
      </c>
      <c r="BY120" s="12">
        <f>IF('Données projet'!$A$114&gt;35,BY119+BX120-CG119,IF(A120&lt;'Données projet'!$A$114,$BV$205^A120,IF(A120='Données projet'!$A$114,'Données projet'!$B$114,BY119+BX120-CG119)))</f>
        <v>225.6</v>
      </c>
      <c r="BZ120" s="13">
        <f>BY120*VLOOKUP('Données projet'!$B$12,Paramètres!$A$1:$I$89,3,0)*VLOOKUP('Données projet'!$B$12,Paramètres!$A$1:$I$89,5,0)</f>
        <v>228.75840000000002</v>
      </c>
      <c r="CA120" s="13">
        <f t="shared" si="93"/>
        <v>56.014134067241017</v>
      </c>
      <c r="CB120" s="20">
        <f t="shared" si="64"/>
        <v>495.97883016711148</v>
      </c>
      <c r="CC120" s="59">
        <f t="shared" si="65"/>
        <v>789.31216350044474</v>
      </c>
      <c r="CD120" s="59">
        <f ca="1">AVERAGE(OFFSET($CC$3,0,0,'Données projet'!$E$12+1,1))-AVERAGE(OFFSET($H$3,0,0,'Données projet'!$E$12+1,1))</f>
        <v>169.2757878405003</v>
      </c>
      <c r="CE120" s="59">
        <f t="shared" si="94"/>
        <v>61.876502626609977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-8.5265128291212022E-14</v>
      </c>
      <c r="CU120" s="17">
        <f>CT120*VLOOKUP('Données projet'!$B$13,Paramètres!$A$1:$I$89,3,0)*VLOOKUP('Données projet'!$B$13,Paramètres!$A$1:$I$89,5,0)</f>
        <v>-6.7836936068488286E-14</v>
      </c>
      <c r="CV120" s="13" t="e">
        <f t="shared" si="95"/>
        <v>#NUM!</v>
      </c>
      <c r="CW120" s="20" t="e">
        <f t="shared" si="67"/>
        <v>#NUM!</v>
      </c>
      <c r="CX120" s="59" t="e">
        <f t="shared" si="68"/>
        <v>#NUM!</v>
      </c>
      <c r="CY120" s="59">
        <f ca="1">AVERAGE(OFFSET($CX$3,0,0,'Données projet'!$E$13+1,1))-AVERAGE(OFFSET($H$3,0,0,'Données projet'!$E$13+1,1))</f>
        <v>141.12810728817544</v>
      </c>
      <c r="CZ120" s="59">
        <f t="shared" si="96"/>
        <v>176.01405805137551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>
        <f>EXP(-LN(2)/35)*DF119+(1-EXP(-LN(2)/35))/(LN(2)/35)*DB120*DC120*VLOOKUP('Données projet'!$B$13,Paramètres!$A$1:$I$89,3,0)*0.475*44/12</f>
        <v>0</v>
      </c>
      <c r="DG120" s="21">
        <f>EXP(-LN(2)/25)*DG119+(1-EXP(-LN(2)/25))/(LN(2)/25)*Calculateur!DB120*Calculateur!DD120*VLOOKUP('Données projet'!$B$13,Paramètres!$A$1:$I$89,3,0)*0.475*44/12</f>
        <v>0.60249196626395995</v>
      </c>
      <c r="DH120" s="21">
        <f>EXP(-LN(2)/2)*DH119+(1-EXP(-LN(2)/2))/(LN(2)/2)*DB120*DE120*VLOOKUP('Données projet'!$B$13,Paramètres!$A$1:$I$89,3,0)*0.475*44/12</f>
        <v>6.4352724442168844E-13</v>
      </c>
      <c r="DI120" s="22">
        <f t="shared" si="69"/>
        <v>0.60249196626460344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5.6843418860808015E-14</v>
      </c>
      <c r="DP120" s="17">
        <f>DO120*VLOOKUP('Données projet'!$B$14,Paramètres!$A$1:$I$89,3,0)*VLOOKUP('Données projet'!$B$14,Paramètres!$A$1:$I$89,5,0)</f>
        <v>3.3992364478763198E-14</v>
      </c>
      <c r="DQ120" s="13">
        <f t="shared" si="97"/>
        <v>5.790027782444094E-13</v>
      </c>
      <c r="DR120" s="20">
        <f t="shared" si="70"/>
        <v>1.0676332069095257E-12</v>
      </c>
      <c r="DS120" s="59">
        <f t="shared" si="71"/>
        <v>293.33333333333439</v>
      </c>
      <c r="DT120" s="59">
        <f ca="1">AVERAGE(OFFSET($DS$3,0,0,'Données projet'!$E$14+1,1))-AVERAGE(OFFSET($H$3,0,0,'Données projet'!$E$14+1,1))</f>
        <v>165.39579887388538</v>
      </c>
      <c r="DU120" s="59">
        <f t="shared" si="98"/>
        <v>155.89639262545802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>
        <f>EXP(-LN(2)/35)*EA119+(1-EXP(-LN(2)/35))/(LN(2)/35)*DW120*DX120*VLOOKUP('Données projet'!$B$14,Paramètres!$A$1:$I$89,3,0)*0.475*44/12</f>
        <v>0</v>
      </c>
      <c r="EB120" s="21">
        <f>EXP(-LN(2)/25)*EB119+(1-EXP(-LN(2)/25))/(LN(2)/25)*Calculateur!DW120*Calculateur!DY120*VLOOKUP('Données projet'!$B$14,Paramètres!$A$1:$I$89,3,0)*0.475*44/12</f>
        <v>0.65327820939931891</v>
      </c>
      <c r="EC120" s="21">
        <f>EXP(-LN(2)/2)*EC119+(1-EXP(-LN(2)/2))/(LN(2)/2)*DW120*DZ120*VLOOKUP('Données projet'!$B$14,Paramètres!$A$1:$I$89,3,0)*0.475*44/12</f>
        <v>1.1157984990400849E-12</v>
      </c>
      <c r="ED120" s="22">
        <f t="shared" si="72"/>
        <v>0.65327820940043468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2.8</v>
      </c>
      <c r="EJ120" s="12">
        <f>IF('Données projet'!$A$192&gt;35,EJ119+EI120-ER119,IF(A120&lt;'Données projet'!$A$192,$EG$205^A120,IF(A120='Données projet'!$A$192,'Données projet'!$B$192,EJ119+EI120-ER119)))</f>
        <v>225.6</v>
      </c>
      <c r="EK120" s="17">
        <f>EJ120*VLOOKUP('Données projet'!$B$15,Paramètres!$A$1:$I$89,3,0)*VLOOKUP('Données projet'!$B$15,Paramètres!$A$1:$I$89,5,0)</f>
        <v>175.96799999999999</v>
      </c>
      <c r="EL120" s="13">
        <f t="shared" si="99"/>
        <v>44.423961125650585</v>
      </c>
      <c r="EM120" s="20">
        <f t="shared" si="73"/>
        <v>383.84933229384137</v>
      </c>
      <c r="EN120" s="59">
        <f t="shared" si="74"/>
        <v>677.18266562717463</v>
      </c>
      <c r="EO120" s="59">
        <f ca="1">AVERAGE(OFFSET($EN$3,0,0,'Données projet'!$E$15+1,1))-AVERAGE(OFFSET($H$3,0,0,'Données projet'!$E$15+1,1))</f>
        <v>104.07220236158577</v>
      </c>
      <c r="EP120" s="59">
        <f t="shared" si="100"/>
        <v>34.162068257911756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>
        <f>EXP(-LN(2)/35)*EV119+(1-EXP(-LN(2)/35))/(LN(2)/35)*ER120*ES120*VLOOKUP('Données projet'!$B$15,Paramètres!$A$1:$I$89,3,0)*0.475*44/12</f>
        <v>0</v>
      </c>
      <c r="EW120" s="21">
        <f>EXP(-LN(2)/25)*EW119+(1-EXP(-LN(2)/25))/(LN(2)/25)*Calculateur!ER120*Calculateur!ET120*VLOOKUP('Données projet'!$B$15,Paramètres!$A$1:$I$89,3,0)*0.475*44/12</f>
        <v>0</v>
      </c>
      <c r="EX120" s="21">
        <f>EXP(-LN(2)/2)*EX119+(1-EXP(-LN(2)/2))/(LN(2)/2)*ER120*EU120*VLOOKUP('Données projet'!$B$15,Paramètres!$A$1:$I$89,3,0)*0.475*44/12</f>
        <v>0</v>
      </c>
      <c r="EY120" s="22">
        <f t="shared" si="75"/>
        <v>0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5.6843418860808015E-14</v>
      </c>
      <c r="FF120" s="17">
        <f>FE120*VLOOKUP('Données projet'!$B$16,Paramètres!$A$1:$I$89,3,0)*VLOOKUP('Données projet'!$B$16,Paramètres!$A$1:$I$89,5,0)</f>
        <v>5.1431925385259088E-14</v>
      </c>
      <c r="FG120" s="13">
        <f t="shared" si="101"/>
        <v>8.3482866290946129E-13</v>
      </c>
      <c r="FH120" s="20">
        <f t="shared" si="76"/>
        <v>1.5435705246133045E-12</v>
      </c>
      <c r="FI120" s="59">
        <f t="shared" si="77"/>
        <v>293.33333333333485</v>
      </c>
      <c r="FJ120" s="59">
        <f ca="1">AVERAGE(OFFSET($FI$3,0,0,'Données projet'!$E$16+1,1))-AVERAGE(OFFSET($H$3,0,0,'Données projet'!$E$16+1,1))</f>
        <v>179.50097986986123</v>
      </c>
      <c r="FK120" s="59">
        <f t="shared" si="102"/>
        <v>287.11838730637578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>
        <f>EXP(-LN(2)/35)*FQ119+(1-EXP(-LN(2)/35))/(LN(2)/35)*FM120*FN120*VLOOKUP('Données projet'!$B$16,Paramètres!$A$1:$I$89,3,0)*0.475*44/12</f>
        <v>0.11129484410307938</v>
      </c>
      <c r="FR120" s="21">
        <f>EXP(-LN(2)/25)*FR119+(1-EXP(-LN(2)/25))/(LN(2)/25)*Calculateur!FM120*Calculateur!FO120*VLOOKUP('Données projet'!$B$16,Paramètres!$A$1:$I$89,3,0)*0.475*44/12</f>
        <v>0.56404933515723654</v>
      </c>
      <c r="FS120" s="21">
        <f>EXP(-LN(2)/2)*FS119+(1-EXP(-LN(2)/2))/(LN(2)/2)*FM120*FP120*VLOOKUP('Données projet'!$B$16,Paramètres!$A$1:$I$89,3,0)*0.475*44/12</f>
        <v>3.6342106864257122E-13</v>
      </c>
      <c r="FT120" s="22">
        <f t="shared" si="78"/>
        <v>0.67534417926067924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5.6843418860808015E-14</v>
      </c>
      <c r="GA120" s="17">
        <f>FZ120*VLOOKUP('Données projet'!$B$17,Paramètres!$A$1:$I$89,3,0)*VLOOKUP('Données projet'!$B$17,Paramètres!$A$1:$I$89,5,0)</f>
        <v>3.3992364478763198E-14</v>
      </c>
      <c r="GB120" s="13">
        <f t="shared" si="103"/>
        <v>5.790027782444094E-13</v>
      </c>
      <c r="GC120" s="20">
        <f t="shared" si="79"/>
        <v>1.0676332069095257E-12</v>
      </c>
      <c r="GD120" s="59">
        <f t="shared" si="80"/>
        <v>293.33333333333439</v>
      </c>
      <c r="GE120" s="59">
        <f ca="1">AVERAGE(OFFSET($GD$3,0,0,'Données projet'!$E$17+1,1))-AVERAGE(OFFSET($H$3,0,0,'Données projet'!$E$17+1,1))</f>
        <v>165.39579887388538</v>
      </c>
      <c r="GF120" s="59">
        <f t="shared" si="104"/>
        <v>155.89639262545802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>
        <f>EXP(-LN(2)/35)*GL119+(1-EXP(-LN(2)/35))/(LN(2)/35)*GH120*GI120*VLOOKUP('Données projet'!$B$17,Paramètres!$A$1:$I$89,3,0)*0.475*44/12</f>
        <v>0</v>
      </c>
      <c r="GM120" s="21">
        <f>EXP(-LN(2)/25)*GM119+(1-EXP(-LN(2)/25))/(LN(2)/25)*Calculateur!GH120*Calculateur!GJ120*VLOOKUP('Données projet'!$B$17,Paramètres!$A$1:$I$89,3,0)*0.475*44/12</f>
        <v>0.65327820939931891</v>
      </c>
      <c r="GN120" s="21">
        <f>EXP(-LN(2)/2)*GN119+(1-EXP(-LN(2)/2))/(LN(2)/2)*GH120*GK120*VLOOKUP('Données projet'!$B$17,Paramètres!$A$1:$I$89,3,0)*0.475*44/12</f>
        <v>1.1157984990400849E-12</v>
      </c>
      <c r="GO120" s="21">
        <f t="shared" si="81"/>
        <v>0.65327820940043468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3.4106051316484809E-13</v>
      </c>
      <c r="O121" s="13">
        <f>N121*VLOOKUP('Données projet'!$B$9,Paramètres!$A$1:$I$89,3,0)*VLOOKUP('Données projet'!$B$9,Paramètres!$A$1:$I$89,5,0)</f>
        <v>1.9065282685915009E-13</v>
      </c>
      <c r="P121" s="13">
        <f t="shared" si="87"/>
        <v>2.6568987209435707E-12</v>
      </c>
      <c r="Q121" s="20">
        <f t="shared" si="107"/>
        <v>4.959485612423072E-12</v>
      </c>
      <c r="R121" s="59">
        <f t="shared" si="55"/>
        <v>293.33333333333826</v>
      </c>
      <c r="S121" s="59">
        <f ca="1">AVERAGE(OFFSET($R$3,0,0,'Données projet'!$E$9+1,1))-AVERAGE(OFFSET($H$3,0,0,'Données projet'!$E$9+1,1))</f>
        <v>235.10258076192054</v>
      </c>
      <c r="T121" s="59">
        <f t="shared" si="88"/>
        <v>233.47316052603765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0.59966226693369917</v>
      </c>
      <c r="AA121" s="21">
        <f>EXP(-LN(2)/25)*AA120+(1-EXP(-LN(2)/25))/(LN(2)/25)*Calculateur!V121*Calculateur!X121*VLOOKUP('Données projet'!$B$9,Paramètres!$A$1:$I$89,3,0)*0.475*44/12</f>
        <v>1.6069961627386149</v>
      </c>
      <c r="AB121" s="21">
        <f>EXP(-LN(2)/2)*AB120+(1-EXP(-LN(2)/2))/(LN(2)/2)*V121*Y121*VLOOKUP('Données projet'!$B$9,Paramètres!$A$1:$I$89,3,0)*0.475*44/12</f>
        <v>1.3711815951562524E-12</v>
      </c>
      <c r="AC121" s="22">
        <f t="shared" si="57"/>
        <v>2.2066584296736855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-8.5265128291212022E-14</v>
      </c>
      <c r="AJ121" s="13">
        <f>AI121*VLOOKUP('Données projet'!$B$10,Paramètres!$A$1:$I$89,3,0)*VLOOKUP('Données projet'!$B$10,Paramètres!$A$1:$I$89,5,0)</f>
        <v>-7.4487616075202836E-14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191.94797389630673</v>
      </c>
      <c r="AO121" s="59">
        <f t="shared" si="90"/>
        <v>273.52540822767878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0.45065527939259864</v>
      </c>
      <c r="AV121" s="21">
        <f>EXP(-LN(2)/25)*AV120+(1-EXP(-LN(2)/25))/(LN(2)/25)*Calculateur!AQ121*Calculateur!AS121*VLOOKUP('Données projet'!$B$10,Paramètres!$A$1:$I$89,3,0)*0.475*44/12</f>
        <v>1.2245981061657094</v>
      </c>
      <c r="AW121" s="21">
        <f>EXP(-LN(2)/2)*AW120+(1-EXP(-LN(2)/2))/(LN(2)/2)*AQ121*AT121*VLOOKUP('Données projet'!$B$10,Paramètres!$A$1:$I$89,3,0)*0.475*44/12</f>
        <v>1.3189414243964492E-12</v>
      </c>
      <c r="AX121" s="21">
        <f t="shared" si="60"/>
        <v>1.675253385559627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2.8</v>
      </c>
      <c r="BD121" s="12">
        <f>IF('Données projet'!$A$88&gt;35,BD120+BC121-BL120,IF(A121&lt;'Données projet'!$A$88,$BA$205^A121,IF(A121='Données projet'!$A$88,'Données projet'!$B$88,BD120+BC121-BL120)))</f>
        <v>228.4</v>
      </c>
      <c r="BE121" s="13">
        <f>BD121*VLOOKUP('Données projet'!$B$11,Paramètres!$A$1:$I$89,3,0)*VLOOKUP('Données projet'!$B$11,Paramètres!$A$1:$I$89,5,0)</f>
        <v>206.65631999999997</v>
      </c>
      <c r="BF121" s="13">
        <f t="shared" si="91"/>
        <v>51.20422634371338</v>
      </c>
      <c r="BG121" s="20">
        <f t="shared" si="61"/>
        <v>449.10711821530072</v>
      </c>
      <c r="BH121" s="59">
        <f t="shared" si="62"/>
        <v>742.44045154863397</v>
      </c>
      <c r="BI121" s="59">
        <f ca="1">AVERAGE(OFFSET($BH$3,0,0,'Données projet'!$E$11+1,1))-AVERAGE(OFFSET($H$3,0,0,'Données projet'!$E$11+1,1))</f>
        <v>138.8931001150624</v>
      </c>
      <c r="BJ121" s="59">
        <f t="shared" si="92"/>
        <v>48.964659354096625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2.8</v>
      </c>
      <c r="BY121" s="12">
        <f>IF('Données projet'!$A$114&gt;35,BY120+BX121-CG120,IF(A121&lt;'Données projet'!$A$114,$BV$205^A121,IF(A121='Données projet'!$A$114,'Données projet'!$B$114,BY120+BX121-CG120)))</f>
        <v>228.4</v>
      </c>
      <c r="BZ121" s="13">
        <f>BY121*VLOOKUP('Données projet'!$B$12,Paramètres!$A$1:$I$89,3,0)*VLOOKUP('Données projet'!$B$12,Paramètres!$A$1:$I$89,5,0)</f>
        <v>231.59760000000003</v>
      </c>
      <c r="CA121" s="13">
        <f t="shared" si="93"/>
        <v>56.627980714948151</v>
      </c>
      <c r="CB121" s="20">
        <f t="shared" si="64"/>
        <v>501.99288641186803</v>
      </c>
      <c r="CC121" s="59">
        <f t="shared" si="65"/>
        <v>795.32621974520134</v>
      </c>
      <c r="CD121" s="59">
        <f ca="1">AVERAGE(OFFSET($CC$3,0,0,'Données projet'!$E$12+1,1))-AVERAGE(OFFSET($H$3,0,0,'Données projet'!$E$12+1,1))</f>
        <v>169.2757878405003</v>
      </c>
      <c r="CE121" s="59">
        <f t="shared" si="94"/>
        <v>61.876502626609977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-8.5265128291212022E-14</v>
      </c>
      <c r="CU121" s="17">
        <f>CT121*VLOOKUP('Données projet'!$B$13,Paramètres!$A$1:$I$89,3,0)*VLOOKUP('Données projet'!$B$13,Paramètres!$A$1:$I$89,5,0)</f>
        <v>-6.7836936068488286E-14</v>
      </c>
      <c r="CV121" s="13" t="e">
        <f t="shared" si="95"/>
        <v>#NUM!</v>
      </c>
      <c r="CW121" s="20" t="e">
        <f t="shared" si="67"/>
        <v>#NUM!</v>
      </c>
      <c r="CX121" s="59" t="e">
        <f t="shared" si="68"/>
        <v>#NUM!</v>
      </c>
      <c r="CY121" s="59">
        <f ca="1">AVERAGE(OFFSET($CX$3,0,0,'Données projet'!$E$13+1,1))-AVERAGE(OFFSET($H$3,0,0,'Données projet'!$E$13+1,1))</f>
        <v>141.12810728817544</v>
      </c>
      <c r="CZ121" s="59">
        <f t="shared" si="96"/>
        <v>176.01405805137551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>
        <f>EXP(-LN(2)/35)*DF120+(1-EXP(-LN(2)/35))/(LN(2)/35)*DB121*DC121*VLOOKUP('Données projet'!$B$13,Paramètres!$A$1:$I$89,3,0)*0.475*44/12</f>
        <v>0</v>
      </c>
      <c r="DG121" s="21">
        <f>EXP(-LN(2)/25)*DG120+(1-EXP(-LN(2)/25))/(LN(2)/25)*Calculateur!DB121*Calculateur!DD121*VLOOKUP('Données projet'!$B$13,Paramètres!$A$1:$I$89,3,0)*0.475*44/12</f>
        <v>0.58601679176279653</v>
      </c>
      <c r="DH121" s="21">
        <f>EXP(-LN(2)/2)*DH120+(1-EXP(-LN(2)/2))/(LN(2)/2)*DB121*DE121*VLOOKUP('Données projet'!$B$13,Paramètres!$A$1:$I$89,3,0)*0.475*44/12</f>
        <v>4.5504247840886872E-13</v>
      </c>
      <c r="DI121" s="22">
        <f t="shared" si="69"/>
        <v>0.58601679176325161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5.6843418860808015E-14</v>
      </c>
      <c r="DP121" s="17">
        <f>DO121*VLOOKUP('Données projet'!$B$14,Paramètres!$A$1:$I$89,3,0)*VLOOKUP('Données projet'!$B$14,Paramètres!$A$1:$I$89,5,0)</f>
        <v>3.3992364478763198E-14</v>
      </c>
      <c r="DQ121" s="13">
        <f t="shared" si="97"/>
        <v>5.790027782444094E-13</v>
      </c>
      <c r="DR121" s="20">
        <f t="shared" si="70"/>
        <v>1.0676332069095257E-12</v>
      </c>
      <c r="DS121" s="59">
        <f t="shared" si="71"/>
        <v>293.33333333333439</v>
      </c>
      <c r="DT121" s="59">
        <f ca="1">AVERAGE(OFFSET($DS$3,0,0,'Données projet'!$E$14+1,1))-AVERAGE(OFFSET($H$3,0,0,'Données projet'!$E$14+1,1))</f>
        <v>165.39579887388538</v>
      </c>
      <c r="DU121" s="59">
        <f t="shared" si="98"/>
        <v>155.89639262545802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>
        <f>EXP(-LN(2)/35)*EA120+(1-EXP(-LN(2)/35))/(LN(2)/35)*DW121*DX121*VLOOKUP('Données projet'!$B$14,Paramètres!$A$1:$I$89,3,0)*0.475*44/12</f>
        <v>0</v>
      </c>
      <c r="EB121" s="21">
        <f>EXP(-LN(2)/25)*EB120+(1-EXP(-LN(2)/25))/(LN(2)/25)*Calculateur!DW121*Calculateur!DY121*VLOOKUP('Données projet'!$B$14,Paramètres!$A$1:$I$89,3,0)*0.475*44/12</f>
        <v>0.63541428240888664</v>
      </c>
      <c r="EC121" s="21">
        <f>EXP(-LN(2)/2)*EC120+(1-EXP(-LN(2)/2))/(LN(2)/2)*DW121*DZ121*VLOOKUP('Données projet'!$B$14,Paramètres!$A$1:$I$89,3,0)*0.475*44/12</f>
        <v>7.8898868510901546E-13</v>
      </c>
      <c r="ED121" s="22">
        <f t="shared" si="72"/>
        <v>0.63541428240967568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2.8</v>
      </c>
      <c r="EJ121" s="12">
        <f>IF('Données projet'!$A$192&gt;35,EJ120+EI121-ER120,IF(A121&lt;'Données projet'!$A$192,$EG$205^A121,IF(A121='Données projet'!$A$192,'Données projet'!$B$192,EJ120+EI121-ER120)))</f>
        <v>228.4</v>
      </c>
      <c r="EK121" s="17">
        <f>EJ121*VLOOKUP('Données projet'!$B$15,Paramètres!$A$1:$I$89,3,0)*VLOOKUP('Données projet'!$B$15,Paramètres!$A$1:$I$89,5,0)</f>
        <v>178.15200000000002</v>
      </c>
      <c r="EL121" s="13">
        <f t="shared" si="99"/>
        <v>44.910793602291527</v>
      </c>
      <c r="EM121" s="20">
        <f t="shared" si="73"/>
        <v>388.50103219065778</v>
      </c>
      <c r="EN121" s="59">
        <f t="shared" si="74"/>
        <v>681.8343655239911</v>
      </c>
      <c r="EO121" s="59">
        <f ca="1">AVERAGE(OFFSET($EN$3,0,0,'Données projet'!$E$15+1,1))-AVERAGE(OFFSET($H$3,0,0,'Données projet'!$E$15+1,1))</f>
        <v>104.07220236158577</v>
      </c>
      <c r="EP121" s="59">
        <f t="shared" si="100"/>
        <v>34.162068257911756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>
        <f>EXP(-LN(2)/35)*EV120+(1-EXP(-LN(2)/35))/(LN(2)/35)*ER121*ES121*VLOOKUP('Données projet'!$B$15,Paramètres!$A$1:$I$89,3,0)*0.475*44/12</f>
        <v>0</v>
      </c>
      <c r="EW121" s="21">
        <f>EXP(-LN(2)/25)*EW120+(1-EXP(-LN(2)/25))/(LN(2)/25)*Calculateur!ER121*Calculateur!ET121*VLOOKUP('Données projet'!$B$15,Paramètres!$A$1:$I$89,3,0)*0.475*44/12</f>
        <v>0</v>
      </c>
      <c r="EX121" s="21">
        <f>EXP(-LN(2)/2)*EX120+(1-EXP(-LN(2)/2))/(LN(2)/2)*ER121*EU121*VLOOKUP('Données projet'!$B$15,Paramètres!$A$1:$I$89,3,0)*0.475*44/12</f>
        <v>0</v>
      </c>
      <c r="EY121" s="22">
        <f t="shared" si="75"/>
        <v>0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5.6843418860808015E-14</v>
      </c>
      <c r="FF121" s="17">
        <f>FE121*VLOOKUP('Données projet'!$B$16,Paramètres!$A$1:$I$89,3,0)*VLOOKUP('Données projet'!$B$16,Paramètres!$A$1:$I$89,5,0)</f>
        <v>5.1431925385259088E-14</v>
      </c>
      <c r="FG121" s="13">
        <f t="shared" si="101"/>
        <v>8.3482866290946129E-13</v>
      </c>
      <c r="FH121" s="20">
        <f t="shared" si="76"/>
        <v>1.5435705246133045E-12</v>
      </c>
      <c r="FI121" s="59">
        <f t="shared" si="77"/>
        <v>293.33333333333485</v>
      </c>
      <c r="FJ121" s="59">
        <f ca="1">AVERAGE(OFFSET($FI$3,0,0,'Données projet'!$E$16+1,1))-AVERAGE(OFFSET($H$3,0,0,'Données projet'!$E$16+1,1))</f>
        <v>179.50097986986123</v>
      </c>
      <c r="FK121" s="59">
        <f t="shared" si="102"/>
        <v>287.11838730637578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>
        <f>EXP(-LN(2)/35)*FQ120+(1-EXP(-LN(2)/35))/(LN(2)/35)*FM121*FN121*VLOOKUP('Données projet'!$B$16,Paramètres!$A$1:$I$89,3,0)*0.475*44/12</f>
        <v>0.10911242009336999</v>
      </c>
      <c r="FR121" s="21">
        <f>EXP(-LN(2)/25)*FR120+(1-EXP(-LN(2)/25))/(LN(2)/25)*Calculateur!FM121*Calculateur!FO121*VLOOKUP('Données projet'!$B$16,Paramètres!$A$1:$I$89,3,0)*0.475*44/12</f>
        <v>0.54862537642529652</v>
      </c>
      <c r="FS121" s="21">
        <f>EXP(-LN(2)/2)*FS120+(1-EXP(-LN(2)/2))/(LN(2)/2)*FM121*FP121*VLOOKUP('Données projet'!$B$16,Paramètres!$A$1:$I$89,3,0)*0.475*44/12</f>
        <v>2.5697750206322387E-13</v>
      </c>
      <c r="FT121" s="22">
        <f t="shared" si="78"/>
        <v>0.6577377965189235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5.6843418860808015E-14</v>
      </c>
      <c r="GA121" s="17">
        <f>FZ121*VLOOKUP('Données projet'!$B$17,Paramètres!$A$1:$I$89,3,0)*VLOOKUP('Données projet'!$B$17,Paramètres!$A$1:$I$89,5,0)</f>
        <v>3.3992364478763198E-14</v>
      </c>
      <c r="GB121" s="13">
        <f t="shared" si="103"/>
        <v>5.790027782444094E-13</v>
      </c>
      <c r="GC121" s="20">
        <f t="shared" si="79"/>
        <v>1.0676332069095257E-12</v>
      </c>
      <c r="GD121" s="59">
        <f t="shared" si="80"/>
        <v>293.33333333333439</v>
      </c>
      <c r="GE121" s="59">
        <f ca="1">AVERAGE(OFFSET($GD$3,0,0,'Données projet'!$E$17+1,1))-AVERAGE(OFFSET($H$3,0,0,'Données projet'!$E$17+1,1))</f>
        <v>165.39579887388538</v>
      </c>
      <c r="GF121" s="59">
        <f t="shared" si="104"/>
        <v>155.89639262545802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>
        <f>EXP(-LN(2)/35)*GL120+(1-EXP(-LN(2)/35))/(LN(2)/35)*GH121*GI121*VLOOKUP('Données projet'!$B$17,Paramètres!$A$1:$I$89,3,0)*0.475*44/12</f>
        <v>0</v>
      </c>
      <c r="GM121" s="21">
        <f>EXP(-LN(2)/25)*GM120+(1-EXP(-LN(2)/25))/(LN(2)/25)*Calculateur!GH121*Calculateur!GJ121*VLOOKUP('Données projet'!$B$17,Paramètres!$A$1:$I$89,3,0)*0.475*44/12</f>
        <v>0.63541428240888664</v>
      </c>
      <c r="GN121" s="21">
        <f>EXP(-LN(2)/2)*GN120+(1-EXP(-LN(2)/2))/(LN(2)/2)*GH121*GK121*VLOOKUP('Données projet'!$B$17,Paramètres!$A$1:$I$89,3,0)*0.475*44/12</f>
        <v>7.8898868510901546E-13</v>
      </c>
      <c r="GO121" s="21">
        <f t="shared" si="81"/>
        <v>0.63541428240967568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3.4106051316484809E-13</v>
      </c>
      <c r="O122" s="13">
        <f>N122*VLOOKUP('Données projet'!$B$9,Paramètres!$A$1:$I$89,3,0)*VLOOKUP('Données projet'!$B$9,Paramètres!$A$1:$I$89,5,0)</f>
        <v>1.9065282685915009E-13</v>
      </c>
      <c r="P122" s="13">
        <f t="shared" si="87"/>
        <v>2.6568987209435707E-12</v>
      </c>
      <c r="Q122" s="20">
        <f t="shared" si="107"/>
        <v>4.959485612423072E-12</v>
      </c>
      <c r="R122" s="59">
        <f t="shared" si="55"/>
        <v>293.33333333333826</v>
      </c>
      <c r="S122" s="59">
        <f ca="1">AVERAGE(OFFSET($R$3,0,0,'Données projet'!$E$9+1,1))-AVERAGE(OFFSET($H$3,0,0,'Données projet'!$E$9+1,1))</f>
        <v>235.10258076192054</v>
      </c>
      <c r="T122" s="59">
        <f t="shared" si="88"/>
        <v>233.47316052603765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0.58790325563699652</v>
      </c>
      <c r="AA122" s="21">
        <f>EXP(-LN(2)/25)*AA121+(1-EXP(-LN(2)/25))/(LN(2)/25)*Calculateur!V122*Calculateur!X122*VLOOKUP('Données projet'!$B$9,Paramètres!$A$1:$I$89,3,0)*0.475*44/12</f>
        <v>1.5630527681602722</v>
      </c>
      <c r="AB122" s="21">
        <f>EXP(-LN(2)/2)*AB121+(1-EXP(-LN(2)/2))/(LN(2)/2)*V122*Y122*VLOOKUP('Données projet'!$B$9,Paramètres!$A$1:$I$89,3,0)*0.475*44/12</f>
        <v>9.6957180417317335E-13</v>
      </c>
      <c r="AC122" s="22">
        <f t="shared" si="57"/>
        <v>2.1509560237982384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-8.5265128291212022E-14</v>
      </c>
      <c r="AJ122" s="13">
        <f>AI122*VLOOKUP('Données projet'!$B$10,Paramètres!$A$1:$I$89,3,0)*VLOOKUP('Données projet'!$B$10,Paramètres!$A$1:$I$89,5,0)</f>
        <v>-7.4487616075202836E-14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191.94797389630673</v>
      </c>
      <c r="AO122" s="59">
        <f t="shared" si="90"/>
        <v>273.52540822767878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0.44181820423628881</v>
      </c>
      <c r="AV122" s="21">
        <f>EXP(-LN(2)/25)*AV121+(1-EXP(-LN(2)/25))/(LN(2)/25)*Calculateur!AQ122*Calculateur!AS122*VLOOKUP('Données projet'!$B$10,Paramètres!$A$1:$I$89,3,0)*0.475*44/12</f>
        <v>1.1911114065537924</v>
      </c>
      <c r="AW122" s="21">
        <f>EXP(-LN(2)/2)*AW121+(1-EXP(-LN(2)/2))/(LN(2)/2)*AQ122*AT122*VLOOKUP('Données projet'!$B$10,Paramètres!$A$1:$I$89,3,0)*0.475*44/12</f>
        <v>9.3263242517857329E-13</v>
      </c>
      <c r="AX122" s="21">
        <f t="shared" si="60"/>
        <v>1.6329296107910138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2.8</v>
      </c>
      <c r="BD122" s="12">
        <f>IF('Données projet'!$A$88&gt;35,BD121+BC122-BL121,IF(A122&lt;'Données projet'!$A$88,$BA$205^A122,IF(A122='Données projet'!$A$88,'Données projet'!$B$88,BD121+BC122-BL121)))</f>
        <v>231.20000000000002</v>
      </c>
      <c r="BE122" s="13">
        <f>BD122*VLOOKUP('Données projet'!$B$11,Paramètres!$A$1:$I$89,3,0)*VLOOKUP('Données projet'!$B$11,Paramètres!$A$1:$I$89,5,0)</f>
        <v>209.18976000000001</v>
      </c>
      <c r="BF122" s="13">
        <f t="shared" si="91"/>
        <v>51.758488057028018</v>
      </c>
      <c r="BG122" s="20">
        <f t="shared" si="61"/>
        <v>454.4848653659904</v>
      </c>
      <c r="BH122" s="59">
        <f t="shared" si="62"/>
        <v>747.81819869932372</v>
      </c>
      <c r="BI122" s="59">
        <f ca="1">AVERAGE(OFFSET($BH$3,0,0,'Données projet'!$E$11+1,1))-AVERAGE(OFFSET($H$3,0,0,'Données projet'!$E$11+1,1))</f>
        <v>138.8931001150624</v>
      </c>
      <c r="BJ122" s="59">
        <f t="shared" si="92"/>
        <v>48.964659354096625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2.8</v>
      </c>
      <c r="BY122" s="12">
        <f>IF('Données projet'!$A$114&gt;35,BY121+BX122-CG121,IF(A122&lt;'Données projet'!$A$114,$BV$205^A122,IF(A122='Données projet'!$A$114,'Données projet'!$B$114,BY121+BX122-CG121)))</f>
        <v>231.20000000000002</v>
      </c>
      <c r="BZ122" s="13">
        <f>BY122*VLOOKUP('Données projet'!$B$12,Paramètres!$A$1:$I$89,3,0)*VLOOKUP('Données projet'!$B$12,Paramètres!$A$1:$I$89,5,0)</f>
        <v>234.43680000000006</v>
      </c>
      <c r="CA122" s="13">
        <f t="shared" si="93"/>
        <v>57.240952023252405</v>
      </c>
      <c r="CB122" s="20">
        <f t="shared" si="64"/>
        <v>508.00541810716476</v>
      </c>
      <c r="CC122" s="59">
        <f t="shared" si="65"/>
        <v>801.33875144049807</v>
      </c>
      <c r="CD122" s="59">
        <f ca="1">AVERAGE(OFFSET($CC$3,0,0,'Données projet'!$E$12+1,1))-AVERAGE(OFFSET($H$3,0,0,'Données projet'!$E$12+1,1))</f>
        <v>169.2757878405003</v>
      </c>
      <c r="CE122" s="59">
        <f t="shared" si="94"/>
        <v>61.876502626609977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-8.5265128291212022E-14</v>
      </c>
      <c r="CU122" s="17">
        <f>CT122*VLOOKUP('Données projet'!$B$13,Paramètres!$A$1:$I$89,3,0)*VLOOKUP('Données projet'!$B$13,Paramètres!$A$1:$I$89,5,0)</f>
        <v>-6.7836936068488286E-14</v>
      </c>
      <c r="CV122" s="13" t="e">
        <f t="shared" si="95"/>
        <v>#NUM!</v>
      </c>
      <c r="CW122" s="20" t="e">
        <f t="shared" si="67"/>
        <v>#NUM!</v>
      </c>
      <c r="CX122" s="59" t="e">
        <f t="shared" si="68"/>
        <v>#NUM!</v>
      </c>
      <c r="CY122" s="59">
        <f ca="1">AVERAGE(OFFSET($CX$3,0,0,'Données projet'!$E$13+1,1))-AVERAGE(OFFSET($H$3,0,0,'Données projet'!$E$13+1,1))</f>
        <v>141.12810728817544</v>
      </c>
      <c r="CZ122" s="59">
        <f t="shared" si="96"/>
        <v>176.01405805137551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>
        <f>EXP(-LN(2)/35)*DF121+(1-EXP(-LN(2)/35))/(LN(2)/35)*DB122*DC122*VLOOKUP('Données projet'!$B$13,Paramètres!$A$1:$I$89,3,0)*0.475*44/12</f>
        <v>0</v>
      </c>
      <c r="DG122" s="21">
        <f>EXP(-LN(2)/25)*DG121+(1-EXP(-LN(2)/25))/(LN(2)/25)*Calculateur!DB122*Calculateur!DD122*VLOOKUP('Données projet'!$B$13,Paramètres!$A$1:$I$89,3,0)*0.475*44/12</f>
        <v>0.56999213177475916</v>
      </c>
      <c r="DH122" s="21">
        <f>EXP(-LN(2)/2)*DH121+(1-EXP(-LN(2)/2))/(LN(2)/2)*DB122*DE122*VLOOKUP('Données projet'!$B$13,Paramètres!$A$1:$I$89,3,0)*0.475*44/12</f>
        <v>3.2176362221084422E-13</v>
      </c>
      <c r="DI122" s="22">
        <f t="shared" si="69"/>
        <v>0.5699921317750809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5.6843418860808015E-14</v>
      </c>
      <c r="DP122" s="17">
        <f>DO122*VLOOKUP('Données projet'!$B$14,Paramètres!$A$1:$I$89,3,0)*VLOOKUP('Données projet'!$B$14,Paramètres!$A$1:$I$89,5,0)</f>
        <v>3.3992364478763198E-14</v>
      </c>
      <c r="DQ122" s="13">
        <f t="shared" si="97"/>
        <v>5.790027782444094E-13</v>
      </c>
      <c r="DR122" s="20">
        <f t="shared" si="70"/>
        <v>1.0676332069095257E-12</v>
      </c>
      <c r="DS122" s="59">
        <f t="shared" si="71"/>
        <v>293.33333333333439</v>
      </c>
      <c r="DT122" s="59">
        <f ca="1">AVERAGE(OFFSET($DS$3,0,0,'Données projet'!$E$14+1,1))-AVERAGE(OFFSET($H$3,0,0,'Données projet'!$E$14+1,1))</f>
        <v>165.39579887388538</v>
      </c>
      <c r="DU122" s="59">
        <f t="shared" si="98"/>
        <v>155.89639262545802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>
        <f>EXP(-LN(2)/35)*EA121+(1-EXP(-LN(2)/35))/(LN(2)/35)*DW122*DX122*VLOOKUP('Données projet'!$B$14,Paramètres!$A$1:$I$89,3,0)*0.475*44/12</f>
        <v>0</v>
      </c>
      <c r="EB122" s="21">
        <f>EXP(-LN(2)/25)*EB121+(1-EXP(-LN(2)/25))/(LN(2)/25)*Calculateur!DW122*Calculateur!DY122*VLOOKUP('Données projet'!$B$14,Paramètres!$A$1:$I$89,3,0)*0.475*44/12</f>
        <v>0.61803884544143084</v>
      </c>
      <c r="EC122" s="21">
        <f>EXP(-LN(2)/2)*EC121+(1-EXP(-LN(2)/2))/(LN(2)/2)*DW122*DZ122*VLOOKUP('Données projet'!$B$14,Paramètres!$A$1:$I$89,3,0)*0.475*44/12</f>
        <v>5.5789924952004243E-13</v>
      </c>
      <c r="ED122" s="22">
        <f t="shared" si="72"/>
        <v>0.61803884544198873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2.8</v>
      </c>
      <c r="EJ122" s="12">
        <f>IF('Données projet'!$A$192&gt;35,EJ121+EI122-ER121,IF(A122&lt;'Données projet'!$A$192,$EG$205^A122,IF(A122='Données projet'!$A$192,'Données projet'!$B$192,EJ121+EI122-ER121)))</f>
        <v>231.20000000000002</v>
      </c>
      <c r="EK122" s="17">
        <f>EJ122*VLOOKUP('Données projet'!$B$15,Paramètres!$A$1:$I$89,3,0)*VLOOKUP('Données projet'!$B$15,Paramètres!$A$1:$I$89,5,0)</f>
        <v>180.33600000000001</v>
      </c>
      <c r="EL122" s="13">
        <f t="shared" si="99"/>
        <v>45.396931860513298</v>
      </c>
      <c r="EM122" s="20">
        <f t="shared" si="73"/>
        <v>393.15152299039397</v>
      </c>
      <c r="EN122" s="59">
        <f t="shared" si="74"/>
        <v>686.48485632372729</v>
      </c>
      <c r="EO122" s="59">
        <f ca="1">AVERAGE(OFFSET($EN$3,0,0,'Données projet'!$E$15+1,1))-AVERAGE(OFFSET($H$3,0,0,'Données projet'!$E$15+1,1))</f>
        <v>104.07220236158577</v>
      </c>
      <c r="EP122" s="59">
        <f t="shared" si="100"/>
        <v>34.162068257911756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>
        <f>EXP(-LN(2)/35)*EV121+(1-EXP(-LN(2)/35))/(LN(2)/35)*ER122*ES122*VLOOKUP('Données projet'!$B$15,Paramètres!$A$1:$I$89,3,0)*0.475*44/12</f>
        <v>0</v>
      </c>
      <c r="EW122" s="21">
        <f>EXP(-LN(2)/25)*EW121+(1-EXP(-LN(2)/25))/(LN(2)/25)*Calculateur!ER122*Calculateur!ET122*VLOOKUP('Données projet'!$B$15,Paramètres!$A$1:$I$89,3,0)*0.475*44/12</f>
        <v>0</v>
      </c>
      <c r="EX122" s="21">
        <f>EXP(-LN(2)/2)*EX121+(1-EXP(-LN(2)/2))/(LN(2)/2)*ER122*EU122*VLOOKUP('Données projet'!$B$15,Paramètres!$A$1:$I$89,3,0)*0.475*44/12</f>
        <v>0</v>
      </c>
      <c r="EY122" s="22">
        <f t="shared" si="75"/>
        <v>0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5.6843418860808015E-14</v>
      </c>
      <c r="FF122" s="17">
        <f>FE122*VLOOKUP('Données projet'!$B$16,Paramètres!$A$1:$I$89,3,0)*VLOOKUP('Données projet'!$B$16,Paramètres!$A$1:$I$89,5,0)</f>
        <v>5.1431925385259088E-14</v>
      </c>
      <c r="FG122" s="13">
        <f t="shared" si="101"/>
        <v>8.3482866290946129E-13</v>
      </c>
      <c r="FH122" s="20">
        <f t="shared" si="76"/>
        <v>1.5435705246133045E-12</v>
      </c>
      <c r="FI122" s="59">
        <f t="shared" si="77"/>
        <v>293.33333333333485</v>
      </c>
      <c r="FJ122" s="59">
        <f ca="1">AVERAGE(OFFSET($FI$3,0,0,'Données projet'!$E$16+1,1))-AVERAGE(OFFSET($H$3,0,0,'Données projet'!$E$16+1,1))</f>
        <v>179.50097986986123</v>
      </c>
      <c r="FK122" s="59">
        <f t="shared" si="102"/>
        <v>287.11838730637578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>
        <f>EXP(-LN(2)/35)*FQ121+(1-EXP(-LN(2)/35))/(LN(2)/35)*FM122*FN122*VLOOKUP('Données projet'!$B$16,Paramètres!$A$1:$I$89,3,0)*0.475*44/12</f>
        <v>0.1069727920873438</v>
      </c>
      <c r="FR122" s="21">
        <f>EXP(-LN(2)/25)*FR121+(1-EXP(-LN(2)/25))/(LN(2)/25)*Calculateur!FM122*Calculateur!FO122*VLOOKUP('Données projet'!$B$16,Paramètres!$A$1:$I$89,3,0)*0.475*44/12</f>
        <v>0.53362318665599218</v>
      </c>
      <c r="FS122" s="21">
        <f>EXP(-LN(2)/2)*FS121+(1-EXP(-LN(2)/2))/(LN(2)/2)*FM122*FP122*VLOOKUP('Données projet'!$B$16,Paramètres!$A$1:$I$89,3,0)*0.475*44/12</f>
        <v>1.8171053432128561E-13</v>
      </c>
      <c r="FT122" s="22">
        <f t="shared" si="78"/>
        <v>0.6405959787435177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5.6843418860808015E-14</v>
      </c>
      <c r="GA122" s="17">
        <f>FZ122*VLOOKUP('Données projet'!$B$17,Paramètres!$A$1:$I$89,3,0)*VLOOKUP('Données projet'!$B$17,Paramètres!$A$1:$I$89,5,0)</f>
        <v>3.3992364478763198E-14</v>
      </c>
      <c r="GB122" s="13">
        <f t="shared" si="103"/>
        <v>5.790027782444094E-13</v>
      </c>
      <c r="GC122" s="20">
        <f t="shared" si="79"/>
        <v>1.0676332069095257E-12</v>
      </c>
      <c r="GD122" s="59">
        <f t="shared" si="80"/>
        <v>293.33333333333439</v>
      </c>
      <c r="GE122" s="59">
        <f ca="1">AVERAGE(OFFSET($GD$3,0,0,'Données projet'!$E$17+1,1))-AVERAGE(OFFSET($H$3,0,0,'Données projet'!$E$17+1,1))</f>
        <v>165.39579887388538</v>
      </c>
      <c r="GF122" s="59">
        <f t="shared" si="104"/>
        <v>155.89639262545802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>
        <f>EXP(-LN(2)/35)*GL121+(1-EXP(-LN(2)/35))/(LN(2)/35)*GH122*GI122*VLOOKUP('Données projet'!$B$17,Paramètres!$A$1:$I$89,3,0)*0.475*44/12</f>
        <v>0</v>
      </c>
      <c r="GM122" s="21">
        <f>EXP(-LN(2)/25)*GM121+(1-EXP(-LN(2)/25))/(LN(2)/25)*Calculateur!GH122*Calculateur!GJ122*VLOOKUP('Données projet'!$B$17,Paramètres!$A$1:$I$89,3,0)*0.475*44/12</f>
        <v>0.61803884544143084</v>
      </c>
      <c r="GN122" s="21">
        <f>EXP(-LN(2)/2)*GN121+(1-EXP(-LN(2)/2))/(LN(2)/2)*GH122*GK122*VLOOKUP('Données projet'!$B$17,Paramètres!$A$1:$I$89,3,0)*0.475*44/12</f>
        <v>5.5789924952004243E-13</v>
      </c>
      <c r="GO122" s="21">
        <f t="shared" si="81"/>
        <v>0.61803884544198873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3.4106051316484809E-13</v>
      </c>
      <c r="O123" s="13">
        <f>N123*VLOOKUP('Données projet'!$B$9,Paramètres!$A$1:$I$89,3,0)*VLOOKUP('Données projet'!$B$9,Paramètres!$A$1:$I$89,5,0)</f>
        <v>1.9065282685915009E-13</v>
      </c>
      <c r="P123" s="13">
        <f t="shared" si="87"/>
        <v>2.6568987209435707E-12</v>
      </c>
      <c r="Q123" s="20">
        <f t="shared" si="107"/>
        <v>4.959485612423072E-12</v>
      </c>
      <c r="R123" s="59">
        <f t="shared" si="55"/>
        <v>293.33333333333826</v>
      </c>
      <c r="S123" s="59">
        <f ca="1">AVERAGE(OFFSET($R$3,0,0,'Données projet'!$E$9+1,1))-AVERAGE(OFFSET($H$3,0,0,'Données projet'!$E$9+1,1))</f>
        <v>235.10258076192054</v>
      </c>
      <c r="T123" s="59">
        <f t="shared" si="88"/>
        <v>233.47316052603765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0.5763748313795336</v>
      </c>
      <c r="AA123" s="21">
        <f>EXP(-LN(2)/25)*AA122+(1-EXP(-LN(2)/25))/(LN(2)/25)*Calculateur!V123*Calculateur!X123*VLOOKUP('Données projet'!$B$9,Paramètres!$A$1:$I$89,3,0)*0.475*44/12</f>
        <v>1.5203110080175568</v>
      </c>
      <c r="AB123" s="21">
        <f>EXP(-LN(2)/2)*AB122+(1-EXP(-LN(2)/2))/(LN(2)/2)*V123*Y123*VLOOKUP('Données projet'!$B$9,Paramètres!$A$1:$I$89,3,0)*0.475*44/12</f>
        <v>6.855907975781262E-13</v>
      </c>
      <c r="AC123" s="22">
        <f t="shared" si="57"/>
        <v>2.0966858393977761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-8.5265128291212022E-14</v>
      </c>
      <c r="AJ123" s="13">
        <f>AI123*VLOOKUP('Données projet'!$B$10,Paramètres!$A$1:$I$89,3,0)*VLOOKUP('Données projet'!$B$10,Paramètres!$A$1:$I$89,5,0)</f>
        <v>-7.4487616075202836E-14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191.94797389630673</v>
      </c>
      <c r="AO123" s="59">
        <f t="shared" si="90"/>
        <v>273.52540822767878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0.43315441873371058</v>
      </c>
      <c r="AV123" s="21">
        <f>EXP(-LN(2)/25)*AV122+(1-EXP(-LN(2)/25))/(LN(2)/25)*Calculateur!AQ123*Calculateur!AS123*VLOOKUP('Données projet'!$B$10,Paramètres!$A$1:$I$89,3,0)*0.475*44/12</f>
        <v>1.1585404025037525</v>
      </c>
      <c r="AW123" s="21">
        <f>EXP(-LN(2)/2)*AW122+(1-EXP(-LN(2)/2))/(LN(2)/2)*AQ123*AT123*VLOOKUP('Données projet'!$B$10,Paramètres!$A$1:$I$89,3,0)*0.475*44/12</f>
        <v>6.594707121982246E-13</v>
      </c>
      <c r="AX123" s="21">
        <f t="shared" si="60"/>
        <v>1.5916948212381226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234</v>
      </c>
      <c r="BB123" s="12">
        <f>VLOOKUP(A123,'Données projet'!$A$87:$I$107,9,0)</f>
        <v>2.8</v>
      </c>
      <c r="BC123" s="12">
        <f t="array" ref="BC123">INDEX(BB:BB,MIN(IF(ISNUMBER(BB123:BB319),ROW(BB123:BB319),"")))</f>
        <v>2.8</v>
      </c>
      <c r="BD123" s="12">
        <f>IF('Données projet'!$A$88&gt;35,BD122+BC123-BL122,IF(A123&lt;'Données projet'!$A$88,$BA$205^A123,IF(A123='Données projet'!$A$88,'Données projet'!$B$88,BD122+BC123-BL122)))</f>
        <v>234.00000000000003</v>
      </c>
      <c r="BE123" s="13">
        <f>BD123*VLOOKUP('Données projet'!$B$11,Paramètres!$A$1:$I$89,3,0)*VLOOKUP('Données projet'!$B$11,Paramètres!$A$1:$I$89,5,0)</f>
        <v>211.72319999999999</v>
      </c>
      <c r="BF123" s="13">
        <f t="shared" si="91"/>
        <v>52.311968964212078</v>
      </c>
      <c r="BG123" s="20">
        <f t="shared" si="61"/>
        <v>459.86125261266926</v>
      </c>
      <c r="BH123" s="59">
        <f t="shared" si="62"/>
        <v>753.19458594600258</v>
      </c>
      <c r="BI123" s="59">
        <f ca="1">AVERAGE(OFFSET($BH$3,0,0,'Données projet'!$E$11+1,1))-AVERAGE(OFFSET($H$3,0,0,'Données projet'!$E$11+1,1))</f>
        <v>138.8931001150624</v>
      </c>
      <c r="BJ123" s="59">
        <f t="shared" si="92"/>
        <v>48.964659354096625</v>
      </c>
      <c r="BK123" s="15">
        <f>IF(ISNA(VLOOKUP(A123,'Données projet'!$A$87:$I$107,3,0)),0,VLOOKUP(A123,'Données projet'!$A$87:$I$107,3,0))</f>
        <v>9</v>
      </c>
      <c r="BL123" s="15">
        <f>IF(ISNA(VLOOKUP(A123,'Données projet'!$A$87:$I$107,4,0)),0,VLOOKUP(A123,'Données projet'!$A$87:$I$107,4,0))</f>
        <v>234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234</v>
      </c>
      <c r="BW123" s="12">
        <f>VLOOKUP(A123,'Données projet'!$A$113:$I$133,9,0)</f>
        <v>2.8</v>
      </c>
      <c r="BX123" s="12">
        <f t="array" ref="BX123">INDEX(BW:BW,MIN(IF(ISNUMBER(BW123:BW319),ROW(BW123:BW319),"")))</f>
        <v>2.8</v>
      </c>
      <c r="BY123" s="12">
        <f>IF('Données projet'!$A$114&gt;35,BY122+BX123-CG122,IF(A123&lt;'Données projet'!$A$114,$BV$205^A123,IF(A123='Données projet'!$A$114,'Données projet'!$B$114,BY122+BX123-CG122)))</f>
        <v>234.00000000000003</v>
      </c>
      <c r="BZ123" s="13">
        <f>BY123*VLOOKUP('Données projet'!$B$12,Paramètres!$A$1:$I$89,3,0)*VLOOKUP('Données projet'!$B$12,Paramètres!$A$1:$I$89,5,0)</f>
        <v>237.27600000000004</v>
      </c>
      <c r="CA123" s="13">
        <f t="shared" si="93"/>
        <v>57.853059819349561</v>
      </c>
      <c r="CB123" s="20">
        <f t="shared" si="64"/>
        <v>514.01644585203383</v>
      </c>
      <c r="CC123" s="59">
        <f t="shared" si="65"/>
        <v>807.3497791853672</v>
      </c>
      <c r="CD123" s="59">
        <f ca="1">AVERAGE(OFFSET($CC$3,0,0,'Données projet'!$E$12+1,1))-AVERAGE(OFFSET($H$3,0,0,'Données projet'!$E$12+1,1))</f>
        <v>169.2757878405003</v>
      </c>
      <c r="CE123" s="59">
        <f t="shared" si="94"/>
        <v>61.876502626609977</v>
      </c>
      <c r="CF123" s="15">
        <f>IF(ISNA(VLOOKUP(A123,'Données projet'!$A$113:$I$133,3,0)),0,VLOOKUP(A123,'Données projet'!$A$113:$I$133,3,0))</f>
        <v>9</v>
      </c>
      <c r="CG123" s="15">
        <f>IF(ISNA(VLOOKUP(A123,'Données projet'!$A$113:$I$133,4,0)),0,VLOOKUP(A123,'Données projet'!$A$113:$I$133,4,0))</f>
        <v>234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-8.5265128291212022E-14</v>
      </c>
      <c r="CU123" s="17">
        <f>CT123*VLOOKUP('Données projet'!$B$13,Paramètres!$A$1:$I$89,3,0)*VLOOKUP('Données projet'!$B$13,Paramètres!$A$1:$I$89,5,0)</f>
        <v>-6.7836936068488286E-14</v>
      </c>
      <c r="CV123" s="13" t="e">
        <f t="shared" si="95"/>
        <v>#NUM!</v>
      </c>
      <c r="CW123" s="20" t="e">
        <f t="shared" si="67"/>
        <v>#NUM!</v>
      </c>
      <c r="CX123" s="59" t="e">
        <f t="shared" si="68"/>
        <v>#NUM!</v>
      </c>
      <c r="CY123" s="59">
        <f ca="1">AVERAGE(OFFSET($CX$3,0,0,'Données projet'!$E$13+1,1))-AVERAGE(OFFSET($H$3,0,0,'Données projet'!$E$13+1,1))</f>
        <v>141.12810728817544</v>
      </c>
      <c r="CZ123" s="59">
        <f t="shared" si="96"/>
        <v>176.01405805137551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>
        <f>EXP(-LN(2)/35)*DF122+(1-EXP(-LN(2)/35))/(LN(2)/35)*DB123*DC123*VLOOKUP('Données projet'!$B$13,Paramètres!$A$1:$I$89,3,0)*0.475*44/12</f>
        <v>0</v>
      </c>
      <c r="DG123" s="21">
        <f>EXP(-LN(2)/25)*DG122+(1-EXP(-LN(2)/25))/(LN(2)/25)*Calculateur!DB123*Calculateur!DD123*VLOOKUP('Données projet'!$B$13,Paramètres!$A$1:$I$89,3,0)*0.475*44/12</f>
        <v>0.55440566695679494</v>
      </c>
      <c r="DH123" s="21">
        <f>EXP(-LN(2)/2)*DH122+(1-EXP(-LN(2)/2))/(LN(2)/2)*DB123*DE123*VLOOKUP('Données projet'!$B$13,Paramètres!$A$1:$I$89,3,0)*0.475*44/12</f>
        <v>2.2752123920443436E-13</v>
      </c>
      <c r="DI123" s="22">
        <f t="shared" si="69"/>
        <v>0.55440566695702242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5.6843418860808015E-14</v>
      </c>
      <c r="DP123" s="17">
        <f>DO123*VLOOKUP('Données projet'!$B$14,Paramètres!$A$1:$I$89,3,0)*VLOOKUP('Données projet'!$B$14,Paramètres!$A$1:$I$89,5,0)</f>
        <v>3.3992364478763198E-14</v>
      </c>
      <c r="DQ123" s="13">
        <f t="shared" si="97"/>
        <v>5.790027782444094E-13</v>
      </c>
      <c r="DR123" s="20">
        <f t="shared" si="70"/>
        <v>1.0676332069095257E-12</v>
      </c>
      <c r="DS123" s="59">
        <f t="shared" si="71"/>
        <v>293.33333333333439</v>
      </c>
      <c r="DT123" s="59">
        <f ca="1">AVERAGE(OFFSET($DS$3,0,0,'Données projet'!$E$14+1,1))-AVERAGE(OFFSET($H$3,0,0,'Données projet'!$E$14+1,1))</f>
        <v>165.39579887388538</v>
      </c>
      <c r="DU123" s="59">
        <f t="shared" si="98"/>
        <v>155.89639262545802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>
        <f>EXP(-LN(2)/35)*EA122+(1-EXP(-LN(2)/35))/(LN(2)/35)*DW123*DX123*VLOOKUP('Données projet'!$B$14,Paramètres!$A$1:$I$89,3,0)*0.475*44/12</f>
        <v>0</v>
      </c>
      <c r="EB123" s="21">
        <f>EXP(-LN(2)/25)*EB122+(1-EXP(-LN(2)/25))/(LN(2)/25)*Calculateur!DW123*Calculateur!DY123*VLOOKUP('Données projet'!$B$14,Paramètres!$A$1:$I$89,3,0)*0.475*44/12</f>
        <v>0.60113854071158457</v>
      </c>
      <c r="EC123" s="21">
        <f>EXP(-LN(2)/2)*EC122+(1-EXP(-LN(2)/2))/(LN(2)/2)*DW123*DZ123*VLOOKUP('Données projet'!$B$14,Paramètres!$A$1:$I$89,3,0)*0.475*44/12</f>
        <v>3.9449434255450773E-13</v>
      </c>
      <c r="ED123" s="22">
        <f t="shared" si="72"/>
        <v>0.60113854071197903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>
        <f>VLOOKUP(A123,'Données projet'!$A$191:$I$211,2,0)</f>
        <v>234</v>
      </c>
      <c r="EH123" s="12">
        <f>VLOOKUP(A123,'Données projet'!$A$191:$I$211,9,0)</f>
        <v>2.8</v>
      </c>
      <c r="EI123" s="12">
        <f t="array" ref="EI123">INDEX(EH:EH,MIN(IF(ISNUMBER(EH123:EH319),ROW(EH123:EH319),"")))</f>
        <v>2.8</v>
      </c>
      <c r="EJ123" s="12">
        <f>IF('Données projet'!$A$192&gt;35,EJ122+EI123-ER122,IF(A123&lt;'Données projet'!$A$192,$EG$205^A123,IF(A123='Données projet'!$A$192,'Données projet'!$B$192,EJ122+EI123-ER122)))</f>
        <v>234.00000000000003</v>
      </c>
      <c r="EK123" s="17">
        <f>EJ123*VLOOKUP('Données projet'!$B$15,Paramètres!$A$1:$I$89,3,0)*VLOOKUP('Données projet'!$B$15,Paramètres!$A$1:$I$89,5,0)</f>
        <v>182.52000000000004</v>
      </c>
      <c r="EL123" s="13">
        <f t="shared" si="99"/>
        <v>45.882385280285632</v>
      </c>
      <c r="EM123" s="20">
        <f t="shared" si="73"/>
        <v>397.80082102983084</v>
      </c>
      <c r="EN123" s="59">
        <f t="shared" si="74"/>
        <v>691.13415436316416</v>
      </c>
      <c r="EO123" s="59">
        <f ca="1">AVERAGE(OFFSET($EN$3,0,0,'Données projet'!$E$15+1,1))-AVERAGE(OFFSET($H$3,0,0,'Données projet'!$E$15+1,1))</f>
        <v>104.07220236158577</v>
      </c>
      <c r="EP123" s="59">
        <f t="shared" si="100"/>
        <v>34.162068257911756</v>
      </c>
      <c r="EQ123" s="15">
        <f>IF(ISNA(VLOOKUP(A123,'Données projet'!$A$191:$I$211,3,0)),0,VLOOKUP(A123,'Données projet'!$A$191:$I$211,3,0))</f>
        <v>9</v>
      </c>
      <c r="ER123" s="15">
        <f>IF(ISNA(VLOOKUP(A123,'Données projet'!$A$191:$I$211,4,0)),0,VLOOKUP(A123,'Données projet'!$A$191:$I$211,4,0))</f>
        <v>234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>
        <f>EXP(-LN(2)/35)*EV122+(1-EXP(-LN(2)/35))/(LN(2)/35)*ER123*ES123*VLOOKUP('Données projet'!$B$15,Paramètres!$A$1:$I$89,3,0)*0.475*44/12</f>
        <v>0</v>
      </c>
      <c r="EW123" s="21">
        <f>EXP(-LN(2)/25)*EW122+(1-EXP(-LN(2)/25))/(LN(2)/25)*Calculateur!ER123*Calculateur!ET123*VLOOKUP('Données projet'!$B$15,Paramètres!$A$1:$I$89,3,0)*0.475*44/12</f>
        <v>0</v>
      </c>
      <c r="EX123" s="21">
        <f>EXP(-LN(2)/2)*EX122+(1-EXP(-LN(2)/2))/(LN(2)/2)*ER123*EU123*VLOOKUP('Données projet'!$B$15,Paramètres!$A$1:$I$89,3,0)*0.475*44/12</f>
        <v>0</v>
      </c>
      <c r="EY123" s="22">
        <f t="shared" si="75"/>
        <v>0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5.6843418860808015E-14</v>
      </c>
      <c r="FF123" s="17">
        <f>FE123*VLOOKUP('Données projet'!$B$16,Paramètres!$A$1:$I$89,3,0)*VLOOKUP('Données projet'!$B$16,Paramètres!$A$1:$I$89,5,0)</f>
        <v>5.1431925385259088E-14</v>
      </c>
      <c r="FG123" s="13">
        <f t="shared" si="101"/>
        <v>8.3482866290946129E-13</v>
      </c>
      <c r="FH123" s="20">
        <f t="shared" si="76"/>
        <v>1.5435705246133045E-12</v>
      </c>
      <c r="FI123" s="59">
        <f t="shared" si="77"/>
        <v>293.33333333333485</v>
      </c>
      <c r="FJ123" s="59">
        <f ca="1">AVERAGE(OFFSET($FI$3,0,0,'Données projet'!$E$16+1,1))-AVERAGE(OFFSET($H$3,0,0,'Données projet'!$E$16+1,1))</f>
        <v>179.50097986986123</v>
      </c>
      <c r="FK123" s="59">
        <f t="shared" si="102"/>
        <v>287.11838730637578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>
        <f>EXP(-LN(2)/35)*FQ122+(1-EXP(-LN(2)/35))/(LN(2)/35)*FM123*FN123*VLOOKUP('Données projet'!$B$16,Paramètres!$A$1:$I$89,3,0)*0.475*44/12</f>
        <v>0.10487512088147155</v>
      </c>
      <c r="FR123" s="21">
        <f>EXP(-LN(2)/25)*FR122+(1-EXP(-LN(2)/25))/(LN(2)/25)*Calculateur!FM123*Calculateur!FO123*VLOOKUP('Données projet'!$B$16,Paramètres!$A$1:$I$89,3,0)*0.475*44/12</f>
        <v>0.51903123255486028</v>
      </c>
      <c r="FS123" s="21">
        <f>EXP(-LN(2)/2)*FS122+(1-EXP(-LN(2)/2))/(LN(2)/2)*FM123*FP123*VLOOKUP('Données projet'!$B$16,Paramètres!$A$1:$I$89,3,0)*0.475*44/12</f>
        <v>1.2848875103161194E-13</v>
      </c>
      <c r="FT123" s="22">
        <f t="shared" si="78"/>
        <v>0.62390635343646028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5.6843418860808015E-14</v>
      </c>
      <c r="GA123" s="17">
        <f>FZ123*VLOOKUP('Données projet'!$B$17,Paramètres!$A$1:$I$89,3,0)*VLOOKUP('Données projet'!$B$17,Paramètres!$A$1:$I$89,5,0)</f>
        <v>3.3992364478763198E-14</v>
      </c>
      <c r="GB123" s="13">
        <f t="shared" si="103"/>
        <v>5.790027782444094E-13</v>
      </c>
      <c r="GC123" s="20">
        <f t="shared" si="79"/>
        <v>1.0676332069095257E-12</v>
      </c>
      <c r="GD123" s="59">
        <f t="shared" si="80"/>
        <v>293.33333333333439</v>
      </c>
      <c r="GE123" s="59">
        <f ca="1">AVERAGE(OFFSET($GD$3,0,0,'Données projet'!$E$17+1,1))-AVERAGE(OFFSET($H$3,0,0,'Données projet'!$E$17+1,1))</f>
        <v>165.39579887388538</v>
      </c>
      <c r="GF123" s="59">
        <f t="shared" si="104"/>
        <v>155.89639262545802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>
        <f>EXP(-LN(2)/35)*GL122+(1-EXP(-LN(2)/35))/(LN(2)/35)*GH123*GI123*VLOOKUP('Données projet'!$B$17,Paramètres!$A$1:$I$89,3,0)*0.475*44/12</f>
        <v>0</v>
      </c>
      <c r="GM123" s="21">
        <f>EXP(-LN(2)/25)*GM122+(1-EXP(-LN(2)/25))/(LN(2)/25)*Calculateur!GH123*Calculateur!GJ123*VLOOKUP('Données projet'!$B$17,Paramètres!$A$1:$I$89,3,0)*0.475*44/12</f>
        <v>0.60113854071158457</v>
      </c>
      <c r="GN123" s="21">
        <f>EXP(-LN(2)/2)*GN122+(1-EXP(-LN(2)/2))/(LN(2)/2)*GH123*GK123*VLOOKUP('Données projet'!$B$17,Paramètres!$A$1:$I$89,3,0)*0.475*44/12</f>
        <v>3.9449434255450773E-13</v>
      </c>
      <c r="GO123" s="21">
        <f t="shared" si="81"/>
        <v>0.60113854071197903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3.4106051316484809E-13</v>
      </c>
      <c r="O124" s="13">
        <f>N124*VLOOKUP('Données projet'!$B$9,Paramètres!$A$1:$I$89,3,0)*VLOOKUP('Données projet'!$B$9,Paramètres!$A$1:$I$89,5,0)</f>
        <v>1.9065282685915009E-13</v>
      </c>
      <c r="P124" s="13">
        <f t="shared" si="87"/>
        <v>2.6568987209435707E-12</v>
      </c>
      <c r="Q124" s="20">
        <f t="shared" si="107"/>
        <v>4.959485612423072E-12</v>
      </c>
      <c r="R124" s="59">
        <f t="shared" si="55"/>
        <v>293.33333333333826</v>
      </c>
      <c r="S124" s="59">
        <f ca="1">AVERAGE(OFFSET($R$3,0,0,'Données projet'!$E$9+1,1))-AVERAGE(OFFSET($H$3,0,0,'Données projet'!$E$9+1,1))</f>
        <v>235.10258076192054</v>
      </c>
      <c r="T124" s="59">
        <f t="shared" si="88"/>
        <v>233.47316052603765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0.56507247249011505</v>
      </c>
      <c r="AA124" s="21">
        <f>EXP(-LN(2)/25)*AA123+(1-EXP(-LN(2)/25))/(LN(2)/25)*Calculateur!V124*Calculateur!X124*VLOOKUP('Données projet'!$B$9,Paramètres!$A$1:$I$89,3,0)*0.475*44/12</f>
        <v>1.4787380235536356</v>
      </c>
      <c r="AB124" s="21">
        <f>EXP(-LN(2)/2)*AB123+(1-EXP(-LN(2)/2))/(LN(2)/2)*V124*Y124*VLOOKUP('Données projet'!$B$9,Paramètres!$A$1:$I$89,3,0)*0.475*44/12</f>
        <v>4.8478590208658668E-13</v>
      </c>
      <c r="AC124" s="22">
        <f t="shared" si="57"/>
        <v>2.0438104960442356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-8.5265128291212022E-14</v>
      </c>
      <c r="AJ124" s="13">
        <f>AI124*VLOOKUP('Données projet'!$B$10,Paramètres!$A$1:$I$89,3,0)*VLOOKUP('Données projet'!$B$10,Paramètres!$A$1:$I$89,5,0)</f>
        <v>-7.4487616075202836E-14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191.94797389630673</v>
      </c>
      <c r="AO124" s="59">
        <f t="shared" si="90"/>
        <v>273.52540822767878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0.42466052478045052</v>
      </c>
      <c r="AV124" s="21">
        <f>EXP(-LN(2)/25)*AV123+(1-EXP(-LN(2)/25))/(LN(2)/25)*Calculateur!AQ124*Calculateur!AS124*VLOOKUP('Données projet'!$B$10,Paramètres!$A$1:$I$89,3,0)*0.475*44/12</f>
        <v>1.1268600542722955</v>
      </c>
      <c r="AW124" s="21">
        <f>EXP(-LN(2)/2)*AW123+(1-EXP(-LN(2)/2))/(LN(2)/2)*AQ124*AT124*VLOOKUP('Données projet'!$B$10,Paramètres!$A$1:$I$89,3,0)*0.475*44/12</f>
        <v>4.6631621258928665E-13</v>
      </c>
      <c r="AX124" s="21">
        <f t="shared" si="60"/>
        <v>1.5515205790532123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2.8421709430404007E-14</v>
      </c>
      <c r="BE124" s="13">
        <f>BD124*VLOOKUP('Données projet'!$B$11,Paramètres!$A$1:$I$89,3,0)*VLOOKUP('Données projet'!$B$11,Paramètres!$A$1:$I$89,5,0)</f>
        <v>2.5715962692629544E-14</v>
      </c>
      <c r="BF124" s="13">
        <f t="shared" si="91"/>
        <v>4.5248818890525812E-13</v>
      </c>
      <c r="BG124" s="20">
        <f t="shared" si="61"/>
        <v>8.3287223069965432E-13</v>
      </c>
      <c r="BH124" s="59">
        <f t="shared" si="62"/>
        <v>293.33333333333417</v>
      </c>
      <c r="BI124" s="59">
        <f ca="1">AVERAGE(OFFSET($BH$3,0,0,'Données projet'!$E$11+1,1))-AVERAGE(OFFSET($H$3,0,0,'Données projet'!$E$11+1,1))</f>
        <v>138.8931001150624</v>
      </c>
      <c r="BJ124" s="59">
        <f t="shared" si="92"/>
        <v>48.964659354096625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2.8421709430404007E-14</v>
      </c>
      <c r="BZ124" s="13">
        <f>BY124*VLOOKUP('Données projet'!$B$12,Paramètres!$A$1:$I$89,3,0)*VLOOKUP('Données projet'!$B$12,Paramètres!$A$1:$I$89,5,0)</f>
        <v>2.8819613362429664E-14</v>
      </c>
      <c r="CA124" s="13">
        <f t="shared" si="93"/>
        <v>5.0041752926933358E-13</v>
      </c>
      <c r="CB124" s="20">
        <f t="shared" si="64"/>
        <v>9.2175469008365428E-13</v>
      </c>
      <c r="CC124" s="59">
        <f t="shared" si="65"/>
        <v>293.33333333333422</v>
      </c>
      <c r="CD124" s="59">
        <f ca="1">AVERAGE(OFFSET($CC$3,0,0,'Données projet'!$E$12+1,1))-AVERAGE(OFFSET($H$3,0,0,'Données projet'!$E$12+1,1))</f>
        <v>169.2757878405003</v>
      </c>
      <c r="CE124" s="59">
        <f t="shared" si="94"/>
        <v>61.876502626609977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-8.5265128291212022E-14</v>
      </c>
      <c r="CU124" s="17">
        <f>CT124*VLOOKUP('Données projet'!$B$13,Paramètres!$A$1:$I$89,3,0)*VLOOKUP('Données projet'!$B$13,Paramètres!$A$1:$I$89,5,0)</f>
        <v>-6.7836936068488286E-14</v>
      </c>
      <c r="CV124" s="13" t="e">
        <f t="shared" si="95"/>
        <v>#NUM!</v>
      </c>
      <c r="CW124" s="20" t="e">
        <f t="shared" si="67"/>
        <v>#NUM!</v>
      </c>
      <c r="CX124" s="59" t="e">
        <f t="shared" si="68"/>
        <v>#NUM!</v>
      </c>
      <c r="CY124" s="59">
        <f ca="1">AVERAGE(OFFSET($CX$3,0,0,'Données projet'!$E$13+1,1))-AVERAGE(OFFSET($H$3,0,0,'Données projet'!$E$13+1,1))</f>
        <v>141.12810728817544</v>
      </c>
      <c r="CZ124" s="59">
        <f t="shared" si="96"/>
        <v>176.01405805137551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>
        <f>EXP(-LN(2)/35)*DF123+(1-EXP(-LN(2)/35))/(LN(2)/35)*DB124*DC124*VLOOKUP('Données projet'!$B$13,Paramètres!$A$1:$I$89,3,0)*0.475*44/12</f>
        <v>0</v>
      </c>
      <c r="DG124" s="21">
        <f>EXP(-LN(2)/25)*DG123+(1-EXP(-LN(2)/25))/(LN(2)/25)*Calculateur!DB124*Calculateur!DD124*VLOOKUP('Données projet'!$B$13,Paramètres!$A$1:$I$89,3,0)*0.475*44/12</f>
        <v>0.53924541483893451</v>
      </c>
      <c r="DH124" s="21">
        <f>EXP(-LN(2)/2)*DH123+(1-EXP(-LN(2)/2))/(LN(2)/2)*DB124*DE124*VLOOKUP('Données projet'!$B$13,Paramètres!$A$1:$I$89,3,0)*0.475*44/12</f>
        <v>1.6088181110542211E-13</v>
      </c>
      <c r="DI124" s="22">
        <f t="shared" si="69"/>
        <v>0.53924541483909538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5.6843418860808015E-14</v>
      </c>
      <c r="DP124" s="17">
        <f>DO124*VLOOKUP('Données projet'!$B$14,Paramètres!$A$1:$I$89,3,0)*VLOOKUP('Données projet'!$B$14,Paramètres!$A$1:$I$89,5,0)</f>
        <v>3.3992364478763198E-14</v>
      </c>
      <c r="DQ124" s="13">
        <f t="shared" si="97"/>
        <v>5.790027782444094E-13</v>
      </c>
      <c r="DR124" s="20">
        <f t="shared" si="70"/>
        <v>1.0676332069095257E-12</v>
      </c>
      <c r="DS124" s="59">
        <f t="shared" si="71"/>
        <v>293.33333333333439</v>
      </c>
      <c r="DT124" s="59">
        <f ca="1">AVERAGE(OFFSET($DS$3,0,0,'Données projet'!$E$14+1,1))-AVERAGE(OFFSET($H$3,0,0,'Données projet'!$E$14+1,1))</f>
        <v>165.39579887388538</v>
      </c>
      <c r="DU124" s="59">
        <f t="shared" si="98"/>
        <v>155.89639262545802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>
        <f>EXP(-LN(2)/35)*EA123+(1-EXP(-LN(2)/35))/(LN(2)/35)*DW124*DX124*VLOOKUP('Données projet'!$B$14,Paramètres!$A$1:$I$89,3,0)*0.475*44/12</f>
        <v>0</v>
      </c>
      <c r="EB124" s="21">
        <f>EXP(-LN(2)/25)*EB123+(1-EXP(-LN(2)/25))/(LN(2)/25)*Calculateur!DW124*Calculateur!DY124*VLOOKUP('Données projet'!$B$14,Paramètres!$A$1:$I$89,3,0)*0.475*44/12</f>
        <v>0.58470037570332434</v>
      </c>
      <c r="EC124" s="21">
        <f>EXP(-LN(2)/2)*EC123+(1-EXP(-LN(2)/2))/(LN(2)/2)*DW124*DZ124*VLOOKUP('Données projet'!$B$14,Paramètres!$A$1:$I$89,3,0)*0.475*44/12</f>
        <v>2.7894962476002122E-13</v>
      </c>
      <c r="ED124" s="22">
        <f t="shared" si="72"/>
        <v>0.58470037570360334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2.8421709430404007E-14</v>
      </c>
      <c r="EK124" s="17">
        <f>EJ124*VLOOKUP('Données projet'!$B$15,Paramètres!$A$1:$I$89,3,0)*VLOOKUP('Données projet'!$B$15,Paramètres!$A$1:$I$89,5,0)</f>
        <v>2.2168933355715127E-14</v>
      </c>
      <c r="EL124" s="13">
        <f t="shared" si="99"/>
        <v>3.9687356123668477E-13</v>
      </c>
      <c r="EM124" s="20">
        <f t="shared" si="73"/>
        <v>7.2983234474842979E-13</v>
      </c>
      <c r="EN124" s="59">
        <f t="shared" si="74"/>
        <v>293.33333333333405</v>
      </c>
      <c r="EO124" s="59">
        <f ca="1">AVERAGE(OFFSET($EN$3,0,0,'Données projet'!$E$15+1,1))-AVERAGE(OFFSET($H$3,0,0,'Données projet'!$E$15+1,1))</f>
        <v>104.07220236158577</v>
      </c>
      <c r="EP124" s="59">
        <f t="shared" si="100"/>
        <v>34.162068257911756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>
        <f>EXP(-LN(2)/35)*EV123+(1-EXP(-LN(2)/35))/(LN(2)/35)*ER124*ES124*VLOOKUP('Données projet'!$B$15,Paramètres!$A$1:$I$89,3,0)*0.475*44/12</f>
        <v>0</v>
      </c>
      <c r="EW124" s="21">
        <f>EXP(-LN(2)/25)*EW123+(1-EXP(-LN(2)/25))/(LN(2)/25)*Calculateur!ER124*Calculateur!ET124*VLOOKUP('Données projet'!$B$15,Paramètres!$A$1:$I$89,3,0)*0.475*44/12</f>
        <v>0</v>
      </c>
      <c r="EX124" s="21">
        <f>EXP(-LN(2)/2)*EX123+(1-EXP(-LN(2)/2))/(LN(2)/2)*ER124*EU124*VLOOKUP('Données projet'!$B$15,Paramètres!$A$1:$I$89,3,0)*0.475*44/12</f>
        <v>0</v>
      </c>
      <c r="EY124" s="22">
        <f t="shared" si="75"/>
        <v>0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5.6843418860808015E-14</v>
      </c>
      <c r="FF124" s="17">
        <f>FE124*VLOOKUP('Données projet'!$B$16,Paramètres!$A$1:$I$89,3,0)*VLOOKUP('Données projet'!$B$16,Paramètres!$A$1:$I$89,5,0)</f>
        <v>5.1431925385259088E-14</v>
      </c>
      <c r="FG124" s="13">
        <f t="shared" si="101"/>
        <v>8.3482866290946129E-13</v>
      </c>
      <c r="FH124" s="20">
        <f t="shared" si="76"/>
        <v>1.5435705246133045E-12</v>
      </c>
      <c r="FI124" s="59">
        <f t="shared" si="77"/>
        <v>293.33333333333485</v>
      </c>
      <c r="FJ124" s="59">
        <f ca="1">AVERAGE(OFFSET($FI$3,0,0,'Données projet'!$E$16+1,1))-AVERAGE(OFFSET($H$3,0,0,'Données projet'!$E$16+1,1))</f>
        <v>179.50097986986123</v>
      </c>
      <c r="FK124" s="59">
        <f t="shared" si="102"/>
        <v>287.11838730637578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>
        <f>EXP(-LN(2)/35)*FQ123+(1-EXP(-LN(2)/35))/(LN(2)/35)*FM124*FN124*VLOOKUP('Données projet'!$B$16,Paramètres!$A$1:$I$89,3,0)*0.475*44/12</f>
        <v>0.10281858372849337</v>
      </c>
      <c r="FR124" s="21">
        <f>EXP(-LN(2)/25)*FR123+(1-EXP(-LN(2)/25))/(LN(2)/25)*Calculateur!FM124*Calculateur!FO124*VLOOKUP('Données projet'!$B$16,Paramètres!$A$1:$I$89,3,0)*0.475*44/12</f>
        <v>0.50483829620598142</v>
      </c>
      <c r="FS124" s="21">
        <f>EXP(-LN(2)/2)*FS123+(1-EXP(-LN(2)/2))/(LN(2)/2)*FM124*FP124*VLOOKUP('Données projet'!$B$16,Paramètres!$A$1:$I$89,3,0)*0.475*44/12</f>
        <v>9.0855267160642805E-14</v>
      </c>
      <c r="FT124" s="22">
        <f t="shared" si="78"/>
        <v>0.60765687993456563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5.6843418860808015E-14</v>
      </c>
      <c r="GA124" s="17">
        <f>FZ124*VLOOKUP('Données projet'!$B$17,Paramètres!$A$1:$I$89,3,0)*VLOOKUP('Données projet'!$B$17,Paramètres!$A$1:$I$89,5,0)</f>
        <v>3.3992364478763198E-14</v>
      </c>
      <c r="GB124" s="13">
        <f t="shared" si="103"/>
        <v>5.790027782444094E-13</v>
      </c>
      <c r="GC124" s="20">
        <f t="shared" si="79"/>
        <v>1.0676332069095257E-12</v>
      </c>
      <c r="GD124" s="59">
        <f t="shared" si="80"/>
        <v>293.33333333333439</v>
      </c>
      <c r="GE124" s="59">
        <f ca="1">AVERAGE(OFFSET($GD$3,0,0,'Données projet'!$E$17+1,1))-AVERAGE(OFFSET($H$3,0,0,'Données projet'!$E$17+1,1))</f>
        <v>165.39579887388538</v>
      </c>
      <c r="GF124" s="59">
        <f t="shared" si="104"/>
        <v>155.89639262545802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>
        <f>EXP(-LN(2)/35)*GL123+(1-EXP(-LN(2)/35))/(LN(2)/35)*GH124*GI124*VLOOKUP('Données projet'!$B$17,Paramètres!$A$1:$I$89,3,0)*0.475*44/12</f>
        <v>0</v>
      </c>
      <c r="GM124" s="21">
        <f>EXP(-LN(2)/25)*GM123+(1-EXP(-LN(2)/25))/(LN(2)/25)*Calculateur!GH124*Calculateur!GJ124*VLOOKUP('Données projet'!$B$17,Paramètres!$A$1:$I$89,3,0)*0.475*44/12</f>
        <v>0.58470037570332434</v>
      </c>
      <c r="GN124" s="21">
        <f>EXP(-LN(2)/2)*GN123+(1-EXP(-LN(2)/2))/(LN(2)/2)*GH124*GK124*VLOOKUP('Données projet'!$B$17,Paramètres!$A$1:$I$89,3,0)*0.475*44/12</f>
        <v>2.7894962476002122E-13</v>
      </c>
      <c r="GO124" s="21">
        <f t="shared" si="81"/>
        <v>0.58470037570360334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3.4106051316484809E-13</v>
      </c>
      <c r="O125" s="13">
        <f>N125*VLOOKUP('Données projet'!$B$9,Paramètres!$A$1:$I$89,3,0)*VLOOKUP('Données projet'!$B$9,Paramètres!$A$1:$I$89,5,0)</f>
        <v>1.9065282685915009E-13</v>
      </c>
      <c r="P125" s="13">
        <f t="shared" si="87"/>
        <v>2.6568987209435707E-12</v>
      </c>
      <c r="Q125" s="20">
        <f t="shared" si="107"/>
        <v>4.959485612423072E-12</v>
      </c>
      <c r="R125" s="59">
        <f t="shared" si="55"/>
        <v>293.33333333333826</v>
      </c>
      <c r="S125" s="59">
        <f ca="1">AVERAGE(OFFSET($R$3,0,0,'Données projet'!$E$9+1,1))-AVERAGE(OFFSET($H$3,0,0,'Données projet'!$E$9+1,1))</f>
        <v>235.10258076192054</v>
      </c>
      <c r="T125" s="59">
        <f t="shared" si="88"/>
        <v>233.47316052603765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0.55399174596475975</v>
      </c>
      <c r="AA125" s="21">
        <f>EXP(-LN(2)/25)*AA124+(1-EXP(-LN(2)/25))/(LN(2)/25)*Calculateur!V125*Calculateur!X125*VLOOKUP('Données projet'!$B$9,Paramètres!$A$1:$I$89,3,0)*0.475*44/12</f>
        <v>1.4383018545361084</v>
      </c>
      <c r="AB125" s="21">
        <f>EXP(-LN(2)/2)*AB124+(1-EXP(-LN(2)/2))/(LN(2)/2)*V125*Y125*VLOOKUP('Données projet'!$B$9,Paramètres!$A$1:$I$89,3,0)*0.475*44/12</f>
        <v>3.427953987890631E-13</v>
      </c>
      <c r="AC125" s="22">
        <f t="shared" si="57"/>
        <v>1.9922936005012111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-8.5265128291212022E-14</v>
      </c>
      <c r="AJ125" s="13">
        <f>AI125*VLOOKUP('Données projet'!$B$10,Paramètres!$A$1:$I$89,3,0)*VLOOKUP('Données projet'!$B$10,Paramètres!$A$1:$I$89,5,0)</f>
        <v>-7.4487616075202836E-14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191.94797389630673</v>
      </c>
      <c r="AO125" s="59">
        <f t="shared" si="90"/>
        <v>273.52540822767878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0.41633319090685017</v>
      </c>
      <c r="AV125" s="21">
        <f>EXP(-LN(2)/25)*AV124+(1-EXP(-LN(2)/25))/(LN(2)/25)*Calculateur!AQ125*Calculateur!AS125*VLOOKUP('Données projet'!$B$10,Paramètres!$A$1:$I$89,3,0)*0.475*44/12</f>
        <v>1.0960460068292248</v>
      </c>
      <c r="AW125" s="21">
        <f>EXP(-LN(2)/2)*AW124+(1-EXP(-LN(2)/2))/(LN(2)/2)*AQ125*AT125*VLOOKUP('Données projet'!$B$10,Paramètres!$A$1:$I$89,3,0)*0.475*44/12</f>
        <v>3.297353560991123E-13</v>
      </c>
      <c r="AX125" s="21">
        <f t="shared" si="60"/>
        <v>1.5123791977364047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2.8421709430404007E-14</v>
      </c>
      <c r="BE125" s="13">
        <f>BD125*VLOOKUP('Données projet'!$B$11,Paramètres!$A$1:$I$89,3,0)*VLOOKUP('Données projet'!$B$11,Paramètres!$A$1:$I$89,5,0)</f>
        <v>2.5715962692629544E-14</v>
      </c>
      <c r="BF125" s="13">
        <f t="shared" si="91"/>
        <v>4.5248818890525812E-13</v>
      </c>
      <c r="BG125" s="20">
        <f t="shared" si="61"/>
        <v>8.3287223069965432E-13</v>
      </c>
      <c r="BH125" s="59">
        <f t="shared" si="62"/>
        <v>293.33333333333417</v>
      </c>
      <c r="BI125" s="59">
        <f ca="1">AVERAGE(OFFSET($BH$3,0,0,'Données projet'!$E$11+1,1))-AVERAGE(OFFSET($H$3,0,0,'Données projet'!$E$11+1,1))</f>
        <v>138.8931001150624</v>
      </c>
      <c r="BJ125" s="59">
        <f t="shared" si="92"/>
        <v>48.964659354096625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2.8421709430404007E-14</v>
      </c>
      <c r="BZ125" s="13">
        <f>BY125*VLOOKUP('Données projet'!$B$12,Paramètres!$A$1:$I$89,3,0)*VLOOKUP('Données projet'!$B$12,Paramètres!$A$1:$I$89,5,0)</f>
        <v>2.8819613362429664E-14</v>
      </c>
      <c r="CA125" s="13">
        <f t="shared" si="93"/>
        <v>5.0041752926933358E-13</v>
      </c>
      <c r="CB125" s="20">
        <f t="shared" si="64"/>
        <v>9.2175469008365428E-13</v>
      </c>
      <c r="CC125" s="59">
        <f t="shared" si="65"/>
        <v>293.33333333333422</v>
      </c>
      <c r="CD125" s="59">
        <f ca="1">AVERAGE(OFFSET($CC$3,0,0,'Données projet'!$E$12+1,1))-AVERAGE(OFFSET($H$3,0,0,'Données projet'!$E$12+1,1))</f>
        <v>169.2757878405003</v>
      </c>
      <c r="CE125" s="59">
        <f t="shared" si="94"/>
        <v>61.876502626609977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-8.5265128291212022E-14</v>
      </c>
      <c r="CU125" s="17">
        <f>CT125*VLOOKUP('Données projet'!$B$13,Paramètres!$A$1:$I$89,3,0)*VLOOKUP('Données projet'!$B$13,Paramètres!$A$1:$I$89,5,0)</f>
        <v>-6.7836936068488286E-14</v>
      </c>
      <c r="CV125" s="13" t="e">
        <f t="shared" si="95"/>
        <v>#NUM!</v>
      </c>
      <c r="CW125" s="20" t="e">
        <f t="shared" si="67"/>
        <v>#NUM!</v>
      </c>
      <c r="CX125" s="59" t="e">
        <f t="shared" si="68"/>
        <v>#NUM!</v>
      </c>
      <c r="CY125" s="59">
        <f ca="1">AVERAGE(OFFSET($CX$3,0,0,'Données projet'!$E$13+1,1))-AVERAGE(OFFSET($H$3,0,0,'Données projet'!$E$13+1,1))</f>
        <v>141.12810728817544</v>
      </c>
      <c r="CZ125" s="59">
        <f t="shared" si="96"/>
        <v>176.01405805137551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>
        <f>EXP(-LN(2)/35)*DF124+(1-EXP(-LN(2)/35))/(LN(2)/35)*DB125*DC125*VLOOKUP('Données projet'!$B$13,Paramètres!$A$1:$I$89,3,0)*0.475*44/12</f>
        <v>0</v>
      </c>
      <c r="DG125" s="21">
        <f>EXP(-LN(2)/25)*DG124+(1-EXP(-LN(2)/25))/(LN(2)/25)*Calculateur!DB125*Calculateur!DD125*VLOOKUP('Données projet'!$B$13,Paramètres!$A$1:$I$89,3,0)*0.475*44/12</f>
        <v>0.52449972061247996</v>
      </c>
      <c r="DH125" s="21">
        <f>EXP(-LN(2)/2)*DH124+(1-EXP(-LN(2)/2))/(LN(2)/2)*DB125*DE125*VLOOKUP('Données projet'!$B$13,Paramètres!$A$1:$I$89,3,0)*0.475*44/12</f>
        <v>1.1376061960221718E-13</v>
      </c>
      <c r="DI125" s="22">
        <f t="shared" si="69"/>
        <v>0.52449972061259376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5.6843418860808015E-14</v>
      </c>
      <c r="DP125" s="17">
        <f>DO125*VLOOKUP('Données projet'!$B$14,Paramètres!$A$1:$I$89,3,0)*VLOOKUP('Données projet'!$B$14,Paramètres!$A$1:$I$89,5,0)</f>
        <v>3.3992364478763198E-14</v>
      </c>
      <c r="DQ125" s="13">
        <f t="shared" si="97"/>
        <v>5.790027782444094E-13</v>
      </c>
      <c r="DR125" s="20">
        <f t="shared" si="70"/>
        <v>1.0676332069095257E-12</v>
      </c>
      <c r="DS125" s="59">
        <f t="shared" si="71"/>
        <v>293.33333333333439</v>
      </c>
      <c r="DT125" s="59">
        <f ca="1">AVERAGE(OFFSET($DS$3,0,0,'Données projet'!$E$14+1,1))-AVERAGE(OFFSET($H$3,0,0,'Données projet'!$E$14+1,1))</f>
        <v>165.39579887388538</v>
      </c>
      <c r="DU125" s="59">
        <f t="shared" si="98"/>
        <v>155.89639262545802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>
        <f>EXP(-LN(2)/35)*EA124+(1-EXP(-LN(2)/35))/(LN(2)/35)*DW125*DX125*VLOOKUP('Données projet'!$B$14,Paramètres!$A$1:$I$89,3,0)*0.475*44/12</f>
        <v>0</v>
      </c>
      <c r="EB125" s="21">
        <f>EXP(-LN(2)/25)*EB124+(1-EXP(-LN(2)/25))/(LN(2)/25)*Calculateur!DW125*Calculateur!DY125*VLOOKUP('Données projet'!$B$14,Paramètres!$A$1:$I$89,3,0)*0.475*44/12</f>
        <v>0.56871171318166047</v>
      </c>
      <c r="EC125" s="21">
        <f>EXP(-LN(2)/2)*EC124+(1-EXP(-LN(2)/2))/(LN(2)/2)*DW125*DZ125*VLOOKUP('Données projet'!$B$14,Paramètres!$A$1:$I$89,3,0)*0.475*44/12</f>
        <v>1.9724717127725386E-13</v>
      </c>
      <c r="ED125" s="22">
        <f t="shared" si="72"/>
        <v>0.56871171318185776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2.8421709430404007E-14</v>
      </c>
      <c r="EK125" s="17">
        <f>EJ125*VLOOKUP('Données projet'!$B$15,Paramètres!$A$1:$I$89,3,0)*VLOOKUP('Données projet'!$B$15,Paramètres!$A$1:$I$89,5,0)</f>
        <v>2.2168933355715127E-14</v>
      </c>
      <c r="EL125" s="13">
        <f t="shared" si="99"/>
        <v>3.9687356123668477E-13</v>
      </c>
      <c r="EM125" s="20">
        <f t="shared" si="73"/>
        <v>7.2983234474842979E-13</v>
      </c>
      <c r="EN125" s="59">
        <f t="shared" si="74"/>
        <v>293.33333333333405</v>
      </c>
      <c r="EO125" s="59">
        <f ca="1">AVERAGE(OFFSET($EN$3,0,0,'Données projet'!$E$15+1,1))-AVERAGE(OFFSET($H$3,0,0,'Données projet'!$E$15+1,1))</f>
        <v>104.07220236158577</v>
      </c>
      <c r="EP125" s="59">
        <f t="shared" si="100"/>
        <v>34.162068257911756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>
        <f>EXP(-LN(2)/35)*EV124+(1-EXP(-LN(2)/35))/(LN(2)/35)*ER125*ES125*VLOOKUP('Données projet'!$B$15,Paramètres!$A$1:$I$89,3,0)*0.475*44/12</f>
        <v>0</v>
      </c>
      <c r="EW125" s="21">
        <f>EXP(-LN(2)/25)*EW124+(1-EXP(-LN(2)/25))/(LN(2)/25)*Calculateur!ER125*Calculateur!ET125*VLOOKUP('Données projet'!$B$15,Paramètres!$A$1:$I$89,3,0)*0.475*44/12</f>
        <v>0</v>
      </c>
      <c r="EX125" s="21">
        <f>EXP(-LN(2)/2)*EX124+(1-EXP(-LN(2)/2))/(LN(2)/2)*ER125*EU125*VLOOKUP('Données projet'!$B$15,Paramètres!$A$1:$I$89,3,0)*0.475*44/12</f>
        <v>0</v>
      </c>
      <c r="EY125" s="22">
        <f t="shared" si="75"/>
        <v>0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5.6843418860808015E-14</v>
      </c>
      <c r="FF125" s="17">
        <f>FE125*VLOOKUP('Données projet'!$B$16,Paramètres!$A$1:$I$89,3,0)*VLOOKUP('Données projet'!$B$16,Paramètres!$A$1:$I$89,5,0)</f>
        <v>5.1431925385259088E-14</v>
      </c>
      <c r="FG125" s="13">
        <f t="shared" si="101"/>
        <v>8.3482866290946129E-13</v>
      </c>
      <c r="FH125" s="20">
        <f t="shared" si="76"/>
        <v>1.5435705246133045E-12</v>
      </c>
      <c r="FI125" s="59">
        <f t="shared" si="77"/>
        <v>293.33333333333485</v>
      </c>
      <c r="FJ125" s="59">
        <f ca="1">AVERAGE(OFFSET($FI$3,0,0,'Données projet'!$E$16+1,1))-AVERAGE(OFFSET($H$3,0,0,'Données projet'!$E$16+1,1))</f>
        <v>179.50097986986123</v>
      </c>
      <c r="FK125" s="59">
        <f t="shared" si="102"/>
        <v>287.11838730637578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>
        <f>EXP(-LN(2)/35)*FQ124+(1-EXP(-LN(2)/35))/(LN(2)/35)*FM125*FN125*VLOOKUP('Données projet'!$B$16,Paramètres!$A$1:$I$89,3,0)*0.475*44/12</f>
        <v>0.10080237401472128</v>
      </c>
      <c r="FR125" s="21">
        <f>EXP(-LN(2)/25)*FR124+(1-EXP(-LN(2)/25))/(LN(2)/25)*Calculateur!FM125*Calculateur!FO125*VLOOKUP('Données projet'!$B$16,Paramètres!$A$1:$I$89,3,0)*0.475*44/12</f>
        <v>0.49103346644793666</v>
      </c>
      <c r="FS125" s="21">
        <f>EXP(-LN(2)/2)*FS124+(1-EXP(-LN(2)/2))/(LN(2)/2)*FM125*FP125*VLOOKUP('Données projet'!$B$16,Paramètres!$A$1:$I$89,3,0)*0.475*44/12</f>
        <v>6.4244375515805968E-14</v>
      </c>
      <c r="FT125" s="22">
        <f t="shared" si="78"/>
        <v>0.5918358404627222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5.6843418860808015E-14</v>
      </c>
      <c r="GA125" s="17">
        <f>FZ125*VLOOKUP('Données projet'!$B$17,Paramètres!$A$1:$I$89,3,0)*VLOOKUP('Données projet'!$B$17,Paramètres!$A$1:$I$89,5,0)</f>
        <v>3.3992364478763198E-14</v>
      </c>
      <c r="GB125" s="13">
        <f t="shared" si="103"/>
        <v>5.790027782444094E-13</v>
      </c>
      <c r="GC125" s="20">
        <f t="shared" si="79"/>
        <v>1.0676332069095257E-12</v>
      </c>
      <c r="GD125" s="59">
        <f t="shared" si="80"/>
        <v>293.33333333333439</v>
      </c>
      <c r="GE125" s="59">
        <f ca="1">AVERAGE(OFFSET($GD$3,0,0,'Données projet'!$E$17+1,1))-AVERAGE(OFFSET($H$3,0,0,'Données projet'!$E$17+1,1))</f>
        <v>165.39579887388538</v>
      </c>
      <c r="GF125" s="59">
        <f t="shared" si="104"/>
        <v>155.89639262545802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>
        <f>EXP(-LN(2)/35)*GL124+(1-EXP(-LN(2)/35))/(LN(2)/35)*GH125*GI125*VLOOKUP('Données projet'!$B$17,Paramètres!$A$1:$I$89,3,0)*0.475*44/12</f>
        <v>0</v>
      </c>
      <c r="GM125" s="21">
        <f>EXP(-LN(2)/25)*GM124+(1-EXP(-LN(2)/25))/(LN(2)/25)*Calculateur!GH125*Calculateur!GJ125*VLOOKUP('Données projet'!$B$17,Paramètres!$A$1:$I$89,3,0)*0.475*44/12</f>
        <v>0.56871171318166047</v>
      </c>
      <c r="GN125" s="21">
        <f>EXP(-LN(2)/2)*GN124+(1-EXP(-LN(2)/2))/(LN(2)/2)*GH125*GK125*VLOOKUP('Données projet'!$B$17,Paramètres!$A$1:$I$89,3,0)*0.475*44/12</f>
        <v>1.9724717127725386E-13</v>
      </c>
      <c r="GO125" s="21">
        <f t="shared" si="81"/>
        <v>0.56871171318185776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3.4106051316484809E-13</v>
      </c>
      <c r="O126" s="13">
        <f>N126*VLOOKUP('Données projet'!$B$9,Paramètres!$A$1:$I$89,3,0)*VLOOKUP('Données projet'!$B$9,Paramètres!$A$1:$I$89,5,0)</f>
        <v>1.9065282685915009E-13</v>
      </c>
      <c r="P126" s="13">
        <f t="shared" si="87"/>
        <v>2.6568987209435707E-12</v>
      </c>
      <c r="Q126" s="20">
        <f t="shared" si="107"/>
        <v>4.959485612423072E-12</v>
      </c>
      <c r="R126" s="59">
        <f t="shared" si="55"/>
        <v>293.33333333333826</v>
      </c>
      <c r="S126" s="59">
        <f ca="1">AVERAGE(OFFSET($R$3,0,0,'Données projet'!$E$9+1,1))-AVERAGE(OFFSET($H$3,0,0,'Données projet'!$E$9+1,1))</f>
        <v>235.10258076192054</v>
      </c>
      <c r="T126" s="59">
        <f t="shared" si="88"/>
        <v>233.47316052603765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0.54312830572799087</v>
      </c>
      <c r="AA126" s="21">
        <f>EXP(-LN(2)/25)*AA125+(1-EXP(-LN(2)/25))/(LN(2)/25)*Calculateur!V126*Calculateur!X126*VLOOKUP('Données projet'!$B$9,Paramètres!$A$1:$I$89,3,0)*0.475*44/12</f>
        <v>1.3989714146868113</v>
      </c>
      <c r="AB126" s="21">
        <f>EXP(-LN(2)/2)*AB125+(1-EXP(-LN(2)/2))/(LN(2)/2)*V126*Y126*VLOOKUP('Données projet'!$B$9,Paramètres!$A$1:$I$89,3,0)*0.475*44/12</f>
        <v>2.4239295104329334E-13</v>
      </c>
      <c r="AC126" s="22">
        <f t="shared" si="57"/>
        <v>1.9420997204150448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-8.5265128291212022E-14</v>
      </c>
      <c r="AJ126" s="13">
        <f>AI126*VLOOKUP('Données projet'!$B$10,Paramètres!$A$1:$I$89,3,0)*VLOOKUP('Données projet'!$B$10,Paramètres!$A$1:$I$89,5,0)</f>
        <v>-7.4487616075202836E-14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191.94797389630673</v>
      </c>
      <c r="AO126" s="59">
        <f t="shared" si="90"/>
        <v>273.52540822767878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0.40816915097133899</v>
      </c>
      <c r="AV126" s="21">
        <f>EXP(-LN(2)/25)*AV125+(1-EXP(-LN(2)/25))/(LN(2)/25)*Calculateur!AQ126*Calculateur!AS126*VLOOKUP('Données projet'!$B$10,Paramètres!$A$1:$I$89,3,0)*0.475*44/12</f>
        <v>1.0660745711339252</v>
      </c>
      <c r="AW126" s="21">
        <f>EXP(-LN(2)/2)*AW125+(1-EXP(-LN(2)/2))/(LN(2)/2)*AQ126*AT126*VLOOKUP('Données projet'!$B$10,Paramètres!$A$1:$I$89,3,0)*0.475*44/12</f>
        <v>2.3315810629464332E-13</v>
      </c>
      <c r="AX126" s="21">
        <f t="shared" si="60"/>
        <v>1.4742437221054974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2.8421709430404007E-14</v>
      </c>
      <c r="BE126" s="13">
        <f>BD126*VLOOKUP('Données projet'!$B$11,Paramètres!$A$1:$I$89,3,0)*VLOOKUP('Données projet'!$B$11,Paramètres!$A$1:$I$89,5,0)</f>
        <v>2.5715962692629544E-14</v>
      </c>
      <c r="BF126" s="13">
        <f t="shared" si="91"/>
        <v>4.5248818890525812E-13</v>
      </c>
      <c r="BG126" s="20">
        <f t="shared" si="61"/>
        <v>8.3287223069965432E-13</v>
      </c>
      <c r="BH126" s="59">
        <f t="shared" si="62"/>
        <v>293.33333333333417</v>
      </c>
      <c r="BI126" s="59">
        <f ca="1">AVERAGE(OFFSET($BH$3,0,0,'Données projet'!$E$11+1,1))-AVERAGE(OFFSET($H$3,0,0,'Données projet'!$E$11+1,1))</f>
        <v>138.8931001150624</v>
      </c>
      <c r="BJ126" s="59">
        <f t="shared" si="92"/>
        <v>48.964659354096625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2.8421709430404007E-14</v>
      </c>
      <c r="BZ126" s="13">
        <f>BY126*VLOOKUP('Données projet'!$B$12,Paramètres!$A$1:$I$89,3,0)*VLOOKUP('Données projet'!$B$12,Paramètres!$A$1:$I$89,5,0)</f>
        <v>2.8819613362429664E-14</v>
      </c>
      <c r="CA126" s="13">
        <f t="shared" si="93"/>
        <v>5.0041752926933358E-13</v>
      </c>
      <c r="CB126" s="20">
        <f t="shared" si="64"/>
        <v>9.2175469008365428E-13</v>
      </c>
      <c r="CC126" s="59">
        <f t="shared" si="65"/>
        <v>293.33333333333422</v>
      </c>
      <c r="CD126" s="59">
        <f ca="1">AVERAGE(OFFSET($CC$3,0,0,'Données projet'!$E$12+1,1))-AVERAGE(OFFSET($H$3,0,0,'Données projet'!$E$12+1,1))</f>
        <v>169.2757878405003</v>
      </c>
      <c r="CE126" s="59">
        <f t="shared" si="94"/>
        <v>61.876502626609977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-8.5265128291212022E-14</v>
      </c>
      <c r="CU126" s="17">
        <f>CT126*VLOOKUP('Données projet'!$B$13,Paramètres!$A$1:$I$89,3,0)*VLOOKUP('Données projet'!$B$13,Paramètres!$A$1:$I$89,5,0)</f>
        <v>-6.7836936068488286E-14</v>
      </c>
      <c r="CV126" s="13" t="e">
        <f t="shared" si="95"/>
        <v>#NUM!</v>
      </c>
      <c r="CW126" s="20" t="e">
        <f t="shared" si="67"/>
        <v>#NUM!</v>
      </c>
      <c r="CX126" s="59" t="e">
        <f t="shared" si="68"/>
        <v>#NUM!</v>
      </c>
      <c r="CY126" s="59">
        <f ca="1">AVERAGE(OFFSET($CX$3,0,0,'Données projet'!$E$13+1,1))-AVERAGE(OFFSET($H$3,0,0,'Données projet'!$E$13+1,1))</f>
        <v>141.12810728817544</v>
      </c>
      <c r="CZ126" s="59">
        <f t="shared" si="96"/>
        <v>176.01405805137551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>
        <f>EXP(-LN(2)/35)*DF125+(1-EXP(-LN(2)/35))/(LN(2)/35)*DB126*DC126*VLOOKUP('Données projet'!$B$13,Paramètres!$A$1:$I$89,3,0)*0.475*44/12</f>
        <v>0</v>
      </c>
      <c r="DG126" s="21">
        <f>EXP(-LN(2)/25)*DG125+(1-EXP(-LN(2)/25))/(LN(2)/25)*Calculateur!DB126*Calculateur!DD126*VLOOKUP('Données projet'!$B$13,Paramètres!$A$1:$I$89,3,0)*0.475*44/12</f>
        <v>0.51015724817009012</v>
      </c>
      <c r="DH126" s="21">
        <f>EXP(-LN(2)/2)*DH125+(1-EXP(-LN(2)/2))/(LN(2)/2)*DB126*DE126*VLOOKUP('Données projet'!$B$13,Paramètres!$A$1:$I$89,3,0)*0.475*44/12</f>
        <v>8.0440905552711055E-14</v>
      </c>
      <c r="DI126" s="22">
        <f t="shared" si="69"/>
        <v>0.51015724817017061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5.6843418860808015E-14</v>
      </c>
      <c r="DP126" s="17">
        <f>DO126*VLOOKUP('Données projet'!$B$14,Paramètres!$A$1:$I$89,3,0)*VLOOKUP('Données projet'!$B$14,Paramètres!$A$1:$I$89,5,0)</f>
        <v>3.3992364478763198E-14</v>
      </c>
      <c r="DQ126" s="13">
        <f t="shared" si="97"/>
        <v>5.790027782444094E-13</v>
      </c>
      <c r="DR126" s="20">
        <f t="shared" si="70"/>
        <v>1.0676332069095257E-12</v>
      </c>
      <c r="DS126" s="59">
        <f t="shared" si="71"/>
        <v>293.33333333333439</v>
      </c>
      <c r="DT126" s="59">
        <f ca="1">AVERAGE(OFFSET($DS$3,0,0,'Données projet'!$E$14+1,1))-AVERAGE(OFFSET($H$3,0,0,'Données projet'!$E$14+1,1))</f>
        <v>165.39579887388538</v>
      </c>
      <c r="DU126" s="59">
        <f t="shared" si="98"/>
        <v>155.89639262545802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>
        <f>EXP(-LN(2)/35)*EA125+(1-EXP(-LN(2)/35))/(LN(2)/35)*DW126*DX126*VLOOKUP('Données projet'!$B$14,Paramètres!$A$1:$I$89,3,0)*0.475*44/12</f>
        <v>0</v>
      </c>
      <c r="EB126" s="21">
        <f>EXP(-LN(2)/25)*EB125+(1-EXP(-LN(2)/25))/(LN(2)/25)*Calculateur!DW126*Calculateur!DY126*VLOOKUP('Données projet'!$B$14,Paramètres!$A$1:$I$89,3,0)*0.475*44/12</f>
        <v>0.55316026147745878</v>
      </c>
      <c r="EC126" s="21">
        <f>EXP(-LN(2)/2)*EC125+(1-EXP(-LN(2)/2))/(LN(2)/2)*DW126*DZ126*VLOOKUP('Données projet'!$B$14,Paramètres!$A$1:$I$89,3,0)*0.475*44/12</f>
        <v>1.3947481238001061E-13</v>
      </c>
      <c r="ED126" s="22">
        <f t="shared" si="72"/>
        <v>0.55316026147759823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2.8421709430404007E-14</v>
      </c>
      <c r="EK126" s="17">
        <f>EJ126*VLOOKUP('Données projet'!$B$15,Paramètres!$A$1:$I$89,3,0)*VLOOKUP('Données projet'!$B$15,Paramètres!$A$1:$I$89,5,0)</f>
        <v>2.2168933355715127E-14</v>
      </c>
      <c r="EL126" s="13">
        <f t="shared" si="99"/>
        <v>3.9687356123668477E-13</v>
      </c>
      <c r="EM126" s="20">
        <f t="shared" si="73"/>
        <v>7.2983234474842979E-13</v>
      </c>
      <c r="EN126" s="59">
        <f t="shared" si="74"/>
        <v>293.33333333333405</v>
      </c>
      <c r="EO126" s="59">
        <f ca="1">AVERAGE(OFFSET($EN$3,0,0,'Données projet'!$E$15+1,1))-AVERAGE(OFFSET($H$3,0,0,'Données projet'!$E$15+1,1))</f>
        <v>104.07220236158577</v>
      </c>
      <c r="EP126" s="59">
        <f t="shared" si="100"/>
        <v>34.162068257911756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>
        <f>EXP(-LN(2)/35)*EV125+(1-EXP(-LN(2)/35))/(LN(2)/35)*ER126*ES126*VLOOKUP('Données projet'!$B$15,Paramètres!$A$1:$I$89,3,0)*0.475*44/12</f>
        <v>0</v>
      </c>
      <c r="EW126" s="21">
        <f>EXP(-LN(2)/25)*EW125+(1-EXP(-LN(2)/25))/(LN(2)/25)*Calculateur!ER126*Calculateur!ET126*VLOOKUP('Données projet'!$B$15,Paramètres!$A$1:$I$89,3,0)*0.475*44/12</f>
        <v>0</v>
      </c>
      <c r="EX126" s="21">
        <f>EXP(-LN(2)/2)*EX125+(1-EXP(-LN(2)/2))/(LN(2)/2)*ER126*EU126*VLOOKUP('Données projet'!$B$15,Paramètres!$A$1:$I$89,3,0)*0.475*44/12</f>
        <v>0</v>
      </c>
      <c r="EY126" s="22">
        <f t="shared" si="75"/>
        <v>0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5.6843418860808015E-14</v>
      </c>
      <c r="FF126" s="17">
        <f>FE126*VLOOKUP('Données projet'!$B$16,Paramètres!$A$1:$I$89,3,0)*VLOOKUP('Données projet'!$B$16,Paramètres!$A$1:$I$89,5,0)</f>
        <v>5.1431925385259088E-14</v>
      </c>
      <c r="FG126" s="13">
        <f t="shared" si="101"/>
        <v>8.3482866290946129E-13</v>
      </c>
      <c r="FH126" s="20">
        <f t="shared" si="76"/>
        <v>1.5435705246133045E-12</v>
      </c>
      <c r="FI126" s="59">
        <f t="shared" si="77"/>
        <v>293.33333333333485</v>
      </c>
      <c r="FJ126" s="59">
        <f ca="1">AVERAGE(OFFSET($FI$3,0,0,'Données projet'!$E$16+1,1))-AVERAGE(OFFSET($H$3,0,0,'Données projet'!$E$16+1,1))</f>
        <v>179.50097986986123</v>
      </c>
      <c r="FK126" s="59">
        <f t="shared" si="102"/>
        <v>287.11838730637578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>
        <f>EXP(-LN(2)/35)*FQ125+(1-EXP(-LN(2)/35))/(LN(2)/35)*FM126*FN126*VLOOKUP('Données projet'!$B$16,Paramètres!$A$1:$I$89,3,0)*0.475*44/12</f>
        <v>9.882570094366977E-2</v>
      </c>
      <c r="FR126" s="21">
        <f>EXP(-LN(2)/25)*FR125+(1-EXP(-LN(2)/25))/(LN(2)/25)*Calculateur!FM126*Calculateur!FO126*VLOOKUP('Données projet'!$B$16,Paramètres!$A$1:$I$89,3,0)*0.475*44/12</f>
        <v>0.47760613048559009</v>
      </c>
      <c r="FS126" s="21">
        <f>EXP(-LN(2)/2)*FS125+(1-EXP(-LN(2)/2))/(LN(2)/2)*FM126*FP126*VLOOKUP('Données projet'!$B$16,Paramètres!$A$1:$I$89,3,0)*0.475*44/12</f>
        <v>4.5427633580321403E-14</v>
      </c>
      <c r="FT126" s="22">
        <f t="shared" si="78"/>
        <v>0.57643183142930521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5.6843418860808015E-14</v>
      </c>
      <c r="GA126" s="17">
        <f>FZ126*VLOOKUP('Données projet'!$B$17,Paramètres!$A$1:$I$89,3,0)*VLOOKUP('Données projet'!$B$17,Paramètres!$A$1:$I$89,5,0)</f>
        <v>3.3992364478763198E-14</v>
      </c>
      <c r="GB126" s="13">
        <f t="shared" si="103"/>
        <v>5.790027782444094E-13</v>
      </c>
      <c r="GC126" s="20">
        <f t="shared" si="79"/>
        <v>1.0676332069095257E-12</v>
      </c>
      <c r="GD126" s="59">
        <f t="shared" si="80"/>
        <v>293.33333333333439</v>
      </c>
      <c r="GE126" s="59">
        <f ca="1">AVERAGE(OFFSET($GD$3,0,0,'Données projet'!$E$17+1,1))-AVERAGE(OFFSET($H$3,0,0,'Données projet'!$E$17+1,1))</f>
        <v>165.39579887388538</v>
      </c>
      <c r="GF126" s="59">
        <f t="shared" si="104"/>
        <v>155.89639262545802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>
        <f>EXP(-LN(2)/35)*GL125+(1-EXP(-LN(2)/35))/(LN(2)/35)*GH126*GI126*VLOOKUP('Données projet'!$B$17,Paramètres!$A$1:$I$89,3,0)*0.475*44/12</f>
        <v>0</v>
      </c>
      <c r="GM126" s="21">
        <f>EXP(-LN(2)/25)*GM125+(1-EXP(-LN(2)/25))/(LN(2)/25)*Calculateur!GH126*Calculateur!GJ126*VLOOKUP('Données projet'!$B$17,Paramètres!$A$1:$I$89,3,0)*0.475*44/12</f>
        <v>0.55316026147745878</v>
      </c>
      <c r="GN126" s="21">
        <f>EXP(-LN(2)/2)*GN125+(1-EXP(-LN(2)/2))/(LN(2)/2)*GH126*GK126*VLOOKUP('Données projet'!$B$17,Paramètres!$A$1:$I$89,3,0)*0.475*44/12</f>
        <v>1.3947481238001061E-13</v>
      </c>
      <c r="GO126" s="21">
        <f t="shared" si="81"/>
        <v>0.55316026147759823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3.4106051316484809E-13</v>
      </c>
      <c r="O127" s="13">
        <f>N127*VLOOKUP('Données projet'!$B$9,Paramètres!$A$1:$I$89,3,0)*VLOOKUP('Données projet'!$B$9,Paramètres!$A$1:$I$89,5,0)</f>
        <v>1.9065282685915009E-13</v>
      </c>
      <c r="P127" s="13">
        <f t="shared" si="87"/>
        <v>2.6568987209435707E-12</v>
      </c>
      <c r="Q127" s="20">
        <f t="shared" si="107"/>
        <v>4.959485612423072E-12</v>
      </c>
      <c r="R127" s="59">
        <f t="shared" si="55"/>
        <v>293.33333333333826</v>
      </c>
      <c r="S127" s="59">
        <f ca="1">AVERAGE(OFFSET($R$3,0,0,'Données projet'!$E$9+1,1))-AVERAGE(OFFSET($H$3,0,0,'Données projet'!$E$9+1,1))</f>
        <v>235.10258076192054</v>
      </c>
      <c r="T127" s="59">
        <f t="shared" si="88"/>
        <v>233.47316052603765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0.53247789092822073</v>
      </c>
      <c r="AA127" s="21">
        <f>EXP(-LN(2)/25)*AA126+(1-EXP(-LN(2)/25))/(LN(2)/25)*Calculateur!V127*Calculateur!X127*VLOOKUP('Données projet'!$B$9,Paramètres!$A$1:$I$89,3,0)*0.475*44/12</f>
        <v>1.3607164677834911</v>
      </c>
      <c r="AB127" s="21">
        <f>EXP(-LN(2)/2)*AB126+(1-EXP(-LN(2)/2))/(LN(2)/2)*V127*Y127*VLOOKUP('Données projet'!$B$9,Paramètres!$A$1:$I$89,3,0)*0.475*44/12</f>
        <v>1.7139769939453155E-13</v>
      </c>
      <c r="AC127" s="22">
        <f t="shared" si="57"/>
        <v>1.8931943587118831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-8.5265128291212022E-14</v>
      </c>
      <c r="AJ127" s="13">
        <f>AI127*VLOOKUP('Données projet'!$B$10,Paramètres!$A$1:$I$89,3,0)*VLOOKUP('Données projet'!$B$10,Paramètres!$A$1:$I$89,5,0)</f>
        <v>-7.4487616075202836E-14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191.94797389630673</v>
      </c>
      <c r="AO127" s="59">
        <f t="shared" si="90"/>
        <v>273.52540822767878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0.4001652028793905</v>
      </c>
      <c r="AV127" s="21">
        <f>EXP(-LN(2)/25)*AV126+(1-EXP(-LN(2)/25))/(LN(2)/25)*Calculateur!AQ127*Calculateur!AS127*VLOOKUP('Données projet'!$B$10,Paramètres!$A$1:$I$89,3,0)*0.475*44/12</f>
        <v>1.0369227059238428</v>
      </c>
      <c r="AW127" s="21">
        <f>EXP(-LN(2)/2)*AW126+(1-EXP(-LN(2)/2))/(LN(2)/2)*AQ127*AT127*VLOOKUP('Données projet'!$B$10,Paramètres!$A$1:$I$89,3,0)*0.475*44/12</f>
        <v>1.6486767804955615E-13</v>
      </c>
      <c r="AX127" s="21">
        <f t="shared" si="60"/>
        <v>1.4370879088033981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2.8421709430404007E-14</v>
      </c>
      <c r="BE127" s="13">
        <f>BD127*VLOOKUP('Données projet'!$B$11,Paramètres!$A$1:$I$89,3,0)*VLOOKUP('Données projet'!$B$11,Paramètres!$A$1:$I$89,5,0)</f>
        <v>2.5715962692629544E-14</v>
      </c>
      <c r="BF127" s="13">
        <f t="shared" si="91"/>
        <v>4.5248818890525812E-13</v>
      </c>
      <c r="BG127" s="20">
        <f t="shared" si="61"/>
        <v>8.3287223069965432E-13</v>
      </c>
      <c r="BH127" s="59">
        <f t="shared" si="62"/>
        <v>293.33333333333417</v>
      </c>
      <c r="BI127" s="59">
        <f ca="1">AVERAGE(OFFSET($BH$3,0,0,'Données projet'!$E$11+1,1))-AVERAGE(OFFSET($H$3,0,0,'Données projet'!$E$11+1,1))</f>
        <v>138.8931001150624</v>
      </c>
      <c r="BJ127" s="59">
        <f t="shared" si="92"/>
        <v>48.964659354096625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2.8421709430404007E-14</v>
      </c>
      <c r="BZ127" s="13">
        <f>BY127*VLOOKUP('Données projet'!$B$12,Paramètres!$A$1:$I$89,3,0)*VLOOKUP('Données projet'!$B$12,Paramètres!$A$1:$I$89,5,0)</f>
        <v>2.8819613362429664E-14</v>
      </c>
      <c r="CA127" s="13">
        <f t="shared" si="93"/>
        <v>5.0041752926933358E-13</v>
      </c>
      <c r="CB127" s="20">
        <f t="shared" si="64"/>
        <v>9.2175469008365428E-13</v>
      </c>
      <c r="CC127" s="59">
        <f t="shared" si="65"/>
        <v>293.33333333333422</v>
      </c>
      <c r="CD127" s="59">
        <f ca="1">AVERAGE(OFFSET($CC$3,0,0,'Données projet'!$E$12+1,1))-AVERAGE(OFFSET($H$3,0,0,'Données projet'!$E$12+1,1))</f>
        <v>169.2757878405003</v>
      </c>
      <c r="CE127" s="59">
        <f t="shared" si="94"/>
        <v>61.876502626609977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-8.5265128291212022E-14</v>
      </c>
      <c r="CU127" s="17">
        <f>CT127*VLOOKUP('Données projet'!$B$13,Paramètres!$A$1:$I$89,3,0)*VLOOKUP('Données projet'!$B$13,Paramètres!$A$1:$I$89,5,0)</f>
        <v>-6.7836936068488286E-14</v>
      </c>
      <c r="CV127" s="13" t="e">
        <f t="shared" si="95"/>
        <v>#NUM!</v>
      </c>
      <c r="CW127" s="20" t="e">
        <f t="shared" si="67"/>
        <v>#NUM!</v>
      </c>
      <c r="CX127" s="59" t="e">
        <f t="shared" si="68"/>
        <v>#NUM!</v>
      </c>
      <c r="CY127" s="59">
        <f ca="1">AVERAGE(OFFSET($CX$3,0,0,'Données projet'!$E$13+1,1))-AVERAGE(OFFSET($H$3,0,0,'Données projet'!$E$13+1,1))</f>
        <v>141.12810728817544</v>
      </c>
      <c r="CZ127" s="59">
        <f t="shared" si="96"/>
        <v>176.01405805137551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>
        <f>EXP(-LN(2)/35)*DF126+(1-EXP(-LN(2)/35))/(LN(2)/35)*DB127*DC127*VLOOKUP('Données projet'!$B$13,Paramètres!$A$1:$I$89,3,0)*0.475*44/12</f>
        <v>0</v>
      </c>
      <c r="DG127" s="21">
        <f>EXP(-LN(2)/25)*DG126+(1-EXP(-LN(2)/25))/(LN(2)/25)*Calculateur!DB127*Calculateur!DD127*VLOOKUP('Données projet'!$B$13,Paramètres!$A$1:$I$89,3,0)*0.475*44/12</f>
        <v>0.49620697139087527</v>
      </c>
      <c r="DH127" s="21">
        <f>EXP(-LN(2)/2)*DH126+(1-EXP(-LN(2)/2))/(LN(2)/2)*DB127*DE127*VLOOKUP('Données projet'!$B$13,Paramètres!$A$1:$I$89,3,0)*0.475*44/12</f>
        <v>5.688030980110859E-14</v>
      </c>
      <c r="DI127" s="22">
        <f t="shared" si="69"/>
        <v>0.49620697139093217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5.6843418860808015E-14</v>
      </c>
      <c r="DP127" s="17">
        <f>DO127*VLOOKUP('Données projet'!$B$14,Paramètres!$A$1:$I$89,3,0)*VLOOKUP('Données projet'!$B$14,Paramètres!$A$1:$I$89,5,0)</f>
        <v>3.3992364478763198E-14</v>
      </c>
      <c r="DQ127" s="13">
        <f t="shared" si="97"/>
        <v>5.790027782444094E-13</v>
      </c>
      <c r="DR127" s="20">
        <f t="shared" si="70"/>
        <v>1.0676332069095257E-12</v>
      </c>
      <c r="DS127" s="59">
        <f t="shared" si="71"/>
        <v>293.33333333333439</v>
      </c>
      <c r="DT127" s="59">
        <f ca="1">AVERAGE(OFFSET($DS$3,0,0,'Données projet'!$E$14+1,1))-AVERAGE(OFFSET($H$3,0,0,'Données projet'!$E$14+1,1))</f>
        <v>165.39579887388538</v>
      </c>
      <c r="DU127" s="59">
        <f t="shared" si="98"/>
        <v>155.89639262545802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>
        <f>EXP(-LN(2)/35)*EA126+(1-EXP(-LN(2)/35))/(LN(2)/35)*DW127*DX127*VLOOKUP('Données projet'!$B$14,Paramètres!$A$1:$I$89,3,0)*0.475*44/12</f>
        <v>0</v>
      </c>
      <c r="EB127" s="21">
        <f>EXP(-LN(2)/25)*EB126+(1-EXP(-LN(2)/25))/(LN(2)/25)*Calculateur!DW127*Calculateur!DY127*VLOOKUP('Données projet'!$B$14,Paramètres!$A$1:$I$89,3,0)*0.475*44/12</f>
        <v>0.53803406503792384</v>
      </c>
      <c r="EC127" s="21">
        <f>EXP(-LN(2)/2)*EC126+(1-EXP(-LN(2)/2))/(LN(2)/2)*DW127*DZ127*VLOOKUP('Données projet'!$B$14,Paramètres!$A$1:$I$89,3,0)*0.475*44/12</f>
        <v>9.8623585638626932E-14</v>
      </c>
      <c r="ED127" s="22">
        <f t="shared" si="72"/>
        <v>0.53803406503802242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2.8421709430404007E-14</v>
      </c>
      <c r="EK127" s="17">
        <f>EJ127*VLOOKUP('Données projet'!$B$15,Paramètres!$A$1:$I$89,3,0)*VLOOKUP('Données projet'!$B$15,Paramètres!$A$1:$I$89,5,0)</f>
        <v>2.2168933355715127E-14</v>
      </c>
      <c r="EL127" s="13">
        <f t="shared" si="99"/>
        <v>3.9687356123668477E-13</v>
      </c>
      <c r="EM127" s="20">
        <f t="shared" si="73"/>
        <v>7.2983234474842979E-13</v>
      </c>
      <c r="EN127" s="59">
        <f t="shared" si="74"/>
        <v>293.33333333333405</v>
      </c>
      <c r="EO127" s="59">
        <f ca="1">AVERAGE(OFFSET($EN$3,0,0,'Données projet'!$E$15+1,1))-AVERAGE(OFFSET($H$3,0,0,'Données projet'!$E$15+1,1))</f>
        <v>104.07220236158577</v>
      </c>
      <c r="EP127" s="59">
        <f t="shared" si="100"/>
        <v>34.162068257911756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>
        <f>EXP(-LN(2)/35)*EV126+(1-EXP(-LN(2)/35))/(LN(2)/35)*ER127*ES127*VLOOKUP('Données projet'!$B$15,Paramètres!$A$1:$I$89,3,0)*0.475*44/12</f>
        <v>0</v>
      </c>
      <c r="EW127" s="21">
        <f>EXP(-LN(2)/25)*EW126+(1-EXP(-LN(2)/25))/(LN(2)/25)*Calculateur!ER127*Calculateur!ET127*VLOOKUP('Données projet'!$B$15,Paramètres!$A$1:$I$89,3,0)*0.475*44/12</f>
        <v>0</v>
      </c>
      <c r="EX127" s="21">
        <f>EXP(-LN(2)/2)*EX126+(1-EXP(-LN(2)/2))/(LN(2)/2)*ER127*EU127*VLOOKUP('Données projet'!$B$15,Paramètres!$A$1:$I$89,3,0)*0.475*44/12</f>
        <v>0</v>
      </c>
      <c r="EY127" s="22">
        <f t="shared" si="75"/>
        <v>0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5.6843418860808015E-14</v>
      </c>
      <c r="FF127" s="17">
        <f>FE127*VLOOKUP('Données projet'!$B$16,Paramètres!$A$1:$I$89,3,0)*VLOOKUP('Données projet'!$B$16,Paramètres!$A$1:$I$89,5,0)</f>
        <v>5.1431925385259088E-14</v>
      </c>
      <c r="FG127" s="13">
        <f t="shared" si="101"/>
        <v>8.3482866290946129E-13</v>
      </c>
      <c r="FH127" s="20">
        <f t="shared" si="76"/>
        <v>1.5435705246133045E-12</v>
      </c>
      <c r="FI127" s="59">
        <f t="shared" si="77"/>
        <v>293.33333333333485</v>
      </c>
      <c r="FJ127" s="59">
        <f ca="1">AVERAGE(OFFSET($FI$3,0,0,'Données projet'!$E$16+1,1))-AVERAGE(OFFSET($H$3,0,0,'Données projet'!$E$16+1,1))</f>
        <v>179.50097986986123</v>
      </c>
      <c r="FK127" s="59">
        <f t="shared" si="102"/>
        <v>287.11838730637578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>
        <f>EXP(-LN(2)/35)*FQ126+(1-EXP(-LN(2)/35))/(LN(2)/35)*FM127*FN127*VLOOKUP('Données projet'!$B$16,Paramètres!$A$1:$I$89,3,0)*0.475*44/12</f>
        <v>9.6887789225890045E-2</v>
      </c>
      <c r="FR127" s="21">
        <f>EXP(-LN(2)/25)*FR126+(1-EXP(-LN(2)/25))/(LN(2)/25)*Calculateur!FM127*Calculateur!FO127*VLOOKUP('Données projet'!$B$16,Paramètres!$A$1:$I$89,3,0)*0.475*44/12</f>
        <v>0.46454596573124679</v>
      </c>
      <c r="FS127" s="21">
        <f>EXP(-LN(2)/2)*FS126+(1-EXP(-LN(2)/2))/(LN(2)/2)*FM127*FP127*VLOOKUP('Données projet'!$B$16,Paramètres!$A$1:$I$89,3,0)*0.475*44/12</f>
        <v>3.2122187757902984E-14</v>
      </c>
      <c r="FT127" s="22">
        <f t="shared" si="78"/>
        <v>0.56143375495716896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5.6843418860808015E-14</v>
      </c>
      <c r="GA127" s="17">
        <f>FZ127*VLOOKUP('Données projet'!$B$17,Paramètres!$A$1:$I$89,3,0)*VLOOKUP('Données projet'!$B$17,Paramètres!$A$1:$I$89,5,0)</f>
        <v>3.3992364478763198E-14</v>
      </c>
      <c r="GB127" s="13">
        <f t="shared" si="103"/>
        <v>5.790027782444094E-13</v>
      </c>
      <c r="GC127" s="20">
        <f t="shared" si="79"/>
        <v>1.0676332069095257E-12</v>
      </c>
      <c r="GD127" s="59">
        <f t="shared" si="80"/>
        <v>293.33333333333439</v>
      </c>
      <c r="GE127" s="59">
        <f ca="1">AVERAGE(OFFSET($GD$3,0,0,'Données projet'!$E$17+1,1))-AVERAGE(OFFSET($H$3,0,0,'Données projet'!$E$17+1,1))</f>
        <v>165.39579887388538</v>
      </c>
      <c r="GF127" s="59">
        <f t="shared" si="104"/>
        <v>155.89639262545802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>
        <f>EXP(-LN(2)/35)*GL126+(1-EXP(-LN(2)/35))/(LN(2)/35)*GH127*GI127*VLOOKUP('Données projet'!$B$17,Paramètres!$A$1:$I$89,3,0)*0.475*44/12</f>
        <v>0</v>
      </c>
      <c r="GM127" s="21">
        <f>EXP(-LN(2)/25)*GM126+(1-EXP(-LN(2)/25))/(LN(2)/25)*Calculateur!GH127*Calculateur!GJ127*VLOOKUP('Données projet'!$B$17,Paramètres!$A$1:$I$89,3,0)*0.475*44/12</f>
        <v>0.53803406503792384</v>
      </c>
      <c r="GN127" s="21">
        <f>EXP(-LN(2)/2)*GN126+(1-EXP(-LN(2)/2))/(LN(2)/2)*GH127*GK127*VLOOKUP('Données projet'!$B$17,Paramètres!$A$1:$I$89,3,0)*0.475*44/12</f>
        <v>9.8623585638626932E-14</v>
      </c>
      <c r="GO127" s="21">
        <f t="shared" si="81"/>
        <v>0.53803406503802242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3.4106051316484809E-13</v>
      </c>
      <c r="O128" s="13">
        <f>N128*VLOOKUP('Données projet'!$B$9,Paramètres!$A$1:$I$89,3,0)*VLOOKUP('Données projet'!$B$9,Paramètres!$A$1:$I$89,5,0)</f>
        <v>1.9065282685915009E-13</v>
      </c>
      <c r="P128" s="13">
        <f t="shared" si="87"/>
        <v>2.6568987209435707E-12</v>
      </c>
      <c r="Q128" s="20">
        <f t="shared" si="107"/>
        <v>4.959485612423072E-12</v>
      </c>
      <c r="R128" s="59">
        <f t="shared" si="55"/>
        <v>293.33333333333826</v>
      </c>
      <c r="S128" s="59">
        <f ca="1">AVERAGE(OFFSET($R$3,0,0,'Données projet'!$E$9+1,1))-AVERAGE(OFFSET($H$3,0,0,'Données projet'!$E$9+1,1))</f>
        <v>235.10258076192054</v>
      </c>
      <c r="T128" s="59">
        <f t="shared" si="88"/>
        <v>233.47316052603765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0.52203632426656243</v>
      </c>
      <c r="AA128" s="21">
        <f>EXP(-LN(2)/25)*AA127+(1-EXP(-LN(2)/25))/(LN(2)/25)*Calculateur!V128*Calculateur!X128*VLOOKUP('Données projet'!$B$9,Paramètres!$A$1:$I$89,3,0)*0.475*44/12</f>
        <v>1.3235076044149825</v>
      </c>
      <c r="AB128" s="21">
        <f>EXP(-LN(2)/2)*AB127+(1-EXP(-LN(2)/2))/(LN(2)/2)*V128*Y128*VLOOKUP('Données projet'!$B$9,Paramètres!$A$1:$I$89,3,0)*0.475*44/12</f>
        <v>1.2119647552164667E-13</v>
      </c>
      <c r="AC128" s="22">
        <f t="shared" si="57"/>
        <v>1.8455439286816662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-8.5265128291212022E-14</v>
      </c>
      <c r="AJ128" s="13">
        <f>AI128*VLOOKUP('Données projet'!$B$10,Paramètres!$A$1:$I$89,3,0)*VLOOKUP('Données projet'!$B$10,Paramètres!$A$1:$I$89,5,0)</f>
        <v>-7.4487616075202836E-14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191.94797389630673</v>
      </c>
      <c r="AO128" s="59">
        <f t="shared" si="90"/>
        <v>273.52540822767878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0.39231820732759887</v>
      </c>
      <c r="AV128" s="21">
        <f>EXP(-LN(2)/25)*AV127+(1-EXP(-LN(2)/25))/(LN(2)/25)*Calculateur!AQ128*Calculateur!AS128*VLOOKUP('Données projet'!$B$10,Paramètres!$A$1:$I$89,3,0)*0.475*44/12</f>
        <v>1.0085680000009603</v>
      </c>
      <c r="AW128" s="21">
        <f>EXP(-LN(2)/2)*AW127+(1-EXP(-LN(2)/2))/(LN(2)/2)*AQ128*AT128*VLOOKUP('Données projet'!$B$10,Paramètres!$A$1:$I$89,3,0)*0.475*44/12</f>
        <v>1.1657905314732166E-13</v>
      </c>
      <c r="AX128" s="21">
        <f t="shared" si="60"/>
        <v>1.4008862073286756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2.8421709430404007E-14</v>
      </c>
      <c r="BE128" s="13">
        <f>BD128*VLOOKUP('Données projet'!$B$11,Paramètres!$A$1:$I$89,3,0)*VLOOKUP('Données projet'!$B$11,Paramètres!$A$1:$I$89,5,0)</f>
        <v>2.5715962692629544E-14</v>
      </c>
      <c r="BF128" s="13">
        <f t="shared" si="91"/>
        <v>4.5248818890525812E-13</v>
      </c>
      <c r="BG128" s="20">
        <f t="shared" si="61"/>
        <v>8.3287223069965432E-13</v>
      </c>
      <c r="BH128" s="59">
        <f t="shared" si="62"/>
        <v>293.33333333333417</v>
      </c>
      <c r="BI128" s="59">
        <f ca="1">AVERAGE(OFFSET($BH$3,0,0,'Données projet'!$E$11+1,1))-AVERAGE(OFFSET($H$3,0,0,'Données projet'!$E$11+1,1))</f>
        <v>138.8931001150624</v>
      </c>
      <c r="BJ128" s="59">
        <f t="shared" si="92"/>
        <v>48.964659354096625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2.8421709430404007E-14</v>
      </c>
      <c r="BZ128" s="13">
        <f>BY128*VLOOKUP('Données projet'!$B$12,Paramètres!$A$1:$I$89,3,0)*VLOOKUP('Données projet'!$B$12,Paramètres!$A$1:$I$89,5,0)</f>
        <v>2.8819613362429664E-14</v>
      </c>
      <c r="CA128" s="13">
        <f t="shared" si="93"/>
        <v>5.0041752926933358E-13</v>
      </c>
      <c r="CB128" s="20">
        <f t="shared" si="64"/>
        <v>9.2175469008365428E-13</v>
      </c>
      <c r="CC128" s="59">
        <f t="shared" si="65"/>
        <v>293.33333333333422</v>
      </c>
      <c r="CD128" s="59">
        <f ca="1">AVERAGE(OFFSET($CC$3,0,0,'Données projet'!$E$12+1,1))-AVERAGE(OFFSET($H$3,0,0,'Données projet'!$E$12+1,1))</f>
        <v>169.2757878405003</v>
      </c>
      <c r="CE128" s="59">
        <f t="shared" si="94"/>
        <v>61.876502626609977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-8.5265128291212022E-14</v>
      </c>
      <c r="CU128" s="17">
        <f>CT128*VLOOKUP('Données projet'!$B$13,Paramètres!$A$1:$I$89,3,0)*VLOOKUP('Données projet'!$B$13,Paramètres!$A$1:$I$89,5,0)</f>
        <v>-6.7836936068488286E-14</v>
      </c>
      <c r="CV128" s="13" t="e">
        <f t="shared" si="95"/>
        <v>#NUM!</v>
      </c>
      <c r="CW128" s="20" t="e">
        <f t="shared" si="67"/>
        <v>#NUM!</v>
      </c>
      <c r="CX128" s="59" t="e">
        <f t="shared" si="68"/>
        <v>#NUM!</v>
      </c>
      <c r="CY128" s="59">
        <f ca="1">AVERAGE(OFFSET($CX$3,0,0,'Données projet'!$E$13+1,1))-AVERAGE(OFFSET($H$3,0,0,'Données projet'!$E$13+1,1))</f>
        <v>141.12810728817544</v>
      </c>
      <c r="CZ128" s="59">
        <f t="shared" si="96"/>
        <v>176.01405805137551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>
        <f>EXP(-LN(2)/35)*DF127+(1-EXP(-LN(2)/35))/(LN(2)/35)*DB128*DC128*VLOOKUP('Données projet'!$B$13,Paramètres!$A$1:$I$89,3,0)*0.475*44/12</f>
        <v>0</v>
      </c>
      <c r="DG128" s="21">
        <f>EXP(-LN(2)/25)*DG127+(1-EXP(-LN(2)/25))/(LN(2)/25)*Calculateur!DB128*Calculateur!DD128*VLOOKUP('Données projet'!$B$13,Paramètres!$A$1:$I$89,3,0)*0.475*44/12</f>
        <v>0.48263816566380124</v>
      </c>
      <c r="DH128" s="21">
        <f>EXP(-LN(2)/2)*DH127+(1-EXP(-LN(2)/2))/(LN(2)/2)*DB128*DE128*VLOOKUP('Données projet'!$B$13,Paramètres!$A$1:$I$89,3,0)*0.475*44/12</f>
        <v>4.0220452776355527E-14</v>
      </c>
      <c r="DI128" s="22">
        <f t="shared" si="69"/>
        <v>0.48263816566384149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5.6843418860808015E-14</v>
      </c>
      <c r="DP128" s="17">
        <f>DO128*VLOOKUP('Données projet'!$B$14,Paramètres!$A$1:$I$89,3,0)*VLOOKUP('Données projet'!$B$14,Paramètres!$A$1:$I$89,5,0)</f>
        <v>3.3992364478763198E-14</v>
      </c>
      <c r="DQ128" s="13">
        <f t="shared" si="97"/>
        <v>5.790027782444094E-13</v>
      </c>
      <c r="DR128" s="20">
        <f t="shared" si="70"/>
        <v>1.0676332069095257E-12</v>
      </c>
      <c r="DS128" s="59">
        <f t="shared" si="71"/>
        <v>293.33333333333439</v>
      </c>
      <c r="DT128" s="59">
        <f ca="1">AVERAGE(OFFSET($DS$3,0,0,'Données projet'!$E$14+1,1))-AVERAGE(OFFSET($H$3,0,0,'Données projet'!$E$14+1,1))</f>
        <v>165.39579887388538</v>
      </c>
      <c r="DU128" s="59">
        <f t="shared" si="98"/>
        <v>155.89639262545802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>
        <f>EXP(-LN(2)/35)*EA127+(1-EXP(-LN(2)/35))/(LN(2)/35)*DW128*DX128*VLOOKUP('Données projet'!$B$14,Paramètres!$A$1:$I$89,3,0)*0.475*44/12</f>
        <v>0</v>
      </c>
      <c r="EB128" s="21">
        <f>EXP(-LN(2)/25)*EB127+(1-EXP(-LN(2)/25))/(LN(2)/25)*Calculateur!DW128*Calculateur!DY128*VLOOKUP('Données projet'!$B$14,Paramètres!$A$1:$I$89,3,0)*0.475*44/12</f>
        <v>0.52332149523547999</v>
      </c>
      <c r="EC128" s="21">
        <f>EXP(-LN(2)/2)*EC127+(1-EXP(-LN(2)/2))/(LN(2)/2)*DW128*DZ128*VLOOKUP('Données projet'!$B$14,Paramètres!$A$1:$I$89,3,0)*0.475*44/12</f>
        <v>6.9737406190005304E-14</v>
      </c>
      <c r="ED128" s="22">
        <f t="shared" si="72"/>
        <v>0.52332149523554972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2.8421709430404007E-14</v>
      </c>
      <c r="EK128" s="17">
        <f>EJ128*VLOOKUP('Données projet'!$B$15,Paramètres!$A$1:$I$89,3,0)*VLOOKUP('Données projet'!$B$15,Paramètres!$A$1:$I$89,5,0)</f>
        <v>2.2168933355715127E-14</v>
      </c>
      <c r="EL128" s="13">
        <f t="shared" si="99"/>
        <v>3.9687356123668477E-13</v>
      </c>
      <c r="EM128" s="20">
        <f t="shared" si="73"/>
        <v>7.2983234474842979E-13</v>
      </c>
      <c r="EN128" s="59">
        <f t="shared" si="74"/>
        <v>293.33333333333405</v>
      </c>
      <c r="EO128" s="59">
        <f ca="1">AVERAGE(OFFSET($EN$3,0,0,'Données projet'!$E$15+1,1))-AVERAGE(OFFSET($H$3,0,0,'Données projet'!$E$15+1,1))</f>
        <v>104.07220236158577</v>
      </c>
      <c r="EP128" s="59">
        <f t="shared" si="100"/>
        <v>34.162068257911756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>
        <f>EXP(-LN(2)/35)*EV127+(1-EXP(-LN(2)/35))/(LN(2)/35)*ER128*ES128*VLOOKUP('Données projet'!$B$15,Paramètres!$A$1:$I$89,3,0)*0.475*44/12</f>
        <v>0</v>
      </c>
      <c r="EW128" s="21">
        <f>EXP(-LN(2)/25)*EW127+(1-EXP(-LN(2)/25))/(LN(2)/25)*Calculateur!ER128*Calculateur!ET128*VLOOKUP('Données projet'!$B$15,Paramètres!$A$1:$I$89,3,0)*0.475*44/12</f>
        <v>0</v>
      </c>
      <c r="EX128" s="21">
        <f>EXP(-LN(2)/2)*EX127+(1-EXP(-LN(2)/2))/(LN(2)/2)*ER128*EU128*VLOOKUP('Données projet'!$B$15,Paramètres!$A$1:$I$89,3,0)*0.475*44/12</f>
        <v>0</v>
      </c>
      <c r="EY128" s="22">
        <f t="shared" si="75"/>
        <v>0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5.6843418860808015E-14</v>
      </c>
      <c r="FF128" s="17">
        <f>FE128*VLOOKUP('Données projet'!$B$16,Paramètres!$A$1:$I$89,3,0)*VLOOKUP('Données projet'!$B$16,Paramètres!$A$1:$I$89,5,0)</f>
        <v>5.1431925385259088E-14</v>
      </c>
      <c r="FG128" s="13">
        <f t="shared" si="101"/>
        <v>8.3482866290946129E-13</v>
      </c>
      <c r="FH128" s="20">
        <f t="shared" si="76"/>
        <v>1.5435705246133045E-12</v>
      </c>
      <c r="FI128" s="59">
        <f t="shared" si="77"/>
        <v>293.33333333333485</v>
      </c>
      <c r="FJ128" s="59">
        <f ca="1">AVERAGE(OFFSET($FI$3,0,0,'Données projet'!$E$16+1,1))-AVERAGE(OFFSET($H$3,0,0,'Données projet'!$E$16+1,1))</f>
        <v>179.50097986986123</v>
      </c>
      <c r="FK128" s="59">
        <f t="shared" si="102"/>
        <v>287.11838730637578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>
        <f>EXP(-LN(2)/35)*FQ127+(1-EXP(-LN(2)/35))/(LN(2)/35)*FM128*FN128*VLOOKUP('Données projet'!$B$16,Paramètres!$A$1:$I$89,3,0)*0.475*44/12</f>
        <v>9.4987878774886556E-2</v>
      </c>
      <c r="FR128" s="21">
        <f>EXP(-LN(2)/25)*FR127+(1-EXP(-LN(2)/25))/(LN(2)/25)*Calculateur!FM128*Calculateur!FO128*VLOOKUP('Données projet'!$B$16,Paramètres!$A$1:$I$89,3,0)*0.475*44/12</f>
        <v>0.45184293186891522</v>
      </c>
      <c r="FS128" s="21">
        <f>EXP(-LN(2)/2)*FS127+(1-EXP(-LN(2)/2))/(LN(2)/2)*FM128*FP128*VLOOKUP('Données projet'!$B$16,Paramètres!$A$1:$I$89,3,0)*0.475*44/12</f>
        <v>2.2713816790160701E-14</v>
      </c>
      <c r="FT128" s="22">
        <f t="shared" si="78"/>
        <v>0.54683081064382455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5.6843418860808015E-14</v>
      </c>
      <c r="GA128" s="17">
        <f>FZ128*VLOOKUP('Données projet'!$B$17,Paramètres!$A$1:$I$89,3,0)*VLOOKUP('Données projet'!$B$17,Paramètres!$A$1:$I$89,5,0)</f>
        <v>3.3992364478763198E-14</v>
      </c>
      <c r="GB128" s="13">
        <f t="shared" si="103"/>
        <v>5.790027782444094E-13</v>
      </c>
      <c r="GC128" s="20">
        <f t="shared" si="79"/>
        <v>1.0676332069095257E-12</v>
      </c>
      <c r="GD128" s="59">
        <f t="shared" si="80"/>
        <v>293.33333333333439</v>
      </c>
      <c r="GE128" s="59">
        <f ca="1">AVERAGE(OFFSET($GD$3,0,0,'Données projet'!$E$17+1,1))-AVERAGE(OFFSET($H$3,0,0,'Données projet'!$E$17+1,1))</f>
        <v>165.39579887388538</v>
      </c>
      <c r="GF128" s="59">
        <f t="shared" si="104"/>
        <v>155.89639262545802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>
        <f>EXP(-LN(2)/35)*GL127+(1-EXP(-LN(2)/35))/(LN(2)/35)*GH128*GI128*VLOOKUP('Données projet'!$B$17,Paramètres!$A$1:$I$89,3,0)*0.475*44/12</f>
        <v>0</v>
      </c>
      <c r="GM128" s="21">
        <f>EXP(-LN(2)/25)*GM127+(1-EXP(-LN(2)/25))/(LN(2)/25)*Calculateur!GH128*Calculateur!GJ128*VLOOKUP('Données projet'!$B$17,Paramètres!$A$1:$I$89,3,0)*0.475*44/12</f>
        <v>0.52332149523547999</v>
      </c>
      <c r="GN128" s="21">
        <f>EXP(-LN(2)/2)*GN127+(1-EXP(-LN(2)/2))/(LN(2)/2)*GH128*GK128*VLOOKUP('Données projet'!$B$17,Paramètres!$A$1:$I$89,3,0)*0.475*44/12</f>
        <v>6.9737406190005304E-14</v>
      </c>
      <c r="GO128" s="21">
        <f t="shared" si="81"/>
        <v>0.52332149523554972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3.4106051316484809E-13</v>
      </c>
      <c r="O129" s="13">
        <f>N129*VLOOKUP('Données projet'!$B$9,Paramètres!$A$1:$I$89,3,0)*VLOOKUP('Données projet'!$B$9,Paramètres!$A$1:$I$89,5,0)</f>
        <v>1.9065282685915009E-13</v>
      </c>
      <c r="P129" s="13">
        <f t="shared" si="87"/>
        <v>2.6568987209435707E-12</v>
      </c>
      <c r="Q129" s="20">
        <f t="shared" si="107"/>
        <v>4.959485612423072E-12</v>
      </c>
      <c r="R129" s="59">
        <f t="shared" si="55"/>
        <v>293.33333333333826</v>
      </c>
      <c r="S129" s="59">
        <f ca="1">AVERAGE(OFFSET($R$3,0,0,'Données projet'!$E$9+1,1))-AVERAGE(OFFSET($H$3,0,0,'Données projet'!$E$9+1,1))</f>
        <v>235.10258076192054</v>
      </c>
      <c r="T129" s="59">
        <f t="shared" si="88"/>
        <v>233.47316052603765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0.51179951035841253</v>
      </c>
      <c r="AA129" s="21">
        <f>EXP(-LN(2)/25)*AA128+(1-EXP(-LN(2)/25))/(LN(2)/25)*Calculateur!V129*Calculateur!X129*VLOOKUP('Données projet'!$B$9,Paramètres!$A$1:$I$89,3,0)*0.475*44/12</f>
        <v>1.2873162193720149</v>
      </c>
      <c r="AB129" s="21">
        <f>EXP(-LN(2)/2)*AB128+(1-EXP(-LN(2)/2))/(LN(2)/2)*V129*Y129*VLOOKUP('Données projet'!$B$9,Paramètres!$A$1:$I$89,3,0)*0.475*44/12</f>
        <v>8.5698849697265776E-14</v>
      </c>
      <c r="AC129" s="22">
        <f t="shared" si="57"/>
        <v>1.7991157297305131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-8.5265128291212022E-14</v>
      </c>
      <c r="AJ129" s="13">
        <f>AI129*VLOOKUP('Données projet'!$B$10,Paramètres!$A$1:$I$89,3,0)*VLOOKUP('Données projet'!$B$10,Paramètres!$A$1:$I$89,5,0)</f>
        <v>-7.4487616075202836E-14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191.94797389630673</v>
      </c>
      <c r="AO129" s="59">
        <f t="shared" si="90"/>
        <v>273.52540822767878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0.38462508657238315</v>
      </c>
      <c r="AV129" s="21">
        <f>EXP(-LN(2)/25)*AV128+(1-EXP(-LN(2)/25))/(LN(2)/25)*Calculateur!AQ129*Calculateur!AS129*VLOOKUP('Données projet'!$B$10,Paramètres!$A$1:$I$89,3,0)*0.475*44/12</f>
        <v>0.98098865500264798</v>
      </c>
      <c r="AW129" s="21">
        <f>EXP(-LN(2)/2)*AW128+(1-EXP(-LN(2)/2))/(LN(2)/2)*AQ129*AT129*VLOOKUP('Données projet'!$B$10,Paramètres!$A$1:$I$89,3,0)*0.475*44/12</f>
        <v>8.2433839024778075E-14</v>
      </c>
      <c r="AX129" s="21">
        <f t="shared" si="60"/>
        <v>1.3656137415751135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2.8421709430404007E-14</v>
      </c>
      <c r="BE129" s="13">
        <f>BD129*VLOOKUP('Données projet'!$B$11,Paramètres!$A$1:$I$89,3,0)*VLOOKUP('Données projet'!$B$11,Paramètres!$A$1:$I$89,5,0)</f>
        <v>2.5715962692629544E-14</v>
      </c>
      <c r="BF129" s="13">
        <f t="shared" si="91"/>
        <v>4.5248818890525812E-13</v>
      </c>
      <c r="BG129" s="20">
        <f t="shared" si="61"/>
        <v>8.3287223069965432E-13</v>
      </c>
      <c r="BH129" s="59">
        <f t="shared" si="62"/>
        <v>293.33333333333417</v>
      </c>
      <c r="BI129" s="59">
        <f ca="1">AVERAGE(OFFSET($BH$3,0,0,'Données projet'!$E$11+1,1))-AVERAGE(OFFSET($H$3,0,0,'Données projet'!$E$11+1,1))</f>
        <v>138.8931001150624</v>
      </c>
      <c r="BJ129" s="59">
        <f t="shared" si="92"/>
        <v>48.964659354096625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2.8421709430404007E-14</v>
      </c>
      <c r="BZ129" s="13">
        <f>BY129*VLOOKUP('Données projet'!$B$12,Paramètres!$A$1:$I$89,3,0)*VLOOKUP('Données projet'!$B$12,Paramètres!$A$1:$I$89,5,0)</f>
        <v>2.8819613362429664E-14</v>
      </c>
      <c r="CA129" s="13">
        <f t="shared" si="93"/>
        <v>5.0041752926933358E-13</v>
      </c>
      <c r="CB129" s="20">
        <f t="shared" si="64"/>
        <v>9.2175469008365428E-13</v>
      </c>
      <c r="CC129" s="59">
        <f t="shared" si="65"/>
        <v>293.33333333333422</v>
      </c>
      <c r="CD129" s="59">
        <f ca="1">AVERAGE(OFFSET($CC$3,0,0,'Données projet'!$E$12+1,1))-AVERAGE(OFFSET($H$3,0,0,'Données projet'!$E$12+1,1))</f>
        <v>169.2757878405003</v>
      </c>
      <c r="CE129" s="59">
        <f t="shared" si="94"/>
        <v>61.876502626609977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-8.5265128291212022E-14</v>
      </c>
      <c r="CU129" s="17">
        <f>CT129*VLOOKUP('Données projet'!$B$13,Paramètres!$A$1:$I$89,3,0)*VLOOKUP('Données projet'!$B$13,Paramètres!$A$1:$I$89,5,0)</f>
        <v>-6.7836936068488286E-14</v>
      </c>
      <c r="CV129" s="13" t="e">
        <f t="shared" si="95"/>
        <v>#NUM!</v>
      </c>
      <c r="CW129" s="20" t="e">
        <f t="shared" si="67"/>
        <v>#NUM!</v>
      </c>
      <c r="CX129" s="59" t="e">
        <f t="shared" si="68"/>
        <v>#NUM!</v>
      </c>
      <c r="CY129" s="59">
        <f ca="1">AVERAGE(OFFSET($CX$3,0,0,'Données projet'!$E$13+1,1))-AVERAGE(OFFSET($H$3,0,0,'Données projet'!$E$13+1,1))</f>
        <v>141.12810728817544</v>
      </c>
      <c r="CZ129" s="59">
        <f t="shared" si="96"/>
        <v>176.01405805137551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>
        <f>EXP(-LN(2)/35)*DF128+(1-EXP(-LN(2)/35))/(LN(2)/35)*DB129*DC129*VLOOKUP('Données projet'!$B$13,Paramètres!$A$1:$I$89,3,0)*0.475*44/12</f>
        <v>0</v>
      </c>
      <c r="DG129" s="21">
        <f>EXP(-LN(2)/25)*DG128+(1-EXP(-LN(2)/25))/(LN(2)/25)*Calculateur!DB129*Calculateur!DD129*VLOOKUP('Données projet'!$B$13,Paramètres!$A$1:$I$89,3,0)*0.475*44/12</f>
        <v>0.46944039964288653</v>
      </c>
      <c r="DH129" s="21">
        <f>EXP(-LN(2)/2)*DH128+(1-EXP(-LN(2)/2))/(LN(2)/2)*DB129*DE129*VLOOKUP('Données projet'!$B$13,Paramètres!$A$1:$I$89,3,0)*0.475*44/12</f>
        <v>2.8440154900554295E-14</v>
      </c>
      <c r="DI129" s="22">
        <f t="shared" si="69"/>
        <v>0.46944039964291495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5.6843418860808015E-14</v>
      </c>
      <c r="DP129" s="17">
        <f>DO129*VLOOKUP('Données projet'!$B$14,Paramètres!$A$1:$I$89,3,0)*VLOOKUP('Données projet'!$B$14,Paramètres!$A$1:$I$89,5,0)</f>
        <v>3.3992364478763198E-14</v>
      </c>
      <c r="DQ129" s="13">
        <f t="shared" si="97"/>
        <v>5.790027782444094E-13</v>
      </c>
      <c r="DR129" s="20">
        <f t="shared" si="70"/>
        <v>1.0676332069095257E-12</v>
      </c>
      <c r="DS129" s="59">
        <f t="shared" si="71"/>
        <v>293.33333333333439</v>
      </c>
      <c r="DT129" s="59">
        <f ca="1">AVERAGE(OFFSET($DS$3,0,0,'Données projet'!$E$14+1,1))-AVERAGE(OFFSET($H$3,0,0,'Données projet'!$E$14+1,1))</f>
        <v>165.39579887388538</v>
      </c>
      <c r="DU129" s="59">
        <f t="shared" si="98"/>
        <v>155.89639262545802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>
        <f>EXP(-LN(2)/35)*EA128+(1-EXP(-LN(2)/35))/(LN(2)/35)*DW129*DX129*VLOOKUP('Données projet'!$B$14,Paramètres!$A$1:$I$89,3,0)*0.475*44/12</f>
        <v>0</v>
      </c>
      <c r="EB129" s="21">
        <f>EXP(-LN(2)/25)*EB128+(1-EXP(-LN(2)/25))/(LN(2)/25)*Calculateur!DW129*Calculateur!DY129*VLOOKUP('Données projet'!$B$14,Paramètres!$A$1:$I$89,3,0)*0.475*44/12</f>
        <v>0.50901124142798437</v>
      </c>
      <c r="EC129" s="21">
        <f>EXP(-LN(2)/2)*EC128+(1-EXP(-LN(2)/2))/(LN(2)/2)*DW129*DZ129*VLOOKUP('Données projet'!$B$14,Paramètres!$A$1:$I$89,3,0)*0.475*44/12</f>
        <v>4.9311792819313466E-14</v>
      </c>
      <c r="ED129" s="22">
        <f t="shared" si="72"/>
        <v>0.50901124142803367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2.8421709430404007E-14</v>
      </c>
      <c r="EK129" s="17">
        <f>EJ129*VLOOKUP('Données projet'!$B$15,Paramètres!$A$1:$I$89,3,0)*VLOOKUP('Données projet'!$B$15,Paramètres!$A$1:$I$89,5,0)</f>
        <v>2.2168933355715127E-14</v>
      </c>
      <c r="EL129" s="13">
        <f t="shared" si="99"/>
        <v>3.9687356123668477E-13</v>
      </c>
      <c r="EM129" s="20">
        <f t="shared" si="73"/>
        <v>7.2983234474842979E-13</v>
      </c>
      <c r="EN129" s="59">
        <f t="shared" si="74"/>
        <v>293.33333333333405</v>
      </c>
      <c r="EO129" s="59">
        <f ca="1">AVERAGE(OFFSET($EN$3,0,0,'Données projet'!$E$15+1,1))-AVERAGE(OFFSET($H$3,0,0,'Données projet'!$E$15+1,1))</f>
        <v>104.07220236158577</v>
      </c>
      <c r="EP129" s="59">
        <f t="shared" si="100"/>
        <v>34.162068257911756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>
        <f>EXP(-LN(2)/35)*EV128+(1-EXP(-LN(2)/35))/(LN(2)/35)*ER129*ES129*VLOOKUP('Données projet'!$B$15,Paramètres!$A$1:$I$89,3,0)*0.475*44/12</f>
        <v>0</v>
      </c>
      <c r="EW129" s="21">
        <f>EXP(-LN(2)/25)*EW128+(1-EXP(-LN(2)/25))/(LN(2)/25)*Calculateur!ER129*Calculateur!ET129*VLOOKUP('Données projet'!$B$15,Paramètres!$A$1:$I$89,3,0)*0.475*44/12</f>
        <v>0</v>
      </c>
      <c r="EX129" s="21">
        <f>EXP(-LN(2)/2)*EX128+(1-EXP(-LN(2)/2))/(LN(2)/2)*ER129*EU129*VLOOKUP('Données projet'!$B$15,Paramètres!$A$1:$I$89,3,0)*0.475*44/12</f>
        <v>0</v>
      </c>
      <c r="EY129" s="22">
        <f t="shared" si="75"/>
        <v>0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5.6843418860808015E-14</v>
      </c>
      <c r="FF129" s="17">
        <f>FE129*VLOOKUP('Données projet'!$B$16,Paramètres!$A$1:$I$89,3,0)*VLOOKUP('Données projet'!$B$16,Paramètres!$A$1:$I$89,5,0)</f>
        <v>5.1431925385259088E-14</v>
      </c>
      <c r="FG129" s="13">
        <f t="shared" si="101"/>
        <v>8.3482866290946129E-13</v>
      </c>
      <c r="FH129" s="20">
        <f t="shared" si="76"/>
        <v>1.5435705246133045E-12</v>
      </c>
      <c r="FI129" s="59">
        <f t="shared" si="77"/>
        <v>293.33333333333485</v>
      </c>
      <c r="FJ129" s="59">
        <f ca="1">AVERAGE(OFFSET($FI$3,0,0,'Données projet'!$E$16+1,1))-AVERAGE(OFFSET($H$3,0,0,'Données projet'!$E$16+1,1))</f>
        <v>179.50097986986123</v>
      </c>
      <c r="FK129" s="59">
        <f t="shared" si="102"/>
        <v>287.11838730637578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>
        <f>EXP(-LN(2)/35)*FQ128+(1-EXP(-LN(2)/35))/(LN(2)/35)*FM129*FN129*VLOOKUP('Données projet'!$B$16,Paramètres!$A$1:$I$89,3,0)*0.475*44/12</f>
        <v>9.3125224408996288E-2</v>
      </c>
      <c r="FR129" s="21">
        <f>EXP(-LN(2)/25)*FR128+(1-EXP(-LN(2)/25))/(LN(2)/25)*Calculateur!FM129*Calculateur!FO129*VLOOKUP('Données projet'!$B$16,Paramètres!$A$1:$I$89,3,0)*0.475*44/12</f>
        <v>0.43948726313557263</v>
      </c>
      <c r="FS129" s="21">
        <f>EXP(-LN(2)/2)*FS128+(1-EXP(-LN(2)/2))/(LN(2)/2)*FM129*FP129*VLOOKUP('Données projet'!$B$16,Paramètres!$A$1:$I$89,3,0)*0.475*44/12</f>
        <v>1.6061093878951492E-14</v>
      </c>
      <c r="FT129" s="22">
        <f t="shared" si="78"/>
        <v>0.53261248754458501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5.6843418860808015E-14</v>
      </c>
      <c r="GA129" s="17">
        <f>FZ129*VLOOKUP('Données projet'!$B$17,Paramètres!$A$1:$I$89,3,0)*VLOOKUP('Données projet'!$B$17,Paramètres!$A$1:$I$89,5,0)</f>
        <v>3.3992364478763198E-14</v>
      </c>
      <c r="GB129" s="13">
        <f t="shared" si="103"/>
        <v>5.790027782444094E-13</v>
      </c>
      <c r="GC129" s="20">
        <f t="shared" si="79"/>
        <v>1.0676332069095257E-12</v>
      </c>
      <c r="GD129" s="59">
        <f t="shared" si="80"/>
        <v>293.33333333333439</v>
      </c>
      <c r="GE129" s="59">
        <f ca="1">AVERAGE(OFFSET($GD$3,0,0,'Données projet'!$E$17+1,1))-AVERAGE(OFFSET($H$3,0,0,'Données projet'!$E$17+1,1))</f>
        <v>165.39579887388538</v>
      </c>
      <c r="GF129" s="59">
        <f t="shared" si="104"/>
        <v>155.89639262545802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>
        <f>EXP(-LN(2)/35)*GL128+(1-EXP(-LN(2)/35))/(LN(2)/35)*GH129*GI129*VLOOKUP('Données projet'!$B$17,Paramètres!$A$1:$I$89,3,0)*0.475*44/12</f>
        <v>0</v>
      </c>
      <c r="GM129" s="21">
        <f>EXP(-LN(2)/25)*GM128+(1-EXP(-LN(2)/25))/(LN(2)/25)*Calculateur!GH129*Calculateur!GJ129*VLOOKUP('Données projet'!$B$17,Paramètres!$A$1:$I$89,3,0)*0.475*44/12</f>
        <v>0.50901124142798437</v>
      </c>
      <c r="GN129" s="21">
        <f>EXP(-LN(2)/2)*GN128+(1-EXP(-LN(2)/2))/(LN(2)/2)*GH129*GK129*VLOOKUP('Données projet'!$B$17,Paramètres!$A$1:$I$89,3,0)*0.475*44/12</f>
        <v>4.9311792819313466E-14</v>
      </c>
      <c r="GO129" s="21">
        <f t="shared" si="81"/>
        <v>0.50901124142803367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3.4106051316484809E-13</v>
      </c>
      <c r="O130" s="13">
        <f>N130*VLOOKUP('Données projet'!$B$9,Paramètres!$A$1:$I$89,3,0)*VLOOKUP('Données projet'!$B$9,Paramètres!$A$1:$I$89,5,0)</f>
        <v>1.9065282685915009E-13</v>
      </c>
      <c r="P130" s="13">
        <f t="shared" si="87"/>
        <v>2.6568987209435707E-12</v>
      </c>
      <c r="Q130" s="20">
        <f t="shared" si="107"/>
        <v>4.959485612423072E-12</v>
      </c>
      <c r="R130" s="59">
        <f t="shared" si="55"/>
        <v>293.33333333333826</v>
      </c>
      <c r="S130" s="59">
        <f ca="1">AVERAGE(OFFSET($R$3,0,0,'Données projet'!$E$9+1,1))-AVERAGE(OFFSET($H$3,0,0,'Données projet'!$E$9+1,1))</f>
        <v>235.10258076192054</v>
      </c>
      <c r="T130" s="59">
        <f t="shared" si="88"/>
        <v>233.47316052603765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0.50176343412716151</v>
      </c>
      <c r="AA130" s="21">
        <f>EXP(-LN(2)/25)*AA129+(1-EXP(-LN(2)/25))/(LN(2)/25)*Calculateur!V130*Calculateur!X130*VLOOKUP('Données projet'!$B$9,Paramètres!$A$1:$I$89,3,0)*0.475*44/12</f>
        <v>1.2521144896562695</v>
      </c>
      <c r="AB130" s="21">
        <f>EXP(-LN(2)/2)*AB129+(1-EXP(-LN(2)/2))/(LN(2)/2)*V130*Y130*VLOOKUP('Données projet'!$B$9,Paramètres!$A$1:$I$89,3,0)*0.475*44/12</f>
        <v>6.0598237760823334E-14</v>
      </c>
      <c r="AC130" s="22">
        <f t="shared" si="57"/>
        <v>1.7538779237834916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-8.5265128291212022E-14</v>
      </c>
      <c r="AJ130" s="13">
        <f>AI130*VLOOKUP('Données projet'!$B$10,Paramètres!$A$1:$I$89,3,0)*VLOOKUP('Données projet'!$B$10,Paramètres!$A$1:$I$89,5,0)</f>
        <v>-7.4487616075202836E-14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191.94797389630673</v>
      </c>
      <c r="AO130" s="59">
        <f t="shared" si="90"/>
        <v>273.52540822767878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0.37708282322283687</v>
      </c>
      <c r="AV130" s="21">
        <f>EXP(-LN(2)/25)*AV129+(1-EXP(-LN(2)/25))/(LN(2)/25)*Calculateur!AQ130*Calculateur!AS130*VLOOKUP('Données projet'!$B$10,Paramètres!$A$1:$I$89,3,0)*0.475*44/12</f>
        <v>0.95416346864364932</v>
      </c>
      <c r="AW130" s="21">
        <f>EXP(-LN(2)/2)*AW129+(1-EXP(-LN(2)/2))/(LN(2)/2)*AQ130*AT130*VLOOKUP('Données projet'!$B$10,Paramètres!$A$1:$I$89,3,0)*0.475*44/12</f>
        <v>5.8289526573660831E-14</v>
      </c>
      <c r="AX130" s="21">
        <f t="shared" si="60"/>
        <v>1.3312462918665446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2.8421709430404007E-14</v>
      </c>
      <c r="BE130" s="13">
        <f>BD130*VLOOKUP('Données projet'!$B$11,Paramètres!$A$1:$I$89,3,0)*VLOOKUP('Données projet'!$B$11,Paramètres!$A$1:$I$89,5,0)</f>
        <v>2.5715962692629544E-14</v>
      </c>
      <c r="BF130" s="13">
        <f t="shared" si="91"/>
        <v>4.5248818890525812E-13</v>
      </c>
      <c r="BG130" s="20">
        <f t="shared" si="61"/>
        <v>8.3287223069965432E-13</v>
      </c>
      <c r="BH130" s="59">
        <f t="shared" si="62"/>
        <v>293.33333333333417</v>
      </c>
      <c r="BI130" s="59">
        <f ca="1">AVERAGE(OFFSET($BH$3,0,0,'Données projet'!$E$11+1,1))-AVERAGE(OFFSET($H$3,0,0,'Données projet'!$E$11+1,1))</f>
        <v>138.8931001150624</v>
      </c>
      <c r="BJ130" s="59">
        <f t="shared" si="92"/>
        <v>48.964659354096625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2.8421709430404007E-14</v>
      </c>
      <c r="BZ130" s="13">
        <f>BY130*VLOOKUP('Données projet'!$B$12,Paramètres!$A$1:$I$89,3,0)*VLOOKUP('Données projet'!$B$12,Paramètres!$A$1:$I$89,5,0)</f>
        <v>2.8819613362429664E-14</v>
      </c>
      <c r="CA130" s="13">
        <f t="shared" si="93"/>
        <v>5.0041752926933358E-13</v>
      </c>
      <c r="CB130" s="20">
        <f t="shared" si="64"/>
        <v>9.2175469008365428E-13</v>
      </c>
      <c r="CC130" s="59">
        <f t="shared" si="65"/>
        <v>293.33333333333422</v>
      </c>
      <c r="CD130" s="59">
        <f ca="1">AVERAGE(OFFSET($CC$3,0,0,'Données projet'!$E$12+1,1))-AVERAGE(OFFSET($H$3,0,0,'Données projet'!$E$12+1,1))</f>
        <v>169.2757878405003</v>
      </c>
      <c r="CE130" s="59">
        <f t="shared" si="94"/>
        <v>61.876502626609977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-8.5265128291212022E-14</v>
      </c>
      <c r="CU130" s="17">
        <f>CT130*VLOOKUP('Données projet'!$B$13,Paramètres!$A$1:$I$89,3,0)*VLOOKUP('Données projet'!$B$13,Paramètres!$A$1:$I$89,5,0)</f>
        <v>-6.7836936068488286E-14</v>
      </c>
      <c r="CV130" s="13" t="e">
        <f t="shared" si="95"/>
        <v>#NUM!</v>
      </c>
      <c r="CW130" s="20" t="e">
        <f t="shared" si="67"/>
        <v>#NUM!</v>
      </c>
      <c r="CX130" s="59" t="e">
        <f t="shared" si="68"/>
        <v>#NUM!</v>
      </c>
      <c r="CY130" s="59">
        <f ca="1">AVERAGE(OFFSET($CX$3,0,0,'Données projet'!$E$13+1,1))-AVERAGE(OFFSET($H$3,0,0,'Données projet'!$E$13+1,1))</f>
        <v>141.12810728817544</v>
      </c>
      <c r="CZ130" s="59">
        <f t="shared" si="96"/>
        <v>176.01405805137551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>
        <f>EXP(-LN(2)/35)*DF129+(1-EXP(-LN(2)/35))/(LN(2)/35)*DB130*DC130*VLOOKUP('Données projet'!$B$13,Paramètres!$A$1:$I$89,3,0)*0.475*44/12</f>
        <v>0</v>
      </c>
      <c r="DG130" s="21">
        <f>EXP(-LN(2)/25)*DG129+(1-EXP(-LN(2)/25))/(LN(2)/25)*Calculateur!DB130*Calculateur!DD130*VLOOKUP('Données projet'!$B$13,Paramètres!$A$1:$I$89,3,0)*0.475*44/12</f>
        <v>0.45660352722785408</v>
      </c>
      <c r="DH130" s="21">
        <f>EXP(-LN(2)/2)*DH129+(1-EXP(-LN(2)/2))/(LN(2)/2)*DB130*DE130*VLOOKUP('Données projet'!$B$13,Paramètres!$A$1:$I$89,3,0)*0.475*44/12</f>
        <v>2.0110226388177764E-14</v>
      </c>
      <c r="DI130" s="22">
        <f t="shared" si="69"/>
        <v>0.45660352722787417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5.6843418860808015E-14</v>
      </c>
      <c r="DP130" s="17">
        <f>DO130*VLOOKUP('Données projet'!$B$14,Paramètres!$A$1:$I$89,3,0)*VLOOKUP('Données projet'!$B$14,Paramètres!$A$1:$I$89,5,0)</f>
        <v>3.3992364478763198E-14</v>
      </c>
      <c r="DQ130" s="13">
        <f t="shared" si="97"/>
        <v>5.790027782444094E-13</v>
      </c>
      <c r="DR130" s="20">
        <f t="shared" si="70"/>
        <v>1.0676332069095257E-12</v>
      </c>
      <c r="DS130" s="59">
        <f t="shared" si="71"/>
        <v>293.33333333333439</v>
      </c>
      <c r="DT130" s="59">
        <f ca="1">AVERAGE(OFFSET($DS$3,0,0,'Données projet'!$E$14+1,1))-AVERAGE(OFFSET($H$3,0,0,'Données projet'!$E$14+1,1))</f>
        <v>165.39579887388538</v>
      </c>
      <c r="DU130" s="59">
        <f t="shared" si="98"/>
        <v>155.89639262545802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>
        <f>EXP(-LN(2)/35)*EA129+(1-EXP(-LN(2)/35))/(LN(2)/35)*DW130*DX130*VLOOKUP('Données projet'!$B$14,Paramètres!$A$1:$I$89,3,0)*0.475*44/12</f>
        <v>0</v>
      </c>
      <c r="EB130" s="21">
        <f>EXP(-LN(2)/25)*EB129+(1-EXP(-LN(2)/25))/(LN(2)/25)*Calculateur!DW130*Calculateur!DY130*VLOOKUP('Données projet'!$B$14,Paramètres!$A$1:$I$89,3,0)*0.475*44/12</f>
        <v>0.49509230226339829</v>
      </c>
      <c r="EC130" s="21">
        <f>EXP(-LN(2)/2)*EC129+(1-EXP(-LN(2)/2))/(LN(2)/2)*DW130*DZ130*VLOOKUP('Données projet'!$B$14,Paramètres!$A$1:$I$89,3,0)*0.475*44/12</f>
        <v>3.4868703095002652E-14</v>
      </c>
      <c r="ED130" s="22">
        <f t="shared" si="72"/>
        <v>0.49509230226343315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2.8421709430404007E-14</v>
      </c>
      <c r="EK130" s="17">
        <f>EJ130*VLOOKUP('Données projet'!$B$15,Paramètres!$A$1:$I$89,3,0)*VLOOKUP('Données projet'!$B$15,Paramètres!$A$1:$I$89,5,0)</f>
        <v>2.2168933355715127E-14</v>
      </c>
      <c r="EL130" s="13">
        <f t="shared" si="99"/>
        <v>3.9687356123668477E-13</v>
      </c>
      <c r="EM130" s="20">
        <f t="shared" si="73"/>
        <v>7.2983234474842979E-13</v>
      </c>
      <c r="EN130" s="59">
        <f t="shared" si="74"/>
        <v>293.33333333333405</v>
      </c>
      <c r="EO130" s="59">
        <f ca="1">AVERAGE(OFFSET($EN$3,0,0,'Données projet'!$E$15+1,1))-AVERAGE(OFFSET($H$3,0,0,'Données projet'!$E$15+1,1))</f>
        <v>104.07220236158577</v>
      </c>
      <c r="EP130" s="59">
        <f t="shared" si="100"/>
        <v>34.162068257911756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>
        <f>EXP(-LN(2)/35)*EV129+(1-EXP(-LN(2)/35))/(LN(2)/35)*ER130*ES130*VLOOKUP('Données projet'!$B$15,Paramètres!$A$1:$I$89,3,0)*0.475*44/12</f>
        <v>0</v>
      </c>
      <c r="EW130" s="21">
        <f>EXP(-LN(2)/25)*EW129+(1-EXP(-LN(2)/25))/(LN(2)/25)*Calculateur!ER130*Calculateur!ET130*VLOOKUP('Données projet'!$B$15,Paramètres!$A$1:$I$89,3,0)*0.475*44/12</f>
        <v>0</v>
      </c>
      <c r="EX130" s="21">
        <f>EXP(-LN(2)/2)*EX129+(1-EXP(-LN(2)/2))/(LN(2)/2)*ER130*EU130*VLOOKUP('Données projet'!$B$15,Paramètres!$A$1:$I$89,3,0)*0.475*44/12</f>
        <v>0</v>
      </c>
      <c r="EY130" s="22">
        <f t="shared" si="75"/>
        <v>0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5.6843418860808015E-14</v>
      </c>
      <c r="FF130" s="17">
        <f>FE130*VLOOKUP('Données projet'!$B$16,Paramètres!$A$1:$I$89,3,0)*VLOOKUP('Données projet'!$B$16,Paramètres!$A$1:$I$89,5,0)</f>
        <v>5.1431925385259088E-14</v>
      </c>
      <c r="FG130" s="13">
        <f t="shared" si="101"/>
        <v>8.3482866290946129E-13</v>
      </c>
      <c r="FH130" s="20">
        <f t="shared" si="76"/>
        <v>1.5435705246133045E-12</v>
      </c>
      <c r="FI130" s="59">
        <f t="shared" si="77"/>
        <v>293.33333333333485</v>
      </c>
      <c r="FJ130" s="59">
        <f ca="1">AVERAGE(OFFSET($FI$3,0,0,'Données projet'!$E$16+1,1))-AVERAGE(OFFSET($H$3,0,0,'Données projet'!$E$16+1,1))</f>
        <v>179.50097986986123</v>
      </c>
      <c r="FK130" s="59">
        <f t="shared" si="102"/>
        <v>287.11838730637578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>
        <f>EXP(-LN(2)/35)*FQ129+(1-EXP(-LN(2)/35))/(LN(2)/35)*FM130*FN130*VLOOKUP('Données projet'!$B$16,Paramètres!$A$1:$I$89,3,0)*0.475*44/12</f>
        <v>9.1299095559114155E-2</v>
      </c>
      <c r="FR130" s="21">
        <f>EXP(-LN(2)/25)*FR129+(1-EXP(-LN(2)/25))/(LN(2)/25)*Calculateur!FM130*Calculateur!FO130*VLOOKUP('Données projet'!$B$16,Paramètres!$A$1:$I$89,3,0)*0.475*44/12</f>
        <v>0.42746946081349968</v>
      </c>
      <c r="FS130" s="21">
        <f>EXP(-LN(2)/2)*FS129+(1-EXP(-LN(2)/2))/(LN(2)/2)*FM130*FP130*VLOOKUP('Données projet'!$B$16,Paramètres!$A$1:$I$89,3,0)*0.475*44/12</f>
        <v>1.1356908395080351E-14</v>
      </c>
      <c r="FT130" s="22">
        <f t="shared" si="78"/>
        <v>0.5187685563726252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5.6843418860808015E-14</v>
      </c>
      <c r="GA130" s="17">
        <f>FZ130*VLOOKUP('Données projet'!$B$17,Paramètres!$A$1:$I$89,3,0)*VLOOKUP('Données projet'!$B$17,Paramètres!$A$1:$I$89,5,0)</f>
        <v>3.3992364478763198E-14</v>
      </c>
      <c r="GB130" s="13">
        <f t="shared" si="103"/>
        <v>5.790027782444094E-13</v>
      </c>
      <c r="GC130" s="20">
        <f t="shared" si="79"/>
        <v>1.0676332069095257E-12</v>
      </c>
      <c r="GD130" s="59">
        <f t="shared" si="80"/>
        <v>293.33333333333439</v>
      </c>
      <c r="GE130" s="59">
        <f ca="1">AVERAGE(OFFSET($GD$3,0,0,'Données projet'!$E$17+1,1))-AVERAGE(OFFSET($H$3,0,0,'Données projet'!$E$17+1,1))</f>
        <v>165.39579887388538</v>
      </c>
      <c r="GF130" s="59">
        <f t="shared" si="104"/>
        <v>155.89639262545802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>
        <f>EXP(-LN(2)/35)*GL129+(1-EXP(-LN(2)/35))/(LN(2)/35)*GH130*GI130*VLOOKUP('Données projet'!$B$17,Paramètres!$A$1:$I$89,3,0)*0.475*44/12</f>
        <v>0</v>
      </c>
      <c r="GM130" s="21">
        <f>EXP(-LN(2)/25)*GM129+(1-EXP(-LN(2)/25))/(LN(2)/25)*Calculateur!GH130*Calculateur!GJ130*VLOOKUP('Données projet'!$B$17,Paramètres!$A$1:$I$89,3,0)*0.475*44/12</f>
        <v>0.49509230226339829</v>
      </c>
      <c r="GN130" s="21">
        <f>EXP(-LN(2)/2)*GN129+(1-EXP(-LN(2)/2))/(LN(2)/2)*GH130*GK130*VLOOKUP('Données projet'!$B$17,Paramètres!$A$1:$I$89,3,0)*0.475*44/12</f>
        <v>3.4868703095002652E-14</v>
      </c>
      <c r="GO130" s="21">
        <f t="shared" si="81"/>
        <v>0.49509230226343315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3.4106051316484809E-13</v>
      </c>
      <c r="O131" s="13">
        <f>N131*VLOOKUP('Données projet'!$B$9,Paramètres!$A$1:$I$89,3,0)*VLOOKUP('Données projet'!$B$9,Paramètres!$A$1:$I$89,5,0)</f>
        <v>1.9065282685915009E-13</v>
      </c>
      <c r="P131" s="13">
        <f t="shared" si="87"/>
        <v>2.6568987209435707E-12</v>
      </c>
      <c r="Q131" s="20">
        <f t="shared" ref="Q131:Q153" si="108">(O131+P131)*0.475*44/12</f>
        <v>4.959485612423072E-12</v>
      </c>
      <c r="R131" s="59">
        <f t="shared" ref="R131:R194" si="109">Q131+(I131+J131)*44/12</f>
        <v>293.33333333333826</v>
      </c>
      <c r="S131" s="59">
        <f ca="1">AVERAGE(OFFSET($R$3,0,0,'Données projet'!$E$9+1,1))-AVERAGE(OFFSET($H$3,0,0,'Données projet'!$E$9+1,1))</f>
        <v>235.10258076192054</v>
      </c>
      <c r="T131" s="59">
        <f t="shared" si="88"/>
        <v>233.47316052603765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0.49192415922940319</v>
      </c>
      <c r="AA131" s="21">
        <f>EXP(-LN(2)/25)*AA130+(1-EXP(-LN(2)/25))/(LN(2)/25)*Calculateur!V131*Calculateur!X131*VLOOKUP('Données projet'!$B$9,Paramètres!$A$1:$I$89,3,0)*0.475*44/12</f>
        <v>1.2178753530907795</v>
      </c>
      <c r="AB131" s="21">
        <f>EXP(-LN(2)/2)*AB130+(1-EXP(-LN(2)/2))/(LN(2)/2)*V131*Y131*VLOOKUP('Données projet'!$B$9,Paramètres!$A$1:$I$89,3,0)*0.475*44/12</f>
        <v>4.2849424848632888E-14</v>
      </c>
      <c r="AC131" s="22">
        <f t="shared" si="57"/>
        <v>1.7097995123202256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-8.5265128291212022E-14</v>
      </c>
      <c r="AJ131" s="13">
        <f>AI131*VLOOKUP('Données projet'!$B$10,Paramètres!$A$1:$I$89,3,0)*VLOOKUP('Données projet'!$B$10,Paramètres!$A$1:$I$89,5,0)</f>
        <v>-7.4487616075202836E-14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191.94797389630673</v>
      </c>
      <c r="AO131" s="59">
        <f t="shared" si="90"/>
        <v>273.52540822767878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0.36968845905724879</v>
      </c>
      <c r="AV131" s="21">
        <f>EXP(-LN(2)/25)*AV130+(1-EXP(-LN(2)/25))/(LN(2)/25)*Calculateur!AQ131*Calculateur!AS131*VLOOKUP('Données projet'!$B$10,Paramètres!$A$1:$I$89,3,0)*0.475*44/12</f>
        <v>0.9280718184163127</v>
      </c>
      <c r="AW131" s="21">
        <f>EXP(-LN(2)/2)*AW130+(1-EXP(-LN(2)/2))/(LN(2)/2)*AQ131*AT131*VLOOKUP('Données projet'!$B$10,Paramètres!$A$1:$I$89,3,0)*0.475*44/12</f>
        <v>4.1216919512389038E-14</v>
      </c>
      <c r="AX131" s="21">
        <f t="shared" si="60"/>
        <v>1.2977602774736028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2.8421709430404007E-14</v>
      </c>
      <c r="BE131" s="13">
        <f>BD131*VLOOKUP('Données projet'!$B$11,Paramètres!$A$1:$I$89,3,0)*VLOOKUP('Données projet'!$B$11,Paramètres!$A$1:$I$89,5,0)</f>
        <v>2.5715962692629544E-14</v>
      </c>
      <c r="BF131" s="13">
        <f t="shared" si="91"/>
        <v>4.5248818890525812E-13</v>
      </c>
      <c r="BG131" s="20">
        <f t="shared" si="61"/>
        <v>8.3287223069965432E-13</v>
      </c>
      <c r="BH131" s="59">
        <f t="shared" si="62"/>
        <v>293.33333333333417</v>
      </c>
      <c r="BI131" s="59">
        <f ca="1">AVERAGE(OFFSET($BH$3,0,0,'Données projet'!$E$11+1,1))-AVERAGE(OFFSET($H$3,0,0,'Données projet'!$E$11+1,1))</f>
        <v>138.8931001150624</v>
      </c>
      <c r="BJ131" s="59">
        <f t="shared" si="92"/>
        <v>48.964659354096625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2.8421709430404007E-14</v>
      </c>
      <c r="BZ131" s="13">
        <f>BY131*VLOOKUP('Données projet'!$B$12,Paramètres!$A$1:$I$89,3,0)*VLOOKUP('Données projet'!$B$12,Paramètres!$A$1:$I$89,5,0)</f>
        <v>2.8819613362429664E-14</v>
      </c>
      <c r="CA131" s="13">
        <f t="shared" si="93"/>
        <v>5.0041752926933358E-13</v>
      </c>
      <c r="CB131" s="20">
        <f t="shared" si="64"/>
        <v>9.2175469008365428E-13</v>
      </c>
      <c r="CC131" s="59">
        <f t="shared" si="65"/>
        <v>293.33333333333422</v>
      </c>
      <c r="CD131" s="59">
        <f ca="1">AVERAGE(OFFSET($CC$3,0,0,'Données projet'!$E$12+1,1))-AVERAGE(OFFSET($H$3,0,0,'Données projet'!$E$12+1,1))</f>
        <v>169.2757878405003</v>
      </c>
      <c r="CE131" s="59">
        <f t="shared" si="94"/>
        <v>61.876502626609977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-8.5265128291212022E-14</v>
      </c>
      <c r="CU131" s="17">
        <f>CT131*VLOOKUP('Données projet'!$B$13,Paramètres!$A$1:$I$89,3,0)*VLOOKUP('Données projet'!$B$13,Paramètres!$A$1:$I$89,5,0)</f>
        <v>-6.7836936068488286E-14</v>
      </c>
      <c r="CV131" s="13" t="e">
        <f t="shared" si="95"/>
        <v>#NUM!</v>
      </c>
      <c r="CW131" s="20" t="e">
        <f t="shared" si="67"/>
        <v>#NUM!</v>
      </c>
      <c r="CX131" s="59" t="e">
        <f t="shared" si="68"/>
        <v>#NUM!</v>
      </c>
      <c r="CY131" s="59">
        <f ca="1">AVERAGE(OFFSET($CX$3,0,0,'Données projet'!$E$13+1,1))-AVERAGE(OFFSET($H$3,0,0,'Données projet'!$E$13+1,1))</f>
        <v>141.12810728817544</v>
      </c>
      <c r="CZ131" s="59">
        <f t="shared" si="96"/>
        <v>176.01405805137551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>
        <f>EXP(-LN(2)/35)*DF130+(1-EXP(-LN(2)/35))/(LN(2)/35)*DB131*DC131*VLOOKUP('Données projet'!$B$13,Paramètres!$A$1:$I$89,3,0)*0.475*44/12</f>
        <v>0</v>
      </c>
      <c r="DG131" s="21">
        <f>EXP(-LN(2)/25)*DG130+(1-EXP(-LN(2)/25))/(LN(2)/25)*Calculateur!DB131*Calculateur!DD131*VLOOKUP('Données projet'!$B$13,Paramètres!$A$1:$I$89,3,0)*0.475*44/12</f>
        <v>0.44411767976407251</v>
      </c>
      <c r="DH131" s="21">
        <f>EXP(-LN(2)/2)*DH130+(1-EXP(-LN(2)/2))/(LN(2)/2)*DB131*DE131*VLOOKUP('Données projet'!$B$13,Paramètres!$A$1:$I$89,3,0)*0.475*44/12</f>
        <v>1.4220077450277148E-14</v>
      </c>
      <c r="DI131" s="22">
        <f t="shared" si="69"/>
        <v>0.44411767976408673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5.6843418860808015E-14</v>
      </c>
      <c r="DP131" s="17">
        <f>DO131*VLOOKUP('Données projet'!$B$14,Paramètres!$A$1:$I$89,3,0)*VLOOKUP('Données projet'!$B$14,Paramètres!$A$1:$I$89,5,0)</f>
        <v>3.3992364478763198E-14</v>
      </c>
      <c r="DQ131" s="13">
        <f t="shared" si="97"/>
        <v>5.790027782444094E-13</v>
      </c>
      <c r="DR131" s="20">
        <f t="shared" si="70"/>
        <v>1.0676332069095257E-12</v>
      </c>
      <c r="DS131" s="59">
        <f t="shared" si="71"/>
        <v>293.33333333333439</v>
      </c>
      <c r="DT131" s="59">
        <f ca="1">AVERAGE(OFFSET($DS$3,0,0,'Données projet'!$E$14+1,1))-AVERAGE(OFFSET($H$3,0,0,'Données projet'!$E$14+1,1))</f>
        <v>165.39579887388538</v>
      </c>
      <c r="DU131" s="59">
        <f t="shared" si="98"/>
        <v>155.89639262545802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>
        <f>EXP(-LN(2)/35)*EA130+(1-EXP(-LN(2)/35))/(LN(2)/35)*DW131*DX131*VLOOKUP('Données projet'!$B$14,Paramètres!$A$1:$I$89,3,0)*0.475*44/12</f>
        <v>0</v>
      </c>
      <c r="EB131" s="21">
        <f>EXP(-LN(2)/25)*EB130+(1-EXP(-LN(2)/25))/(LN(2)/25)*Calculateur!DW131*Calculateur!DY131*VLOOKUP('Données projet'!$B$14,Paramètres!$A$1:$I$89,3,0)*0.475*44/12</f>
        <v>0.48155397722223303</v>
      </c>
      <c r="EC131" s="21">
        <f>EXP(-LN(2)/2)*EC130+(1-EXP(-LN(2)/2))/(LN(2)/2)*DW131*DZ131*VLOOKUP('Données projet'!$B$14,Paramètres!$A$1:$I$89,3,0)*0.475*44/12</f>
        <v>2.4655896409656733E-14</v>
      </c>
      <c r="ED131" s="22">
        <f t="shared" si="72"/>
        <v>0.48155397722225768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2.8421709430404007E-14</v>
      </c>
      <c r="EK131" s="17">
        <f>EJ131*VLOOKUP('Données projet'!$B$15,Paramètres!$A$1:$I$89,3,0)*VLOOKUP('Données projet'!$B$15,Paramètres!$A$1:$I$89,5,0)</f>
        <v>2.2168933355715127E-14</v>
      </c>
      <c r="EL131" s="13">
        <f t="shared" si="99"/>
        <v>3.9687356123668477E-13</v>
      </c>
      <c r="EM131" s="20">
        <f t="shared" si="73"/>
        <v>7.2983234474842979E-13</v>
      </c>
      <c r="EN131" s="59">
        <f t="shared" si="74"/>
        <v>293.33333333333405</v>
      </c>
      <c r="EO131" s="59">
        <f ca="1">AVERAGE(OFFSET($EN$3,0,0,'Données projet'!$E$15+1,1))-AVERAGE(OFFSET($H$3,0,0,'Données projet'!$E$15+1,1))</f>
        <v>104.07220236158577</v>
      </c>
      <c r="EP131" s="59">
        <f t="shared" si="100"/>
        <v>34.162068257911756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>
        <f>EXP(-LN(2)/35)*EV130+(1-EXP(-LN(2)/35))/(LN(2)/35)*ER131*ES131*VLOOKUP('Données projet'!$B$15,Paramètres!$A$1:$I$89,3,0)*0.475*44/12</f>
        <v>0</v>
      </c>
      <c r="EW131" s="21">
        <f>EXP(-LN(2)/25)*EW130+(1-EXP(-LN(2)/25))/(LN(2)/25)*Calculateur!ER131*Calculateur!ET131*VLOOKUP('Données projet'!$B$15,Paramètres!$A$1:$I$89,3,0)*0.475*44/12</f>
        <v>0</v>
      </c>
      <c r="EX131" s="21">
        <f>EXP(-LN(2)/2)*EX130+(1-EXP(-LN(2)/2))/(LN(2)/2)*ER131*EU131*VLOOKUP('Données projet'!$B$15,Paramètres!$A$1:$I$89,3,0)*0.475*44/12</f>
        <v>0</v>
      </c>
      <c r="EY131" s="22">
        <f t="shared" si="75"/>
        <v>0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5.6843418860808015E-14</v>
      </c>
      <c r="FF131" s="17">
        <f>FE131*VLOOKUP('Données projet'!$B$16,Paramètres!$A$1:$I$89,3,0)*VLOOKUP('Données projet'!$B$16,Paramètres!$A$1:$I$89,5,0)</f>
        <v>5.1431925385259088E-14</v>
      </c>
      <c r="FG131" s="13">
        <f t="shared" si="101"/>
        <v>8.3482866290946129E-13</v>
      </c>
      <c r="FH131" s="20">
        <f t="shared" si="76"/>
        <v>1.5435705246133045E-12</v>
      </c>
      <c r="FI131" s="59">
        <f t="shared" si="77"/>
        <v>293.33333333333485</v>
      </c>
      <c r="FJ131" s="59">
        <f ca="1">AVERAGE(OFFSET($FI$3,0,0,'Données projet'!$E$16+1,1))-AVERAGE(OFFSET($H$3,0,0,'Données projet'!$E$16+1,1))</f>
        <v>179.50097986986123</v>
      </c>
      <c r="FK131" s="59">
        <f t="shared" si="102"/>
        <v>287.11838730637578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>
        <f>EXP(-LN(2)/35)*FQ130+(1-EXP(-LN(2)/35))/(LN(2)/35)*FM131*FN131*VLOOKUP('Données projet'!$B$16,Paramètres!$A$1:$I$89,3,0)*0.475*44/12</f>
        <v>8.9508775982149583E-2</v>
      </c>
      <c r="FR131" s="21">
        <f>EXP(-LN(2)/25)*FR130+(1-EXP(-LN(2)/25))/(LN(2)/25)*Calculateur!FM131*Calculateur!FO131*VLOOKUP('Données projet'!$B$16,Paramètres!$A$1:$I$89,3,0)*0.475*44/12</f>
        <v>0.41578028592791261</v>
      </c>
      <c r="FS131" s="21">
        <f>EXP(-LN(2)/2)*FS130+(1-EXP(-LN(2)/2))/(LN(2)/2)*FM131*FP131*VLOOKUP('Données projet'!$B$16,Paramètres!$A$1:$I$89,3,0)*0.475*44/12</f>
        <v>8.030546939475746E-15</v>
      </c>
      <c r="FT131" s="22">
        <f t="shared" si="78"/>
        <v>0.50528906191007017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5.6843418860808015E-14</v>
      </c>
      <c r="GA131" s="17">
        <f>FZ131*VLOOKUP('Données projet'!$B$17,Paramètres!$A$1:$I$89,3,0)*VLOOKUP('Données projet'!$B$17,Paramètres!$A$1:$I$89,5,0)</f>
        <v>3.3992364478763198E-14</v>
      </c>
      <c r="GB131" s="13">
        <f t="shared" si="103"/>
        <v>5.790027782444094E-13</v>
      </c>
      <c r="GC131" s="20">
        <f t="shared" si="79"/>
        <v>1.0676332069095257E-12</v>
      </c>
      <c r="GD131" s="59">
        <f t="shared" si="80"/>
        <v>293.33333333333439</v>
      </c>
      <c r="GE131" s="59">
        <f ca="1">AVERAGE(OFFSET($GD$3,0,0,'Données projet'!$E$17+1,1))-AVERAGE(OFFSET($H$3,0,0,'Données projet'!$E$17+1,1))</f>
        <v>165.39579887388538</v>
      </c>
      <c r="GF131" s="59">
        <f t="shared" si="104"/>
        <v>155.89639262545802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>
        <f>EXP(-LN(2)/35)*GL130+(1-EXP(-LN(2)/35))/(LN(2)/35)*GH131*GI131*VLOOKUP('Données projet'!$B$17,Paramètres!$A$1:$I$89,3,0)*0.475*44/12</f>
        <v>0</v>
      </c>
      <c r="GM131" s="21">
        <f>EXP(-LN(2)/25)*GM130+(1-EXP(-LN(2)/25))/(LN(2)/25)*Calculateur!GH131*Calculateur!GJ131*VLOOKUP('Données projet'!$B$17,Paramètres!$A$1:$I$89,3,0)*0.475*44/12</f>
        <v>0.48155397722223303</v>
      </c>
      <c r="GN131" s="21">
        <f>EXP(-LN(2)/2)*GN130+(1-EXP(-LN(2)/2))/(LN(2)/2)*GH131*GK131*VLOOKUP('Données projet'!$B$17,Paramètres!$A$1:$I$89,3,0)*0.475*44/12</f>
        <v>2.4655896409656733E-14</v>
      </c>
      <c r="GO131" s="21">
        <f t="shared" si="81"/>
        <v>0.48155397722225768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3.4106051316484809E-13</v>
      </c>
      <c r="O132" s="13">
        <f>N132*VLOOKUP('Données projet'!$B$9,Paramètres!$A$1:$I$89,3,0)*VLOOKUP('Données projet'!$B$9,Paramètres!$A$1:$I$89,5,0)</f>
        <v>1.9065282685915009E-13</v>
      </c>
      <c r="P132" s="13">
        <f t="shared" si="87"/>
        <v>2.6568987209435707E-12</v>
      </c>
      <c r="Q132" s="20">
        <f t="shared" si="108"/>
        <v>4.959485612423072E-12</v>
      </c>
      <c r="R132" s="59">
        <f t="shared" si="109"/>
        <v>293.33333333333826</v>
      </c>
      <c r="S132" s="59">
        <f ca="1">AVERAGE(OFFSET($R$3,0,0,'Données projet'!$E$9+1,1))-AVERAGE(OFFSET($H$3,0,0,'Données projet'!$E$9+1,1))</f>
        <v>235.10258076192054</v>
      </c>
      <c r="T132" s="59">
        <f t="shared" si="88"/>
        <v>233.47316052603765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0.48227782651102485</v>
      </c>
      <c r="AA132" s="21">
        <f>EXP(-LN(2)/25)*AA131+(1-EXP(-LN(2)/25))/(LN(2)/25)*Calculateur!V132*Calculateur!X132*VLOOKUP('Données projet'!$B$9,Paramètres!$A$1:$I$89,3,0)*0.475*44/12</f>
        <v>1.1845724875152308</v>
      </c>
      <c r="AB132" s="21">
        <f>EXP(-LN(2)/2)*AB131+(1-EXP(-LN(2)/2))/(LN(2)/2)*V132*Y132*VLOOKUP('Données projet'!$B$9,Paramètres!$A$1:$I$89,3,0)*0.475*44/12</f>
        <v>3.0299118880411667E-14</v>
      </c>
      <c r="AC132" s="22">
        <f t="shared" ref="AC132:AC153" si="111">SUM(Z132:AB132)</f>
        <v>1.6668503140262858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-8.5265128291212022E-14</v>
      </c>
      <c r="AJ132" s="13">
        <f>AI132*VLOOKUP('Données projet'!$B$10,Paramètres!$A$1:$I$89,3,0)*VLOOKUP('Données projet'!$B$10,Paramètres!$A$1:$I$89,5,0)</f>
        <v>-7.4487616075202836E-14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191.94797389630673</v>
      </c>
      <c r="AO132" s="59">
        <f t="shared" si="90"/>
        <v>273.52540822767878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0.36243909386283107</v>
      </c>
      <c r="AV132" s="21">
        <f>EXP(-LN(2)/25)*AV131+(1-EXP(-LN(2)/25))/(LN(2)/25)*Calculateur!AQ132*Calculateur!AS132*VLOOKUP('Données projet'!$B$10,Paramètres!$A$1:$I$89,3,0)*0.475*44/12</f>
        <v>0.90269364573654287</v>
      </c>
      <c r="AW132" s="21">
        <f>EXP(-LN(2)/2)*AW131+(1-EXP(-LN(2)/2))/(LN(2)/2)*AQ132*AT132*VLOOKUP('Données projet'!$B$10,Paramètres!$A$1:$I$89,3,0)*0.475*44/12</f>
        <v>2.9144763286830415E-14</v>
      </c>
      <c r="AX132" s="21">
        <f t="shared" ref="AX132:AX153" si="114">SUM(AU132:AW132)</f>
        <v>1.265132739599403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2.8421709430404007E-14</v>
      </c>
      <c r="BE132" s="13">
        <f>BD132*VLOOKUP('Données projet'!$B$11,Paramètres!$A$1:$I$89,3,0)*VLOOKUP('Données projet'!$B$11,Paramètres!$A$1:$I$89,5,0)</f>
        <v>2.5715962692629544E-14</v>
      </c>
      <c r="BF132" s="13">
        <f t="shared" si="91"/>
        <v>4.5248818890525812E-13</v>
      </c>
      <c r="BG132" s="20">
        <f t="shared" ref="BG132:BG153" si="115">(BE132+BF132)*0.475*44/12</f>
        <v>8.3287223069965432E-13</v>
      </c>
      <c r="BH132" s="59">
        <f t="shared" ref="BH132:BH195" si="116">BG132+(AY132+AZ132)*44/12</f>
        <v>293.33333333333417</v>
      </c>
      <c r="BI132" s="59">
        <f ca="1">AVERAGE(OFFSET($BH$3,0,0,'Données projet'!$E$11+1,1))-AVERAGE(OFFSET($H$3,0,0,'Données projet'!$E$11+1,1))</f>
        <v>138.8931001150624</v>
      </c>
      <c r="BJ132" s="59">
        <f t="shared" si="92"/>
        <v>48.964659354096625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2.8421709430404007E-14</v>
      </c>
      <c r="BZ132" s="13">
        <f>BY132*VLOOKUP('Données projet'!$B$12,Paramètres!$A$1:$I$89,3,0)*VLOOKUP('Données projet'!$B$12,Paramètres!$A$1:$I$89,5,0)</f>
        <v>2.8819613362429664E-14</v>
      </c>
      <c r="CA132" s="13">
        <f t="shared" si="93"/>
        <v>5.0041752926933358E-13</v>
      </c>
      <c r="CB132" s="20">
        <f t="shared" ref="CB132:CB153" si="118">(BZ132+CA132)*0.475*44/12</f>
        <v>9.2175469008365428E-13</v>
      </c>
      <c r="CC132" s="59">
        <f t="shared" ref="CC132:CC195" si="119">CB132+(BT132+BU132)*44/12</f>
        <v>293.33333333333422</v>
      </c>
      <c r="CD132" s="59">
        <f ca="1">AVERAGE(OFFSET($CC$3,0,0,'Données projet'!$E$12+1,1))-AVERAGE(OFFSET($H$3,0,0,'Données projet'!$E$12+1,1))</f>
        <v>169.2757878405003</v>
      </c>
      <c r="CE132" s="59">
        <f t="shared" si="94"/>
        <v>61.876502626609977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-8.5265128291212022E-14</v>
      </c>
      <c r="CU132" s="17">
        <f>CT132*VLOOKUP('Données projet'!$B$13,Paramètres!$A$1:$I$89,3,0)*VLOOKUP('Données projet'!$B$13,Paramètres!$A$1:$I$89,5,0)</f>
        <v>-6.7836936068488286E-14</v>
      </c>
      <c r="CV132" s="13" t="e">
        <f t="shared" si="95"/>
        <v>#NUM!</v>
      </c>
      <c r="CW132" s="20" t="e">
        <f t="shared" ref="CW132:CW153" si="121">(CU132+CV132)*0.475*44/12</f>
        <v>#NUM!</v>
      </c>
      <c r="CX132" s="59" t="e">
        <f t="shared" ref="CX132:CX195" si="122">CW132+(CO132+CP132)*44/12</f>
        <v>#NUM!</v>
      </c>
      <c r="CY132" s="59">
        <f ca="1">AVERAGE(OFFSET($CX$3,0,0,'Données projet'!$E$13+1,1))-AVERAGE(OFFSET($H$3,0,0,'Données projet'!$E$13+1,1))</f>
        <v>141.12810728817544</v>
      </c>
      <c r="CZ132" s="59">
        <f t="shared" si="96"/>
        <v>176.01405805137551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>
        <f>EXP(-LN(2)/35)*DF131+(1-EXP(-LN(2)/35))/(LN(2)/35)*DB132*DC132*VLOOKUP('Données projet'!$B$13,Paramètres!$A$1:$I$89,3,0)*0.475*44/12</f>
        <v>0</v>
      </c>
      <c r="DG132" s="21">
        <f>EXP(-LN(2)/25)*DG131+(1-EXP(-LN(2)/25))/(LN(2)/25)*Calculateur!DB132*Calculateur!DD132*VLOOKUP('Données projet'!$B$13,Paramètres!$A$1:$I$89,3,0)*0.475*44/12</f>
        <v>0.43197325845579021</v>
      </c>
      <c r="DH132" s="21">
        <f>EXP(-LN(2)/2)*DH131+(1-EXP(-LN(2)/2))/(LN(2)/2)*DB132*DE132*VLOOKUP('Données projet'!$B$13,Paramètres!$A$1:$I$89,3,0)*0.475*44/12</f>
        <v>1.0055113194088882E-14</v>
      </c>
      <c r="DI132" s="22">
        <f t="shared" ref="DI132:DI153" si="123">SUM(DF132:DH132)</f>
        <v>0.43197325845580026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5.6843418860808015E-14</v>
      </c>
      <c r="DP132" s="17">
        <f>DO132*VLOOKUP('Données projet'!$B$14,Paramètres!$A$1:$I$89,3,0)*VLOOKUP('Données projet'!$B$14,Paramètres!$A$1:$I$89,5,0)</f>
        <v>3.3992364478763198E-14</v>
      </c>
      <c r="DQ132" s="13">
        <f t="shared" si="97"/>
        <v>5.790027782444094E-13</v>
      </c>
      <c r="DR132" s="20">
        <f t="shared" ref="DR132:DR153" si="124">(DP132+DQ132)*0.475*44/12</f>
        <v>1.0676332069095257E-12</v>
      </c>
      <c r="DS132" s="59">
        <f t="shared" ref="DS132:DS195" si="125">DR132+(DJ132+DK132)*44/12</f>
        <v>293.33333333333439</v>
      </c>
      <c r="DT132" s="59">
        <f ca="1">AVERAGE(OFFSET($DS$3,0,0,'Données projet'!$E$14+1,1))-AVERAGE(OFFSET($H$3,0,0,'Données projet'!$E$14+1,1))</f>
        <v>165.39579887388538</v>
      </c>
      <c r="DU132" s="59">
        <f t="shared" si="98"/>
        <v>155.89639262545802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>
        <f>EXP(-LN(2)/35)*EA131+(1-EXP(-LN(2)/35))/(LN(2)/35)*DW132*DX132*VLOOKUP('Données projet'!$B$14,Paramètres!$A$1:$I$89,3,0)*0.475*44/12</f>
        <v>0</v>
      </c>
      <c r="EB132" s="21">
        <f>EXP(-LN(2)/25)*EB131+(1-EXP(-LN(2)/25))/(LN(2)/25)*Calculateur!DW132*Calculateur!DY132*VLOOKUP('Données projet'!$B$14,Paramètres!$A$1:$I$89,3,0)*0.475*44/12</f>
        <v>0.46838585839126801</v>
      </c>
      <c r="EC132" s="21">
        <f>EXP(-LN(2)/2)*EC131+(1-EXP(-LN(2)/2))/(LN(2)/2)*DW132*DZ132*VLOOKUP('Données projet'!$B$14,Paramètres!$A$1:$I$89,3,0)*0.475*44/12</f>
        <v>1.7434351547501326E-14</v>
      </c>
      <c r="ED132" s="22">
        <f t="shared" ref="ED132:ED153" si="126">SUM(EA132:EC132)</f>
        <v>0.46838585839128544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2.8421709430404007E-14</v>
      </c>
      <c r="EK132" s="17">
        <f>EJ132*VLOOKUP('Données projet'!$B$15,Paramètres!$A$1:$I$89,3,0)*VLOOKUP('Données projet'!$B$15,Paramètres!$A$1:$I$89,5,0)</f>
        <v>2.2168933355715127E-14</v>
      </c>
      <c r="EL132" s="13">
        <f t="shared" si="99"/>
        <v>3.9687356123668477E-13</v>
      </c>
      <c r="EM132" s="20">
        <f t="shared" ref="EM132:EM153" si="127">(EK132+EL132)*0.475*44/12</f>
        <v>7.2983234474842979E-13</v>
      </c>
      <c r="EN132" s="59">
        <f t="shared" ref="EN132:EN195" si="128">EM132+(EE132+EF132)*44/12</f>
        <v>293.33333333333405</v>
      </c>
      <c r="EO132" s="59">
        <f ca="1">AVERAGE(OFFSET($EN$3,0,0,'Données projet'!$E$15+1,1))-AVERAGE(OFFSET($H$3,0,0,'Données projet'!$E$15+1,1))</f>
        <v>104.07220236158577</v>
      </c>
      <c r="EP132" s="59">
        <f t="shared" si="100"/>
        <v>34.162068257911756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>
        <f>EXP(-LN(2)/35)*EV131+(1-EXP(-LN(2)/35))/(LN(2)/35)*ER132*ES132*VLOOKUP('Données projet'!$B$15,Paramètres!$A$1:$I$89,3,0)*0.475*44/12</f>
        <v>0</v>
      </c>
      <c r="EW132" s="21">
        <f>EXP(-LN(2)/25)*EW131+(1-EXP(-LN(2)/25))/(LN(2)/25)*Calculateur!ER132*Calculateur!ET132*VLOOKUP('Données projet'!$B$15,Paramètres!$A$1:$I$89,3,0)*0.475*44/12</f>
        <v>0</v>
      </c>
      <c r="EX132" s="21">
        <f>EXP(-LN(2)/2)*EX131+(1-EXP(-LN(2)/2))/(LN(2)/2)*ER132*EU132*VLOOKUP('Données projet'!$B$15,Paramètres!$A$1:$I$89,3,0)*0.475*44/12</f>
        <v>0</v>
      </c>
      <c r="EY132" s="22">
        <f t="shared" ref="EY132:EY153" si="129">SUM(EV132:EX132)</f>
        <v>0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5.6843418860808015E-14</v>
      </c>
      <c r="FF132" s="17">
        <f>FE132*VLOOKUP('Données projet'!$B$16,Paramètres!$A$1:$I$89,3,0)*VLOOKUP('Données projet'!$B$16,Paramètres!$A$1:$I$89,5,0)</f>
        <v>5.1431925385259088E-14</v>
      </c>
      <c r="FG132" s="13">
        <f t="shared" si="101"/>
        <v>8.3482866290946129E-13</v>
      </c>
      <c r="FH132" s="20">
        <f t="shared" ref="FH132:FH153" si="130">(FF132+FG132)*0.475*44/12</f>
        <v>1.5435705246133045E-12</v>
      </c>
      <c r="FI132" s="59">
        <f t="shared" ref="FI132:FI195" si="131">FH132+(EZ132+FA132)*44/12</f>
        <v>293.33333333333485</v>
      </c>
      <c r="FJ132" s="59">
        <f ca="1">AVERAGE(OFFSET($FI$3,0,0,'Données projet'!$E$16+1,1))-AVERAGE(OFFSET($H$3,0,0,'Données projet'!$E$16+1,1))</f>
        <v>179.50097986986123</v>
      </c>
      <c r="FK132" s="59">
        <f t="shared" si="102"/>
        <v>287.11838730637578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>
        <f>EXP(-LN(2)/35)*FQ131+(1-EXP(-LN(2)/35))/(LN(2)/35)*FM132*FN132*VLOOKUP('Données projet'!$B$16,Paramètres!$A$1:$I$89,3,0)*0.475*44/12</f>
        <v>8.7753563480102173E-2</v>
      </c>
      <c r="FR132" s="21">
        <f>EXP(-LN(2)/25)*FR131+(1-EXP(-LN(2)/25))/(LN(2)/25)*Calculateur!FM132*Calculateur!FO132*VLOOKUP('Données projet'!$B$16,Paramètres!$A$1:$I$89,3,0)*0.475*44/12</f>
        <v>0.40441075214427891</v>
      </c>
      <c r="FS132" s="21">
        <f>EXP(-LN(2)/2)*FS131+(1-EXP(-LN(2)/2))/(LN(2)/2)*FM132*FP132*VLOOKUP('Données projet'!$B$16,Paramètres!$A$1:$I$89,3,0)*0.475*44/12</f>
        <v>5.6784541975401753E-15</v>
      </c>
      <c r="FT132" s="22">
        <f t="shared" ref="FT132:FT153" si="132">SUM(FQ132:FS132)</f>
        <v>0.49216431562438673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5.6843418860808015E-14</v>
      </c>
      <c r="GA132" s="17">
        <f>FZ132*VLOOKUP('Données projet'!$B$17,Paramètres!$A$1:$I$89,3,0)*VLOOKUP('Données projet'!$B$17,Paramètres!$A$1:$I$89,5,0)</f>
        <v>3.3992364478763198E-14</v>
      </c>
      <c r="GB132" s="13">
        <f t="shared" si="103"/>
        <v>5.790027782444094E-13</v>
      </c>
      <c r="GC132" s="20">
        <f t="shared" ref="GC132:GC153" si="133">(GA132+GB132)*0.475*44/12</f>
        <v>1.0676332069095257E-12</v>
      </c>
      <c r="GD132" s="59">
        <f t="shared" ref="GD132:GD195" si="134">GC132+(FU132+FV132)*44/12</f>
        <v>293.33333333333439</v>
      </c>
      <c r="GE132" s="59">
        <f ca="1">AVERAGE(OFFSET($GD$3,0,0,'Données projet'!$E$17+1,1))-AVERAGE(OFFSET($H$3,0,0,'Données projet'!$E$17+1,1))</f>
        <v>165.39579887388538</v>
      </c>
      <c r="GF132" s="59">
        <f t="shared" si="104"/>
        <v>155.89639262545802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>
        <f>EXP(-LN(2)/35)*GL131+(1-EXP(-LN(2)/35))/(LN(2)/35)*GH132*GI132*VLOOKUP('Données projet'!$B$17,Paramètres!$A$1:$I$89,3,0)*0.475*44/12</f>
        <v>0</v>
      </c>
      <c r="GM132" s="21">
        <f>EXP(-LN(2)/25)*GM131+(1-EXP(-LN(2)/25))/(LN(2)/25)*Calculateur!GH132*Calculateur!GJ132*VLOOKUP('Données projet'!$B$17,Paramètres!$A$1:$I$89,3,0)*0.475*44/12</f>
        <v>0.46838585839126801</v>
      </c>
      <c r="GN132" s="21">
        <f>EXP(-LN(2)/2)*GN131+(1-EXP(-LN(2)/2))/(LN(2)/2)*GH132*GK132*VLOOKUP('Données projet'!$B$17,Paramètres!$A$1:$I$89,3,0)*0.475*44/12</f>
        <v>1.7434351547501326E-14</v>
      </c>
      <c r="GO132" s="21">
        <f t="shared" ref="GO132:GO153" si="135">SUM(GL132:GN132)</f>
        <v>0.46838585839128544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3.4106051316484809E-13</v>
      </c>
      <c r="O133" s="13">
        <f>N133*VLOOKUP('Données projet'!$B$9,Paramètres!$A$1:$I$89,3,0)*VLOOKUP('Données projet'!$B$9,Paramètres!$A$1:$I$89,5,0)</f>
        <v>1.9065282685915009E-13</v>
      </c>
      <c r="P133" s="13">
        <f t="shared" ref="P133:P196" si="141">EXP(-1.0587+0.8836*LN(O133)+0.284)</f>
        <v>2.6568987209435707E-12</v>
      </c>
      <c r="Q133" s="20">
        <f t="shared" si="108"/>
        <v>4.959485612423072E-12</v>
      </c>
      <c r="R133" s="59">
        <f t="shared" si="109"/>
        <v>293.33333333333826</v>
      </c>
      <c r="S133" s="59">
        <f ca="1">AVERAGE(OFFSET($R$3,0,0,'Données projet'!$E$9+1,1))-AVERAGE(OFFSET($H$3,0,0,'Données projet'!$E$9+1,1))</f>
        <v>235.10258076192054</v>
      </c>
      <c r="T133" s="59">
        <f t="shared" ref="T133:T196" si="142">$T$3</f>
        <v>233.47316052603765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0.47282065249357191</v>
      </c>
      <c r="AA133" s="21">
        <f>EXP(-LN(2)/25)*AA132+(1-EXP(-LN(2)/25))/(LN(2)/25)*Calculateur!V133*Calculateur!X133*VLOOKUP('Données projet'!$B$9,Paramètres!$A$1:$I$89,3,0)*0.475*44/12</f>
        <v>1.152180290550167</v>
      </c>
      <c r="AB133" s="21">
        <f>EXP(-LN(2)/2)*AB132+(1-EXP(-LN(2)/2))/(LN(2)/2)*V133*Y133*VLOOKUP('Données projet'!$B$9,Paramètres!$A$1:$I$89,3,0)*0.475*44/12</f>
        <v>2.1424712424316444E-14</v>
      </c>
      <c r="AC133" s="22">
        <f t="shared" si="111"/>
        <v>1.6250009430437602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-8.5265128291212022E-14</v>
      </c>
      <c r="AJ133" s="13">
        <f>AI133*VLOOKUP('Données projet'!$B$10,Paramètres!$A$1:$I$89,3,0)*VLOOKUP('Données projet'!$B$10,Paramètres!$A$1:$I$89,5,0)</f>
        <v>-7.4487616075202836E-14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191.94797389630673</v>
      </c>
      <c r="AO133" s="59">
        <f t="shared" ref="AO133:AO196" si="144">$AO$3</f>
        <v>273.52540822767878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0.35533188429819973</v>
      </c>
      <c r="AV133" s="21">
        <f>EXP(-LN(2)/25)*AV132+(1-EXP(-LN(2)/25))/(LN(2)/25)*Calculateur!AQ133*Calculateur!AS133*VLOOKUP('Données projet'!$B$10,Paramètres!$A$1:$I$89,3,0)*0.475*44/12</f>
        <v>0.87800944052328145</v>
      </c>
      <c r="AW133" s="21">
        <f>EXP(-LN(2)/2)*AW132+(1-EXP(-LN(2)/2))/(LN(2)/2)*AQ133*AT133*VLOOKUP('Données projet'!$B$10,Paramètres!$A$1:$I$89,3,0)*0.475*44/12</f>
        <v>2.0608459756194519E-14</v>
      </c>
      <c r="AX133" s="21">
        <f t="shared" si="114"/>
        <v>1.2333413248215017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2.8421709430404007E-14</v>
      </c>
      <c r="BE133" s="13">
        <f>BD133*VLOOKUP('Données projet'!$B$11,Paramètres!$A$1:$I$89,3,0)*VLOOKUP('Données projet'!$B$11,Paramètres!$A$1:$I$89,5,0)</f>
        <v>2.5715962692629544E-14</v>
      </c>
      <c r="BF133" s="13">
        <f t="shared" ref="BF133:BF153" si="145">EXP(-1.0587+0.8836*LN(BE133)+0.284)</f>
        <v>4.5248818890525812E-13</v>
      </c>
      <c r="BG133" s="20">
        <f t="shared" si="115"/>
        <v>8.3287223069965432E-13</v>
      </c>
      <c r="BH133" s="59">
        <f t="shared" si="116"/>
        <v>293.33333333333417</v>
      </c>
      <c r="BI133" s="59">
        <f ca="1">AVERAGE(OFFSET($BH$3,0,0,'Données projet'!$E$11+1,1))-AVERAGE(OFFSET($H$3,0,0,'Données projet'!$E$11+1,1))</f>
        <v>138.8931001150624</v>
      </c>
      <c r="BJ133" s="59">
        <f t="shared" ref="BJ133:BJ196" si="146">$BJ$3</f>
        <v>48.964659354096625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2.8421709430404007E-14</v>
      </c>
      <c r="BZ133" s="13">
        <f>BY133*VLOOKUP('Données projet'!$B$12,Paramètres!$A$1:$I$89,3,0)*VLOOKUP('Données projet'!$B$12,Paramètres!$A$1:$I$89,5,0)</f>
        <v>2.8819613362429664E-14</v>
      </c>
      <c r="CA133" s="13">
        <f t="shared" ref="CA133:CA153" si="147">EXP(-1.0587+0.8836*LN(BZ133)+0.284)</f>
        <v>5.0041752926933358E-13</v>
      </c>
      <c r="CB133" s="20">
        <f t="shared" si="118"/>
        <v>9.2175469008365428E-13</v>
      </c>
      <c r="CC133" s="59">
        <f t="shared" si="119"/>
        <v>293.33333333333422</v>
      </c>
      <c r="CD133" s="59">
        <f ca="1">AVERAGE(OFFSET($CC$3,0,0,'Données projet'!$E$12+1,1))-AVERAGE(OFFSET($H$3,0,0,'Données projet'!$E$12+1,1))</f>
        <v>169.2757878405003</v>
      </c>
      <c r="CE133" s="59">
        <f t="shared" ref="CE133:CE196" si="148">$CE$3</f>
        <v>61.876502626609977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-8.5265128291212022E-14</v>
      </c>
      <c r="CU133" s="17">
        <f>CT133*VLOOKUP('Données projet'!$B$13,Paramètres!$A$1:$I$89,3,0)*VLOOKUP('Données projet'!$B$13,Paramètres!$A$1:$I$89,5,0)</f>
        <v>-6.7836936068488286E-14</v>
      </c>
      <c r="CV133" s="13" t="e">
        <f t="shared" ref="CV133:CV153" si="149">EXP(-1.0587+0.8836*LN(CU133)+0.284)</f>
        <v>#NUM!</v>
      </c>
      <c r="CW133" s="20" t="e">
        <f t="shared" si="121"/>
        <v>#NUM!</v>
      </c>
      <c r="CX133" s="59" t="e">
        <f t="shared" si="122"/>
        <v>#NUM!</v>
      </c>
      <c r="CY133" s="59">
        <f ca="1">AVERAGE(OFFSET($CX$3,0,0,'Données projet'!$E$13+1,1))-AVERAGE(OFFSET($H$3,0,0,'Données projet'!$E$13+1,1))</f>
        <v>141.12810728817544</v>
      </c>
      <c r="CZ133" s="59">
        <f t="shared" ref="CZ133:CZ196" si="150">$CZ$3</f>
        <v>176.01405805137551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>
        <f>EXP(-LN(2)/35)*DF132+(1-EXP(-LN(2)/35))/(LN(2)/35)*DB133*DC133*VLOOKUP('Données projet'!$B$13,Paramètres!$A$1:$I$89,3,0)*0.475*44/12</f>
        <v>0</v>
      </c>
      <c r="DG133" s="21">
        <f>EXP(-LN(2)/25)*DG132+(1-EXP(-LN(2)/25))/(LN(2)/25)*Calculateur!DB133*Calculateur!DD133*VLOOKUP('Données projet'!$B$13,Paramètres!$A$1:$I$89,3,0)*0.475*44/12</f>
        <v>0.42016092698683027</v>
      </c>
      <c r="DH133" s="21">
        <f>EXP(-LN(2)/2)*DH132+(1-EXP(-LN(2)/2))/(LN(2)/2)*DB133*DE133*VLOOKUP('Données projet'!$B$13,Paramètres!$A$1:$I$89,3,0)*0.475*44/12</f>
        <v>7.1100387251385738E-15</v>
      </c>
      <c r="DI133" s="22">
        <f t="shared" si="123"/>
        <v>0.42016092698683738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5.6843418860808015E-14</v>
      </c>
      <c r="DP133" s="17">
        <f>DO133*VLOOKUP('Données projet'!$B$14,Paramètres!$A$1:$I$89,3,0)*VLOOKUP('Données projet'!$B$14,Paramètres!$A$1:$I$89,5,0)</f>
        <v>3.3992364478763198E-14</v>
      </c>
      <c r="DQ133" s="13">
        <f t="shared" ref="DQ133:DQ153" si="151">EXP(-1.0587+0.8836*LN(DP133)+0.284)</f>
        <v>5.790027782444094E-13</v>
      </c>
      <c r="DR133" s="20">
        <f t="shared" si="124"/>
        <v>1.0676332069095257E-12</v>
      </c>
      <c r="DS133" s="59">
        <f t="shared" si="125"/>
        <v>293.33333333333439</v>
      </c>
      <c r="DT133" s="59">
        <f ca="1">AVERAGE(OFFSET($DS$3,0,0,'Données projet'!$E$14+1,1))-AVERAGE(OFFSET($H$3,0,0,'Données projet'!$E$14+1,1))</f>
        <v>165.39579887388538</v>
      </c>
      <c r="DU133" s="59">
        <f t="shared" ref="DU133:DU196" si="152">$DU$3</f>
        <v>155.89639262545802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>
        <f>EXP(-LN(2)/35)*EA132+(1-EXP(-LN(2)/35))/(LN(2)/35)*DW133*DX133*VLOOKUP('Données projet'!$B$14,Paramètres!$A$1:$I$89,3,0)*0.475*44/12</f>
        <v>0</v>
      </c>
      <c r="EB133" s="21">
        <f>EXP(-LN(2)/25)*EB132+(1-EXP(-LN(2)/25))/(LN(2)/25)*Calculateur!DW133*Calculateur!DY133*VLOOKUP('Données projet'!$B$14,Paramètres!$A$1:$I$89,3,0)*0.475*44/12</f>
        <v>0.45557782246221701</v>
      </c>
      <c r="EC133" s="21">
        <f>EXP(-LN(2)/2)*EC132+(1-EXP(-LN(2)/2))/(LN(2)/2)*DW133*DZ133*VLOOKUP('Données projet'!$B$14,Paramètres!$A$1:$I$89,3,0)*0.475*44/12</f>
        <v>1.2327948204828367E-14</v>
      </c>
      <c r="ED133" s="22">
        <f t="shared" si="126"/>
        <v>0.45557782246222933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2.8421709430404007E-14</v>
      </c>
      <c r="EK133" s="17">
        <f>EJ133*VLOOKUP('Données projet'!$B$15,Paramètres!$A$1:$I$89,3,0)*VLOOKUP('Données projet'!$B$15,Paramètres!$A$1:$I$89,5,0)</f>
        <v>2.2168933355715127E-14</v>
      </c>
      <c r="EL133" s="13">
        <f t="shared" ref="EL133:EL153" si="153">EXP(-1.0587+0.8836*LN(EK133)+0.284)</f>
        <v>3.9687356123668477E-13</v>
      </c>
      <c r="EM133" s="20">
        <f t="shared" si="127"/>
        <v>7.2983234474842979E-13</v>
      </c>
      <c r="EN133" s="59">
        <f t="shared" si="128"/>
        <v>293.33333333333405</v>
      </c>
      <c r="EO133" s="59">
        <f ca="1">AVERAGE(OFFSET($EN$3,0,0,'Données projet'!$E$15+1,1))-AVERAGE(OFFSET($H$3,0,0,'Données projet'!$E$15+1,1))</f>
        <v>104.07220236158577</v>
      </c>
      <c r="EP133" s="59">
        <f t="shared" ref="EP133:EP196" si="154">$EP$3</f>
        <v>34.162068257911756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>
        <f>EXP(-LN(2)/35)*EV132+(1-EXP(-LN(2)/35))/(LN(2)/35)*ER133*ES133*VLOOKUP('Données projet'!$B$15,Paramètres!$A$1:$I$89,3,0)*0.475*44/12</f>
        <v>0</v>
      </c>
      <c r="EW133" s="21">
        <f>EXP(-LN(2)/25)*EW132+(1-EXP(-LN(2)/25))/(LN(2)/25)*Calculateur!ER133*Calculateur!ET133*VLOOKUP('Données projet'!$B$15,Paramètres!$A$1:$I$89,3,0)*0.475*44/12</f>
        <v>0</v>
      </c>
      <c r="EX133" s="21">
        <f>EXP(-LN(2)/2)*EX132+(1-EXP(-LN(2)/2))/(LN(2)/2)*ER133*EU133*VLOOKUP('Données projet'!$B$15,Paramètres!$A$1:$I$89,3,0)*0.475*44/12</f>
        <v>0</v>
      </c>
      <c r="EY133" s="22">
        <f t="shared" si="129"/>
        <v>0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5.6843418860808015E-14</v>
      </c>
      <c r="FF133" s="17">
        <f>FE133*VLOOKUP('Données projet'!$B$16,Paramètres!$A$1:$I$89,3,0)*VLOOKUP('Données projet'!$B$16,Paramètres!$A$1:$I$89,5,0)</f>
        <v>5.1431925385259088E-14</v>
      </c>
      <c r="FG133" s="13">
        <f t="shared" ref="FG133:FG153" si="155">EXP(-1.0587+0.8836*LN(FF133)+0.284)</f>
        <v>8.3482866290946129E-13</v>
      </c>
      <c r="FH133" s="20">
        <f t="shared" si="130"/>
        <v>1.5435705246133045E-12</v>
      </c>
      <c r="FI133" s="59">
        <f t="shared" si="131"/>
        <v>293.33333333333485</v>
      </c>
      <c r="FJ133" s="59">
        <f ca="1">AVERAGE(OFFSET($FI$3,0,0,'Données projet'!$E$16+1,1))-AVERAGE(OFFSET($H$3,0,0,'Données projet'!$E$16+1,1))</f>
        <v>179.50097986986123</v>
      </c>
      <c r="FK133" s="59">
        <f t="shared" ref="FK133:FK196" si="156">$FK$3</f>
        <v>287.11838730637578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>
        <f>EXP(-LN(2)/35)*FQ132+(1-EXP(-LN(2)/35))/(LN(2)/35)*FM133*FN133*VLOOKUP('Données projet'!$B$16,Paramètres!$A$1:$I$89,3,0)*0.475*44/12</f>
        <v>8.6032769624645997E-2</v>
      </c>
      <c r="FR133" s="21">
        <f>EXP(-LN(2)/25)*FR132+(1-EXP(-LN(2)/25))/(LN(2)/25)*Calculateur!FM133*Calculateur!FO133*VLOOKUP('Données projet'!$B$16,Paramètres!$A$1:$I$89,3,0)*0.475*44/12</f>
        <v>0.39335211885985644</v>
      </c>
      <c r="FS133" s="21">
        <f>EXP(-LN(2)/2)*FS132+(1-EXP(-LN(2)/2))/(LN(2)/2)*FM133*FP133*VLOOKUP('Données projet'!$B$16,Paramètres!$A$1:$I$89,3,0)*0.475*44/12</f>
        <v>4.015273469737873E-15</v>
      </c>
      <c r="FT133" s="22">
        <f t="shared" si="132"/>
        <v>0.47938488848450644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5.6843418860808015E-14</v>
      </c>
      <c r="GA133" s="17">
        <f>FZ133*VLOOKUP('Données projet'!$B$17,Paramètres!$A$1:$I$89,3,0)*VLOOKUP('Données projet'!$B$17,Paramètres!$A$1:$I$89,5,0)</f>
        <v>3.3992364478763198E-14</v>
      </c>
      <c r="GB133" s="13">
        <f t="shared" ref="GB133:GB153" si="157">EXP(-1.0587+0.8836*LN(GA133)+0.284)</f>
        <v>5.790027782444094E-13</v>
      </c>
      <c r="GC133" s="20">
        <f t="shared" si="133"/>
        <v>1.0676332069095257E-12</v>
      </c>
      <c r="GD133" s="59">
        <f t="shared" si="134"/>
        <v>293.33333333333439</v>
      </c>
      <c r="GE133" s="59">
        <f ca="1">AVERAGE(OFFSET($GD$3,0,0,'Données projet'!$E$17+1,1))-AVERAGE(OFFSET($H$3,0,0,'Données projet'!$E$17+1,1))</f>
        <v>165.39579887388538</v>
      </c>
      <c r="GF133" s="59">
        <f t="shared" ref="GF133:GF196" si="158">$GF$3</f>
        <v>155.89639262545802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>
        <f>EXP(-LN(2)/35)*GL132+(1-EXP(-LN(2)/35))/(LN(2)/35)*GH133*GI133*VLOOKUP('Données projet'!$B$17,Paramètres!$A$1:$I$89,3,0)*0.475*44/12</f>
        <v>0</v>
      </c>
      <c r="GM133" s="21">
        <f>EXP(-LN(2)/25)*GM132+(1-EXP(-LN(2)/25))/(LN(2)/25)*Calculateur!GH133*Calculateur!GJ133*VLOOKUP('Données projet'!$B$17,Paramètres!$A$1:$I$89,3,0)*0.475*44/12</f>
        <v>0.45557782246221701</v>
      </c>
      <c r="GN133" s="21">
        <f>EXP(-LN(2)/2)*GN132+(1-EXP(-LN(2)/2))/(LN(2)/2)*GH133*GK133*VLOOKUP('Données projet'!$B$17,Paramètres!$A$1:$I$89,3,0)*0.475*44/12</f>
        <v>1.2327948204828367E-14</v>
      </c>
      <c r="GO133" s="21">
        <f t="shared" si="135"/>
        <v>0.45557782246222933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3.4106051316484809E-13</v>
      </c>
      <c r="O134" s="13">
        <f>N134*VLOOKUP('Données projet'!$B$9,Paramètres!$A$1:$I$89,3,0)*VLOOKUP('Données projet'!$B$9,Paramètres!$A$1:$I$89,5,0)</f>
        <v>1.9065282685915009E-13</v>
      </c>
      <c r="P134" s="13">
        <f t="shared" si="141"/>
        <v>2.6568987209435707E-12</v>
      </c>
      <c r="Q134" s="20">
        <f t="shared" si="108"/>
        <v>4.959485612423072E-12</v>
      </c>
      <c r="R134" s="59">
        <f t="shared" si="109"/>
        <v>293.33333333333826</v>
      </c>
      <c r="S134" s="59">
        <f ca="1">AVERAGE(OFFSET($R$3,0,0,'Données projet'!$E$9+1,1))-AVERAGE(OFFSET($H$3,0,0,'Données projet'!$E$9+1,1))</f>
        <v>235.10258076192054</v>
      </c>
      <c r="T134" s="59">
        <f t="shared" si="142"/>
        <v>233.47316052603765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0.46354892789029462</v>
      </c>
      <c r="AA134" s="21">
        <f>EXP(-LN(2)/25)*AA133+(1-EXP(-LN(2)/25))/(LN(2)/25)*Calculateur!V134*Calculateur!X134*VLOOKUP('Données projet'!$B$9,Paramètres!$A$1:$I$89,3,0)*0.475*44/12</f>
        <v>1.1206738599145445</v>
      </c>
      <c r="AB134" s="21">
        <f>EXP(-LN(2)/2)*AB133+(1-EXP(-LN(2)/2))/(LN(2)/2)*V134*Y134*VLOOKUP('Données projet'!$B$9,Paramètres!$A$1:$I$89,3,0)*0.475*44/12</f>
        <v>1.5149559440205834E-14</v>
      </c>
      <c r="AC134" s="22">
        <f t="shared" si="111"/>
        <v>1.5842227878048543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-8.5265128291212022E-14</v>
      </c>
      <c r="AJ134" s="13">
        <f>AI134*VLOOKUP('Données projet'!$B$10,Paramètres!$A$1:$I$89,3,0)*VLOOKUP('Données projet'!$B$10,Paramètres!$A$1:$I$89,5,0)</f>
        <v>-7.4487616075202836E-14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191.94797389630673</v>
      </c>
      <c r="AO134" s="59">
        <f t="shared" si="144"/>
        <v>273.52540822767878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0.34836404277816102</v>
      </c>
      <c r="AV134" s="21">
        <f>EXP(-LN(2)/25)*AV133+(1-EXP(-LN(2)/25))/(LN(2)/25)*Calculateur!AQ134*Calculateur!AS134*VLOOKUP('Données projet'!$B$10,Paramètres!$A$1:$I$89,3,0)*0.475*44/12</f>
        <v>0.85400022619966254</v>
      </c>
      <c r="AW134" s="21">
        <f>EXP(-LN(2)/2)*AW133+(1-EXP(-LN(2)/2))/(LN(2)/2)*AQ134*AT134*VLOOKUP('Données projet'!$B$10,Paramètres!$A$1:$I$89,3,0)*0.475*44/12</f>
        <v>1.4572381643415208E-14</v>
      </c>
      <c r="AX134" s="21">
        <f t="shared" si="114"/>
        <v>1.2023642689778382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2.8421709430404007E-14</v>
      </c>
      <c r="BE134" s="13">
        <f>BD134*VLOOKUP('Données projet'!$B$11,Paramètres!$A$1:$I$89,3,0)*VLOOKUP('Données projet'!$B$11,Paramètres!$A$1:$I$89,5,0)</f>
        <v>2.5715962692629544E-14</v>
      </c>
      <c r="BF134" s="13">
        <f t="shared" si="145"/>
        <v>4.5248818890525812E-13</v>
      </c>
      <c r="BG134" s="20">
        <f t="shared" si="115"/>
        <v>8.3287223069965432E-13</v>
      </c>
      <c r="BH134" s="59">
        <f t="shared" si="116"/>
        <v>293.33333333333417</v>
      </c>
      <c r="BI134" s="59">
        <f ca="1">AVERAGE(OFFSET($BH$3,0,0,'Données projet'!$E$11+1,1))-AVERAGE(OFFSET($H$3,0,0,'Données projet'!$E$11+1,1))</f>
        <v>138.8931001150624</v>
      </c>
      <c r="BJ134" s="59">
        <f t="shared" si="146"/>
        <v>48.964659354096625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2.8421709430404007E-14</v>
      </c>
      <c r="BZ134" s="13">
        <f>BY134*VLOOKUP('Données projet'!$B$12,Paramètres!$A$1:$I$89,3,0)*VLOOKUP('Données projet'!$B$12,Paramètres!$A$1:$I$89,5,0)</f>
        <v>2.8819613362429664E-14</v>
      </c>
      <c r="CA134" s="13">
        <f t="shared" si="147"/>
        <v>5.0041752926933358E-13</v>
      </c>
      <c r="CB134" s="20">
        <f t="shared" si="118"/>
        <v>9.2175469008365428E-13</v>
      </c>
      <c r="CC134" s="59">
        <f t="shared" si="119"/>
        <v>293.33333333333422</v>
      </c>
      <c r="CD134" s="59">
        <f ca="1">AVERAGE(OFFSET($CC$3,0,0,'Données projet'!$E$12+1,1))-AVERAGE(OFFSET($H$3,0,0,'Données projet'!$E$12+1,1))</f>
        <v>169.2757878405003</v>
      </c>
      <c r="CE134" s="59">
        <f t="shared" si="148"/>
        <v>61.876502626609977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-8.5265128291212022E-14</v>
      </c>
      <c r="CU134" s="17">
        <f>CT134*VLOOKUP('Données projet'!$B$13,Paramètres!$A$1:$I$89,3,0)*VLOOKUP('Données projet'!$B$13,Paramètres!$A$1:$I$89,5,0)</f>
        <v>-6.7836936068488286E-14</v>
      </c>
      <c r="CV134" s="13" t="e">
        <f t="shared" si="149"/>
        <v>#NUM!</v>
      </c>
      <c r="CW134" s="20" t="e">
        <f t="shared" si="121"/>
        <v>#NUM!</v>
      </c>
      <c r="CX134" s="59" t="e">
        <f t="shared" si="122"/>
        <v>#NUM!</v>
      </c>
      <c r="CY134" s="59">
        <f ca="1">AVERAGE(OFFSET($CX$3,0,0,'Données projet'!$E$13+1,1))-AVERAGE(OFFSET($H$3,0,0,'Données projet'!$E$13+1,1))</f>
        <v>141.12810728817544</v>
      </c>
      <c r="CZ134" s="59">
        <f t="shared" si="150"/>
        <v>176.01405805137551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>
        <f>EXP(-LN(2)/35)*DF133+(1-EXP(-LN(2)/35))/(LN(2)/35)*DB134*DC134*VLOOKUP('Données projet'!$B$13,Paramètres!$A$1:$I$89,3,0)*0.475*44/12</f>
        <v>0</v>
      </c>
      <c r="DG134" s="21">
        <f>EXP(-LN(2)/25)*DG133+(1-EXP(-LN(2)/25))/(LN(2)/25)*Calculateur!DB134*Calculateur!DD134*VLOOKUP('Données projet'!$B$13,Paramètres!$A$1:$I$89,3,0)*0.475*44/12</f>
        <v>0.40867160434307254</v>
      </c>
      <c r="DH134" s="21">
        <f>EXP(-LN(2)/2)*DH133+(1-EXP(-LN(2)/2))/(LN(2)/2)*DB134*DE134*VLOOKUP('Données projet'!$B$13,Paramètres!$A$1:$I$89,3,0)*0.475*44/12</f>
        <v>5.0275565970444409E-15</v>
      </c>
      <c r="DI134" s="22">
        <f t="shared" si="123"/>
        <v>0.40867160434307759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5.6843418860808015E-14</v>
      </c>
      <c r="DP134" s="17">
        <f>DO134*VLOOKUP('Données projet'!$B$14,Paramètres!$A$1:$I$89,3,0)*VLOOKUP('Données projet'!$B$14,Paramètres!$A$1:$I$89,5,0)</f>
        <v>3.3992364478763198E-14</v>
      </c>
      <c r="DQ134" s="13">
        <f t="shared" si="151"/>
        <v>5.790027782444094E-13</v>
      </c>
      <c r="DR134" s="20">
        <f t="shared" si="124"/>
        <v>1.0676332069095257E-12</v>
      </c>
      <c r="DS134" s="59">
        <f t="shared" si="125"/>
        <v>293.33333333333439</v>
      </c>
      <c r="DT134" s="59">
        <f ca="1">AVERAGE(OFFSET($DS$3,0,0,'Données projet'!$E$14+1,1))-AVERAGE(OFFSET($H$3,0,0,'Données projet'!$E$14+1,1))</f>
        <v>165.39579887388538</v>
      </c>
      <c r="DU134" s="59">
        <f t="shared" si="152"/>
        <v>155.89639262545802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>
        <f>EXP(-LN(2)/35)*EA133+(1-EXP(-LN(2)/35))/(LN(2)/35)*DW134*DX134*VLOOKUP('Données projet'!$B$14,Paramètres!$A$1:$I$89,3,0)*0.475*44/12</f>
        <v>0</v>
      </c>
      <c r="EB134" s="21">
        <f>EXP(-LN(2)/25)*EB133+(1-EXP(-LN(2)/25))/(LN(2)/25)*Calculateur!DW134*Calculateur!DY134*VLOOKUP('Données projet'!$B$14,Paramètres!$A$1:$I$89,3,0)*0.475*44/12</f>
        <v>0.44312002294919123</v>
      </c>
      <c r="EC134" s="21">
        <f>EXP(-LN(2)/2)*EC133+(1-EXP(-LN(2)/2))/(LN(2)/2)*DW134*DZ134*VLOOKUP('Données projet'!$B$14,Paramètres!$A$1:$I$89,3,0)*0.475*44/12</f>
        <v>8.717175773750663E-15</v>
      </c>
      <c r="ED134" s="22">
        <f t="shared" si="126"/>
        <v>0.44312002294919994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2.8421709430404007E-14</v>
      </c>
      <c r="EK134" s="17">
        <f>EJ134*VLOOKUP('Données projet'!$B$15,Paramètres!$A$1:$I$89,3,0)*VLOOKUP('Données projet'!$B$15,Paramètres!$A$1:$I$89,5,0)</f>
        <v>2.2168933355715127E-14</v>
      </c>
      <c r="EL134" s="13">
        <f t="shared" si="153"/>
        <v>3.9687356123668477E-13</v>
      </c>
      <c r="EM134" s="20">
        <f t="shared" si="127"/>
        <v>7.2983234474842979E-13</v>
      </c>
      <c r="EN134" s="59">
        <f t="shared" si="128"/>
        <v>293.33333333333405</v>
      </c>
      <c r="EO134" s="59">
        <f ca="1">AVERAGE(OFFSET($EN$3,0,0,'Données projet'!$E$15+1,1))-AVERAGE(OFFSET($H$3,0,0,'Données projet'!$E$15+1,1))</f>
        <v>104.07220236158577</v>
      </c>
      <c r="EP134" s="59">
        <f t="shared" si="154"/>
        <v>34.162068257911756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>
        <f>EXP(-LN(2)/35)*EV133+(1-EXP(-LN(2)/35))/(LN(2)/35)*ER134*ES134*VLOOKUP('Données projet'!$B$15,Paramètres!$A$1:$I$89,3,0)*0.475*44/12</f>
        <v>0</v>
      </c>
      <c r="EW134" s="21">
        <f>EXP(-LN(2)/25)*EW133+(1-EXP(-LN(2)/25))/(LN(2)/25)*Calculateur!ER134*Calculateur!ET134*VLOOKUP('Données projet'!$B$15,Paramètres!$A$1:$I$89,3,0)*0.475*44/12</f>
        <v>0</v>
      </c>
      <c r="EX134" s="21">
        <f>EXP(-LN(2)/2)*EX133+(1-EXP(-LN(2)/2))/(LN(2)/2)*ER134*EU134*VLOOKUP('Données projet'!$B$15,Paramètres!$A$1:$I$89,3,0)*0.475*44/12</f>
        <v>0</v>
      </c>
      <c r="EY134" s="22">
        <f t="shared" si="129"/>
        <v>0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5.6843418860808015E-14</v>
      </c>
      <c r="FF134" s="17">
        <f>FE134*VLOOKUP('Données projet'!$B$16,Paramètres!$A$1:$I$89,3,0)*VLOOKUP('Données projet'!$B$16,Paramètres!$A$1:$I$89,5,0)</f>
        <v>5.1431925385259088E-14</v>
      </c>
      <c r="FG134" s="13">
        <f t="shared" si="155"/>
        <v>8.3482866290946129E-13</v>
      </c>
      <c r="FH134" s="20">
        <f t="shared" si="130"/>
        <v>1.5435705246133045E-12</v>
      </c>
      <c r="FI134" s="59">
        <f t="shared" si="131"/>
        <v>293.33333333333485</v>
      </c>
      <c r="FJ134" s="59">
        <f ca="1">AVERAGE(OFFSET($FI$3,0,0,'Données projet'!$E$16+1,1))-AVERAGE(OFFSET($H$3,0,0,'Données projet'!$E$16+1,1))</f>
        <v>179.50097986986123</v>
      </c>
      <c r="FK134" s="59">
        <f t="shared" si="156"/>
        <v>287.11838730637578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>
        <f>EXP(-LN(2)/35)*FQ133+(1-EXP(-LN(2)/35))/(LN(2)/35)*FM134*FN134*VLOOKUP('Données projet'!$B$16,Paramètres!$A$1:$I$89,3,0)*0.475*44/12</f>
        <v>8.4345719487114709E-2</v>
      </c>
      <c r="FR134" s="21">
        <f>EXP(-LN(2)/25)*FR133+(1-EXP(-LN(2)/25))/(LN(2)/25)*Calculateur!FM134*Calculateur!FO134*VLOOKUP('Données projet'!$B$16,Paramètres!$A$1:$I$89,3,0)*0.475*44/12</f>
        <v>0.38259588448414478</v>
      </c>
      <c r="FS134" s="21">
        <f>EXP(-LN(2)/2)*FS133+(1-EXP(-LN(2)/2))/(LN(2)/2)*FM134*FP134*VLOOKUP('Données projet'!$B$16,Paramètres!$A$1:$I$89,3,0)*0.475*44/12</f>
        <v>2.8392270987700877E-15</v>
      </c>
      <c r="FT134" s="22">
        <f t="shared" si="132"/>
        <v>0.46694160397126233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5.6843418860808015E-14</v>
      </c>
      <c r="GA134" s="17">
        <f>FZ134*VLOOKUP('Données projet'!$B$17,Paramètres!$A$1:$I$89,3,0)*VLOOKUP('Données projet'!$B$17,Paramètres!$A$1:$I$89,5,0)</f>
        <v>3.3992364478763198E-14</v>
      </c>
      <c r="GB134" s="13">
        <f t="shared" si="157"/>
        <v>5.790027782444094E-13</v>
      </c>
      <c r="GC134" s="20">
        <f t="shared" si="133"/>
        <v>1.0676332069095257E-12</v>
      </c>
      <c r="GD134" s="59">
        <f t="shared" si="134"/>
        <v>293.33333333333439</v>
      </c>
      <c r="GE134" s="59">
        <f ca="1">AVERAGE(OFFSET($GD$3,0,0,'Données projet'!$E$17+1,1))-AVERAGE(OFFSET($H$3,0,0,'Données projet'!$E$17+1,1))</f>
        <v>165.39579887388538</v>
      </c>
      <c r="GF134" s="59">
        <f t="shared" si="158"/>
        <v>155.89639262545802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>
        <f>EXP(-LN(2)/35)*GL133+(1-EXP(-LN(2)/35))/(LN(2)/35)*GH134*GI134*VLOOKUP('Données projet'!$B$17,Paramètres!$A$1:$I$89,3,0)*0.475*44/12</f>
        <v>0</v>
      </c>
      <c r="GM134" s="21">
        <f>EXP(-LN(2)/25)*GM133+(1-EXP(-LN(2)/25))/(LN(2)/25)*Calculateur!GH134*Calculateur!GJ134*VLOOKUP('Données projet'!$B$17,Paramètres!$A$1:$I$89,3,0)*0.475*44/12</f>
        <v>0.44312002294919123</v>
      </c>
      <c r="GN134" s="21">
        <f>EXP(-LN(2)/2)*GN133+(1-EXP(-LN(2)/2))/(LN(2)/2)*GH134*GK134*VLOOKUP('Données projet'!$B$17,Paramètres!$A$1:$I$89,3,0)*0.475*44/12</f>
        <v>8.717175773750663E-15</v>
      </c>
      <c r="GO134" s="21">
        <f t="shared" si="135"/>
        <v>0.44312002294919994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3.4106051316484809E-13</v>
      </c>
      <c r="O135" s="13">
        <f>N135*VLOOKUP('Données projet'!$B$9,Paramètres!$A$1:$I$89,3,0)*VLOOKUP('Données projet'!$B$9,Paramètres!$A$1:$I$89,5,0)</f>
        <v>1.9065282685915009E-13</v>
      </c>
      <c r="P135" s="13">
        <f t="shared" si="141"/>
        <v>2.6568987209435707E-12</v>
      </c>
      <c r="Q135" s="20">
        <f t="shared" si="108"/>
        <v>4.959485612423072E-12</v>
      </c>
      <c r="R135" s="59">
        <f t="shared" si="109"/>
        <v>293.33333333333826</v>
      </c>
      <c r="S135" s="59">
        <f ca="1">AVERAGE(OFFSET($R$3,0,0,'Données projet'!$E$9+1,1))-AVERAGE(OFFSET($H$3,0,0,'Données projet'!$E$9+1,1))</f>
        <v>235.10258076192054</v>
      </c>
      <c r="T135" s="59">
        <f t="shared" si="142"/>
        <v>233.47316052603765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0.45445901615129397</v>
      </c>
      <c r="AA135" s="21">
        <f>EXP(-LN(2)/25)*AA134+(1-EXP(-LN(2)/25))/(LN(2)/25)*Calculateur!V135*Calculateur!X135*VLOOKUP('Données projet'!$B$9,Paramètres!$A$1:$I$89,3,0)*0.475*44/12</f>
        <v>1.0900289742815044</v>
      </c>
      <c r="AB135" s="21">
        <f>EXP(-LN(2)/2)*AB134+(1-EXP(-LN(2)/2))/(LN(2)/2)*V135*Y135*VLOOKUP('Données projet'!$B$9,Paramètres!$A$1:$I$89,3,0)*0.475*44/12</f>
        <v>1.0712356212158222E-14</v>
      </c>
      <c r="AC135" s="22">
        <f t="shared" si="111"/>
        <v>1.544487990432809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-8.5265128291212022E-14</v>
      </c>
      <c r="AJ135" s="13">
        <f>AI135*VLOOKUP('Données projet'!$B$10,Paramètres!$A$1:$I$89,3,0)*VLOOKUP('Données projet'!$B$10,Paramètres!$A$1:$I$89,5,0)</f>
        <v>-7.4487616075202836E-14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191.94797389630673</v>
      </c>
      <c r="AO135" s="59">
        <f t="shared" si="144"/>
        <v>273.52540822767878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0.34153283638036663</v>
      </c>
      <c r="AV135" s="21">
        <f>EXP(-LN(2)/25)*AV134+(1-EXP(-LN(2)/25))/(LN(2)/25)*Calculateur!AQ135*Calculateur!AS135*VLOOKUP('Données projet'!$B$10,Paramètres!$A$1:$I$89,3,0)*0.475*44/12</f>
        <v>0.83064754510431271</v>
      </c>
      <c r="AW135" s="21">
        <f>EXP(-LN(2)/2)*AW134+(1-EXP(-LN(2)/2))/(LN(2)/2)*AQ135*AT135*VLOOKUP('Données projet'!$B$10,Paramètres!$A$1:$I$89,3,0)*0.475*44/12</f>
        <v>1.0304229878097259E-14</v>
      </c>
      <c r="AX135" s="21">
        <f t="shared" si="114"/>
        <v>1.1721803814846896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2.8421709430404007E-14</v>
      </c>
      <c r="BE135" s="13">
        <f>BD135*VLOOKUP('Données projet'!$B$11,Paramètres!$A$1:$I$89,3,0)*VLOOKUP('Données projet'!$B$11,Paramètres!$A$1:$I$89,5,0)</f>
        <v>2.5715962692629544E-14</v>
      </c>
      <c r="BF135" s="13">
        <f t="shared" si="145"/>
        <v>4.5248818890525812E-13</v>
      </c>
      <c r="BG135" s="20">
        <f t="shared" si="115"/>
        <v>8.3287223069965432E-13</v>
      </c>
      <c r="BH135" s="59">
        <f t="shared" si="116"/>
        <v>293.33333333333417</v>
      </c>
      <c r="BI135" s="59">
        <f ca="1">AVERAGE(OFFSET($BH$3,0,0,'Données projet'!$E$11+1,1))-AVERAGE(OFFSET($H$3,0,0,'Données projet'!$E$11+1,1))</f>
        <v>138.8931001150624</v>
      </c>
      <c r="BJ135" s="59">
        <f t="shared" si="146"/>
        <v>48.964659354096625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2.8421709430404007E-14</v>
      </c>
      <c r="BZ135" s="13">
        <f>BY135*VLOOKUP('Données projet'!$B$12,Paramètres!$A$1:$I$89,3,0)*VLOOKUP('Données projet'!$B$12,Paramètres!$A$1:$I$89,5,0)</f>
        <v>2.8819613362429664E-14</v>
      </c>
      <c r="CA135" s="13">
        <f t="shared" si="147"/>
        <v>5.0041752926933358E-13</v>
      </c>
      <c r="CB135" s="20">
        <f t="shared" si="118"/>
        <v>9.2175469008365428E-13</v>
      </c>
      <c r="CC135" s="59">
        <f t="shared" si="119"/>
        <v>293.33333333333422</v>
      </c>
      <c r="CD135" s="59">
        <f ca="1">AVERAGE(OFFSET($CC$3,0,0,'Données projet'!$E$12+1,1))-AVERAGE(OFFSET($H$3,0,0,'Données projet'!$E$12+1,1))</f>
        <v>169.2757878405003</v>
      </c>
      <c r="CE135" s="59">
        <f t="shared" si="148"/>
        <v>61.876502626609977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-8.5265128291212022E-14</v>
      </c>
      <c r="CU135" s="17">
        <f>CT135*VLOOKUP('Données projet'!$B$13,Paramètres!$A$1:$I$89,3,0)*VLOOKUP('Données projet'!$B$13,Paramètres!$A$1:$I$89,5,0)</f>
        <v>-6.7836936068488286E-14</v>
      </c>
      <c r="CV135" s="13" t="e">
        <f t="shared" si="149"/>
        <v>#NUM!</v>
      </c>
      <c r="CW135" s="20" t="e">
        <f t="shared" si="121"/>
        <v>#NUM!</v>
      </c>
      <c r="CX135" s="59" t="e">
        <f t="shared" si="122"/>
        <v>#NUM!</v>
      </c>
      <c r="CY135" s="59">
        <f ca="1">AVERAGE(OFFSET($CX$3,0,0,'Données projet'!$E$13+1,1))-AVERAGE(OFFSET($H$3,0,0,'Données projet'!$E$13+1,1))</f>
        <v>141.12810728817544</v>
      </c>
      <c r="CZ135" s="59">
        <f t="shared" si="150"/>
        <v>176.01405805137551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>
        <f>EXP(-LN(2)/35)*DF134+(1-EXP(-LN(2)/35))/(LN(2)/35)*DB135*DC135*VLOOKUP('Données projet'!$B$13,Paramètres!$A$1:$I$89,3,0)*0.475*44/12</f>
        <v>0</v>
      </c>
      <c r="DG135" s="21">
        <f>EXP(-LN(2)/25)*DG134+(1-EXP(-LN(2)/25))/(LN(2)/25)*Calculateur!DB135*Calculateur!DD135*VLOOKUP('Données projet'!$B$13,Paramètres!$A$1:$I$89,3,0)*0.475*44/12</f>
        <v>0.39749645783120557</v>
      </c>
      <c r="DH135" s="21">
        <f>EXP(-LN(2)/2)*DH134+(1-EXP(-LN(2)/2))/(LN(2)/2)*DB135*DE135*VLOOKUP('Données projet'!$B$13,Paramètres!$A$1:$I$89,3,0)*0.475*44/12</f>
        <v>3.5550193625692869E-15</v>
      </c>
      <c r="DI135" s="22">
        <f t="shared" si="123"/>
        <v>0.39749645783120913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5.6843418860808015E-14</v>
      </c>
      <c r="DP135" s="17">
        <f>DO135*VLOOKUP('Données projet'!$B$14,Paramètres!$A$1:$I$89,3,0)*VLOOKUP('Données projet'!$B$14,Paramètres!$A$1:$I$89,5,0)</f>
        <v>3.3992364478763198E-14</v>
      </c>
      <c r="DQ135" s="13">
        <f t="shared" si="151"/>
        <v>5.790027782444094E-13</v>
      </c>
      <c r="DR135" s="20">
        <f t="shared" si="124"/>
        <v>1.0676332069095257E-12</v>
      </c>
      <c r="DS135" s="59">
        <f t="shared" si="125"/>
        <v>293.33333333333439</v>
      </c>
      <c r="DT135" s="59">
        <f ca="1">AVERAGE(OFFSET($DS$3,0,0,'Données projet'!$E$14+1,1))-AVERAGE(OFFSET($H$3,0,0,'Données projet'!$E$14+1,1))</f>
        <v>165.39579887388538</v>
      </c>
      <c r="DU135" s="59">
        <f t="shared" si="152"/>
        <v>155.89639262545802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>
        <f>EXP(-LN(2)/35)*EA134+(1-EXP(-LN(2)/35))/(LN(2)/35)*DW135*DX135*VLOOKUP('Données projet'!$B$14,Paramètres!$A$1:$I$89,3,0)*0.475*44/12</f>
        <v>0</v>
      </c>
      <c r="EB135" s="21">
        <f>EXP(-LN(2)/25)*EB134+(1-EXP(-LN(2)/25))/(LN(2)/25)*Calculateur!DW135*Calculateur!DY135*VLOOKUP('Données projet'!$B$14,Paramètres!$A$1:$I$89,3,0)*0.475*44/12</f>
        <v>0.43100288261897635</v>
      </c>
      <c r="EC135" s="21">
        <f>EXP(-LN(2)/2)*EC134+(1-EXP(-LN(2)/2))/(LN(2)/2)*DW135*DZ135*VLOOKUP('Données projet'!$B$14,Paramètres!$A$1:$I$89,3,0)*0.475*44/12</f>
        <v>6.1639741024141833E-15</v>
      </c>
      <c r="ED135" s="22">
        <f t="shared" si="126"/>
        <v>0.43100288261898251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2.8421709430404007E-14</v>
      </c>
      <c r="EK135" s="17">
        <f>EJ135*VLOOKUP('Données projet'!$B$15,Paramètres!$A$1:$I$89,3,0)*VLOOKUP('Données projet'!$B$15,Paramètres!$A$1:$I$89,5,0)</f>
        <v>2.2168933355715127E-14</v>
      </c>
      <c r="EL135" s="13">
        <f t="shared" si="153"/>
        <v>3.9687356123668477E-13</v>
      </c>
      <c r="EM135" s="20">
        <f t="shared" si="127"/>
        <v>7.2983234474842979E-13</v>
      </c>
      <c r="EN135" s="59">
        <f t="shared" si="128"/>
        <v>293.33333333333405</v>
      </c>
      <c r="EO135" s="59">
        <f ca="1">AVERAGE(OFFSET($EN$3,0,0,'Données projet'!$E$15+1,1))-AVERAGE(OFFSET($H$3,0,0,'Données projet'!$E$15+1,1))</f>
        <v>104.07220236158577</v>
      </c>
      <c r="EP135" s="59">
        <f t="shared" si="154"/>
        <v>34.162068257911756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>
        <f>EXP(-LN(2)/35)*EV134+(1-EXP(-LN(2)/35))/(LN(2)/35)*ER135*ES135*VLOOKUP('Données projet'!$B$15,Paramètres!$A$1:$I$89,3,0)*0.475*44/12</f>
        <v>0</v>
      </c>
      <c r="EW135" s="21">
        <f>EXP(-LN(2)/25)*EW134+(1-EXP(-LN(2)/25))/(LN(2)/25)*Calculateur!ER135*Calculateur!ET135*VLOOKUP('Données projet'!$B$15,Paramètres!$A$1:$I$89,3,0)*0.475*44/12</f>
        <v>0</v>
      </c>
      <c r="EX135" s="21">
        <f>EXP(-LN(2)/2)*EX134+(1-EXP(-LN(2)/2))/(LN(2)/2)*ER135*EU135*VLOOKUP('Données projet'!$B$15,Paramètres!$A$1:$I$89,3,0)*0.475*44/12</f>
        <v>0</v>
      </c>
      <c r="EY135" s="22">
        <f t="shared" si="129"/>
        <v>0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5.6843418860808015E-14</v>
      </c>
      <c r="FF135" s="17">
        <f>FE135*VLOOKUP('Données projet'!$B$16,Paramètres!$A$1:$I$89,3,0)*VLOOKUP('Données projet'!$B$16,Paramètres!$A$1:$I$89,5,0)</f>
        <v>5.1431925385259088E-14</v>
      </c>
      <c r="FG135" s="13">
        <f t="shared" si="155"/>
        <v>8.3482866290946129E-13</v>
      </c>
      <c r="FH135" s="20">
        <f t="shared" si="130"/>
        <v>1.5435705246133045E-12</v>
      </c>
      <c r="FI135" s="59">
        <f t="shared" si="131"/>
        <v>293.33333333333485</v>
      </c>
      <c r="FJ135" s="59">
        <f ca="1">AVERAGE(OFFSET($FI$3,0,0,'Données projet'!$E$16+1,1))-AVERAGE(OFFSET($H$3,0,0,'Données projet'!$E$16+1,1))</f>
        <v>179.50097986986123</v>
      </c>
      <c r="FK135" s="59">
        <f t="shared" si="156"/>
        <v>287.11838730637578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>
        <f>EXP(-LN(2)/35)*FQ134+(1-EXP(-LN(2)/35))/(LN(2)/35)*FM135*FN135*VLOOKUP('Données projet'!$B$16,Paramètres!$A$1:$I$89,3,0)*0.475*44/12</f>
        <v>8.269175137378143E-2</v>
      </c>
      <c r="FR135" s="21">
        <f>EXP(-LN(2)/25)*FR134+(1-EXP(-LN(2)/25))/(LN(2)/25)*Calculateur!FM135*Calculateur!FO135*VLOOKUP('Données projet'!$B$16,Paramètres!$A$1:$I$89,3,0)*0.475*44/12</f>
        <v>0.37213377990308272</v>
      </c>
      <c r="FS135" s="21">
        <f>EXP(-LN(2)/2)*FS134+(1-EXP(-LN(2)/2))/(LN(2)/2)*FM135*FP135*VLOOKUP('Données projet'!$B$16,Paramètres!$A$1:$I$89,3,0)*0.475*44/12</f>
        <v>2.0076367348689365E-15</v>
      </c>
      <c r="FT135" s="22">
        <f t="shared" si="132"/>
        <v>0.45482553127686615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5.6843418860808015E-14</v>
      </c>
      <c r="GA135" s="17">
        <f>FZ135*VLOOKUP('Données projet'!$B$17,Paramètres!$A$1:$I$89,3,0)*VLOOKUP('Données projet'!$B$17,Paramètres!$A$1:$I$89,5,0)</f>
        <v>3.3992364478763198E-14</v>
      </c>
      <c r="GB135" s="13">
        <f t="shared" si="157"/>
        <v>5.790027782444094E-13</v>
      </c>
      <c r="GC135" s="20">
        <f t="shared" si="133"/>
        <v>1.0676332069095257E-12</v>
      </c>
      <c r="GD135" s="59">
        <f t="shared" si="134"/>
        <v>293.33333333333439</v>
      </c>
      <c r="GE135" s="59">
        <f ca="1">AVERAGE(OFFSET($GD$3,0,0,'Données projet'!$E$17+1,1))-AVERAGE(OFFSET($H$3,0,0,'Données projet'!$E$17+1,1))</f>
        <v>165.39579887388538</v>
      </c>
      <c r="GF135" s="59">
        <f t="shared" si="158"/>
        <v>155.89639262545802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>
        <f>EXP(-LN(2)/35)*GL134+(1-EXP(-LN(2)/35))/(LN(2)/35)*GH135*GI135*VLOOKUP('Données projet'!$B$17,Paramètres!$A$1:$I$89,3,0)*0.475*44/12</f>
        <v>0</v>
      </c>
      <c r="GM135" s="21">
        <f>EXP(-LN(2)/25)*GM134+(1-EXP(-LN(2)/25))/(LN(2)/25)*Calculateur!GH135*Calculateur!GJ135*VLOOKUP('Données projet'!$B$17,Paramètres!$A$1:$I$89,3,0)*0.475*44/12</f>
        <v>0.43100288261897635</v>
      </c>
      <c r="GN135" s="21">
        <f>EXP(-LN(2)/2)*GN134+(1-EXP(-LN(2)/2))/(LN(2)/2)*GH135*GK135*VLOOKUP('Données projet'!$B$17,Paramètres!$A$1:$I$89,3,0)*0.475*44/12</f>
        <v>6.1639741024141833E-15</v>
      </c>
      <c r="GO135" s="21">
        <f t="shared" si="135"/>
        <v>0.43100288261898251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3.4106051316484809E-13</v>
      </c>
      <c r="O136" s="13">
        <f>N136*VLOOKUP('Données projet'!$B$9,Paramètres!$A$1:$I$89,3,0)*VLOOKUP('Données projet'!$B$9,Paramètres!$A$1:$I$89,5,0)</f>
        <v>1.9065282685915009E-13</v>
      </c>
      <c r="P136" s="13">
        <f t="shared" si="141"/>
        <v>2.6568987209435707E-12</v>
      </c>
      <c r="Q136" s="20">
        <f t="shared" si="108"/>
        <v>4.959485612423072E-12</v>
      </c>
      <c r="R136" s="59">
        <f t="shared" si="109"/>
        <v>293.33333333333826</v>
      </c>
      <c r="S136" s="59">
        <f ca="1">AVERAGE(OFFSET($R$3,0,0,'Données projet'!$E$9+1,1))-AVERAGE(OFFSET($H$3,0,0,'Données projet'!$E$9+1,1))</f>
        <v>235.10258076192054</v>
      </c>
      <c r="T136" s="59">
        <f t="shared" si="142"/>
        <v>233.47316052603765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0.44554735203719648</v>
      </c>
      <c r="AA136" s="21">
        <f>EXP(-LN(2)/25)*AA135+(1-EXP(-LN(2)/25))/(LN(2)/25)*Calculateur!V136*Calculateur!X136*VLOOKUP('Données projet'!$B$9,Paramètres!$A$1:$I$89,3,0)*0.475*44/12</f>
        <v>1.0602220746576441</v>
      </c>
      <c r="AB136" s="21">
        <f>EXP(-LN(2)/2)*AB135+(1-EXP(-LN(2)/2))/(LN(2)/2)*V136*Y136*VLOOKUP('Données projet'!$B$9,Paramètres!$A$1:$I$89,3,0)*0.475*44/12</f>
        <v>7.5747797201029168E-15</v>
      </c>
      <c r="AC136" s="22">
        <f t="shared" si="111"/>
        <v>1.505769426694848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-8.5265128291212022E-14</v>
      </c>
      <c r="AJ136" s="13">
        <f>AI136*VLOOKUP('Données projet'!$B$10,Paramètres!$A$1:$I$89,3,0)*VLOOKUP('Données projet'!$B$10,Paramètres!$A$1:$I$89,5,0)</f>
        <v>-7.4487616075202836E-14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191.94797389630673</v>
      </c>
      <c r="AO136" s="59">
        <f t="shared" si="144"/>
        <v>273.52540822767878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0.3348355857734085</v>
      </c>
      <c r="AV136" s="21">
        <f>EXP(-LN(2)/25)*AV135+(1-EXP(-LN(2)/25))/(LN(2)/25)*Calculateur!AQ136*Calculateur!AS136*VLOOKUP('Données projet'!$B$10,Paramètres!$A$1:$I$89,3,0)*0.475*44/12</f>
        <v>0.80793344430157932</v>
      </c>
      <c r="AW136" s="21">
        <f>EXP(-LN(2)/2)*AW135+(1-EXP(-LN(2)/2))/(LN(2)/2)*AQ136*AT136*VLOOKUP('Données projet'!$B$10,Paramètres!$A$1:$I$89,3,0)*0.475*44/12</f>
        <v>7.2861908217076038E-15</v>
      </c>
      <c r="AX136" s="21">
        <f t="shared" si="114"/>
        <v>1.1427690300749951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2.8421709430404007E-14</v>
      </c>
      <c r="BE136" s="13">
        <f>BD136*VLOOKUP('Données projet'!$B$11,Paramètres!$A$1:$I$89,3,0)*VLOOKUP('Données projet'!$B$11,Paramètres!$A$1:$I$89,5,0)</f>
        <v>2.5715962692629544E-14</v>
      </c>
      <c r="BF136" s="13">
        <f t="shared" si="145"/>
        <v>4.5248818890525812E-13</v>
      </c>
      <c r="BG136" s="20">
        <f t="shared" si="115"/>
        <v>8.3287223069965432E-13</v>
      </c>
      <c r="BH136" s="59">
        <f t="shared" si="116"/>
        <v>293.33333333333417</v>
      </c>
      <c r="BI136" s="59">
        <f ca="1">AVERAGE(OFFSET($BH$3,0,0,'Données projet'!$E$11+1,1))-AVERAGE(OFFSET($H$3,0,0,'Données projet'!$E$11+1,1))</f>
        <v>138.8931001150624</v>
      </c>
      <c r="BJ136" s="59">
        <f t="shared" si="146"/>
        <v>48.964659354096625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2.8421709430404007E-14</v>
      </c>
      <c r="BZ136" s="13">
        <f>BY136*VLOOKUP('Données projet'!$B$12,Paramètres!$A$1:$I$89,3,0)*VLOOKUP('Données projet'!$B$12,Paramètres!$A$1:$I$89,5,0)</f>
        <v>2.8819613362429664E-14</v>
      </c>
      <c r="CA136" s="13">
        <f t="shared" si="147"/>
        <v>5.0041752926933358E-13</v>
      </c>
      <c r="CB136" s="20">
        <f t="shared" si="118"/>
        <v>9.2175469008365428E-13</v>
      </c>
      <c r="CC136" s="59">
        <f t="shared" si="119"/>
        <v>293.33333333333422</v>
      </c>
      <c r="CD136" s="59">
        <f ca="1">AVERAGE(OFFSET($CC$3,0,0,'Données projet'!$E$12+1,1))-AVERAGE(OFFSET($H$3,0,0,'Données projet'!$E$12+1,1))</f>
        <v>169.2757878405003</v>
      </c>
      <c r="CE136" s="59">
        <f t="shared" si="148"/>
        <v>61.876502626609977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-8.5265128291212022E-14</v>
      </c>
      <c r="CU136" s="17">
        <f>CT136*VLOOKUP('Données projet'!$B$13,Paramètres!$A$1:$I$89,3,0)*VLOOKUP('Données projet'!$B$13,Paramètres!$A$1:$I$89,5,0)</f>
        <v>-6.7836936068488286E-14</v>
      </c>
      <c r="CV136" s="13" t="e">
        <f t="shared" si="149"/>
        <v>#NUM!</v>
      </c>
      <c r="CW136" s="20" t="e">
        <f t="shared" si="121"/>
        <v>#NUM!</v>
      </c>
      <c r="CX136" s="59" t="e">
        <f t="shared" si="122"/>
        <v>#NUM!</v>
      </c>
      <c r="CY136" s="59">
        <f ca="1">AVERAGE(OFFSET($CX$3,0,0,'Données projet'!$E$13+1,1))-AVERAGE(OFFSET($H$3,0,0,'Données projet'!$E$13+1,1))</f>
        <v>141.12810728817544</v>
      </c>
      <c r="CZ136" s="59">
        <f t="shared" si="150"/>
        <v>176.01405805137551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>
        <f>EXP(-LN(2)/35)*DF135+(1-EXP(-LN(2)/35))/(LN(2)/35)*DB136*DC136*VLOOKUP('Données projet'!$B$13,Paramètres!$A$1:$I$89,3,0)*0.475*44/12</f>
        <v>0</v>
      </c>
      <c r="DG136" s="21">
        <f>EXP(-LN(2)/25)*DG135+(1-EXP(-LN(2)/25))/(LN(2)/25)*Calculateur!DB136*Calculateur!DD136*VLOOKUP('Données projet'!$B$13,Paramètres!$A$1:$I$89,3,0)*0.475*44/12</f>
        <v>0.38662689628838104</v>
      </c>
      <c r="DH136" s="21">
        <f>EXP(-LN(2)/2)*DH135+(1-EXP(-LN(2)/2))/(LN(2)/2)*DB136*DE136*VLOOKUP('Données projet'!$B$13,Paramètres!$A$1:$I$89,3,0)*0.475*44/12</f>
        <v>2.5137782985222205E-15</v>
      </c>
      <c r="DI136" s="22">
        <f t="shared" si="123"/>
        <v>0.38662689628838354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5.6843418860808015E-14</v>
      </c>
      <c r="DP136" s="17">
        <f>DO136*VLOOKUP('Données projet'!$B$14,Paramètres!$A$1:$I$89,3,0)*VLOOKUP('Données projet'!$B$14,Paramètres!$A$1:$I$89,5,0)</f>
        <v>3.3992364478763198E-14</v>
      </c>
      <c r="DQ136" s="13">
        <f t="shared" si="151"/>
        <v>5.790027782444094E-13</v>
      </c>
      <c r="DR136" s="20">
        <f t="shared" si="124"/>
        <v>1.0676332069095257E-12</v>
      </c>
      <c r="DS136" s="59">
        <f t="shared" si="125"/>
        <v>293.33333333333439</v>
      </c>
      <c r="DT136" s="59">
        <f ca="1">AVERAGE(OFFSET($DS$3,0,0,'Données projet'!$E$14+1,1))-AVERAGE(OFFSET($H$3,0,0,'Données projet'!$E$14+1,1))</f>
        <v>165.39579887388538</v>
      </c>
      <c r="DU136" s="59">
        <f t="shared" si="152"/>
        <v>155.89639262545802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>
        <f>EXP(-LN(2)/35)*EA135+(1-EXP(-LN(2)/35))/(LN(2)/35)*DW136*DX136*VLOOKUP('Données projet'!$B$14,Paramètres!$A$1:$I$89,3,0)*0.475*44/12</f>
        <v>0</v>
      </c>
      <c r="EB136" s="21">
        <f>EXP(-LN(2)/25)*EB135+(1-EXP(-LN(2)/25))/(LN(2)/25)*Calculateur!DW136*Calculateur!DY136*VLOOKUP('Données projet'!$B$14,Paramètres!$A$1:$I$89,3,0)*0.475*44/12</f>
        <v>0.41921708612830388</v>
      </c>
      <c r="EC136" s="21">
        <f>EXP(-LN(2)/2)*EC135+(1-EXP(-LN(2)/2))/(LN(2)/2)*DW136*DZ136*VLOOKUP('Données projet'!$B$14,Paramètres!$A$1:$I$89,3,0)*0.475*44/12</f>
        <v>4.3585878868753315E-15</v>
      </c>
      <c r="ED136" s="22">
        <f t="shared" si="126"/>
        <v>0.41921708612830827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2.8421709430404007E-14</v>
      </c>
      <c r="EK136" s="17">
        <f>EJ136*VLOOKUP('Données projet'!$B$15,Paramètres!$A$1:$I$89,3,0)*VLOOKUP('Données projet'!$B$15,Paramètres!$A$1:$I$89,5,0)</f>
        <v>2.2168933355715127E-14</v>
      </c>
      <c r="EL136" s="13">
        <f t="shared" si="153"/>
        <v>3.9687356123668477E-13</v>
      </c>
      <c r="EM136" s="20">
        <f t="shared" si="127"/>
        <v>7.2983234474842979E-13</v>
      </c>
      <c r="EN136" s="59">
        <f t="shared" si="128"/>
        <v>293.33333333333405</v>
      </c>
      <c r="EO136" s="59">
        <f ca="1">AVERAGE(OFFSET($EN$3,0,0,'Données projet'!$E$15+1,1))-AVERAGE(OFFSET($H$3,0,0,'Données projet'!$E$15+1,1))</f>
        <v>104.07220236158577</v>
      </c>
      <c r="EP136" s="59">
        <f t="shared" si="154"/>
        <v>34.162068257911756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>
        <f>EXP(-LN(2)/35)*EV135+(1-EXP(-LN(2)/35))/(LN(2)/35)*ER136*ES136*VLOOKUP('Données projet'!$B$15,Paramètres!$A$1:$I$89,3,0)*0.475*44/12</f>
        <v>0</v>
      </c>
      <c r="EW136" s="21">
        <f>EXP(-LN(2)/25)*EW135+(1-EXP(-LN(2)/25))/(LN(2)/25)*Calculateur!ER136*Calculateur!ET136*VLOOKUP('Données projet'!$B$15,Paramètres!$A$1:$I$89,3,0)*0.475*44/12</f>
        <v>0</v>
      </c>
      <c r="EX136" s="21">
        <f>EXP(-LN(2)/2)*EX135+(1-EXP(-LN(2)/2))/(LN(2)/2)*ER136*EU136*VLOOKUP('Données projet'!$B$15,Paramètres!$A$1:$I$89,3,0)*0.475*44/12</f>
        <v>0</v>
      </c>
      <c r="EY136" s="22">
        <f t="shared" si="129"/>
        <v>0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5.6843418860808015E-14</v>
      </c>
      <c r="FF136" s="17">
        <f>FE136*VLOOKUP('Données projet'!$B$16,Paramètres!$A$1:$I$89,3,0)*VLOOKUP('Données projet'!$B$16,Paramètres!$A$1:$I$89,5,0)</f>
        <v>5.1431925385259088E-14</v>
      </c>
      <c r="FG136" s="13">
        <f t="shared" si="155"/>
        <v>8.3482866290946129E-13</v>
      </c>
      <c r="FH136" s="20">
        <f t="shared" si="130"/>
        <v>1.5435705246133045E-12</v>
      </c>
      <c r="FI136" s="59">
        <f t="shared" si="131"/>
        <v>293.33333333333485</v>
      </c>
      <c r="FJ136" s="59">
        <f ca="1">AVERAGE(OFFSET($FI$3,0,0,'Données projet'!$E$16+1,1))-AVERAGE(OFFSET($H$3,0,0,'Données projet'!$E$16+1,1))</f>
        <v>179.50097986986123</v>
      </c>
      <c r="FK136" s="59">
        <f t="shared" si="156"/>
        <v>287.11838730637578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>
        <f>EXP(-LN(2)/35)*FQ135+(1-EXP(-LN(2)/35))/(LN(2)/35)*FM136*FN136*VLOOKUP('Données projet'!$B$16,Paramètres!$A$1:$I$89,3,0)*0.475*44/12</f>
        <v>8.1070216566329678E-2</v>
      </c>
      <c r="FR136" s="21">
        <f>EXP(-LN(2)/25)*FR135+(1-EXP(-LN(2)/25))/(LN(2)/25)*Calculateur!FM136*Calculateur!FO136*VLOOKUP('Données projet'!$B$16,Paramètres!$A$1:$I$89,3,0)*0.475*44/12</f>
        <v>0.36195776212196795</v>
      </c>
      <c r="FS136" s="21">
        <f>EXP(-LN(2)/2)*FS135+(1-EXP(-LN(2)/2))/(LN(2)/2)*FM136*FP136*VLOOKUP('Données projet'!$B$16,Paramètres!$A$1:$I$89,3,0)*0.475*44/12</f>
        <v>1.4196135493850438E-15</v>
      </c>
      <c r="FT136" s="22">
        <f t="shared" si="132"/>
        <v>0.44302797868829907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5.6843418860808015E-14</v>
      </c>
      <c r="GA136" s="17">
        <f>FZ136*VLOOKUP('Données projet'!$B$17,Paramètres!$A$1:$I$89,3,0)*VLOOKUP('Données projet'!$B$17,Paramètres!$A$1:$I$89,5,0)</f>
        <v>3.3992364478763198E-14</v>
      </c>
      <c r="GB136" s="13">
        <f t="shared" si="157"/>
        <v>5.790027782444094E-13</v>
      </c>
      <c r="GC136" s="20">
        <f t="shared" si="133"/>
        <v>1.0676332069095257E-12</v>
      </c>
      <c r="GD136" s="59">
        <f t="shared" si="134"/>
        <v>293.33333333333439</v>
      </c>
      <c r="GE136" s="59">
        <f ca="1">AVERAGE(OFFSET($GD$3,0,0,'Données projet'!$E$17+1,1))-AVERAGE(OFFSET($H$3,0,0,'Données projet'!$E$17+1,1))</f>
        <v>165.39579887388538</v>
      </c>
      <c r="GF136" s="59">
        <f t="shared" si="158"/>
        <v>155.89639262545802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>
        <f>EXP(-LN(2)/35)*GL135+(1-EXP(-LN(2)/35))/(LN(2)/35)*GH136*GI136*VLOOKUP('Données projet'!$B$17,Paramètres!$A$1:$I$89,3,0)*0.475*44/12</f>
        <v>0</v>
      </c>
      <c r="GM136" s="21">
        <f>EXP(-LN(2)/25)*GM135+(1-EXP(-LN(2)/25))/(LN(2)/25)*Calculateur!GH136*Calculateur!GJ136*VLOOKUP('Données projet'!$B$17,Paramètres!$A$1:$I$89,3,0)*0.475*44/12</f>
        <v>0.41921708612830388</v>
      </c>
      <c r="GN136" s="21">
        <f>EXP(-LN(2)/2)*GN135+(1-EXP(-LN(2)/2))/(LN(2)/2)*GH136*GK136*VLOOKUP('Données projet'!$B$17,Paramètres!$A$1:$I$89,3,0)*0.475*44/12</f>
        <v>4.3585878868753315E-15</v>
      </c>
      <c r="GO136" s="21">
        <f t="shared" si="135"/>
        <v>0.41921708612830827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3.4106051316484809E-13</v>
      </c>
      <c r="O137" s="13">
        <f>N137*VLOOKUP('Données projet'!$B$9,Paramètres!$A$1:$I$89,3,0)*VLOOKUP('Données projet'!$B$9,Paramètres!$A$1:$I$89,5,0)</f>
        <v>1.9065282685915009E-13</v>
      </c>
      <c r="P137" s="13">
        <f t="shared" si="141"/>
        <v>2.6568987209435707E-12</v>
      </c>
      <c r="Q137" s="20">
        <f t="shared" si="108"/>
        <v>4.959485612423072E-12</v>
      </c>
      <c r="R137" s="59">
        <f t="shared" si="109"/>
        <v>293.33333333333826</v>
      </c>
      <c r="S137" s="59">
        <f ca="1">AVERAGE(OFFSET($R$3,0,0,'Données projet'!$E$9+1,1))-AVERAGE(OFFSET($H$3,0,0,'Données projet'!$E$9+1,1))</f>
        <v>235.10258076192054</v>
      </c>
      <c r="T137" s="59">
        <f t="shared" si="142"/>
        <v>233.47316052603765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0.43681044022079801</v>
      </c>
      <c r="AA137" s="21">
        <f>EXP(-LN(2)/25)*AA136+(1-EXP(-LN(2)/25))/(LN(2)/25)*Calculateur!V137*Calculateur!X137*VLOOKUP('Données projet'!$B$9,Paramètres!$A$1:$I$89,3,0)*0.475*44/12</f>
        <v>1.0312302462714751</v>
      </c>
      <c r="AB137" s="21">
        <f>EXP(-LN(2)/2)*AB136+(1-EXP(-LN(2)/2))/(LN(2)/2)*V137*Y137*VLOOKUP('Données projet'!$B$9,Paramètres!$A$1:$I$89,3,0)*0.475*44/12</f>
        <v>5.356178106079111E-15</v>
      </c>
      <c r="AC137" s="22">
        <f t="shared" si="111"/>
        <v>1.4680406864922784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-8.5265128291212022E-14</v>
      </c>
      <c r="AJ137" s="13">
        <f>AI137*VLOOKUP('Données projet'!$B$10,Paramètres!$A$1:$I$89,3,0)*VLOOKUP('Données projet'!$B$10,Paramètres!$A$1:$I$89,5,0)</f>
        <v>-7.4487616075202836E-14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191.94797389630673</v>
      </c>
      <c r="AO137" s="59">
        <f t="shared" si="144"/>
        <v>273.52540822767878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0.32826966416593328</v>
      </c>
      <c r="AV137" s="21">
        <f>EXP(-LN(2)/25)*AV136+(1-EXP(-LN(2)/25))/(LN(2)/25)*Calculateur!AQ137*Calculateur!AS137*VLOOKUP('Données projet'!$B$10,Paramètres!$A$1:$I$89,3,0)*0.475*44/12</f>
        <v>0.7858404617797794</v>
      </c>
      <c r="AW137" s="21">
        <f>EXP(-LN(2)/2)*AW136+(1-EXP(-LN(2)/2))/(LN(2)/2)*AQ137*AT137*VLOOKUP('Données projet'!$B$10,Paramètres!$A$1:$I$89,3,0)*0.475*44/12</f>
        <v>5.1521149390486297E-15</v>
      </c>
      <c r="AX137" s="21">
        <f t="shared" si="114"/>
        <v>1.1141101259457178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2.8421709430404007E-14</v>
      </c>
      <c r="BE137" s="13">
        <f>BD137*VLOOKUP('Données projet'!$B$11,Paramètres!$A$1:$I$89,3,0)*VLOOKUP('Données projet'!$B$11,Paramètres!$A$1:$I$89,5,0)</f>
        <v>2.5715962692629544E-14</v>
      </c>
      <c r="BF137" s="13">
        <f t="shared" si="145"/>
        <v>4.5248818890525812E-13</v>
      </c>
      <c r="BG137" s="20">
        <f t="shared" si="115"/>
        <v>8.3287223069965432E-13</v>
      </c>
      <c r="BH137" s="59">
        <f t="shared" si="116"/>
        <v>293.33333333333417</v>
      </c>
      <c r="BI137" s="59">
        <f ca="1">AVERAGE(OFFSET($BH$3,0,0,'Données projet'!$E$11+1,1))-AVERAGE(OFFSET($H$3,0,0,'Données projet'!$E$11+1,1))</f>
        <v>138.8931001150624</v>
      </c>
      <c r="BJ137" s="59">
        <f t="shared" si="146"/>
        <v>48.964659354096625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2.8421709430404007E-14</v>
      </c>
      <c r="BZ137" s="13">
        <f>BY137*VLOOKUP('Données projet'!$B$12,Paramètres!$A$1:$I$89,3,0)*VLOOKUP('Données projet'!$B$12,Paramètres!$A$1:$I$89,5,0)</f>
        <v>2.8819613362429664E-14</v>
      </c>
      <c r="CA137" s="13">
        <f t="shared" si="147"/>
        <v>5.0041752926933358E-13</v>
      </c>
      <c r="CB137" s="20">
        <f t="shared" si="118"/>
        <v>9.2175469008365428E-13</v>
      </c>
      <c r="CC137" s="59">
        <f t="shared" si="119"/>
        <v>293.33333333333422</v>
      </c>
      <c r="CD137" s="59">
        <f ca="1">AVERAGE(OFFSET($CC$3,0,0,'Données projet'!$E$12+1,1))-AVERAGE(OFFSET($H$3,0,0,'Données projet'!$E$12+1,1))</f>
        <v>169.2757878405003</v>
      </c>
      <c r="CE137" s="59">
        <f t="shared" si="148"/>
        <v>61.876502626609977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-8.5265128291212022E-14</v>
      </c>
      <c r="CU137" s="17">
        <f>CT137*VLOOKUP('Données projet'!$B$13,Paramètres!$A$1:$I$89,3,0)*VLOOKUP('Données projet'!$B$13,Paramètres!$A$1:$I$89,5,0)</f>
        <v>-6.7836936068488286E-14</v>
      </c>
      <c r="CV137" s="13" t="e">
        <f t="shared" si="149"/>
        <v>#NUM!</v>
      </c>
      <c r="CW137" s="20" t="e">
        <f t="shared" si="121"/>
        <v>#NUM!</v>
      </c>
      <c r="CX137" s="59" t="e">
        <f t="shared" si="122"/>
        <v>#NUM!</v>
      </c>
      <c r="CY137" s="59">
        <f ca="1">AVERAGE(OFFSET($CX$3,0,0,'Données projet'!$E$13+1,1))-AVERAGE(OFFSET($H$3,0,0,'Données projet'!$E$13+1,1))</f>
        <v>141.12810728817544</v>
      </c>
      <c r="CZ137" s="59">
        <f t="shared" si="150"/>
        <v>176.01405805137551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>
        <f>EXP(-LN(2)/35)*DF136+(1-EXP(-LN(2)/35))/(LN(2)/35)*DB137*DC137*VLOOKUP('Données projet'!$B$13,Paramètres!$A$1:$I$89,3,0)*0.475*44/12</f>
        <v>0</v>
      </c>
      <c r="DG137" s="21">
        <f>EXP(-LN(2)/25)*DG136+(1-EXP(-LN(2)/25))/(LN(2)/25)*Calculateur!DB137*Calculateur!DD137*VLOOKUP('Données projet'!$B$13,Paramètres!$A$1:$I$89,3,0)*0.475*44/12</f>
        <v>0.37605456347755045</v>
      </c>
      <c r="DH137" s="21">
        <f>EXP(-LN(2)/2)*DH136+(1-EXP(-LN(2)/2))/(LN(2)/2)*DB137*DE137*VLOOKUP('Données projet'!$B$13,Paramètres!$A$1:$I$89,3,0)*0.475*44/12</f>
        <v>1.7775096812846434E-15</v>
      </c>
      <c r="DI137" s="22">
        <f t="shared" si="123"/>
        <v>0.37605456347755223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5.6843418860808015E-14</v>
      </c>
      <c r="DP137" s="17">
        <f>DO137*VLOOKUP('Données projet'!$B$14,Paramètres!$A$1:$I$89,3,0)*VLOOKUP('Données projet'!$B$14,Paramètres!$A$1:$I$89,5,0)</f>
        <v>3.3992364478763198E-14</v>
      </c>
      <c r="DQ137" s="13">
        <f t="shared" si="151"/>
        <v>5.790027782444094E-13</v>
      </c>
      <c r="DR137" s="20">
        <f t="shared" si="124"/>
        <v>1.0676332069095257E-12</v>
      </c>
      <c r="DS137" s="59">
        <f t="shared" si="125"/>
        <v>293.33333333333439</v>
      </c>
      <c r="DT137" s="59">
        <f ca="1">AVERAGE(OFFSET($DS$3,0,0,'Données projet'!$E$14+1,1))-AVERAGE(OFFSET($H$3,0,0,'Données projet'!$E$14+1,1))</f>
        <v>165.39579887388538</v>
      </c>
      <c r="DU137" s="59">
        <f t="shared" si="152"/>
        <v>155.89639262545802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>
        <f>EXP(-LN(2)/35)*EA136+(1-EXP(-LN(2)/35))/(LN(2)/35)*DW137*DX137*VLOOKUP('Données projet'!$B$14,Paramètres!$A$1:$I$89,3,0)*0.475*44/12</f>
        <v>0</v>
      </c>
      <c r="EB137" s="21">
        <f>EXP(-LN(2)/25)*EB136+(1-EXP(-LN(2)/25))/(LN(2)/25)*Calculateur!DW137*Calculateur!DY137*VLOOKUP('Données projet'!$B$14,Paramètres!$A$1:$I$89,3,0)*0.475*44/12</f>
        <v>0.407753572862457</v>
      </c>
      <c r="EC137" s="21">
        <f>EXP(-LN(2)/2)*EC136+(1-EXP(-LN(2)/2))/(LN(2)/2)*DW137*DZ137*VLOOKUP('Données projet'!$B$14,Paramètres!$A$1:$I$89,3,0)*0.475*44/12</f>
        <v>3.0819870512070916E-15</v>
      </c>
      <c r="ED137" s="22">
        <f t="shared" si="126"/>
        <v>0.40775357286246011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2.8421709430404007E-14</v>
      </c>
      <c r="EK137" s="17">
        <f>EJ137*VLOOKUP('Données projet'!$B$15,Paramètres!$A$1:$I$89,3,0)*VLOOKUP('Données projet'!$B$15,Paramètres!$A$1:$I$89,5,0)</f>
        <v>2.2168933355715127E-14</v>
      </c>
      <c r="EL137" s="13">
        <f t="shared" si="153"/>
        <v>3.9687356123668477E-13</v>
      </c>
      <c r="EM137" s="20">
        <f t="shared" si="127"/>
        <v>7.2983234474842979E-13</v>
      </c>
      <c r="EN137" s="59">
        <f t="shared" si="128"/>
        <v>293.33333333333405</v>
      </c>
      <c r="EO137" s="59">
        <f ca="1">AVERAGE(OFFSET($EN$3,0,0,'Données projet'!$E$15+1,1))-AVERAGE(OFFSET($H$3,0,0,'Données projet'!$E$15+1,1))</f>
        <v>104.07220236158577</v>
      </c>
      <c r="EP137" s="59">
        <f t="shared" si="154"/>
        <v>34.162068257911756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>
        <f>EXP(-LN(2)/35)*EV136+(1-EXP(-LN(2)/35))/(LN(2)/35)*ER137*ES137*VLOOKUP('Données projet'!$B$15,Paramètres!$A$1:$I$89,3,0)*0.475*44/12</f>
        <v>0</v>
      </c>
      <c r="EW137" s="21">
        <f>EXP(-LN(2)/25)*EW136+(1-EXP(-LN(2)/25))/(LN(2)/25)*Calculateur!ER137*Calculateur!ET137*VLOOKUP('Données projet'!$B$15,Paramètres!$A$1:$I$89,3,0)*0.475*44/12</f>
        <v>0</v>
      </c>
      <c r="EX137" s="21">
        <f>EXP(-LN(2)/2)*EX136+(1-EXP(-LN(2)/2))/(LN(2)/2)*ER137*EU137*VLOOKUP('Données projet'!$B$15,Paramètres!$A$1:$I$89,3,0)*0.475*44/12</f>
        <v>0</v>
      </c>
      <c r="EY137" s="22">
        <f t="shared" si="129"/>
        <v>0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5.6843418860808015E-14</v>
      </c>
      <c r="FF137" s="17">
        <f>FE137*VLOOKUP('Données projet'!$B$16,Paramètres!$A$1:$I$89,3,0)*VLOOKUP('Données projet'!$B$16,Paramètres!$A$1:$I$89,5,0)</f>
        <v>5.1431925385259088E-14</v>
      </c>
      <c r="FG137" s="13">
        <f t="shared" si="155"/>
        <v>8.3482866290946129E-13</v>
      </c>
      <c r="FH137" s="20">
        <f t="shared" si="130"/>
        <v>1.5435705246133045E-12</v>
      </c>
      <c r="FI137" s="59">
        <f t="shared" si="131"/>
        <v>293.33333333333485</v>
      </c>
      <c r="FJ137" s="59">
        <f ca="1">AVERAGE(OFFSET($FI$3,0,0,'Données projet'!$E$16+1,1))-AVERAGE(OFFSET($H$3,0,0,'Données projet'!$E$16+1,1))</f>
        <v>179.50097986986123</v>
      </c>
      <c r="FK137" s="59">
        <f t="shared" si="156"/>
        <v>287.11838730637578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>
        <f>EXP(-LN(2)/35)*FQ136+(1-EXP(-LN(2)/35))/(LN(2)/35)*FM137*FN137*VLOOKUP('Données projet'!$B$16,Paramètres!$A$1:$I$89,3,0)*0.475*44/12</f>
        <v>7.9480479067413484E-2</v>
      </c>
      <c r="FR137" s="21">
        <f>EXP(-LN(2)/25)*FR136+(1-EXP(-LN(2)/25))/(LN(2)/25)*Calculateur!FM137*Calculateur!FO137*VLOOKUP('Données projet'!$B$16,Paramètres!$A$1:$I$89,3,0)*0.475*44/12</f>
        <v>0.35206000808221127</v>
      </c>
      <c r="FS137" s="21">
        <f>EXP(-LN(2)/2)*FS136+(1-EXP(-LN(2)/2))/(LN(2)/2)*FM137*FP137*VLOOKUP('Données projet'!$B$16,Paramètres!$A$1:$I$89,3,0)*0.475*44/12</f>
        <v>1.0038183674344682E-15</v>
      </c>
      <c r="FT137" s="22">
        <f t="shared" si="132"/>
        <v>0.43154048714962578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5.6843418860808015E-14</v>
      </c>
      <c r="GA137" s="17">
        <f>FZ137*VLOOKUP('Données projet'!$B$17,Paramètres!$A$1:$I$89,3,0)*VLOOKUP('Données projet'!$B$17,Paramètres!$A$1:$I$89,5,0)</f>
        <v>3.3992364478763198E-14</v>
      </c>
      <c r="GB137" s="13">
        <f t="shared" si="157"/>
        <v>5.790027782444094E-13</v>
      </c>
      <c r="GC137" s="20">
        <f t="shared" si="133"/>
        <v>1.0676332069095257E-12</v>
      </c>
      <c r="GD137" s="59">
        <f t="shared" si="134"/>
        <v>293.33333333333439</v>
      </c>
      <c r="GE137" s="59">
        <f ca="1">AVERAGE(OFFSET($GD$3,0,0,'Données projet'!$E$17+1,1))-AVERAGE(OFFSET($H$3,0,0,'Données projet'!$E$17+1,1))</f>
        <v>165.39579887388538</v>
      </c>
      <c r="GF137" s="59">
        <f t="shared" si="158"/>
        <v>155.89639262545802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>
        <f>EXP(-LN(2)/35)*GL136+(1-EXP(-LN(2)/35))/(LN(2)/35)*GH137*GI137*VLOOKUP('Données projet'!$B$17,Paramètres!$A$1:$I$89,3,0)*0.475*44/12</f>
        <v>0</v>
      </c>
      <c r="GM137" s="21">
        <f>EXP(-LN(2)/25)*GM136+(1-EXP(-LN(2)/25))/(LN(2)/25)*Calculateur!GH137*Calculateur!GJ137*VLOOKUP('Données projet'!$B$17,Paramètres!$A$1:$I$89,3,0)*0.475*44/12</f>
        <v>0.407753572862457</v>
      </c>
      <c r="GN137" s="21">
        <f>EXP(-LN(2)/2)*GN136+(1-EXP(-LN(2)/2))/(LN(2)/2)*GH137*GK137*VLOOKUP('Données projet'!$B$17,Paramètres!$A$1:$I$89,3,0)*0.475*44/12</f>
        <v>3.0819870512070916E-15</v>
      </c>
      <c r="GO137" s="21">
        <f t="shared" si="135"/>
        <v>0.40775357286246011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3.4106051316484809E-13</v>
      </c>
      <c r="O138" s="13">
        <f>N138*VLOOKUP('Données projet'!$B$9,Paramètres!$A$1:$I$89,3,0)*VLOOKUP('Données projet'!$B$9,Paramètres!$A$1:$I$89,5,0)</f>
        <v>1.9065282685915009E-13</v>
      </c>
      <c r="P138" s="13">
        <f t="shared" si="141"/>
        <v>2.6568987209435707E-12</v>
      </c>
      <c r="Q138" s="20">
        <f t="shared" si="108"/>
        <v>4.959485612423072E-12</v>
      </c>
      <c r="R138" s="59">
        <f t="shared" si="109"/>
        <v>293.33333333333826</v>
      </c>
      <c r="S138" s="59">
        <f ca="1">AVERAGE(OFFSET($R$3,0,0,'Données projet'!$E$9+1,1))-AVERAGE(OFFSET($H$3,0,0,'Données projet'!$E$9+1,1))</f>
        <v>235.10258076192054</v>
      </c>
      <c r="T138" s="59">
        <f t="shared" si="142"/>
        <v>233.47316052603765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0.4282448539161291</v>
      </c>
      <c r="AA138" s="21">
        <f>EXP(-LN(2)/25)*AA137+(1-EXP(-LN(2)/25))/(LN(2)/25)*Calculateur!V138*Calculateur!X138*VLOOKUP('Données projet'!$B$9,Paramètres!$A$1:$I$89,3,0)*0.475*44/12</f>
        <v>1.0030312009571398</v>
      </c>
      <c r="AB138" s="21">
        <f>EXP(-LN(2)/2)*AB137+(1-EXP(-LN(2)/2))/(LN(2)/2)*V138*Y138*VLOOKUP('Données projet'!$B$9,Paramètres!$A$1:$I$89,3,0)*0.475*44/12</f>
        <v>3.7873898600514584E-15</v>
      </c>
      <c r="AC138" s="22">
        <f t="shared" si="111"/>
        <v>1.4312760548732728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-8.5265128291212022E-14</v>
      </c>
      <c r="AJ138" s="13">
        <f>AI138*VLOOKUP('Données projet'!$B$10,Paramètres!$A$1:$I$89,3,0)*VLOOKUP('Données projet'!$B$10,Paramètres!$A$1:$I$89,5,0)</f>
        <v>-7.4487616075202836E-14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191.94797389630673</v>
      </c>
      <c r="AO138" s="59">
        <f t="shared" si="144"/>
        <v>273.52540822767878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0.3218324962763639</v>
      </c>
      <c r="AV138" s="21">
        <f>EXP(-LN(2)/25)*AV137+(1-EXP(-LN(2)/25))/(LN(2)/25)*Calculateur!AQ138*Calculateur!AS138*VLOOKUP('Données projet'!$B$10,Paramètres!$A$1:$I$89,3,0)*0.475*44/12</f>
        <v>0.7643516130268575</v>
      </c>
      <c r="AW138" s="21">
        <f>EXP(-LN(2)/2)*AW137+(1-EXP(-LN(2)/2))/(LN(2)/2)*AQ138*AT138*VLOOKUP('Données projet'!$B$10,Paramètres!$A$1:$I$89,3,0)*0.475*44/12</f>
        <v>3.6430954108538019E-15</v>
      </c>
      <c r="AX138" s="21">
        <f t="shared" si="114"/>
        <v>1.086184109303225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2.8421709430404007E-14</v>
      </c>
      <c r="BE138" s="13">
        <f>BD138*VLOOKUP('Données projet'!$B$11,Paramètres!$A$1:$I$89,3,0)*VLOOKUP('Données projet'!$B$11,Paramètres!$A$1:$I$89,5,0)</f>
        <v>2.5715962692629544E-14</v>
      </c>
      <c r="BF138" s="13">
        <f t="shared" si="145"/>
        <v>4.5248818890525812E-13</v>
      </c>
      <c r="BG138" s="20">
        <f t="shared" si="115"/>
        <v>8.3287223069965432E-13</v>
      </c>
      <c r="BH138" s="59">
        <f t="shared" si="116"/>
        <v>293.33333333333417</v>
      </c>
      <c r="BI138" s="59">
        <f ca="1">AVERAGE(OFFSET($BH$3,0,0,'Données projet'!$E$11+1,1))-AVERAGE(OFFSET($H$3,0,0,'Données projet'!$E$11+1,1))</f>
        <v>138.8931001150624</v>
      </c>
      <c r="BJ138" s="59">
        <f t="shared" si="146"/>
        <v>48.964659354096625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2.8421709430404007E-14</v>
      </c>
      <c r="BZ138" s="13">
        <f>BY138*VLOOKUP('Données projet'!$B$12,Paramètres!$A$1:$I$89,3,0)*VLOOKUP('Données projet'!$B$12,Paramètres!$A$1:$I$89,5,0)</f>
        <v>2.8819613362429664E-14</v>
      </c>
      <c r="CA138" s="13">
        <f t="shared" si="147"/>
        <v>5.0041752926933358E-13</v>
      </c>
      <c r="CB138" s="20">
        <f t="shared" si="118"/>
        <v>9.2175469008365428E-13</v>
      </c>
      <c r="CC138" s="59">
        <f t="shared" si="119"/>
        <v>293.33333333333422</v>
      </c>
      <c r="CD138" s="59">
        <f ca="1">AVERAGE(OFFSET($CC$3,0,0,'Données projet'!$E$12+1,1))-AVERAGE(OFFSET($H$3,0,0,'Données projet'!$E$12+1,1))</f>
        <v>169.2757878405003</v>
      </c>
      <c r="CE138" s="59">
        <f t="shared" si="148"/>
        <v>61.876502626609977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-8.5265128291212022E-14</v>
      </c>
      <c r="CU138" s="17">
        <f>CT138*VLOOKUP('Données projet'!$B$13,Paramètres!$A$1:$I$89,3,0)*VLOOKUP('Données projet'!$B$13,Paramètres!$A$1:$I$89,5,0)</f>
        <v>-6.7836936068488286E-14</v>
      </c>
      <c r="CV138" s="13" t="e">
        <f t="shared" si="149"/>
        <v>#NUM!</v>
      </c>
      <c r="CW138" s="20" t="e">
        <f t="shared" si="121"/>
        <v>#NUM!</v>
      </c>
      <c r="CX138" s="59" t="e">
        <f t="shared" si="122"/>
        <v>#NUM!</v>
      </c>
      <c r="CY138" s="59">
        <f ca="1">AVERAGE(OFFSET($CX$3,0,0,'Données projet'!$E$13+1,1))-AVERAGE(OFFSET($H$3,0,0,'Données projet'!$E$13+1,1))</f>
        <v>141.12810728817544</v>
      </c>
      <c r="CZ138" s="59">
        <f t="shared" si="150"/>
        <v>176.01405805137551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>
        <f>EXP(-LN(2)/35)*DF137+(1-EXP(-LN(2)/35))/(LN(2)/35)*DB138*DC138*VLOOKUP('Données projet'!$B$13,Paramètres!$A$1:$I$89,3,0)*0.475*44/12</f>
        <v>0</v>
      </c>
      <c r="DG138" s="21">
        <f>EXP(-LN(2)/25)*DG137+(1-EXP(-LN(2)/25))/(LN(2)/25)*Calculateur!DB138*Calculateur!DD138*VLOOKUP('Données projet'!$B$13,Paramètres!$A$1:$I$89,3,0)*0.475*44/12</f>
        <v>0.36577133166340681</v>
      </c>
      <c r="DH138" s="21">
        <f>EXP(-LN(2)/2)*DH137+(1-EXP(-LN(2)/2))/(LN(2)/2)*DB138*DE138*VLOOKUP('Données projet'!$B$13,Paramètres!$A$1:$I$89,3,0)*0.475*44/12</f>
        <v>1.2568891492611102E-15</v>
      </c>
      <c r="DI138" s="22">
        <f t="shared" si="123"/>
        <v>0.36577133166340808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5.6843418860808015E-14</v>
      </c>
      <c r="DP138" s="17">
        <f>DO138*VLOOKUP('Données projet'!$B$14,Paramètres!$A$1:$I$89,3,0)*VLOOKUP('Données projet'!$B$14,Paramètres!$A$1:$I$89,5,0)</f>
        <v>3.3992364478763198E-14</v>
      </c>
      <c r="DQ138" s="13">
        <f t="shared" si="151"/>
        <v>5.790027782444094E-13</v>
      </c>
      <c r="DR138" s="20">
        <f t="shared" si="124"/>
        <v>1.0676332069095257E-12</v>
      </c>
      <c r="DS138" s="59">
        <f t="shared" si="125"/>
        <v>293.33333333333439</v>
      </c>
      <c r="DT138" s="59">
        <f ca="1">AVERAGE(OFFSET($DS$3,0,0,'Données projet'!$E$14+1,1))-AVERAGE(OFFSET($H$3,0,0,'Données projet'!$E$14+1,1))</f>
        <v>165.39579887388538</v>
      </c>
      <c r="DU138" s="59">
        <f t="shared" si="152"/>
        <v>155.89639262545802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>
        <f>EXP(-LN(2)/35)*EA137+(1-EXP(-LN(2)/35))/(LN(2)/35)*DW138*DX138*VLOOKUP('Données projet'!$B$14,Paramètres!$A$1:$I$89,3,0)*0.475*44/12</f>
        <v>0</v>
      </c>
      <c r="EB138" s="21">
        <f>EXP(-LN(2)/25)*EB137+(1-EXP(-LN(2)/25))/(LN(2)/25)*Calculateur!DW138*Calculateur!DY138*VLOOKUP('Données projet'!$B$14,Paramètres!$A$1:$I$89,3,0)*0.475*44/12</f>
        <v>0.39660352996970466</v>
      </c>
      <c r="EC138" s="21">
        <f>EXP(-LN(2)/2)*EC137+(1-EXP(-LN(2)/2))/(LN(2)/2)*DW138*DZ138*VLOOKUP('Données projet'!$B$14,Paramètres!$A$1:$I$89,3,0)*0.475*44/12</f>
        <v>2.1792939434376657E-15</v>
      </c>
      <c r="ED138" s="22">
        <f t="shared" si="126"/>
        <v>0.39660352996970683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2.8421709430404007E-14</v>
      </c>
      <c r="EK138" s="17">
        <f>EJ138*VLOOKUP('Données projet'!$B$15,Paramètres!$A$1:$I$89,3,0)*VLOOKUP('Données projet'!$B$15,Paramètres!$A$1:$I$89,5,0)</f>
        <v>2.2168933355715127E-14</v>
      </c>
      <c r="EL138" s="13">
        <f t="shared" si="153"/>
        <v>3.9687356123668477E-13</v>
      </c>
      <c r="EM138" s="20">
        <f t="shared" si="127"/>
        <v>7.2983234474842979E-13</v>
      </c>
      <c r="EN138" s="59">
        <f t="shared" si="128"/>
        <v>293.33333333333405</v>
      </c>
      <c r="EO138" s="59">
        <f ca="1">AVERAGE(OFFSET($EN$3,0,0,'Données projet'!$E$15+1,1))-AVERAGE(OFFSET($H$3,0,0,'Données projet'!$E$15+1,1))</f>
        <v>104.07220236158577</v>
      </c>
      <c r="EP138" s="59">
        <f t="shared" si="154"/>
        <v>34.162068257911756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>
        <f>EXP(-LN(2)/35)*EV137+(1-EXP(-LN(2)/35))/(LN(2)/35)*ER138*ES138*VLOOKUP('Données projet'!$B$15,Paramètres!$A$1:$I$89,3,0)*0.475*44/12</f>
        <v>0</v>
      </c>
      <c r="EW138" s="21">
        <f>EXP(-LN(2)/25)*EW137+(1-EXP(-LN(2)/25))/(LN(2)/25)*Calculateur!ER138*Calculateur!ET138*VLOOKUP('Données projet'!$B$15,Paramètres!$A$1:$I$89,3,0)*0.475*44/12</f>
        <v>0</v>
      </c>
      <c r="EX138" s="21">
        <f>EXP(-LN(2)/2)*EX137+(1-EXP(-LN(2)/2))/(LN(2)/2)*ER138*EU138*VLOOKUP('Données projet'!$B$15,Paramètres!$A$1:$I$89,3,0)*0.475*44/12</f>
        <v>0</v>
      </c>
      <c r="EY138" s="22">
        <f t="shared" si="129"/>
        <v>0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5.6843418860808015E-14</v>
      </c>
      <c r="FF138" s="17">
        <f>FE138*VLOOKUP('Données projet'!$B$16,Paramètres!$A$1:$I$89,3,0)*VLOOKUP('Données projet'!$B$16,Paramètres!$A$1:$I$89,5,0)</f>
        <v>5.1431925385259088E-14</v>
      </c>
      <c r="FG138" s="13">
        <f t="shared" si="155"/>
        <v>8.3482866290946129E-13</v>
      </c>
      <c r="FH138" s="20">
        <f t="shared" si="130"/>
        <v>1.5435705246133045E-12</v>
      </c>
      <c r="FI138" s="59">
        <f t="shared" si="131"/>
        <v>293.33333333333485</v>
      </c>
      <c r="FJ138" s="59">
        <f ca="1">AVERAGE(OFFSET($FI$3,0,0,'Données projet'!$E$16+1,1))-AVERAGE(OFFSET($H$3,0,0,'Données projet'!$E$16+1,1))</f>
        <v>179.50097986986123</v>
      </c>
      <c r="FK138" s="59">
        <f t="shared" si="156"/>
        <v>287.11838730637578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>
        <f>EXP(-LN(2)/35)*FQ137+(1-EXP(-LN(2)/35))/(LN(2)/35)*FM138*FN138*VLOOKUP('Données projet'!$B$16,Paramètres!$A$1:$I$89,3,0)*0.475*44/12</f>
        <v>7.7921915351206905E-2</v>
      </c>
      <c r="FR138" s="21">
        <f>EXP(-LN(2)/25)*FR137+(1-EXP(-LN(2)/25))/(LN(2)/25)*Calculateur!FM138*Calculateur!FO138*VLOOKUP('Données projet'!$B$16,Paramètres!$A$1:$I$89,3,0)*0.475*44/12</f>
        <v>0.34243290864717202</v>
      </c>
      <c r="FS138" s="21">
        <f>EXP(-LN(2)/2)*FS137+(1-EXP(-LN(2)/2))/(LN(2)/2)*FM138*FP138*VLOOKUP('Données projet'!$B$16,Paramètres!$A$1:$I$89,3,0)*0.475*44/12</f>
        <v>7.0980677469252192E-16</v>
      </c>
      <c r="FT138" s="22">
        <f t="shared" si="132"/>
        <v>0.42035482399837965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5.6843418860808015E-14</v>
      </c>
      <c r="GA138" s="17">
        <f>FZ138*VLOOKUP('Données projet'!$B$17,Paramètres!$A$1:$I$89,3,0)*VLOOKUP('Données projet'!$B$17,Paramètres!$A$1:$I$89,5,0)</f>
        <v>3.3992364478763198E-14</v>
      </c>
      <c r="GB138" s="13">
        <f t="shared" si="157"/>
        <v>5.790027782444094E-13</v>
      </c>
      <c r="GC138" s="20">
        <f t="shared" si="133"/>
        <v>1.0676332069095257E-12</v>
      </c>
      <c r="GD138" s="59">
        <f t="shared" si="134"/>
        <v>293.33333333333439</v>
      </c>
      <c r="GE138" s="59">
        <f ca="1">AVERAGE(OFFSET($GD$3,0,0,'Données projet'!$E$17+1,1))-AVERAGE(OFFSET($H$3,0,0,'Données projet'!$E$17+1,1))</f>
        <v>165.39579887388538</v>
      </c>
      <c r="GF138" s="59">
        <f t="shared" si="158"/>
        <v>155.89639262545802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>
        <f>EXP(-LN(2)/35)*GL137+(1-EXP(-LN(2)/35))/(LN(2)/35)*GH138*GI138*VLOOKUP('Données projet'!$B$17,Paramètres!$A$1:$I$89,3,0)*0.475*44/12</f>
        <v>0</v>
      </c>
      <c r="GM138" s="21">
        <f>EXP(-LN(2)/25)*GM137+(1-EXP(-LN(2)/25))/(LN(2)/25)*Calculateur!GH138*Calculateur!GJ138*VLOOKUP('Données projet'!$B$17,Paramètres!$A$1:$I$89,3,0)*0.475*44/12</f>
        <v>0.39660352996970466</v>
      </c>
      <c r="GN138" s="21">
        <f>EXP(-LN(2)/2)*GN137+(1-EXP(-LN(2)/2))/(LN(2)/2)*GH138*GK138*VLOOKUP('Données projet'!$B$17,Paramètres!$A$1:$I$89,3,0)*0.475*44/12</f>
        <v>2.1792939434376657E-15</v>
      </c>
      <c r="GO138" s="21">
        <f t="shared" si="135"/>
        <v>0.39660352996970683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3.4106051316484809E-13</v>
      </c>
      <c r="O139" s="13">
        <f>N139*VLOOKUP('Données projet'!$B$9,Paramètres!$A$1:$I$89,3,0)*VLOOKUP('Données projet'!$B$9,Paramètres!$A$1:$I$89,5,0)</f>
        <v>1.9065282685915009E-13</v>
      </c>
      <c r="P139" s="13">
        <f t="shared" si="141"/>
        <v>2.6568987209435707E-12</v>
      </c>
      <c r="Q139" s="20">
        <f t="shared" si="108"/>
        <v>4.959485612423072E-12</v>
      </c>
      <c r="R139" s="59">
        <f t="shared" si="109"/>
        <v>293.33333333333826</v>
      </c>
      <c r="S139" s="59">
        <f ca="1">AVERAGE(OFFSET($R$3,0,0,'Données projet'!$E$9+1,1))-AVERAGE(OFFSET($H$3,0,0,'Données projet'!$E$9+1,1))</f>
        <v>235.10258076192054</v>
      </c>
      <c r="T139" s="59">
        <f t="shared" si="142"/>
        <v>233.47316052603765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0.41984723353440301</v>
      </c>
      <c r="AA139" s="21">
        <f>EXP(-LN(2)/25)*AA138+(1-EXP(-LN(2)/25))/(LN(2)/25)*Calculateur!V139*Calculateur!X139*VLOOKUP('Données projet'!$B$9,Paramètres!$A$1:$I$89,3,0)*0.475*44/12</f>
        <v>0.97560326001984843</v>
      </c>
      <c r="AB139" s="21">
        <f>EXP(-LN(2)/2)*AB138+(1-EXP(-LN(2)/2))/(LN(2)/2)*V139*Y139*VLOOKUP('Données projet'!$B$9,Paramètres!$A$1:$I$89,3,0)*0.475*44/12</f>
        <v>2.6780890530395555E-15</v>
      </c>
      <c r="AC139" s="22">
        <f t="shared" si="111"/>
        <v>1.3954504935542542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-8.5265128291212022E-14</v>
      </c>
      <c r="AJ139" s="13">
        <f>AI139*VLOOKUP('Données projet'!$B$10,Paramètres!$A$1:$I$89,3,0)*VLOOKUP('Données projet'!$B$10,Paramètres!$A$1:$I$89,5,0)</f>
        <v>-7.4487616075202836E-14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191.94797389630673</v>
      </c>
      <c r="AO139" s="59">
        <f t="shared" si="144"/>
        <v>273.52540822767878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0.31552155732282428</v>
      </c>
      <c r="AV139" s="21">
        <f>EXP(-LN(2)/25)*AV138+(1-EXP(-LN(2)/25))/(LN(2)/25)*Calculateur!AQ139*Calculateur!AS139*VLOOKUP('Données projet'!$B$10,Paramètres!$A$1:$I$89,3,0)*0.475*44/12</f>
        <v>0.74345037797313374</v>
      </c>
      <c r="AW139" s="21">
        <f>EXP(-LN(2)/2)*AW138+(1-EXP(-LN(2)/2))/(LN(2)/2)*AQ139*AT139*VLOOKUP('Données projet'!$B$10,Paramètres!$A$1:$I$89,3,0)*0.475*44/12</f>
        <v>2.5760574695243149E-15</v>
      </c>
      <c r="AX139" s="21">
        <f t="shared" si="114"/>
        <v>1.0589719352959608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2.8421709430404007E-14</v>
      </c>
      <c r="BE139" s="13">
        <f>BD139*VLOOKUP('Données projet'!$B$11,Paramètres!$A$1:$I$89,3,0)*VLOOKUP('Données projet'!$B$11,Paramètres!$A$1:$I$89,5,0)</f>
        <v>2.5715962692629544E-14</v>
      </c>
      <c r="BF139" s="13">
        <f t="shared" si="145"/>
        <v>4.5248818890525812E-13</v>
      </c>
      <c r="BG139" s="20">
        <f t="shared" si="115"/>
        <v>8.3287223069965432E-13</v>
      </c>
      <c r="BH139" s="59">
        <f t="shared" si="116"/>
        <v>293.33333333333417</v>
      </c>
      <c r="BI139" s="59">
        <f ca="1">AVERAGE(OFFSET($BH$3,0,0,'Données projet'!$E$11+1,1))-AVERAGE(OFFSET($H$3,0,0,'Données projet'!$E$11+1,1))</f>
        <v>138.8931001150624</v>
      </c>
      <c r="BJ139" s="59">
        <f t="shared" si="146"/>
        <v>48.964659354096625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2.8421709430404007E-14</v>
      </c>
      <c r="BZ139" s="13">
        <f>BY139*VLOOKUP('Données projet'!$B$12,Paramètres!$A$1:$I$89,3,0)*VLOOKUP('Données projet'!$B$12,Paramètres!$A$1:$I$89,5,0)</f>
        <v>2.8819613362429664E-14</v>
      </c>
      <c r="CA139" s="13">
        <f t="shared" si="147"/>
        <v>5.0041752926933358E-13</v>
      </c>
      <c r="CB139" s="20">
        <f t="shared" si="118"/>
        <v>9.2175469008365428E-13</v>
      </c>
      <c r="CC139" s="59">
        <f t="shared" si="119"/>
        <v>293.33333333333422</v>
      </c>
      <c r="CD139" s="59">
        <f ca="1">AVERAGE(OFFSET($CC$3,0,0,'Données projet'!$E$12+1,1))-AVERAGE(OFFSET($H$3,0,0,'Données projet'!$E$12+1,1))</f>
        <v>169.2757878405003</v>
      </c>
      <c r="CE139" s="59">
        <f t="shared" si="148"/>
        <v>61.876502626609977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-8.5265128291212022E-14</v>
      </c>
      <c r="CU139" s="17">
        <f>CT139*VLOOKUP('Données projet'!$B$13,Paramètres!$A$1:$I$89,3,0)*VLOOKUP('Données projet'!$B$13,Paramètres!$A$1:$I$89,5,0)</f>
        <v>-6.7836936068488286E-14</v>
      </c>
      <c r="CV139" s="13" t="e">
        <f t="shared" si="149"/>
        <v>#NUM!</v>
      </c>
      <c r="CW139" s="20" t="e">
        <f t="shared" si="121"/>
        <v>#NUM!</v>
      </c>
      <c r="CX139" s="59" t="e">
        <f t="shared" si="122"/>
        <v>#NUM!</v>
      </c>
      <c r="CY139" s="59">
        <f ca="1">AVERAGE(OFFSET($CX$3,0,0,'Données projet'!$E$13+1,1))-AVERAGE(OFFSET($H$3,0,0,'Données projet'!$E$13+1,1))</f>
        <v>141.12810728817544</v>
      </c>
      <c r="CZ139" s="59">
        <f t="shared" si="150"/>
        <v>176.01405805137551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>
        <f>EXP(-LN(2)/35)*DF138+(1-EXP(-LN(2)/35))/(LN(2)/35)*DB139*DC139*VLOOKUP('Données projet'!$B$13,Paramètres!$A$1:$I$89,3,0)*0.475*44/12</f>
        <v>0</v>
      </c>
      <c r="DG139" s="21">
        <f>EXP(-LN(2)/25)*DG138+(1-EXP(-LN(2)/25))/(LN(2)/25)*Calculateur!DB139*Calculateur!DD139*VLOOKUP('Données projet'!$B$13,Paramètres!$A$1:$I$89,3,0)*0.475*44/12</f>
        <v>0.3557692953639926</v>
      </c>
      <c r="DH139" s="21">
        <f>EXP(-LN(2)/2)*DH138+(1-EXP(-LN(2)/2))/(LN(2)/2)*DB139*DE139*VLOOKUP('Données projet'!$B$13,Paramètres!$A$1:$I$89,3,0)*0.475*44/12</f>
        <v>8.8875484064232172E-16</v>
      </c>
      <c r="DI139" s="22">
        <f t="shared" si="123"/>
        <v>0.35576929536399349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5.6843418860808015E-14</v>
      </c>
      <c r="DP139" s="17">
        <f>DO139*VLOOKUP('Données projet'!$B$14,Paramètres!$A$1:$I$89,3,0)*VLOOKUP('Données projet'!$B$14,Paramètres!$A$1:$I$89,5,0)</f>
        <v>3.3992364478763198E-14</v>
      </c>
      <c r="DQ139" s="13">
        <f t="shared" si="151"/>
        <v>5.790027782444094E-13</v>
      </c>
      <c r="DR139" s="20">
        <f t="shared" si="124"/>
        <v>1.0676332069095257E-12</v>
      </c>
      <c r="DS139" s="59">
        <f t="shared" si="125"/>
        <v>293.33333333333439</v>
      </c>
      <c r="DT139" s="59">
        <f ca="1">AVERAGE(OFFSET($DS$3,0,0,'Données projet'!$E$14+1,1))-AVERAGE(OFFSET($H$3,0,0,'Données projet'!$E$14+1,1))</f>
        <v>165.39579887388538</v>
      </c>
      <c r="DU139" s="59">
        <f t="shared" si="152"/>
        <v>155.89639262545802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>
        <f>EXP(-LN(2)/35)*EA138+(1-EXP(-LN(2)/35))/(LN(2)/35)*DW139*DX139*VLOOKUP('Données projet'!$B$14,Paramètres!$A$1:$I$89,3,0)*0.475*44/12</f>
        <v>0</v>
      </c>
      <c r="EB139" s="21">
        <f>EXP(-LN(2)/25)*EB138+(1-EXP(-LN(2)/25))/(LN(2)/25)*Calculateur!DW139*Calculateur!DY139*VLOOKUP('Données projet'!$B$14,Paramètres!$A$1:$I$89,3,0)*0.475*44/12</f>
        <v>0.3857583855862099</v>
      </c>
      <c r="EC139" s="21">
        <f>EXP(-LN(2)/2)*EC138+(1-EXP(-LN(2)/2))/(LN(2)/2)*DW139*DZ139*VLOOKUP('Données projet'!$B$14,Paramètres!$A$1:$I$89,3,0)*0.475*44/12</f>
        <v>1.5409935256035458E-15</v>
      </c>
      <c r="ED139" s="22">
        <f t="shared" si="126"/>
        <v>0.38575838558621145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2.8421709430404007E-14</v>
      </c>
      <c r="EK139" s="17">
        <f>EJ139*VLOOKUP('Données projet'!$B$15,Paramètres!$A$1:$I$89,3,0)*VLOOKUP('Données projet'!$B$15,Paramètres!$A$1:$I$89,5,0)</f>
        <v>2.2168933355715127E-14</v>
      </c>
      <c r="EL139" s="13">
        <f t="shared" si="153"/>
        <v>3.9687356123668477E-13</v>
      </c>
      <c r="EM139" s="20">
        <f t="shared" si="127"/>
        <v>7.2983234474842979E-13</v>
      </c>
      <c r="EN139" s="59">
        <f t="shared" si="128"/>
        <v>293.33333333333405</v>
      </c>
      <c r="EO139" s="59">
        <f ca="1">AVERAGE(OFFSET($EN$3,0,0,'Données projet'!$E$15+1,1))-AVERAGE(OFFSET($H$3,0,0,'Données projet'!$E$15+1,1))</f>
        <v>104.07220236158577</v>
      </c>
      <c r="EP139" s="59">
        <f t="shared" si="154"/>
        <v>34.162068257911756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>
        <f>EXP(-LN(2)/35)*EV138+(1-EXP(-LN(2)/35))/(LN(2)/35)*ER139*ES139*VLOOKUP('Données projet'!$B$15,Paramètres!$A$1:$I$89,3,0)*0.475*44/12</f>
        <v>0</v>
      </c>
      <c r="EW139" s="21">
        <f>EXP(-LN(2)/25)*EW138+(1-EXP(-LN(2)/25))/(LN(2)/25)*Calculateur!ER139*Calculateur!ET139*VLOOKUP('Données projet'!$B$15,Paramètres!$A$1:$I$89,3,0)*0.475*44/12</f>
        <v>0</v>
      </c>
      <c r="EX139" s="21">
        <f>EXP(-LN(2)/2)*EX138+(1-EXP(-LN(2)/2))/(LN(2)/2)*ER139*EU139*VLOOKUP('Données projet'!$B$15,Paramètres!$A$1:$I$89,3,0)*0.475*44/12</f>
        <v>0</v>
      </c>
      <c r="EY139" s="22">
        <f t="shared" si="129"/>
        <v>0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5.6843418860808015E-14</v>
      </c>
      <c r="FF139" s="17">
        <f>FE139*VLOOKUP('Données projet'!$B$16,Paramètres!$A$1:$I$89,3,0)*VLOOKUP('Données projet'!$B$16,Paramètres!$A$1:$I$89,5,0)</f>
        <v>5.1431925385259088E-14</v>
      </c>
      <c r="FG139" s="13">
        <f t="shared" si="155"/>
        <v>8.3482866290946129E-13</v>
      </c>
      <c r="FH139" s="20">
        <f t="shared" si="130"/>
        <v>1.5435705246133045E-12</v>
      </c>
      <c r="FI139" s="59">
        <f t="shared" si="131"/>
        <v>293.33333333333485</v>
      </c>
      <c r="FJ139" s="59">
        <f ca="1">AVERAGE(OFFSET($FI$3,0,0,'Données projet'!$E$16+1,1))-AVERAGE(OFFSET($H$3,0,0,'Données projet'!$E$16+1,1))</f>
        <v>179.50097986986123</v>
      </c>
      <c r="FK139" s="59">
        <f t="shared" si="156"/>
        <v>287.11838730637578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>
        <f>EXP(-LN(2)/35)*FQ138+(1-EXP(-LN(2)/35))/(LN(2)/35)*FM139*FN139*VLOOKUP('Données projet'!$B$16,Paramètres!$A$1:$I$89,3,0)*0.475*44/12</f>
        <v>7.6393914118845135E-2</v>
      </c>
      <c r="FR139" s="21">
        <f>EXP(-LN(2)/25)*FR138+(1-EXP(-LN(2)/25))/(LN(2)/25)*Calculateur!FM139*Calculateur!FO139*VLOOKUP('Données projet'!$B$16,Paramètres!$A$1:$I$89,3,0)*0.475*44/12</f>
        <v>0.33306906275245107</v>
      </c>
      <c r="FS139" s="21">
        <f>EXP(-LN(2)/2)*FS138+(1-EXP(-LN(2)/2))/(LN(2)/2)*FM139*FP139*VLOOKUP('Données projet'!$B$16,Paramètres!$A$1:$I$89,3,0)*0.475*44/12</f>
        <v>5.0190918371723412E-16</v>
      </c>
      <c r="FT139" s="22">
        <f t="shared" si="132"/>
        <v>0.40946297687129668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5.6843418860808015E-14</v>
      </c>
      <c r="GA139" s="17">
        <f>FZ139*VLOOKUP('Données projet'!$B$17,Paramètres!$A$1:$I$89,3,0)*VLOOKUP('Données projet'!$B$17,Paramètres!$A$1:$I$89,5,0)</f>
        <v>3.3992364478763198E-14</v>
      </c>
      <c r="GB139" s="13">
        <f t="shared" si="157"/>
        <v>5.790027782444094E-13</v>
      </c>
      <c r="GC139" s="20">
        <f t="shared" si="133"/>
        <v>1.0676332069095257E-12</v>
      </c>
      <c r="GD139" s="59">
        <f t="shared" si="134"/>
        <v>293.33333333333439</v>
      </c>
      <c r="GE139" s="59">
        <f ca="1">AVERAGE(OFFSET($GD$3,0,0,'Données projet'!$E$17+1,1))-AVERAGE(OFFSET($H$3,0,0,'Données projet'!$E$17+1,1))</f>
        <v>165.39579887388538</v>
      </c>
      <c r="GF139" s="59">
        <f t="shared" si="158"/>
        <v>155.89639262545802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>
        <f>EXP(-LN(2)/35)*GL138+(1-EXP(-LN(2)/35))/(LN(2)/35)*GH139*GI139*VLOOKUP('Données projet'!$B$17,Paramètres!$A$1:$I$89,3,0)*0.475*44/12</f>
        <v>0</v>
      </c>
      <c r="GM139" s="21">
        <f>EXP(-LN(2)/25)*GM138+(1-EXP(-LN(2)/25))/(LN(2)/25)*Calculateur!GH139*Calculateur!GJ139*VLOOKUP('Données projet'!$B$17,Paramètres!$A$1:$I$89,3,0)*0.475*44/12</f>
        <v>0.3857583855862099</v>
      </c>
      <c r="GN139" s="21">
        <f>EXP(-LN(2)/2)*GN138+(1-EXP(-LN(2)/2))/(LN(2)/2)*GH139*GK139*VLOOKUP('Données projet'!$B$17,Paramètres!$A$1:$I$89,3,0)*0.475*44/12</f>
        <v>1.5409935256035458E-15</v>
      </c>
      <c r="GO139" s="21">
        <f t="shared" si="135"/>
        <v>0.38575838558621145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3.4106051316484809E-13</v>
      </c>
      <c r="O140" s="13">
        <f>N140*VLOOKUP('Données projet'!$B$9,Paramètres!$A$1:$I$89,3,0)*VLOOKUP('Données projet'!$B$9,Paramètres!$A$1:$I$89,5,0)</f>
        <v>1.9065282685915009E-13</v>
      </c>
      <c r="P140" s="13">
        <f t="shared" si="141"/>
        <v>2.6568987209435707E-12</v>
      </c>
      <c r="Q140" s="20">
        <f t="shared" si="108"/>
        <v>4.959485612423072E-12</v>
      </c>
      <c r="R140" s="59">
        <f t="shared" si="109"/>
        <v>293.33333333333826</v>
      </c>
      <c r="S140" s="59">
        <f ca="1">AVERAGE(OFFSET($R$3,0,0,'Données projet'!$E$9+1,1))-AVERAGE(OFFSET($H$3,0,0,'Données projet'!$E$9+1,1))</f>
        <v>235.10258076192054</v>
      </c>
      <c r="T140" s="59">
        <f t="shared" si="142"/>
        <v>233.47316052603765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0.41161428536631989</v>
      </c>
      <c r="AA140" s="21">
        <f>EXP(-LN(2)/25)*AA139+(1-EXP(-LN(2)/25))/(LN(2)/25)*Calculateur!V140*Calculateur!X140*VLOOKUP('Données projet'!$B$9,Paramètres!$A$1:$I$89,3,0)*0.475*44/12</f>
        <v>0.94892533756985997</v>
      </c>
      <c r="AB140" s="21">
        <f>EXP(-LN(2)/2)*AB139+(1-EXP(-LN(2)/2))/(LN(2)/2)*V140*Y140*VLOOKUP('Données projet'!$B$9,Paramètres!$A$1:$I$89,3,0)*0.475*44/12</f>
        <v>1.8936949300257292E-15</v>
      </c>
      <c r="AC140" s="22">
        <f t="shared" si="111"/>
        <v>1.3605396229361819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-8.5265128291212022E-14</v>
      </c>
      <c r="AJ140" s="13">
        <f>AI140*VLOOKUP('Données projet'!$B$10,Paramètres!$A$1:$I$89,3,0)*VLOOKUP('Données projet'!$B$10,Paramètres!$A$1:$I$89,5,0)</f>
        <v>-7.4487616075202836E-14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191.94797389630673</v>
      </c>
      <c r="AO140" s="59">
        <f t="shared" si="144"/>
        <v>273.52540822767878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0.3093343720328709</v>
      </c>
      <c r="AV140" s="21">
        <f>EXP(-LN(2)/25)*AV139+(1-EXP(-LN(2)/25))/(LN(2)/25)*Calculateur!AQ140*Calculateur!AS140*VLOOKUP('Données projet'!$B$10,Paramètres!$A$1:$I$89,3,0)*0.475*44/12</f>
        <v>0.72312068829110221</v>
      </c>
      <c r="AW140" s="21">
        <f>EXP(-LN(2)/2)*AW139+(1-EXP(-LN(2)/2))/(LN(2)/2)*AQ140*AT140*VLOOKUP('Données projet'!$B$10,Paramètres!$A$1:$I$89,3,0)*0.475*44/12</f>
        <v>1.821547705426901E-15</v>
      </c>
      <c r="AX140" s="21">
        <f t="shared" si="114"/>
        <v>1.0324550603239748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2.8421709430404007E-14</v>
      </c>
      <c r="BE140" s="13">
        <f>BD140*VLOOKUP('Données projet'!$B$11,Paramètres!$A$1:$I$89,3,0)*VLOOKUP('Données projet'!$B$11,Paramètres!$A$1:$I$89,5,0)</f>
        <v>2.5715962692629544E-14</v>
      </c>
      <c r="BF140" s="13">
        <f t="shared" si="145"/>
        <v>4.5248818890525812E-13</v>
      </c>
      <c r="BG140" s="20">
        <f t="shared" si="115"/>
        <v>8.3287223069965432E-13</v>
      </c>
      <c r="BH140" s="59">
        <f t="shared" si="116"/>
        <v>293.33333333333417</v>
      </c>
      <c r="BI140" s="59">
        <f ca="1">AVERAGE(OFFSET($BH$3,0,0,'Données projet'!$E$11+1,1))-AVERAGE(OFFSET($H$3,0,0,'Données projet'!$E$11+1,1))</f>
        <v>138.8931001150624</v>
      </c>
      <c r="BJ140" s="59">
        <f t="shared" si="146"/>
        <v>48.964659354096625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2.8421709430404007E-14</v>
      </c>
      <c r="BZ140" s="13">
        <f>BY140*VLOOKUP('Données projet'!$B$12,Paramètres!$A$1:$I$89,3,0)*VLOOKUP('Données projet'!$B$12,Paramètres!$A$1:$I$89,5,0)</f>
        <v>2.8819613362429664E-14</v>
      </c>
      <c r="CA140" s="13">
        <f t="shared" si="147"/>
        <v>5.0041752926933358E-13</v>
      </c>
      <c r="CB140" s="20">
        <f t="shared" si="118"/>
        <v>9.2175469008365428E-13</v>
      </c>
      <c r="CC140" s="59">
        <f t="shared" si="119"/>
        <v>293.33333333333422</v>
      </c>
      <c r="CD140" s="59">
        <f ca="1">AVERAGE(OFFSET($CC$3,0,0,'Données projet'!$E$12+1,1))-AVERAGE(OFFSET($H$3,0,0,'Données projet'!$E$12+1,1))</f>
        <v>169.2757878405003</v>
      </c>
      <c r="CE140" s="59">
        <f t="shared" si="148"/>
        <v>61.876502626609977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-8.5265128291212022E-14</v>
      </c>
      <c r="CU140" s="17">
        <f>CT140*VLOOKUP('Données projet'!$B$13,Paramètres!$A$1:$I$89,3,0)*VLOOKUP('Données projet'!$B$13,Paramètres!$A$1:$I$89,5,0)</f>
        <v>-6.7836936068488286E-14</v>
      </c>
      <c r="CV140" s="13" t="e">
        <f t="shared" si="149"/>
        <v>#NUM!</v>
      </c>
      <c r="CW140" s="20" t="e">
        <f t="shared" si="121"/>
        <v>#NUM!</v>
      </c>
      <c r="CX140" s="59" t="e">
        <f t="shared" si="122"/>
        <v>#NUM!</v>
      </c>
      <c r="CY140" s="59">
        <f ca="1">AVERAGE(OFFSET($CX$3,0,0,'Données projet'!$E$13+1,1))-AVERAGE(OFFSET($H$3,0,0,'Données projet'!$E$13+1,1))</f>
        <v>141.12810728817544</v>
      </c>
      <c r="CZ140" s="59">
        <f t="shared" si="150"/>
        <v>176.01405805137551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>
        <f>EXP(-LN(2)/35)*DF139+(1-EXP(-LN(2)/35))/(LN(2)/35)*DB140*DC140*VLOOKUP('Données projet'!$B$13,Paramètres!$A$1:$I$89,3,0)*0.475*44/12</f>
        <v>0</v>
      </c>
      <c r="DG140" s="21">
        <f>EXP(-LN(2)/25)*DG139+(1-EXP(-LN(2)/25))/(LN(2)/25)*Calculateur!DB140*Calculateur!DD140*VLOOKUP('Données projet'!$B$13,Paramètres!$A$1:$I$89,3,0)*0.475*44/12</f>
        <v>0.34604076527317013</v>
      </c>
      <c r="DH140" s="21">
        <f>EXP(-LN(2)/2)*DH139+(1-EXP(-LN(2)/2))/(LN(2)/2)*DB140*DE140*VLOOKUP('Données projet'!$B$13,Paramètres!$A$1:$I$89,3,0)*0.475*44/12</f>
        <v>6.2844457463055512E-16</v>
      </c>
      <c r="DI140" s="22">
        <f t="shared" si="123"/>
        <v>0.34604076527317074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5.6843418860808015E-14</v>
      </c>
      <c r="DP140" s="17">
        <f>DO140*VLOOKUP('Données projet'!$B$14,Paramètres!$A$1:$I$89,3,0)*VLOOKUP('Données projet'!$B$14,Paramètres!$A$1:$I$89,5,0)</f>
        <v>3.3992364478763198E-14</v>
      </c>
      <c r="DQ140" s="13">
        <f t="shared" si="151"/>
        <v>5.790027782444094E-13</v>
      </c>
      <c r="DR140" s="20">
        <f t="shared" si="124"/>
        <v>1.0676332069095257E-12</v>
      </c>
      <c r="DS140" s="59">
        <f t="shared" si="125"/>
        <v>293.33333333333439</v>
      </c>
      <c r="DT140" s="59">
        <f ca="1">AVERAGE(OFFSET($DS$3,0,0,'Données projet'!$E$14+1,1))-AVERAGE(OFFSET($H$3,0,0,'Données projet'!$E$14+1,1))</f>
        <v>165.39579887388538</v>
      </c>
      <c r="DU140" s="59">
        <f t="shared" si="152"/>
        <v>155.89639262545802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>
        <f>EXP(-LN(2)/35)*EA139+(1-EXP(-LN(2)/35))/(LN(2)/35)*DW140*DX140*VLOOKUP('Données projet'!$B$14,Paramètres!$A$1:$I$89,3,0)*0.475*44/12</f>
        <v>0</v>
      </c>
      <c r="EB140" s="21">
        <f>EXP(-LN(2)/25)*EB139+(1-EXP(-LN(2)/25))/(LN(2)/25)*Calculateur!DW140*Calculateur!DY140*VLOOKUP('Données projet'!$B$14,Paramètres!$A$1:$I$89,3,0)*0.475*44/12</f>
        <v>0.37520980224620315</v>
      </c>
      <c r="EC140" s="21">
        <f>EXP(-LN(2)/2)*EC139+(1-EXP(-LN(2)/2))/(LN(2)/2)*DW140*DZ140*VLOOKUP('Données projet'!$B$14,Paramètres!$A$1:$I$89,3,0)*0.475*44/12</f>
        <v>1.0896469717188329E-15</v>
      </c>
      <c r="ED140" s="22">
        <f t="shared" si="126"/>
        <v>0.37520980224620426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2.8421709430404007E-14</v>
      </c>
      <c r="EK140" s="17">
        <f>EJ140*VLOOKUP('Données projet'!$B$15,Paramètres!$A$1:$I$89,3,0)*VLOOKUP('Données projet'!$B$15,Paramètres!$A$1:$I$89,5,0)</f>
        <v>2.2168933355715127E-14</v>
      </c>
      <c r="EL140" s="13">
        <f t="shared" si="153"/>
        <v>3.9687356123668477E-13</v>
      </c>
      <c r="EM140" s="20">
        <f t="shared" si="127"/>
        <v>7.2983234474842979E-13</v>
      </c>
      <c r="EN140" s="59">
        <f t="shared" si="128"/>
        <v>293.33333333333405</v>
      </c>
      <c r="EO140" s="59">
        <f ca="1">AVERAGE(OFFSET($EN$3,0,0,'Données projet'!$E$15+1,1))-AVERAGE(OFFSET($H$3,0,0,'Données projet'!$E$15+1,1))</f>
        <v>104.07220236158577</v>
      </c>
      <c r="EP140" s="59">
        <f t="shared" si="154"/>
        <v>34.162068257911756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>
        <f>EXP(-LN(2)/35)*EV139+(1-EXP(-LN(2)/35))/(LN(2)/35)*ER140*ES140*VLOOKUP('Données projet'!$B$15,Paramètres!$A$1:$I$89,3,0)*0.475*44/12</f>
        <v>0</v>
      </c>
      <c r="EW140" s="21">
        <f>EXP(-LN(2)/25)*EW139+(1-EXP(-LN(2)/25))/(LN(2)/25)*Calculateur!ER140*Calculateur!ET140*VLOOKUP('Données projet'!$B$15,Paramètres!$A$1:$I$89,3,0)*0.475*44/12</f>
        <v>0</v>
      </c>
      <c r="EX140" s="21">
        <f>EXP(-LN(2)/2)*EX139+(1-EXP(-LN(2)/2))/(LN(2)/2)*ER140*EU140*VLOOKUP('Données projet'!$B$15,Paramètres!$A$1:$I$89,3,0)*0.475*44/12</f>
        <v>0</v>
      </c>
      <c r="EY140" s="22">
        <f t="shared" si="129"/>
        <v>0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5.6843418860808015E-14</v>
      </c>
      <c r="FF140" s="17">
        <f>FE140*VLOOKUP('Données projet'!$B$16,Paramètres!$A$1:$I$89,3,0)*VLOOKUP('Données projet'!$B$16,Paramètres!$A$1:$I$89,5,0)</f>
        <v>5.1431925385259088E-14</v>
      </c>
      <c r="FG140" s="13">
        <f t="shared" si="155"/>
        <v>8.3482866290946129E-13</v>
      </c>
      <c r="FH140" s="20">
        <f t="shared" si="130"/>
        <v>1.5435705246133045E-12</v>
      </c>
      <c r="FI140" s="59">
        <f t="shared" si="131"/>
        <v>293.33333333333485</v>
      </c>
      <c r="FJ140" s="59">
        <f ca="1">AVERAGE(OFFSET($FI$3,0,0,'Données projet'!$E$16+1,1))-AVERAGE(OFFSET($H$3,0,0,'Données projet'!$E$16+1,1))</f>
        <v>179.50097986986123</v>
      </c>
      <c r="FK140" s="59">
        <f t="shared" si="156"/>
        <v>287.11838730637578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>
        <f>EXP(-LN(2)/35)*FQ139+(1-EXP(-LN(2)/35))/(LN(2)/35)*FM140*FN140*VLOOKUP('Données projet'!$B$16,Paramètres!$A$1:$I$89,3,0)*0.475*44/12</f>
        <v>7.4895876058661257E-2</v>
      </c>
      <c r="FR140" s="21">
        <f>EXP(-LN(2)/25)*FR139+(1-EXP(-LN(2)/25))/(LN(2)/25)*Calculateur!FM140*Calculateur!FO140*VLOOKUP('Données projet'!$B$16,Paramètres!$A$1:$I$89,3,0)*0.475*44/12</f>
        <v>0.32396127171614453</v>
      </c>
      <c r="FS140" s="21">
        <f>EXP(-LN(2)/2)*FS139+(1-EXP(-LN(2)/2))/(LN(2)/2)*FM140*FP140*VLOOKUP('Données projet'!$B$16,Paramètres!$A$1:$I$89,3,0)*0.475*44/12</f>
        <v>3.5490338734626096E-16</v>
      </c>
      <c r="FT140" s="22">
        <f t="shared" si="132"/>
        <v>0.39885714777480613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5.6843418860808015E-14</v>
      </c>
      <c r="GA140" s="17">
        <f>FZ140*VLOOKUP('Données projet'!$B$17,Paramètres!$A$1:$I$89,3,0)*VLOOKUP('Données projet'!$B$17,Paramètres!$A$1:$I$89,5,0)</f>
        <v>3.3992364478763198E-14</v>
      </c>
      <c r="GB140" s="13">
        <f t="shared" si="157"/>
        <v>5.790027782444094E-13</v>
      </c>
      <c r="GC140" s="20">
        <f t="shared" si="133"/>
        <v>1.0676332069095257E-12</v>
      </c>
      <c r="GD140" s="59">
        <f t="shared" si="134"/>
        <v>293.33333333333439</v>
      </c>
      <c r="GE140" s="59">
        <f ca="1">AVERAGE(OFFSET($GD$3,0,0,'Données projet'!$E$17+1,1))-AVERAGE(OFFSET($H$3,0,0,'Données projet'!$E$17+1,1))</f>
        <v>165.39579887388538</v>
      </c>
      <c r="GF140" s="59">
        <f t="shared" si="158"/>
        <v>155.89639262545802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>
        <f>EXP(-LN(2)/35)*GL139+(1-EXP(-LN(2)/35))/(LN(2)/35)*GH140*GI140*VLOOKUP('Données projet'!$B$17,Paramètres!$A$1:$I$89,3,0)*0.475*44/12</f>
        <v>0</v>
      </c>
      <c r="GM140" s="21">
        <f>EXP(-LN(2)/25)*GM139+(1-EXP(-LN(2)/25))/(LN(2)/25)*Calculateur!GH140*Calculateur!GJ140*VLOOKUP('Données projet'!$B$17,Paramètres!$A$1:$I$89,3,0)*0.475*44/12</f>
        <v>0.37520980224620315</v>
      </c>
      <c r="GN140" s="21">
        <f>EXP(-LN(2)/2)*GN139+(1-EXP(-LN(2)/2))/(LN(2)/2)*GH140*GK140*VLOOKUP('Données projet'!$B$17,Paramètres!$A$1:$I$89,3,0)*0.475*44/12</f>
        <v>1.0896469717188329E-15</v>
      </c>
      <c r="GO140" s="21">
        <f t="shared" si="135"/>
        <v>0.37520980224620426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3.4106051316484809E-13</v>
      </c>
      <c r="O141" s="13">
        <f>N141*VLOOKUP('Données projet'!$B$9,Paramètres!$A$1:$I$89,3,0)*VLOOKUP('Données projet'!$B$9,Paramètres!$A$1:$I$89,5,0)</f>
        <v>1.9065282685915009E-13</v>
      </c>
      <c r="P141" s="13">
        <f t="shared" si="141"/>
        <v>2.6568987209435707E-12</v>
      </c>
      <c r="Q141" s="20">
        <f t="shared" si="108"/>
        <v>4.959485612423072E-12</v>
      </c>
      <c r="R141" s="59">
        <f t="shared" si="109"/>
        <v>293.33333333333826</v>
      </c>
      <c r="S141" s="59">
        <f ca="1">AVERAGE(OFFSET($R$3,0,0,'Données projet'!$E$9+1,1))-AVERAGE(OFFSET($H$3,0,0,'Données projet'!$E$9+1,1))</f>
        <v>235.10258076192054</v>
      </c>
      <c r="T141" s="59">
        <f t="shared" si="142"/>
        <v>233.47316052603765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0.40354278029021035</v>
      </c>
      <c r="AA141" s="21">
        <f>EXP(-LN(2)/25)*AA140+(1-EXP(-LN(2)/25))/(LN(2)/25)*Calculateur!V141*Calculateur!X141*VLOOKUP('Données projet'!$B$9,Paramètres!$A$1:$I$89,3,0)*0.475*44/12</f>
        <v>0.92297692431219747</v>
      </c>
      <c r="AB141" s="21">
        <f>EXP(-LN(2)/2)*AB140+(1-EXP(-LN(2)/2))/(LN(2)/2)*V141*Y141*VLOOKUP('Données projet'!$B$9,Paramètres!$A$1:$I$89,3,0)*0.475*44/12</f>
        <v>1.3390445265197777E-15</v>
      </c>
      <c r="AC141" s="22">
        <f t="shared" si="111"/>
        <v>1.3265197046024091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-8.5265128291212022E-14</v>
      </c>
      <c r="AJ141" s="13">
        <f>AI141*VLOOKUP('Données projet'!$B$10,Paramètres!$A$1:$I$89,3,0)*VLOOKUP('Données projet'!$B$10,Paramètres!$A$1:$I$89,5,0)</f>
        <v>-7.4487616075202836E-14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191.94797389630673</v>
      </c>
      <c r="AO141" s="59">
        <f t="shared" si="144"/>
        <v>273.52540822767878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0.30326851367264307</v>
      </c>
      <c r="AV141" s="21">
        <f>EXP(-LN(2)/25)*AV140+(1-EXP(-LN(2)/25))/(LN(2)/25)*Calculateur!AQ141*Calculateur!AS141*VLOOKUP('Données projet'!$B$10,Paramètres!$A$1:$I$89,3,0)*0.475*44/12</f>
        <v>0.70334691504251778</v>
      </c>
      <c r="AW141" s="21">
        <f>EXP(-LN(2)/2)*AW140+(1-EXP(-LN(2)/2))/(LN(2)/2)*AQ141*AT141*VLOOKUP('Données projet'!$B$10,Paramètres!$A$1:$I$89,3,0)*0.475*44/12</f>
        <v>1.2880287347621574E-15</v>
      </c>
      <c r="AX141" s="21">
        <f t="shared" si="114"/>
        <v>1.0066154287151621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2.8421709430404007E-14</v>
      </c>
      <c r="BE141" s="13">
        <f>BD141*VLOOKUP('Données projet'!$B$11,Paramètres!$A$1:$I$89,3,0)*VLOOKUP('Données projet'!$B$11,Paramètres!$A$1:$I$89,5,0)</f>
        <v>2.5715962692629544E-14</v>
      </c>
      <c r="BF141" s="13">
        <f t="shared" si="145"/>
        <v>4.5248818890525812E-13</v>
      </c>
      <c r="BG141" s="20">
        <f t="shared" si="115"/>
        <v>8.3287223069965432E-13</v>
      </c>
      <c r="BH141" s="59">
        <f t="shared" si="116"/>
        <v>293.33333333333417</v>
      </c>
      <c r="BI141" s="59">
        <f ca="1">AVERAGE(OFFSET($BH$3,0,0,'Données projet'!$E$11+1,1))-AVERAGE(OFFSET($H$3,0,0,'Données projet'!$E$11+1,1))</f>
        <v>138.8931001150624</v>
      </c>
      <c r="BJ141" s="59">
        <f t="shared" si="146"/>
        <v>48.964659354096625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2.8421709430404007E-14</v>
      </c>
      <c r="BZ141" s="13">
        <f>BY141*VLOOKUP('Données projet'!$B$12,Paramètres!$A$1:$I$89,3,0)*VLOOKUP('Données projet'!$B$12,Paramètres!$A$1:$I$89,5,0)</f>
        <v>2.8819613362429664E-14</v>
      </c>
      <c r="CA141" s="13">
        <f t="shared" si="147"/>
        <v>5.0041752926933358E-13</v>
      </c>
      <c r="CB141" s="20">
        <f t="shared" si="118"/>
        <v>9.2175469008365428E-13</v>
      </c>
      <c r="CC141" s="59">
        <f t="shared" si="119"/>
        <v>293.33333333333422</v>
      </c>
      <c r="CD141" s="59">
        <f ca="1">AVERAGE(OFFSET($CC$3,0,0,'Données projet'!$E$12+1,1))-AVERAGE(OFFSET($H$3,0,0,'Données projet'!$E$12+1,1))</f>
        <v>169.2757878405003</v>
      </c>
      <c r="CE141" s="59">
        <f t="shared" si="148"/>
        <v>61.876502626609977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-8.5265128291212022E-14</v>
      </c>
      <c r="CU141" s="17">
        <f>CT141*VLOOKUP('Données projet'!$B$13,Paramètres!$A$1:$I$89,3,0)*VLOOKUP('Données projet'!$B$13,Paramètres!$A$1:$I$89,5,0)</f>
        <v>-6.7836936068488286E-14</v>
      </c>
      <c r="CV141" s="13" t="e">
        <f t="shared" si="149"/>
        <v>#NUM!</v>
      </c>
      <c r="CW141" s="20" t="e">
        <f t="shared" si="121"/>
        <v>#NUM!</v>
      </c>
      <c r="CX141" s="59" t="e">
        <f t="shared" si="122"/>
        <v>#NUM!</v>
      </c>
      <c r="CY141" s="59">
        <f ca="1">AVERAGE(OFFSET($CX$3,0,0,'Données projet'!$E$13+1,1))-AVERAGE(OFFSET($H$3,0,0,'Données projet'!$E$13+1,1))</f>
        <v>141.12810728817544</v>
      </c>
      <c r="CZ141" s="59">
        <f t="shared" si="150"/>
        <v>176.01405805137551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>
        <f>EXP(-LN(2)/35)*DF140+(1-EXP(-LN(2)/35))/(LN(2)/35)*DB141*DC141*VLOOKUP('Données projet'!$B$13,Paramètres!$A$1:$I$89,3,0)*0.475*44/12</f>
        <v>0</v>
      </c>
      <c r="DG141" s="21">
        <f>EXP(-LN(2)/25)*DG140+(1-EXP(-LN(2)/25))/(LN(2)/25)*Calculateur!DB141*Calculateur!DD141*VLOOKUP('Données projet'!$B$13,Paramètres!$A$1:$I$89,3,0)*0.475*44/12</f>
        <v>0.33657826234928234</v>
      </c>
      <c r="DH141" s="21">
        <f>EXP(-LN(2)/2)*DH140+(1-EXP(-LN(2)/2))/(LN(2)/2)*DB141*DE141*VLOOKUP('Données projet'!$B$13,Paramètres!$A$1:$I$89,3,0)*0.475*44/12</f>
        <v>4.4437742032116086E-16</v>
      </c>
      <c r="DI141" s="22">
        <f t="shared" si="123"/>
        <v>0.33657826234928279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5.6843418860808015E-14</v>
      </c>
      <c r="DP141" s="17">
        <f>DO141*VLOOKUP('Données projet'!$B$14,Paramètres!$A$1:$I$89,3,0)*VLOOKUP('Données projet'!$B$14,Paramètres!$A$1:$I$89,5,0)</f>
        <v>3.3992364478763198E-14</v>
      </c>
      <c r="DQ141" s="13">
        <f t="shared" si="151"/>
        <v>5.790027782444094E-13</v>
      </c>
      <c r="DR141" s="20">
        <f t="shared" si="124"/>
        <v>1.0676332069095257E-12</v>
      </c>
      <c r="DS141" s="59">
        <f t="shared" si="125"/>
        <v>293.33333333333439</v>
      </c>
      <c r="DT141" s="59">
        <f ca="1">AVERAGE(OFFSET($DS$3,0,0,'Données projet'!$E$14+1,1))-AVERAGE(OFFSET($H$3,0,0,'Données projet'!$E$14+1,1))</f>
        <v>165.39579887388538</v>
      </c>
      <c r="DU141" s="59">
        <f t="shared" si="152"/>
        <v>155.89639262545802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>
        <f>EXP(-LN(2)/35)*EA140+(1-EXP(-LN(2)/35))/(LN(2)/35)*DW141*DX141*VLOOKUP('Données projet'!$B$14,Paramètres!$A$1:$I$89,3,0)*0.475*44/12</f>
        <v>0</v>
      </c>
      <c r="EB141" s="21">
        <f>EXP(-LN(2)/25)*EB140+(1-EXP(-LN(2)/25))/(LN(2)/25)*Calculateur!DW141*Calculateur!DY141*VLOOKUP('Données projet'!$B$14,Paramètres!$A$1:$I$89,3,0)*0.475*44/12</f>
        <v>0.36494967047235477</v>
      </c>
      <c r="EC141" s="21">
        <f>EXP(-LN(2)/2)*EC140+(1-EXP(-LN(2)/2))/(LN(2)/2)*DW141*DZ141*VLOOKUP('Données projet'!$B$14,Paramètres!$A$1:$I$89,3,0)*0.475*44/12</f>
        <v>7.7049676280177291E-16</v>
      </c>
      <c r="ED141" s="22">
        <f t="shared" si="126"/>
        <v>0.36494967047235555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2.8421709430404007E-14</v>
      </c>
      <c r="EK141" s="17">
        <f>EJ141*VLOOKUP('Données projet'!$B$15,Paramètres!$A$1:$I$89,3,0)*VLOOKUP('Données projet'!$B$15,Paramètres!$A$1:$I$89,5,0)</f>
        <v>2.2168933355715127E-14</v>
      </c>
      <c r="EL141" s="13">
        <f t="shared" si="153"/>
        <v>3.9687356123668477E-13</v>
      </c>
      <c r="EM141" s="20">
        <f t="shared" si="127"/>
        <v>7.2983234474842979E-13</v>
      </c>
      <c r="EN141" s="59">
        <f t="shared" si="128"/>
        <v>293.33333333333405</v>
      </c>
      <c r="EO141" s="59">
        <f ca="1">AVERAGE(OFFSET($EN$3,0,0,'Données projet'!$E$15+1,1))-AVERAGE(OFFSET($H$3,0,0,'Données projet'!$E$15+1,1))</f>
        <v>104.07220236158577</v>
      </c>
      <c r="EP141" s="59">
        <f t="shared" si="154"/>
        <v>34.162068257911756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>
        <f>EXP(-LN(2)/35)*EV140+(1-EXP(-LN(2)/35))/(LN(2)/35)*ER141*ES141*VLOOKUP('Données projet'!$B$15,Paramètres!$A$1:$I$89,3,0)*0.475*44/12</f>
        <v>0</v>
      </c>
      <c r="EW141" s="21">
        <f>EXP(-LN(2)/25)*EW140+(1-EXP(-LN(2)/25))/(LN(2)/25)*Calculateur!ER141*Calculateur!ET141*VLOOKUP('Données projet'!$B$15,Paramètres!$A$1:$I$89,3,0)*0.475*44/12</f>
        <v>0</v>
      </c>
      <c r="EX141" s="21">
        <f>EXP(-LN(2)/2)*EX140+(1-EXP(-LN(2)/2))/(LN(2)/2)*ER141*EU141*VLOOKUP('Données projet'!$B$15,Paramètres!$A$1:$I$89,3,0)*0.475*44/12</f>
        <v>0</v>
      </c>
      <c r="EY141" s="22">
        <f t="shared" si="129"/>
        <v>0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5.6843418860808015E-14</v>
      </c>
      <c r="FF141" s="17">
        <f>FE141*VLOOKUP('Données projet'!$B$16,Paramètres!$A$1:$I$89,3,0)*VLOOKUP('Données projet'!$B$16,Paramètres!$A$1:$I$89,5,0)</f>
        <v>5.1431925385259088E-14</v>
      </c>
      <c r="FG141" s="13">
        <f t="shared" si="155"/>
        <v>8.3482866290946129E-13</v>
      </c>
      <c r="FH141" s="20">
        <f t="shared" si="130"/>
        <v>1.5435705246133045E-12</v>
      </c>
      <c r="FI141" s="59">
        <f t="shared" si="131"/>
        <v>293.33333333333485</v>
      </c>
      <c r="FJ141" s="59">
        <f ca="1">AVERAGE(OFFSET($FI$3,0,0,'Données projet'!$E$16+1,1))-AVERAGE(OFFSET($H$3,0,0,'Données projet'!$E$16+1,1))</f>
        <v>179.50097986986123</v>
      </c>
      <c r="FK141" s="59">
        <f t="shared" si="156"/>
        <v>287.11838730637578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>
        <f>EXP(-LN(2)/35)*FQ140+(1-EXP(-LN(2)/35))/(LN(2)/35)*FM141*FN141*VLOOKUP('Données projet'!$B$16,Paramètres!$A$1:$I$89,3,0)*0.475*44/12</f>
        <v>7.3427213611124587E-2</v>
      </c>
      <c r="FR141" s="21">
        <f>EXP(-LN(2)/25)*FR140+(1-EXP(-LN(2)/25))/(LN(2)/25)*Calculateur!FM141*Calculateur!FO141*VLOOKUP('Données projet'!$B$16,Paramètres!$A$1:$I$89,3,0)*0.475*44/12</f>
        <v>0.31510253370468372</v>
      </c>
      <c r="FS141" s="21">
        <f>EXP(-LN(2)/2)*FS140+(1-EXP(-LN(2)/2))/(LN(2)/2)*FM141*FP141*VLOOKUP('Données projet'!$B$16,Paramètres!$A$1:$I$89,3,0)*0.475*44/12</f>
        <v>2.5095459185861706E-16</v>
      </c>
      <c r="FT141" s="22">
        <f t="shared" si="132"/>
        <v>0.38852974731580858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5.6843418860808015E-14</v>
      </c>
      <c r="GA141" s="17">
        <f>FZ141*VLOOKUP('Données projet'!$B$17,Paramètres!$A$1:$I$89,3,0)*VLOOKUP('Données projet'!$B$17,Paramètres!$A$1:$I$89,5,0)</f>
        <v>3.3992364478763198E-14</v>
      </c>
      <c r="GB141" s="13">
        <f t="shared" si="157"/>
        <v>5.790027782444094E-13</v>
      </c>
      <c r="GC141" s="20">
        <f t="shared" si="133"/>
        <v>1.0676332069095257E-12</v>
      </c>
      <c r="GD141" s="59">
        <f t="shared" si="134"/>
        <v>293.33333333333439</v>
      </c>
      <c r="GE141" s="59">
        <f ca="1">AVERAGE(OFFSET($GD$3,0,0,'Données projet'!$E$17+1,1))-AVERAGE(OFFSET($H$3,0,0,'Données projet'!$E$17+1,1))</f>
        <v>165.39579887388538</v>
      </c>
      <c r="GF141" s="59">
        <f t="shared" si="158"/>
        <v>155.89639262545802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>
        <f>EXP(-LN(2)/35)*GL140+(1-EXP(-LN(2)/35))/(LN(2)/35)*GH141*GI141*VLOOKUP('Données projet'!$B$17,Paramètres!$A$1:$I$89,3,0)*0.475*44/12</f>
        <v>0</v>
      </c>
      <c r="GM141" s="21">
        <f>EXP(-LN(2)/25)*GM140+(1-EXP(-LN(2)/25))/(LN(2)/25)*Calculateur!GH141*Calculateur!GJ141*VLOOKUP('Données projet'!$B$17,Paramètres!$A$1:$I$89,3,0)*0.475*44/12</f>
        <v>0.36494967047235477</v>
      </c>
      <c r="GN141" s="21">
        <f>EXP(-LN(2)/2)*GN140+(1-EXP(-LN(2)/2))/(LN(2)/2)*GH141*GK141*VLOOKUP('Données projet'!$B$17,Paramètres!$A$1:$I$89,3,0)*0.475*44/12</f>
        <v>7.7049676280177291E-16</v>
      </c>
      <c r="GO141" s="21">
        <f t="shared" si="135"/>
        <v>0.36494967047235555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3.4106051316484809E-13</v>
      </c>
      <c r="O142" s="13">
        <f>N142*VLOOKUP('Données projet'!$B$9,Paramètres!$A$1:$I$89,3,0)*VLOOKUP('Données projet'!$B$9,Paramètres!$A$1:$I$89,5,0)</f>
        <v>1.9065282685915009E-13</v>
      </c>
      <c r="P142" s="13">
        <f t="shared" si="141"/>
        <v>2.6568987209435707E-12</v>
      </c>
      <c r="Q142" s="20">
        <f t="shared" si="108"/>
        <v>4.959485612423072E-12</v>
      </c>
      <c r="R142" s="59">
        <f t="shared" si="109"/>
        <v>293.33333333333826</v>
      </c>
      <c r="S142" s="59">
        <f ca="1">AVERAGE(OFFSET($R$3,0,0,'Données projet'!$E$9+1,1))-AVERAGE(OFFSET($H$3,0,0,'Données projet'!$E$9+1,1))</f>
        <v>235.10258076192054</v>
      </c>
      <c r="T142" s="59">
        <f t="shared" si="142"/>
        <v>233.47316052603765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0.39562955250551129</v>
      </c>
      <c r="AA142" s="21">
        <f>EXP(-LN(2)/25)*AA141+(1-EXP(-LN(2)/25))/(LN(2)/25)*Calculateur!V142*Calculateur!X142*VLOOKUP('Données projet'!$B$9,Paramètres!$A$1:$I$89,3,0)*0.475*44/12</f>
        <v>0.8977380717796335</v>
      </c>
      <c r="AB142" s="21">
        <f>EXP(-LN(2)/2)*AB141+(1-EXP(-LN(2)/2))/(LN(2)/2)*V142*Y142*VLOOKUP('Données projet'!$B$9,Paramètres!$A$1:$I$89,3,0)*0.475*44/12</f>
        <v>9.468474650128646E-16</v>
      </c>
      <c r="AC142" s="22">
        <f t="shared" si="111"/>
        <v>1.2933676242851457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-8.5265128291212022E-14</v>
      </c>
      <c r="AJ142" s="13">
        <f>AI142*VLOOKUP('Données projet'!$B$10,Paramètres!$A$1:$I$89,3,0)*VLOOKUP('Données projet'!$B$10,Paramètres!$A$1:$I$89,5,0)</f>
        <v>-7.4487616075202836E-14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191.94797389630673</v>
      </c>
      <c r="AO142" s="59">
        <f t="shared" si="144"/>
        <v>273.52540822767878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0.29732160309505107</v>
      </c>
      <c r="AV142" s="21">
        <f>EXP(-LN(2)/25)*AV141+(1-EXP(-LN(2)/25))/(LN(2)/25)*Calculateur!AQ142*Calculateur!AS142*VLOOKUP('Données projet'!$B$10,Paramètres!$A$1:$I$89,3,0)*0.475*44/12</f>
        <v>0.6841138566632734</v>
      </c>
      <c r="AW142" s="21">
        <f>EXP(-LN(2)/2)*AW141+(1-EXP(-LN(2)/2))/(LN(2)/2)*AQ142*AT142*VLOOKUP('Données projet'!$B$10,Paramètres!$A$1:$I$89,3,0)*0.475*44/12</f>
        <v>9.1077385271345048E-16</v>
      </c>
      <c r="AX142" s="21">
        <f t="shared" si="114"/>
        <v>0.98143545975832536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2.8421709430404007E-14</v>
      </c>
      <c r="BE142" s="13">
        <f>BD142*VLOOKUP('Données projet'!$B$11,Paramètres!$A$1:$I$89,3,0)*VLOOKUP('Données projet'!$B$11,Paramètres!$A$1:$I$89,5,0)</f>
        <v>2.5715962692629544E-14</v>
      </c>
      <c r="BF142" s="13">
        <f t="shared" si="145"/>
        <v>4.5248818890525812E-13</v>
      </c>
      <c r="BG142" s="20">
        <f t="shared" si="115"/>
        <v>8.3287223069965432E-13</v>
      </c>
      <c r="BH142" s="59">
        <f t="shared" si="116"/>
        <v>293.33333333333417</v>
      </c>
      <c r="BI142" s="59">
        <f ca="1">AVERAGE(OFFSET($BH$3,0,0,'Données projet'!$E$11+1,1))-AVERAGE(OFFSET($H$3,0,0,'Données projet'!$E$11+1,1))</f>
        <v>138.8931001150624</v>
      </c>
      <c r="BJ142" s="59">
        <f t="shared" si="146"/>
        <v>48.964659354096625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2.8421709430404007E-14</v>
      </c>
      <c r="BZ142" s="13">
        <f>BY142*VLOOKUP('Données projet'!$B$12,Paramètres!$A$1:$I$89,3,0)*VLOOKUP('Données projet'!$B$12,Paramètres!$A$1:$I$89,5,0)</f>
        <v>2.8819613362429664E-14</v>
      </c>
      <c r="CA142" s="13">
        <f t="shared" si="147"/>
        <v>5.0041752926933358E-13</v>
      </c>
      <c r="CB142" s="20">
        <f t="shared" si="118"/>
        <v>9.2175469008365428E-13</v>
      </c>
      <c r="CC142" s="59">
        <f t="shared" si="119"/>
        <v>293.33333333333422</v>
      </c>
      <c r="CD142" s="59">
        <f ca="1">AVERAGE(OFFSET($CC$3,0,0,'Données projet'!$E$12+1,1))-AVERAGE(OFFSET($H$3,0,0,'Données projet'!$E$12+1,1))</f>
        <v>169.2757878405003</v>
      </c>
      <c r="CE142" s="59">
        <f t="shared" si="148"/>
        <v>61.876502626609977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-8.5265128291212022E-14</v>
      </c>
      <c r="CU142" s="17">
        <f>CT142*VLOOKUP('Données projet'!$B$13,Paramètres!$A$1:$I$89,3,0)*VLOOKUP('Données projet'!$B$13,Paramètres!$A$1:$I$89,5,0)</f>
        <v>-6.7836936068488286E-14</v>
      </c>
      <c r="CV142" s="13" t="e">
        <f t="shared" si="149"/>
        <v>#NUM!</v>
      </c>
      <c r="CW142" s="20" t="e">
        <f t="shared" si="121"/>
        <v>#NUM!</v>
      </c>
      <c r="CX142" s="59" t="e">
        <f t="shared" si="122"/>
        <v>#NUM!</v>
      </c>
      <c r="CY142" s="59">
        <f ca="1">AVERAGE(OFFSET($CX$3,0,0,'Données projet'!$E$13+1,1))-AVERAGE(OFFSET($H$3,0,0,'Données projet'!$E$13+1,1))</f>
        <v>141.12810728817544</v>
      </c>
      <c r="CZ142" s="59">
        <f t="shared" si="150"/>
        <v>176.01405805137551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>
        <f>EXP(-LN(2)/35)*DF141+(1-EXP(-LN(2)/35))/(LN(2)/35)*DB142*DC142*VLOOKUP('Données projet'!$B$13,Paramètres!$A$1:$I$89,3,0)*0.475*44/12</f>
        <v>0</v>
      </c>
      <c r="DG142" s="21">
        <f>EXP(-LN(2)/25)*DG141+(1-EXP(-LN(2)/25))/(LN(2)/25)*Calculateur!DB142*Calculateur!DD142*VLOOKUP('Données projet'!$B$13,Paramètres!$A$1:$I$89,3,0)*0.475*44/12</f>
        <v>0.32737451206545964</v>
      </c>
      <c r="DH142" s="21">
        <f>EXP(-LN(2)/2)*DH141+(1-EXP(-LN(2)/2))/(LN(2)/2)*DB142*DE142*VLOOKUP('Données projet'!$B$13,Paramètres!$A$1:$I$89,3,0)*0.475*44/12</f>
        <v>3.1422228731527756E-16</v>
      </c>
      <c r="DI142" s="22">
        <f t="shared" si="123"/>
        <v>0.32737451206545998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5.6843418860808015E-14</v>
      </c>
      <c r="DP142" s="17">
        <f>DO142*VLOOKUP('Données projet'!$B$14,Paramètres!$A$1:$I$89,3,0)*VLOOKUP('Données projet'!$B$14,Paramètres!$A$1:$I$89,5,0)</f>
        <v>3.3992364478763198E-14</v>
      </c>
      <c r="DQ142" s="13">
        <f t="shared" si="151"/>
        <v>5.790027782444094E-13</v>
      </c>
      <c r="DR142" s="20">
        <f t="shared" si="124"/>
        <v>1.0676332069095257E-12</v>
      </c>
      <c r="DS142" s="59">
        <f t="shared" si="125"/>
        <v>293.33333333333439</v>
      </c>
      <c r="DT142" s="59">
        <f ca="1">AVERAGE(OFFSET($DS$3,0,0,'Données projet'!$E$14+1,1))-AVERAGE(OFFSET($H$3,0,0,'Données projet'!$E$14+1,1))</f>
        <v>165.39579887388538</v>
      </c>
      <c r="DU142" s="59">
        <f t="shared" si="152"/>
        <v>155.89639262545802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>
        <f>EXP(-LN(2)/35)*EA141+(1-EXP(-LN(2)/35))/(LN(2)/35)*DW142*DX142*VLOOKUP('Données projet'!$B$14,Paramètres!$A$1:$I$89,3,0)*0.475*44/12</f>
        <v>0</v>
      </c>
      <c r="EB142" s="21">
        <f>EXP(-LN(2)/25)*EB141+(1-EXP(-LN(2)/25))/(LN(2)/25)*Calculateur!DW142*Calculateur!DY142*VLOOKUP('Données projet'!$B$14,Paramètres!$A$1:$I$89,3,0)*0.475*44/12</f>
        <v>0.35497010254141914</v>
      </c>
      <c r="EC142" s="21">
        <f>EXP(-LN(2)/2)*EC141+(1-EXP(-LN(2)/2))/(LN(2)/2)*DW142*DZ142*VLOOKUP('Données projet'!$B$14,Paramètres!$A$1:$I$89,3,0)*0.475*44/12</f>
        <v>5.4482348585941644E-16</v>
      </c>
      <c r="ED142" s="22">
        <f t="shared" si="126"/>
        <v>0.3549701025414197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2.8421709430404007E-14</v>
      </c>
      <c r="EK142" s="17">
        <f>EJ142*VLOOKUP('Données projet'!$B$15,Paramètres!$A$1:$I$89,3,0)*VLOOKUP('Données projet'!$B$15,Paramètres!$A$1:$I$89,5,0)</f>
        <v>2.2168933355715127E-14</v>
      </c>
      <c r="EL142" s="13">
        <f t="shared" si="153"/>
        <v>3.9687356123668477E-13</v>
      </c>
      <c r="EM142" s="20">
        <f t="shared" si="127"/>
        <v>7.2983234474842979E-13</v>
      </c>
      <c r="EN142" s="59">
        <f t="shared" si="128"/>
        <v>293.33333333333405</v>
      </c>
      <c r="EO142" s="59">
        <f ca="1">AVERAGE(OFFSET($EN$3,0,0,'Données projet'!$E$15+1,1))-AVERAGE(OFFSET($H$3,0,0,'Données projet'!$E$15+1,1))</f>
        <v>104.07220236158577</v>
      </c>
      <c r="EP142" s="59">
        <f t="shared" si="154"/>
        <v>34.162068257911756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>
        <f>EXP(-LN(2)/35)*EV141+(1-EXP(-LN(2)/35))/(LN(2)/35)*ER142*ES142*VLOOKUP('Données projet'!$B$15,Paramètres!$A$1:$I$89,3,0)*0.475*44/12</f>
        <v>0</v>
      </c>
      <c r="EW142" s="21">
        <f>EXP(-LN(2)/25)*EW141+(1-EXP(-LN(2)/25))/(LN(2)/25)*Calculateur!ER142*Calculateur!ET142*VLOOKUP('Données projet'!$B$15,Paramètres!$A$1:$I$89,3,0)*0.475*44/12</f>
        <v>0</v>
      </c>
      <c r="EX142" s="21">
        <f>EXP(-LN(2)/2)*EX141+(1-EXP(-LN(2)/2))/(LN(2)/2)*ER142*EU142*VLOOKUP('Données projet'!$B$15,Paramètres!$A$1:$I$89,3,0)*0.475*44/12</f>
        <v>0</v>
      </c>
      <c r="EY142" s="22">
        <f t="shared" si="129"/>
        <v>0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5.6843418860808015E-14</v>
      </c>
      <c r="FF142" s="17">
        <f>FE142*VLOOKUP('Données projet'!$B$16,Paramètres!$A$1:$I$89,3,0)*VLOOKUP('Données projet'!$B$16,Paramètres!$A$1:$I$89,5,0)</f>
        <v>5.1431925385259088E-14</v>
      </c>
      <c r="FG142" s="13">
        <f t="shared" si="155"/>
        <v>8.3482866290946129E-13</v>
      </c>
      <c r="FH142" s="20">
        <f t="shared" si="130"/>
        <v>1.5435705246133045E-12</v>
      </c>
      <c r="FI142" s="59">
        <f t="shared" si="131"/>
        <v>293.33333333333485</v>
      </c>
      <c r="FJ142" s="59">
        <f ca="1">AVERAGE(OFFSET($FI$3,0,0,'Données projet'!$E$16+1,1))-AVERAGE(OFFSET($H$3,0,0,'Données projet'!$E$16+1,1))</f>
        <v>179.50097986986123</v>
      </c>
      <c r="FK142" s="59">
        <f t="shared" si="156"/>
        <v>287.11838730637578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>
        <f>EXP(-LN(2)/35)*FQ141+(1-EXP(-LN(2)/35))/(LN(2)/35)*FM142*FN142*VLOOKUP('Données projet'!$B$16,Paramètres!$A$1:$I$89,3,0)*0.475*44/12</f>
        <v>7.1987350738388467E-2</v>
      </c>
      <c r="FR142" s="21">
        <f>EXP(-LN(2)/25)*FR141+(1-EXP(-LN(2)/25))/(LN(2)/25)*Calculateur!FM142*Calculateur!FO142*VLOOKUP('Données projet'!$B$16,Paramètres!$A$1:$I$89,3,0)*0.475*44/12</f>
        <v>0.3064860383500071</v>
      </c>
      <c r="FS142" s="21">
        <f>EXP(-LN(2)/2)*FS141+(1-EXP(-LN(2)/2))/(LN(2)/2)*FM142*FP142*VLOOKUP('Données projet'!$B$16,Paramètres!$A$1:$I$89,3,0)*0.475*44/12</f>
        <v>1.7745169367313048E-16</v>
      </c>
      <c r="FT142" s="22">
        <f t="shared" si="132"/>
        <v>0.37847338908839573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5.6843418860808015E-14</v>
      </c>
      <c r="GA142" s="17">
        <f>FZ142*VLOOKUP('Données projet'!$B$17,Paramètres!$A$1:$I$89,3,0)*VLOOKUP('Données projet'!$B$17,Paramètres!$A$1:$I$89,5,0)</f>
        <v>3.3992364478763198E-14</v>
      </c>
      <c r="GB142" s="13">
        <f t="shared" si="157"/>
        <v>5.790027782444094E-13</v>
      </c>
      <c r="GC142" s="20">
        <f t="shared" si="133"/>
        <v>1.0676332069095257E-12</v>
      </c>
      <c r="GD142" s="59">
        <f t="shared" si="134"/>
        <v>293.33333333333439</v>
      </c>
      <c r="GE142" s="59">
        <f ca="1">AVERAGE(OFFSET($GD$3,0,0,'Données projet'!$E$17+1,1))-AVERAGE(OFFSET($H$3,0,0,'Données projet'!$E$17+1,1))</f>
        <v>165.39579887388538</v>
      </c>
      <c r="GF142" s="59">
        <f t="shared" si="158"/>
        <v>155.89639262545802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>
        <f>EXP(-LN(2)/35)*GL141+(1-EXP(-LN(2)/35))/(LN(2)/35)*GH142*GI142*VLOOKUP('Données projet'!$B$17,Paramètres!$A$1:$I$89,3,0)*0.475*44/12</f>
        <v>0</v>
      </c>
      <c r="GM142" s="21">
        <f>EXP(-LN(2)/25)*GM141+(1-EXP(-LN(2)/25))/(LN(2)/25)*Calculateur!GH142*Calculateur!GJ142*VLOOKUP('Données projet'!$B$17,Paramètres!$A$1:$I$89,3,0)*0.475*44/12</f>
        <v>0.35497010254141914</v>
      </c>
      <c r="GN142" s="21">
        <f>EXP(-LN(2)/2)*GN141+(1-EXP(-LN(2)/2))/(LN(2)/2)*GH142*GK142*VLOOKUP('Données projet'!$B$17,Paramètres!$A$1:$I$89,3,0)*0.475*44/12</f>
        <v>5.4482348585941644E-16</v>
      </c>
      <c r="GO142" s="21">
        <f t="shared" si="135"/>
        <v>0.3549701025414197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3.4106051316484809E-13</v>
      </c>
      <c r="O143" s="13">
        <f>N143*VLOOKUP('Données projet'!$B$9,Paramètres!$A$1:$I$89,3,0)*VLOOKUP('Données projet'!$B$9,Paramètres!$A$1:$I$89,5,0)</f>
        <v>1.9065282685915009E-13</v>
      </c>
      <c r="P143" s="13">
        <f t="shared" si="141"/>
        <v>2.6568987209435707E-12</v>
      </c>
      <c r="Q143" s="20">
        <f t="shared" si="108"/>
        <v>4.959485612423072E-12</v>
      </c>
      <c r="R143" s="59">
        <f t="shared" si="109"/>
        <v>293.33333333333826</v>
      </c>
      <c r="S143" s="59">
        <f ca="1">AVERAGE(OFFSET($R$3,0,0,'Données projet'!$E$9+1,1))-AVERAGE(OFFSET($H$3,0,0,'Données projet'!$E$9+1,1))</f>
        <v>235.10258076192054</v>
      </c>
      <c r="T143" s="59">
        <f t="shared" si="142"/>
        <v>233.47316052603765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0.38787149829107787</v>
      </c>
      <c r="AA143" s="21">
        <f>EXP(-LN(2)/25)*AA142+(1-EXP(-LN(2)/25))/(LN(2)/25)*Calculateur!V143*Calculateur!X143*VLOOKUP('Données projet'!$B$9,Paramètres!$A$1:$I$89,3,0)*0.475*44/12</f>
        <v>0.87318937699682608</v>
      </c>
      <c r="AB143" s="21">
        <f>EXP(-LN(2)/2)*AB142+(1-EXP(-LN(2)/2))/(LN(2)/2)*V143*Y143*VLOOKUP('Données projet'!$B$9,Paramètres!$A$1:$I$89,3,0)*0.475*44/12</f>
        <v>6.6952226325988887E-16</v>
      </c>
      <c r="AC143" s="22">
        <f t="shared" si="111"/>
        <v>1.2610608752879047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-8.5265128291212022E-14</v>
      </c>
      <c r="AJ143" s="13">
        <f>AI143*VLOOKUP('Données projet'!$B$10,Paramètres!$A$1:$I$89,3,0)*VLOOKUP('Données projet'!$B$10,Paramètres!$A$1:$I$89,5,0)</f>
        <v>-7.4487616075202836E-14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191.94797389630673</v>
      </c>
      <c r="AO143" s="59">
        <f t="shared" si="144"/>
        <v>273.52540822767878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0.29149130780662835</v>
      </c>
      <c r="AV143" s="21">
        <f>EXP(-LN(2)/25)*AV142+(1-EXP(-LN(2)/25))/(LN(2)/25)*Calculateur!AQ143*Calculateur!AS143*VLOOKUP('Données projet'!$B$10,Paramètres!$A$1:$I$89,3,0)*0.475*44/12</f>
        <v>0.66540672727683203</v>
      </c>
      <c r="AW143" s="21">
        <f>EXP(-LN(2)/2)*AW142+(1-EXP(-LN(2)/2))/(LN(2)/2)*AQ143*AT143*VLOOKUP('Données projet'!$B$10,Paramètres!$A$1:$I$89,3,0)*0.475*44/12</f>
        <v>6.4401436738107871E-16</v>
      </c>
      <c r="AX143" s="21">
        <f t="shared" si="114"/>
        <v>0.95689803508346105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2.8421709430404007E-14</v>
      </c>
      <c r="BE143" s="13">
        <f>BD143*VLOOKUP('Données projet'!$B$11,Paramètres!$A$1:$I$89,3,0)*VLOOKUP('Données projet'!$B$11,Paramètres!$A$1:$I$89,5,0)</f>
        <v>2.5715962692629544E-14</v>
      </c>
      <c r="BF143" s="13">
        <f t="shared" si="145"/>
        <v>4.5248818890525812E-13</v>
      </c>
      <c r="BG143" s="20">
        <f t="shared" si="115"/>
        <v>8.3287223069965432E-13</v>
      </c>
      <c r="BH143" s="59">
        <f t="shared" si="116"/>
        <v>293.33333333333417</v>
      </c>
      <c r="BI143" s="59">
        <f ca="1">AVERAGE(OFFSET($BH$3,0,0,'Données projet'!$E$11+1,1))-AVERAGE(OFFSET($H$3,0,0,'Données projet'!$E$11+1,1))</f>
        <v>138.8931001150624</v>
      </c>
      <c r="BJ143" s="59">
        <f t="shared" si="146"/>
        <v>48.964659354096625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2.8421709430404007E-14</v>
      </c>
      <c r="BZ143" s="13">
        <f>BY143*VLOOKUP('Données projet'!$B$12,Paramètres!$A$1:$I$89,3,0)*VLOOKUP('Données projet'!$B$12,Paramètres!$A$1:$I$89,5,0)</f>
        <v>2.8819613362429664E-14</v>
      </c>
      <c r="CA143" s="13">
        <f t="shared" si="147"/>
        <v>5.0041752926933358E-13</v>
      </c>
      <c r="CB143" s="20">
        <f t="shared" si="118"/>
        <v>9.2175469008365428E-13</v>
      </c>
      <c r="CC143" s="59">
        <f t="shared" si="119"/>
        <v>293.33333333333422</v>
      </c>
      <c r="CD143" s="59">
        <f ca="1">AVERAGE(OFFSET($CC$3,0,0,'Données projet'!$E$12+1,1))-AVERAGE(OFFSET($H$3,0,0,'Données projet'!$E$12+1,1))</f>
        <v>169.2757878405003</v>
      </c>
      <c r="CE143" s="59">
        <f t="shared" si="148"/>
        <v>61.876502626609977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-8.5265128291212022E-14</v>
      </c>
      <c r="CU143" s="17">
        <f>CT143*VLOOKUP('Données projet'!$B$13,Paramètres!$A$1:$I$89,3,0)*VLOOKUP('Données projet'!$B$13,Paramètres!$A$1:$I$89,5,0)</f>
        <v>-6.7836936068488286E-14</v>
      </c>
      <c r="CV143" s="13" t="e">
        <f t="shared" si="149"/>
        <v>#NUM!</v>
      </c>
      <c r="CW143" s="20" t="e">
        <f t="shared" si="121"/>
        <v>#NUM!</v>
      </c>
      <c r="CX143" s="59" t="e">
        <f t="shared" si="122"/>
        <v>#NUM!</v>
      </c>
      <c r="CY143" s="59">
        <f ca="1">AVERAGE(OFFSET($CX$3,0,0,'Données projet'!$E$13+1,1))-AVERAGE(OFFSET($H$3,0,0,'Données projet'!$E$13+1,1))</f>
        <v>141.12810728817544</v>
      </c>
      <c r="CZ143" s="59">
        <f t="shared" si="150"/>
        <v>176.01405805137551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>
        <f>EXP(-LN(2)/35)*DF142+(1-EXP(-LN(2)/35))/(LN(2)/35)*DB143*DC143*VLOOKUP('Données projet'!$B$13,Paramètres!$A$1:$I$89,3,0)*0.475*44/12</f>
        <v>0</v>
      </c>
      <c r="DG143" s="21">
        <f>EXP(-LN(2)/25)*DG142+(1-EXP(-LN(2)/25))/(LN(2)/25)*Calculateur!DB143*Calculateur!DD143*VLOOKUP('Données projet'!$B$13,Paramètres!$A$1:$I$89,3,0)*0.475*44/12</f>
        <v>0.31842243881715226</v>
      </c>
      <c r="DH143" s="21">
        <f>EXP(-LN(2)/2)*DH142+(1-EXP(-LN(2)/2))/(LN(2)/2)*DB143*DE143*VLOOKUP('Données projet'!$B$13,Paramètres!$A$1:$I$89,3,0)*0.475*44/12</f>
        <v>2.2218871016058043E-16</v>
      </c>
      <c r="DI143" s="22">
        <f t="shared" si="123"/>
        <v>0.31842243881715249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5.6843418860808015E-14</v>
      </c>
      <c r="DP143" s="17">
        <f>DO143*VLOOKUP('Données projet'!$B$14,Paramètres!$A$1:$I$89,3,0)*VLOOKUP('Données projet'!$B$14,Paramètres!$A$1:$I$89,5,0)</f>
        <v>3.3992364478763198E-14</v>
      </c>
      <c r="DQ143" s="13">
        <f t="shared" si="151"/>
        <v>5.790027782444094E-13</v>
      </c>
      <c r="DR143" s="20">
        <f t="shared" si="124"/>
        <v>1.0676332069095257E-12</v>
      </c>
      <c r="DS143" s="59">
        <f t="shared" si="125"/>
        <v>293.33333333333439</v>
      </c>
      <c r="DT143" s="59">
        <f ca="1">AVERAGE(OFFSET($DS$3,0,0,'Données projet'!$E$14+1,1))-AVERAGE(OFFSET($H$3,0,0,'Données projet'!$E$14+1,1))</f>
        <v>165.39579887388538</v>
      </c>
      <c r="DU143" s="59">
        <f t="shared" si="152"/>
        <v>155.89639262545802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>
        <f>EXP(-LN(2)/35)*EA142+(1-EXP(-LN(2)/35))/(LN(2)/35)*DW143*DX143*VLOOKUP('Données projet'!$B$14,Paramètres!$A$1:$I$89,3,0)*0.475*44/12</f>
        <v>0</v>
      </c>
      <c r="EB143" s="21">
        <f>EXP(-LN(2)/25)*EB142+(1-EXP(-LN(2)/25))/(LN(2)/25)*Calculateur!DW143*Calculateur!DY143*VLOOKUP('Données projet'!$B$14,Paramètres!$A$1:$I$89,3,0)*0.475*44/12</f>
        <v>0.34526342642035762</v>
      </c>
      <c r="EC143" s="21">
        <f>EXP(-LN(2)/2)*EC142+(1-EXP(-LN(2)/2))/(LN(2)/2)*DW143*DZ143*VLOOKUP('Données projet'!$B$14,Paramètres!$A$1:$I$89,3,0)*0.475*44/12</f>
        <v>3.8524838140088645E-16</v>
      </c>
      <c r="ED143" s="22">
        <f t="shared" si="126"/>
        <v>0.34526342642035801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2.8421709430404007E-14</v>
      </c>
      <c r="EK143" s="17">
        <f>EJ143*VLOOKUP('Données projet'!$B$15,Paramètres!$A$1:$I$89,3,0)*VLOOKUP('Données projet'!$B$15,Paramètres!$A$1:$I$89,5,0)</f>
        <v>2.2168933355715127E-14</v>
      </c>
      <c r="EL143" s="13">
        <f t="shared" si="153"/>
        <v>3.9687356123668477E-13</v>
      </c>
      <c r="EM143" s="20">
        <f t="shared" si="127"/>
        <v>7.2983234474842979E-13</v>
      </c>
      <c r="EN143" s="59">
        <f t="shared" si="128"/>
        <v>293.33333333333405</v>
      </c>
      <c r="EO143" s="59">
        <f ca="1">AVERAGE(OFFSET($EN$3,0,0,'Données projet'!$E$15+1,1))-AVERAGE(OFFSET($H$3,0,0,'Données projet'!$E$15+1,1))</f>
        <v>104.07220236158577</v>
      </c>
      <c r="EP143" s="59">
        <f t="shared" si="154"/>
        <v>34.162068257911756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>
        <f>EXP(-LN(2)/35)*EV142+(1-EXP(-LN(2)/35))/(LN(2)/35)*ER143*ES143*VLOOKUP('Données projet'!$B$15,Paramètres!$A$1:$I$89,3,0)*0.475*44/12</f>
        <v>0</v>
      </c>
      <c r="EW143" s="21">
        <f>EXP(-LN(2)/25)*EW142+(1-EXP(-LN(2)/25))/(LN(2)/25)*Calculateur!ER143*Calculateur!ET143*VLOOKUP('Données projet'!$B$15,Paramètres!$A$1:$I$89,3,0)*0.475*44/12</f>
        <v>0</v>
      </c>
      <c r="EX143" s="21">
        <f>EXP(-LN(2)/2)*EX142+(1-EXP(-LN(2)/2))/(LN(2)/2)*ER143*EU143*VLOOKUP('Données projet'!$B$15,Paramètres!$A$1:$I$89,3,0)*0.475*44/12</f>
        <v>0</v>
      </c>
      <c r="EY143" s="22">
        <f t="shared" si="129"/>
        <v>0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5.6843418860808015E-14</v>
      </c>
      <c r="FF143" s="17">
        <f>FE143*VLOOKUP('Données projet'!$B$16,Paramètres!$A$1:$I$89,3,0)*VLOOKUP('Données projet'!$B$16,Paramètres!$A$1:$I$89,5,0)</f>
        <v>5.1431925385259088E-14</v>
      </c>
      <c r="FG143" s="13">
        <f t="shared" si="155"/>
        <v>8.3482866290946129E-13</v>
      </c>
      <c r="FH143" s="20">
        <f t="shared" si="130"/>
        <v>1.5435705246133045E-12</v>
      </c>
      <c r="FI143" s="59">
        <f t="shared" si="131"/>
        <v>293.33333333333485</v>
      </c>
      <c r="FJ143" s="59">
        <f ca="1">AVERAGE(OFFSET($FI$3,0,0,'Données projet'!$E$16+1,1))-AVERAGE(OFFSET($H$3,0,0,'Données projet'!$E$16+1,1))</f>
        <v>179.50097986986123</v>
      </c>
      <c r="FK143" s="59">
        <f t="shared" si="156"/>
        <v>287.11838730637578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>
        <f>EXP(-LN(2)/35)*FQ142+(1-EXP(-LN(2)/35))/(LN(2)/35)*FM143*FN143*VLOOKUP('Données projet'!$B$16,Paramètres!$A$1:$I$89,3,0)*0.475*44/12</f>
        <v>7.0575722698357074E-2</v>
      </c>
      <c r="FR143" s="21">
        <f>EXP(-LN(2)/25)*FR142+(1-EXP(-LN(2)/25))/(LN(2)/25)*Calculateur!FM143*Calculateur!FO143*VLOOKUP('Données projet'!$B$16,Paramètres!$A$1:$I$89,3,0)*0.475*44/12</f>
        <v>0.29810516151392585</v>
      </c>
      <c r="FS143" s="21">
        <f>EXP(-LN(2)/2)*FS142+(1-EXP(-LN(2)/2))/(LN(2)/2)*FM143*FP143*VLOOKUP('Données projet'!$B$16,Paramètres!$A$1:$I$89,3,0)*0.475*44/12</f>
        <v>1.2547729592930853E-16</v>
      </c>
      <c r="FT143" s="22">
        <f t="shared" si="132"/>
        <v>0.36868088421228307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5.6843418860808015E-14</v>
      </c>
      <c r="GA143" s="17">
        <f>FZ143*VLOOKUP('Données projet'!$B$17,Paramètres!$A$1:$I$89,3,0)*VLOOKUP('Données projet'!$B$17,Paramètres!$A$1:$I$89,5,0)</f>
        <v>3.3992364478763198E-14</v>
      </c>
      <c r="GB143" s="13">
        <f t="shared" si="157"/>
        <v>5.790027782444094E-13</v>
      </c>
      <c r="GC143" s="20">
        <f t="shared" si="133"/>
        <v>1.0676332069095257E-12</v>
      </c>
      <c r="GD143" s="59">
        <f t="shared" si="134"/>
        <v>293.33333333333439</v>
      </c>
      <c r="GE143" s="59">
        <f ca="1">AVERAGE(OFFSET($GD$3,0,0,'Données projet'!$E$17+1,1))-AVERAGE(OFFSET($H$3,0,0,'Données projet'!$E$17+1,1))</f>
        <v>165.39579887388538</v>
      </c>
      <c r="GF143" s="59">
        <f t="shared" si="158"/>
        <v>155.89639262545802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>
        <f>EXP(-LN(2)/35)*GL142+(1-EXP(-LN(2)/35))/(LN(2)/35)*GH143*GI143*VLOOKUP('Données projet'!$B$17,Paramètres!$A$1:$I$89,3,0)*0.475*44/12</f>
        <v>0</v>
      </c>
      <c r="GM143" s="21">
        <f>EXP(-LN(2)/25)*GM142+(1-EXP(-LN(2)/25))/(LN(2)/25)*Calculateur!GH143*Calculateur!GJ143*VLOOKUP('Données projet'!$B$17,Paramètres!$A$1:$I$89,3,0)*0.475*44/12</f>
        <v>0.34526342642035762</v>
      </c>
      <c r="GN143" s="21">
        <f>EXP(-LN(2)/2)*GN142+(1-EXP(-LN(2)/2))/(LN(2)/2)*GH143*GK143*VLOOKUP('Données projet'!$B$17,Paramètres!$A$1:$I$89,3,0)*0.475*44/12</f>
        <v>3.8524838140088645E-16</v>
      </c>
      <c r="GO143" s="21">
        <f t="shared" si="135"/>
        <v>0.34526342642035801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3.4106051316484809E-13</v>
      </c>
      <c r="O144" s="13">
        <f>N144*VLOOKUP('Données projet'!$B$9,Paramètres!$A$1:$I$89,3,0)*VLOOKUP('Données projet'!$B$9,Paramètres!$A$1:$I$89,5,0)</f>
        <v>1.9065282685915009E-13</v>
      </c>
      <c r="P144" s="13">
        <f t="shared" si="141"/>
        <v>2.6568987209435707E-12</v>
      </c>
      <c r="Q144" s="20">
        <f t="shared" si="108"/>
        <v>4.959485612423072E-12</v>
      </c>
      <c r="R144" s="59">
        <f t="shared" si="109"/>
        <v>293.33333333333826</v>
      </c>
      <c r="S144" s="59">
        <f ca="1">AVERAGE(OFFSET($R$3,0,0,'Données projet'!$E$9+1,1))-AVERAGE(OFFSET($H$3,0,0,'Données projet'!$E$9+1,1))</f>
        <v>235.10258076192054</v>
      </c>
      <c r="T144" s="59">
        <f t="shared" si="142"/>
        <v>233.47316052603765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0.38026557478784362</v>
      </c>
      <c r="AA144" s="21">
        <f>EXP(-LN(2)/25)*AA143+(1-EXP(-LN(2)/25))/(LN(2)/25)*Calculateur!V144*Calculateur!X144*VLOOKUP('Données projet'!$B$9,Paramètres!$A$1:$I$89,3,0)*0.475*44/12</f>
        <v>0.84931196756381422</v>
      </c>
      <c r="AB144" s="21">
        <f>EXP(-LN(2)/2)*AB143+(1-EXP(-LN(2)/2))/(LN(2)/2)*V144*Y144*VLOOKUP('Données projet'!$B$9,Paramètres!$A$1:$I$89,3,0)*0.475*44/12</f>
        <v>4.734237325064323E-16</v>
      </c>
      <c r="AC144" s="22">
        <f t="shared" si="111"/>
        <v>1.2295775423516582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-8.5265128291212022E-14</v>
      </c>
      <c r="AJ144" s="13">
        <f>AI144*VLOOKUP('Données projet'!$B$10,Paramètres!$A$1:$I$89,3,0)*VLOOKUP('Données projet'!$B$10,Paramètres!$A$1:$I$89,5,0)</f>
        <v>-7.4487616075202836E-14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191.94797389630673</v>
      </c>
      <c r="AO144" s="59">
        <f t="shared" si="144"/>
        <v>273.52540822767878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0.2857753410526826</v>
      </c>
      <c r="AV144" s="21">
        <f>EXP(-LN(2)/25)*AV143+(1-EXP(-LN(2)/25))/(LN(2)/25)*Calculateur!AQ144*Calculateur!AS144*VLOOKUP('Données projet'!$B$10,Paramètres!$A$1:$I$89,3,0)*0.475*44/12</f>
        <v>0.64721114532722812</v>
      </c>
      <c r="AW144" s="21">
        <f>EXP(-LN(2)/2)*AW143+(1-EXP(-LN(2)/2))/(LN(2)/2)*AQ144*AT144*VLOOKUP('Données projet'!$B$10,Paramètres!$A$1:$I$89,3,0)*0.475*44/12</f>
        <v>4.5538692635672524E-16</v>
      </c>
      <c r="AX144" s="21">
        <f t="shared" si="114"/>
        <v>0.93298648637991111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2.8421709430404007E-14</v>
      </c>
      <c r="BE144" s="13">
        <f>BD144*VLOOKUP('Données projet'!$B$11,Paramètres!$A$1:$I$89,3,0)*VLOOKUP('Données projet'!$B$11,Paramètres!$A$1:$I$89,5,0)</f>
        <v>2.5715962692629544E-14</v>
      </c>
      <c r="BF144" s="13">
        <f t="shared" si="145"/>
        <v>4.5248818890525812E-13</v>
      </c>
      <c r="BG144" s="20">
        <f t="shared" si="115"/>
        <v>8.3287223069965432E-13</v>
      </c>
      <c r="BH144" s="59">
        <f t="shared" si="116"/>
        <v>293.33333333333417</v>
      </c>
      <c r="BI144" s="59">
        <f ca="1">AVERAGE(OFFSET($BH$3,0,0,'Données projet'!$E$11+1,1))-AVERAGE(OFFSET($H$3,0,0,'Données projet'!$E$11+1,1))</f>
        <v>138.8931001150624</v>
      </c>
      <c r="BJ144" s="59">
        <f t="shared" si="146"/>
        <v>48.964659354096625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2.8421709430404007E-14</v>
      </c>
      <c r="BZ144" s="13">
        <f>BY144*VLOOKUP('Données projet'!$B$12,Paramètres!$A$1:$I$89,3,0)*VLOOKUP('Données projet'!$B$12,Paramètres!$A$1:$I$89,5,0)</f>
        <v>2.8819613362429664E-14</v>
      </c>
      <c r="CA144" s="13">
        <f t="shared" si="147"/>
        <v>5.0041752926933358E-13</v>
      </c>
      <c r="CB144" s="20">
        <f t="shared" si="118"/>
        <v>9.2175469008365428E-13</v>
      </c>
      <c r="CC144" s="59">
        <f t="shared" si="119"/>
        <v>293.33333333333422</v>
      </c>
      <c r="CD144" s="59">
        <f ca="1">AVERAGE(OFFSET($CC$3,0,0,'Données projet'!$E$12+1,1))-AVERAGE(OFFSET($H$3,0,0,'Données projet'!$E$12+1,1))</f>
        <v>169.2757878405003</v>
      </c>
      <c r="CE144" s="59">
        <f t="shared" si="148"/>
        <v>61.876502626609977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-8.5265128291212022E-14</v>
      </c>
      <c r="CU144" s="17">
        <f>CT144*VLOOKUP('Données projet'!$B$13,Paramètres!$A$1:$I$89,3,0)*VLOOKUP('Données projet'!$B$13,Paramètres!$A$1:$I$89,5,0)</f>
        <v>-6.7836936068488286E-14</v>
      </c>
      <c r="CV144" s="13" t="e">
        <f t="shared" si="149"/>
        <v>#NUM!</v>
      </c>
      <c r="CW144" s="20" t="e">
        <f t="shared" si="121"/>
        <v>#NUM!</v>
      </c>
      <c r="CX144" s="59" t="e">
        <f t="shared" si="122"/>
        <v>#NUM!</v>
      </c>
      <c r="CY144" s="59">
        <f ca="1">AVERAGE(OFFSET($CX$3,0,0,'Données projet'!$E$13+1,1))-AVERAGE(OFFSET($H$3,0,0,'Données projet'!$E$13+1,1))</f>
        <v>141.12810728817544</v>
      </c>
      <c r="CZ144" s="59">
        <f t="shared" si="150"/>
        <v>176.01405805137551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>
        <f>EXP(-LN(2)/35)*DF143+(1-EXP(-LN(2)/35))/(LN(2)/35)*DB144*DC144*VLOOKUP('Données projet'!$B$13,Paramètres!$A$1:$I$89,3,0)*0.475*44/12</f>
        <v>0</v>
      </c>
      <c r="DG144" s="21">
        <f>EXP(-LN(2)/25)*DG143+(1-EXP(-LN(2)/25))/(LN(2)/25)*Calculateur!DB144*Calculateur!DD144*VLOOKUP('Données projet'!$B$13,Paramètres!$A$1:$I$89,3,0)*0.475*44/12</f>
        <v>0.30971516048258896</v>
      </c>
      <c r="DH144" s="21">
        <f>EXP(-LN(2)/2)*DH143+(1-EXP(-LN(2)/2))/(LN(2)/2)*DB144*DE144*VLOOKUP('Données projet'!$B$13,Paramètres!$A$1:$I$89,3,0)*0.475*44/12</f>
        <v>1.5711114365763878E-16</v>
      </c>
      <c r="DI144" s="22">
        <f t="shared" si="123"/>
        <v>0.30971516048258912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5.6843418860808015E-14</v>
      </c>
      <c r="DP144" s="17">
        <f>DO144*VLOOKUP('Données projet'!$B$14,Paramètres!$A$1:$I$89,3,0)*VLOOKUP('Données projet'!$B$14,Paramètres!$A$1:$I$89,5,0)</f>
        <v>3.3992364478763198E-14</v>
      </c>
      <c r="DQ144" s="13">
        <f t="shared" si="151"/>
        <v>5.790027782444094E-13</v>
      </c>
      <c r="DR144" s="20">
        <f t="shared" si="124"/>
        <v>1.0676332069095257E-12</v>
      </c>
      <c r="DS144" s="59">
        <f t="shared" si="125"/>
        <v>293.33333333333439</v>
      </c>
      <c r="DT144" s="59">
        <f ca="1">AVERAGE(OFFSET($DS$3,0,0,'Données projet'!$E$14+1,1))-AVERAGE(OFFSET($H$3,0,0,'Données projet'!$E$14+1,1))</f>
        <v>165.39579887388538</v>
      </c>
      <c r="DU144" s="59">
        <f t="shared" si="152"/>
        <v>155.89639262545802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>
        <f>EXP(-LN(2)/35)*EA143+(1-EXP(-LN(2)/35))/(LN(2)/35)*DW144*DX144*VLOOKUP('Données projet'!$B$14,Paramètres!$A$1:$I$89,3,0)*0.475*44/12</f>
        <v>0</v>
      </c>
      <c r="EB144" s="21">
        <f>EXP(-LN(2)/25)*EB143+(1-EXP(-LN(2)/25))/(LN(2)/25)*Calculateur!DW144*Calculateur!DY144*VLOOKUP('Données projet'!$B$14,Paramètres!$A$1:$I$89,3,0)*0.475*44/12</f>
        <v>0.33582217986827845</v>
      </c>
      <c r="EC144" s="21">
        <f>EXP(-LN(2)/2)*EC143+(1-EXP(-LN(2)/2))/(LN(2)/2)*DW144*DZ144*VLOOKUP('Données projet'!$B$14,Paramètres!$A$1:$I$89,3,0)*0.475*44/12</f>
        <v>2.7241174292970822E-16</v>
      </c>
      <c r="ED144" s="22">
        <f t="shared" si="126"/>
        <v>0.33582217986827873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2.8421709430404007E-14</v>
      </c>
      <c r="EK144" s="17">
        <f>EJ144*VLOOKUP('Données projet'!$B$15,Paramètres!$A$1:$I$89,3,0)*VLOOKUP('Données projet'!$B$15,Paramètres!$A$1:$I$89,5,0)</f>
        <v>2.2168933355715127E-14</v>
      </c>
      <c r="EL144" s="13">
        <f t="shared" si="153"/>
        <v>3.9687356123668477E-13</v>
      </c>
      <c r="EM144" s="20">
        <f t="shared" si="127"/>
        <v>7.2983234474842979E-13</v>
      </c>
      <c r="EN144" s="59">
        <f t="shared" si="128"/>
        <v>293.33333333333405</v>
      </c>
      <c r="EO144" s="59">
        <f ca="1">AVERAGE(OFFSET($EN$3,0,0,'Données projet'!$E$15+1,1))-AVERAGE(OFFSET($H$3,0,0,'Données projet'!$E$15+1,1))</f>
        <v>104.07220236158577</v>
      </c>
      <c r="EP144" s="59">
        <f t="shared" si="154"/>
        <v>34.162068257911756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>
        <f>EXP(-LN(2)/35)*EV143+(1-EXP(-LN(2)/35))/(LN(2)/35)*ER144*ES144*VLOOKUP('Données projet'!$B$15,Paramètres!$A$1:$I$89,3,0)*0.475*44/12</f>
        <v>0</v>
      </c>
      <c r="EW144" s="21">
        <f>EXP(-LN(2)/25)*EW143+(1-EXP(-LN(2)/25))/(LN(2)/25)*Calculateur!ER144*Calculateur!ET144*VLOOKUP('Données projet'!$B$15,Paramètres!$A$1:$I$89,3,0)*0.475*44/12</f>
        <v>0</v>
      </c>
      <c r="EX144" s="21">
        <f>EXP(-LN(2)/2)*EX143+(1-EXP(-LN(2)/2))/(LN(2)/2)*ER144*EU144*VLOOKUP('Données projet'!$B$15,Paramètres!$A$1:$I$89,3,0)*0.475*44/12</f>
        <v>0</v>
      </c>
      <c r="EY144" s="22">
        <f t="shared" si="129"/>
        <v>0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5.6843418860808015E-14</v>
      </c>
      <c r="FF144" s="17">
        <f>FE144*VLOOKUP('Données projet'!$B$16,Paramètres!$A$1:$I$89,3,0)*VLOOKUP('Données projet'!$B$16,Paramètres!$A$1:$I$89,5,0)</f>
        <v>5.1431925385259088E-14</v>
      </c>
      <c r="FG144" s="13">
        <f t="shared" si="155"/>
        <v>8.3482866290946129E-13</v>
      </c>
      <c r="FH144" s="20">
        <f t="shared" si="130"/>
        <v>1.5435705246133045E-12</v>
      </c>
      <c r="FI144" s="59">
        <f t="shared" si="131"/>
        <v>293.33333333333485</v>
      </c>
      <c r="FJ144" s="59">
        <f ca="1">AVERAGE(OFFSET($FI$3,0,0,'Données projet'!$E$16+1,1))-AVERAGE(OFFSET($H$3,0,0,'Données projet'!$E$16+1,1))</f>
        <v>179.50097986986123</v>
      </c>
      <c r="FK144" s="59">
        <f t="shared" si="156"/>
        <v>287.11838730637578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>
        <f>EXP(-LN(2)/35)*FQ143+(1-EXP(-LN(2)/35))/(LN(2)/35)*FM144*FN144*VLOOKUP('Données projet'!$B$16,Paramètres!$A$1:$I$89,3,0)*0.475*44/12</f>
        <v>6.9191775823182602E-2</v>
      </c>
      <c r="FR144" s="21">
        <f>EXP(-LN(2)/25)*FR143+(1-EXP(-LN(2)/25))/(LN(2)/25)*Calculateur!FM144*Calculateur!FO144*VLOOKUP('Données projet'!$B$16,Paramètres!$A$1:$I$89,3,0)*0.475*44/12</f>
        <v>0.28995346019565843</v>
      </c>
      <c r="FS144" s="21">
        <f>EXP(-LN(2)/2)*FS143+(1-EXP(-LN(2)/2))/(LN(2)/2)*FM144*FP144*VLOOKUP('Données projet'!$B$16,Paramètres!$A$1:$I$89,3,0)*0.475*44/12</f>
        <v>8.872584683656524E-17</v>
      </c>
      <c r="FT144" s="22">
        <f t="shared" si="132"/>
        <v>0.35914523601884113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5.6843418860808015E-14</v>
      </c>
      <c r="GA144" s="17">
        <f>FZ144*VLOOKUP('Données projet'!$B$17,Paramètres!$A$1:$I$89,3,0)*VLOOKUP('Données projet'!$B$17,Paramètres!$A$1:$I$89,5,0)</f>
        <v>3.3992364478763198E-14</v>
      </c>
      <c r="GB144" s="13">
        <f t="shared" si="157"/>
        <v>5.790027782444094E-13</v>
      </c>
      <c r="GC144" s="20">
        <f t="shared" si="133"/>
        <v>1.0676332069095257E-12</v>
      </c>
      <c r="GD144" s="59">
        <f t="shared" si="134"/>
        <v>293.33333333333439</v>
      </c>
      <c r="GE144" s="59">
        <f ca="1">AVERAGE(OFFSET($GD$3,0,0,'Données projet'!$E$17+1,1))-AVERAGE(OFFSET($H$3,0,0,'Données projet'!$E$17+1,1))</f>
        <v>165.39579887388538</v>
      </c>
      <c r="GF144" s="59">
        <f t="shared" si="158"/>
        <v>155.89639262545802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>
        <f>EXP(-LN(2)/35)*GL143+(1-EXP(-LN(2)/35))/(LN(2)/35)*GH144*GI144*VLOOKUP('Données projet'!$B$17,Paramètres!$A$1:$I$89,3,0)*0.475*44/12</f>
        <v>0</v>
      </c>
      <c r="GM144" s="21">
        <f>EXP(-LN(2)/25)*GM143+(1-EXP(-LN(2)/25))/(LN(2)/25)*Calculateur!GH144*Calculateur!GJ144*VLOOKUP('Données projet'!$B$17,Paramètres!$A$1:$I$89,3,0)*0.475*44/12</f>
        <v>0.33582217986827845</v>
      </c>
      <c r="GN144" s="21">
        <f>EXP(-LN(2)/2)*GN143+(1-EXP(-LN(2)/2))/(LN(2)/2)*GH144*GK144*VLOOKUP('Données projet'!$B$17,Paramètres!$A$1:$I$89,3,0)*0.475*44/12</f>
        <v>2.7241174292970822E-16</v>
      </c>
      <c r="GO144" s="21">
        <f t="shared" si="135"/>
        <v>0.33582217986827873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3.4106051316484809E-13</v>
      </c>
      <c r="O145" s="13">
        <f>N145*VLOOKUP('Données projet'!$B$9,Paramètres!$A$1:$I$89,3,0)*VLOOKUP('Données projet'!$B$9,Paramètres!$A$1:$I$89,5,0)</f>
        <v>1.9065282685915009E-13</v>
      </c>
      <c r="P145" s="13">
        <f t="shared" si="141"/>
        <v>2.6568987209435707E-12</v>
      </c>
      <c r="Q145" s="20">
        <f t="shared" si="108"/>
        <v>4.959485612423072E-12</v>
      </c>
      <c r="R145" s="59">
        <f t="shared" si="109"/>
        <v>293.33333333333826</v>
      </c>
      <c r="S145" s="59">
        <f ca="1">AVERAGE(OFFSET($R$3,0,0,'Données projet'!$E$9+1,1))-AVERAGE(OFFSET($H$3,0,0,'Données projet'!$E$9+1,1))</f>
        <v>235.10258076192054</v>
      </c>
      <c r="T145" s="59">
        <f t="shared" si="142"/>
        <v>233.47316052603765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0.37280879880535256</v>
      </c>
      <c r="AA145" s="21">
        <f>EXP(-LN(2)/25)*AA144+(1-EXP(-LN(2)/25))/(LN(2)/25)*Calculateur!V145*Calculateur!X145*VLOOKUP('Données projet'!$B$9,Paramètres!$A$1:$I$89,3,0)*0.475*44/12</f>
        <v>0.82608748714740643</v>
      </c>
      <c r="AB145" s="21">
        <f>EXP(-LN(2)/2)*AB144+(1-EXP(-LN(2)/2))/(LN(2)/2)*V145*Y145*VLOOKUP('Données projet'!$B$9,Paramètres!$A$1:$I$89,3,0)*0.475*44/12</f>
        <v>3.3476113162994444E-16</v>
      </c>
      <c r="AC145" s="22">
        <f t="shared" si="111"/>
        <v>1.1988962859527594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-8.5265128291212022E-14</v>
      </c>
      <c r="AJ145" s="13">
        <f>AI145*VLOOKUP('Données projet'!$B$10,Paramètres!$A$1:$I$89,3,0)*VLOOKUP('Données projet'!$B$10,Paramètres!$A$1:$I$89,5,0)</f>
        <v>-7.4487616075202836E-14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191.94797389630673</v>
      </c>
      <c r="AO145" s="59">
        <f t="shared" si="144"/>
        <v>273.52540822767878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0.28017146092038625</v>
      </c>
      <c r="AV145" s="21">
        <f>EXP(-LN(2)/25)*AV144+(1-EXP(-LN(2)/25))/(LN(2)/25)*Calculateur!AQ145*Calculateur!AS145*VLOOKUP('Données projet'!$B$10,Paramètres!$A$1:$I$89,3,0)*0.475*44/12</f>
        <v>0.62951312252290015</v>
      </c>
      <c r="AW145" s="21">
        <f>EXP(-LN(2)/2)*AW144+(1-EXP(-LN(2)/2))/(LN(2)/2)*AQ145*AT145*VLOOKUP('Données projet'!$B$10,Paramètres!$A$1:$I$89,3,0)*0.475*44/12</f>
        <v>3.2200718369053936E-16</v>
      </c>
      <c r="AX145" s="21">
        <f t="shared" si="114"/>
        <v>0.90968458344328673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2.8421709430404007E-14</v>
      </c>
      <c r="BE145" s="13">
        <f>BD145*VLOOKUP('Données projet'!$B$11,Paramètres!$A$1:$I$89,3,0)*VLOOKUP('Données projet'!$B$11,Paramètres!$A$1:$I$89,5,0)</f>
        <v>2.5715962692629544E-14</v>
      </c>
      <c r="BF145" s="13">
        <f t="shared" si="145"/>
        <v>4.5248818890525812E-13</v>
      </c>
      <c r="BG145" s="20">
        <f t="shared" si="115"/>
        <v>8.3287223069965432E-13</v>
      </c>
      <c r="BH145" s="59">
        <f t="shared" si="116"/>
        <v>293.33333333333417</v>
      </c>
      <c r="BI145" s="59">
        <f ca="1">AVERAGE(OFFSET($BH$3,0,0,'Données projet'!$E$11+1,1))-AVERAGE(OFFSET($H$3,0,0,'Données projet'!$E$11+1,1))</f>
        <v>138.8931001150624</v>
      </c>
      <c r="BJ145" s="59">
        <f t="shared" si="146"/>
        <v>48.964659354096625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2.8421709430404007E-14</v>
      </c>
      <c r="BZ145" s="13">
        <f>BY145*VLOOKUP('Données projet'!$B$12,Paramètres!$A$1:$I$89,3,0)*VLOOKUP('Données projet'!$B$12,Paramètres!$A$1:$I$89,5,0)</f>
        <v>2.8819613362429664E-14</v>
      </c>
      <c r="CA145" s="13">
        <f t="shared" si="147"/>
        <v>5.0041752926933358E-13</v>
      </c>
      <c r="CB145" s="20">
        <f t="shared" si="118"/>
        <v>9.2175469008365428E-13</v>
      </c>
      <c r="CC145" s="59">
        <f t="shared" si="119"/>
        <v>293.33333333333422</v>
      </c>
      <c r="CD145" s="59">
        <f ca="1">AVERAGE(OFFSET($CC$3,0,0,'Données projet'!$E$12+1,1))-AVERAGE(OFFSET($H$3,0,0,'Données projet'!$E$12+1,1))</f>
        <v>169.2757878405003</v>
      </c>
      <c r="CE145" s="59">
        <f t="shared" si="148"/>
        <v>61.876502626609977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-8.5265128291212022E-14</v>
      </c>
      <c r="CU145" s="17">
        <f>CT145*VLOOKUP('Données projet'!$B$13,Paramètres!$A$1:$I$89,3,0)*VLOOKUP('Données projet'!$B$13,Paramètres!$A$1:$I$89,5,0)</f>
        <v>-6.7836936068488286E-14</v>
      </c>
      <c r="CV145" s="13" t="e">
        <f t="shared" si="149"/>
        <v>#NUM!</v>
      </c>
      <c r="CW145" s="20" t="e">
        <f t="shared" si="121"/>
        <v>#NUM!</v>
      </c>
      <c r="CX145" s="59" t="e">
        <f t="shared" si="122"/>
        <v>#NUM!</v>
      </c>
      <c r="CY145" s="59">
        <f ca="1">AVERAGE(OFFSET($CX$3,0,0,'Données projet'!$E$13+1,1))-AVERAGE(OFFSET($H$3,0,0,'Données projet'!$E$13+1,1))</f>
        <v>141.12810728817544</v>
      </c>
      <c r="CZ145" s="59">
        <f t="shared" si="150"/>
        <v>176.01405805137551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>
        <f>EXP(-LN(2)/35)*DF144+(1-EXP(-LN(2)/35))/(LN(2)/35)*DB145*DC145*VLOOKUP('Données projet'!$B$13,Paramètres!$A$1:$I$89,3,0)*0.475*44/12</f>
        <v>0</v>
      </c>
      <c r="DG145" s="21">
        <f>EXP(-LN(2)/25)*DG144+(1-EXP(-LN(2)/25))/(LN(2)/25)*Calculateur!DB145*Calculateur!DD145*VLOOKUP('Données projet'!$B$13,Paramètres!$A$1:$I$89,3,0)*0.475*44/12</f>
        <v>0.30124598313198014</v>
      </c>
      <c r="DH145" s="21">
        <f>EXP(-LN(2)/2)*DH144+(1-EXP(-LN(2)/2))/(LN(2)/2)*DB145*DE145*VLOOKUP('Données projet'!$B$13,Paramètres!$A$1:$I$89,3,0)*0.475*44/12</f>
        <v>1.1109435508029022E-16</v>
      </c>
      <c r="DI145" s="22">
        <f t="shared" si="123"/>
        <v>0.30124598313198026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5.6843418860808015E-14</v>
      </c>
      <c r="DP145" s="17">
        <f>DO145*VLOOKUP('Données projet'!$B$14,Paramètres!$A$1:$I$89,3,0)*VLOOKUP('Données projet'!$B$14,Paramètres!$A$1:$I$89,5,0)</f>
        <v>3.3992364478763198E-14</v>
      </c>
      <c r="DQ145" s="13">
        <f t="shared" si="151"/>
        <v>5.790027782444094E-13</v>
      </c>
      <c r="DR145" s="20">
        <f t="shared" si="124"/>
        <v>1.0676332069095257E-12</v>
      </c>
      <c r="DS145" s="59">
        <f t="shared" si="125"/>
        <v>293.33333333333439</v>
      </c>
      <c r="DT145" s="59">
        <f ca="1">AVERAGE(OFFSET($DS$3,0,0,'Données projet'!$E$14+1,1))-AVERAGE(OFFSET($H$3,0,0,'Données projet'!$E$14+1,1))</f>
        <v>165.39579887388538</v>
      </c>
      <c r="DU145" s="59">
        <f t="shared" si="152"/>
        <v>155.89639262545802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>
        <f>EXP(-LN(2)/35)*EA144+(1-EXP(-LN(2)/35))/(LN(2)/35)*DW145*DX145*VLOOKUP('Données projet'!$B$14,Paramètres!$A$1:$I$89,3,0)*0.475*44/12</f>
        <v>0</v>
      </c>
      <c r="EB145" s="21">
        <f>EXP(-LN(2)/25)*EB144+(1-EXP(-LN(2)/25))/(LN(2)/25)*Calculateur!DW145*Calculateur!DY145*VLOOKUP('Données projet'!$B$14,Paramètres!$A$1:$I$89,3,0)*0.475*44/12</f>
        <v>0.32663910469965945</v>
      </c>
      <c r="EC145" s="21">
        <f>EXP(-LN(2)/2)*EC144+(1-EXP(-LN(2)/2))/(LN(2)/2)*DW145*DZ145*VLOOKUP('Données projet'!$B$14,Paramètres!$A$1:$I$89,3,0)*0.475*44/12</f>
        <v>1.9262419070044323E-16</v>
      </c>
      <c r="ED145" s="22">
        <f t="shared" si="126"/>
        <v>0.32663910469965962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2.8421709430404007E-14</v>
      </c>
      <c r="EK145" s="17">
        <f>EJ145*VLOOKUP('Données projet'!$B$15,Paramètres!$A$1:$I$89,3,0)*VLOOKUP('Données projet'!$B$15,Paramètres!$A$1:$I$89,5,0)</f>
        <v>2.2168933355715127E-14</v>
      </c>
      <c r="EL145" s="13">
        <f t="shared" si="153"/>
        <v>3.9687356123668477E-13</v>
      </c>
      <c r="EM145" s="20">
        <f t="shared" si="127"/>
        <v>7.2983234474842979E-13</v>
      </c>
      <c r="EN145" s="59">
        <f t="shared" si="128"/>
        <v>293.33333333333405</v>
      </c>
      <c r="EO145" s="59">
        <f ca="1">AVERAGE(OFFSET($EN$3,0,0,'Données projet'!$E$15+1,1))-AVERAGE(OFFSET($H$3,0,0,'Données projet'!$E$15+1,1))</f>
        <v>104.07220236158577</v>
      </c>
      <c r="EP145" s="59">
        <f t="shared" si="154"/>
        <v>34.162068257911756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>
        <f>EXP(-LN(2)/35)*EV144+(1-EXP(-LN(2)/35))/(LN(2)/35)*ER145*ES145*VLOOKUP('Données projet'!$B$15,Paramètres!$A$1:$I$89,3,0)*0.475*44/12</f>
        <v>0</v>
      </c>
      <c r="EW145" s="21">
        <f>EXP(-LN(2)/25)*EW144+(1-EXP(-LN(2)/25))/(LN(2)/25)*Calculateur!ER145*Calculateur!ET145*VLOOKUP('Données projet'!$B$15,Paramètres!$A$1:$I$89,3,0)*0.475*44/12</f>
        <v>0</v>
      </c>
      <c r="EX145" s="21">
        <f>EXP(-LN(2)/2)*EX144+(1-EXP(-LN(2)/2))/(LN(2)/2)*ER145*EU145*VLOOKUP('Données projet'!$B$15,Paramètres!$A$1:$I$89,3,0)*0.475*44/12</f>
        <v>0</v>
      </c>
      <c r="EY145" s="22">
        <f t="shared" si="129"/>
        <v>0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5.6843418860808015E-14</v>
      </c>
      <c r="FF145" s="17">
        <f>FE145*VLOOKUP('Données projet'!$B$16,Paramètres!$A$1:$I$89,3,0)*VLOOKUP('Données projet'!$B$16,Paramètres!$A$1:$I$89,5,0)</f>
        <v>5.1431925385259088E-14</v>
      </c>
      <c r="FG145" s="13">
        <f t="shared" si="155"/>
        <v>8.3482866290946129E-13</v>
      </c>
      <c r="FH145" s="20">
        <f t="shared" si="130"/>
        <v>1.5435705246133045E-12</v>
      </c>
      <c r="FI145" s="59">
        <f t="shared" si="131"/>
        <v>293.33333333333485</v>
      </c>
      <c r="FJ145" s="59">
        <f ca="1">AVERAGE(OFFSET($FI$3,0,0,'Données projet'!$E$16+1,1))-AVERAGE(OFFSET($H$3,0,0,'Données projet'!$E$16+1,1))</f>
        <v>179.50097986986123</v>
      </c>
      <c r="FK145" s="59">
        <f t="shared" si="156"/>
        <v>287.11838730637578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>
        <f>EXP(-LN(2)/35)*FQ144+(1-EXP(-LN(2)/35))/(LN(2)/35)*FM145*FN145*VLOOKUP('Données projet'!$B$16,Paramètres!$A$1:$I$89,3,0)*0.475*44/12</f>
        <v>6.7834967302106058E-2</v>
      </c>
      <c r="FR145" s="21">
        <f>EXP(-LN(2)/25)*FR144+(1-EXP(-LN(2)/25))/(LN(2)/25)*Calculateur!FM145*Calculateur!FO145*VLOOKUP('Données projet'!$B$16,Paramètres!$A$1:$I$89,3,0)*0.475*44/12</f>
        <v>0.28202466757861838</v>
      </c>
      <c r="FS145" s="21">
        <f>EXP(-LN(2)/2)*FS144+(1-EXP(-LN(2)/2))/(LN(2)/2)*FM145*FP145*VLOOKUP('Données projet'!$B$16,Paramètres!$A$1:$I$89,3,0)*0.475*44/12</f>
        <v>6.2738647964654265E-17</v>
      </c>
      <c r="FT145" s="22">
        <f t="shared" si="132"/>
        <v>0.34985963488072452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5.6843418860808015E-14</v>
      </c>
      <c r="GA145" s="17">
        <f>FZ145*VLOOKUP('Données projet'!$B$17,Paramètres!$A$1:$I$89,3,0)*VLOOKUP('Données projet'!$B$17,Paramètres!$A$1:$I$89,5,0)</f>
        <v>3.3992364478763198E-14</v>
      </c>
      <c r="GB145" s="13">
        <f t="shared" si="157"/>
        <v>5.790027782444094E-13</v>
      </c>
      <c r="GC145" s="20">
        <f t="shared" si="133"/>
        <v>1.0676332069095257E-12</v>
      </c>
      <c r="GD145" s="59">
        <f t="shared" si="134"/>
        <v>293.33333333333439</v>
      </c>
      <c r="GE145" s="59">
        <f ca="1">AVERAGE(OFFSET($GD$3,0,0,'Données projet'!$E$17+1,1))-AVERAGE(OFFSET($H$3,0,0,'Données projet'!$E$17+1,1))</f>
        <v>165.39579887388538</v>
      </c>
      <c r="GF145" s="59">
        <f t="shared" si="158"/>
        <v>155.89639262545802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>
        <f>EXP(-LN(2)/35)*GL144+(1-EXP(-LN(2)/35))/(LN(2)/35)*GH145*GI145*VLOOKUP('Données projet'!$B$17,Paramètres!$A$1:$I$89,3,0)*0.475*44/12</f>
        <v>0</v>
      </c>
      <c r="GM145" s="21">
        <f>EXP(-LN(2)/25)*GM144+(1-EXP(-LN(2)/25))/(LN(2)/25)*Calculateur!GH145*Calculateur!GJ145*VLOOKUP('Données projet'!$B$17,Paramètres!$A$1:$I$89,3,0)*0.475*44/12</f>
        <v>0.32663910469965945</v>
      </c>
      <c r="GN145" s="21">
        <f>EXP(-LN(2)/2)*GN144+(1-EXP(-LN(2)/2))/(LN(2)/2)*GH145*GK145*VLOOKUP('Données projet'!$B$17,Paramètres!$A$1:$I$89,3,0)*0.475*44/12</f>
        <v>1.9262419070044323E-16</v>
      </c>
      <c r="GO145" s="21">
        <f t="shared" si="135"/>
        <v>0.32663910469965962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3.4106051316484809E-13</v>
      </c>
      <c r="O146" s="13">
        <f>N146*VLOOKUP('Données projet'!$B$9,Paramètres!$A$1:$I$89,3,0)*VLOOKUP('Données projet'!$B$9,Paramètres!$A$1:$I$89,5,0)</f>
        <v>1.9065282685915009E-13</v>
      </c>
      <c r="P146" s="13">
        <f t="shared" si="141"/>
        <v>2.6568987209435707E-12</v>
      </c>
      <c r="Q146" s="20">
        <f t="shared" si="108"/>
        <v>4.959485612423072E-12</v>
      </c>
      <c r="R146" s="59">
        <f t="shared" si="109"/>
        <v>293.33333333333826</v>
      </c>
      <c r="S146" s="59">
        <f ca="1">AVERAGE(OFFSET($R$3,0,0,'Données projet'!$E$9+1,1))-AVERAGE(OFFSET($H$3,0,0,'Données projet'!$E$9+1,1))</f>
        <v>235.10258076192054</v>
      </c>
      <c r="T146" s="59">
        <f t="shared" si="142"/>
        <v>233.47316052603765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0.36549824565169386</v>
      </c>
      <c r="AA146" s="21">
        <f>EXP(-LN(2)/25)*AA145+(1-EXP(-LN(2)/25))/(LN(2)/25)*Calculateur!V146*Calculateur!X146*VLOOKUP('Données projet'!$B$9,Paramètres!$A$1:$I$89,3,0)*0.475*44/12</f>
        <v>0.80349808136930767</v>
      </c>
      <c r="AB146" s="21">
        <f>EXP(-LN(2)/2)*AB145+(1-EXP(-LN(2)/2))/(LN(2)/2)*V146*Y146*VLOOKUP('Données projet'!$B$9,Paramètres!$A$1:$I$89,3,0)*0.475*44/12</f>
        <v>2.3671186625321615E-16</v>
      </c>
      <c r="AC146" s="22">
        <f t="shared" si="111"/>
        <v>1.1689963270210018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-8.5265128291212022E-14</v>
      </c>
      <c r="AJ146" s="13">
        <f>AI146*VLOOKUP('Données projet'!$B$10,Paramètres!$A$1:$I$89,3,0)*VLOOKUP('Données projet'!$B$10,Paramètres!$A$1:$I$89,5,0)</f>
        <v>-7.4487616075202836E-14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191.94797389630673</v>
      </c>
      <c r="AO146" s="59">
        <f t="shared" si="144"/>
        <v>273.52540822767878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0.27467746945945487</v>
      </c>
      <c r="AV146" s="21">
        <f>EXP(-LN(2)/25)*AV145+(1-EXP(-LN(2)/25))/(LN(2)/25)*Calculateur!AQ146*Calculateur!AS146*VLOOKUP('Données projet'!$B$10,Paramètres!$A$1:$I$89,3,0)*0.475*44/12</f>
        <v>0.61229905308285515</v>
      </c>
      <c r="AW146" s="21">
        <f>EXP(-LN(2)/2)*AW145+(1-EXP(-LN(2)/2))/(LN(2)/2)*AQ146*AT146*VLOOKUP('Données projet'!$B$10,Paramètres!$A$1:$I$89,3,0)*0.475*44/12</f>
        <v>2.2769346317836262E-16</v>
      </c>
      <c r="AX146" s="21">
        <f t="shared" si="114"/>
        <v>0.8869765225423103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2.8421709430404007E-14</v>
      </c>
      <c r="BE146" s="13">
        <f>BD146*VLOOKUP('Données projet'!$B$11,Paramètres!$A$1:$I$89,3,0)*VLOOKUP('Données projet'!$B$11,Paramètres!$A$1:$I$89,5,0)</f>
        <v>2.5715962692629544E-14</v>
      </c>
      <c r="BF146" s="13">
        <f t="shared" si="145"/>
        <v>4.5248818890525812E-13</v>
      </c>
      <c r="BG146" s="20">
        <f t="shared" si="115"/>
        <v>8.3287223069965432E-13</v>
      </c>
      <c r="BH146" s="59">
        <f t="shared" si="116"/>
        <v>293.33333333333417</v>
      </c>
      <c r="BI146" s="59">
        <f ca="1">AVERAGE(OFFSET($BH$3,0,0,'Données projet'!$E$11+1,1))-AVERAGE(OFFSET($H$3,0,0,'Données projet'!$E$11+1,1))</f>
        <v>138.8931001150624</v>
      </c>
      <c r="BJ146" s="59">
        <f t="shared" si="146"/>
        <v>48.964659354096625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2.8421709430404007E-14</v>
      </c>
      <c r="BZ146" s="13">
        <f>BY146*VLOOKUP('Données projet'!$B$12,Paramètres!$A$1:$I$89,3,0)*VLOOKUP('Données projet'!$B$12,Paramètres!$A$1:$I$89,5,0)</f>
        <v>2.8819613362429664E-14</v>
      </c>
      <c r="CA146" s="13">
        <f t="shared" si="147"/>
        <v>5.0041752926933358E-13</v>
      </c>
      <c r="CB146" s="20">
        <f t="shared" si="118"/>
        <v>9.2175469008365428E-13</v>
      </c>
      <c r="CC146" s="59">
        <f t="shared" si="119"/>
        <v>293.33333333333422</v>
      </c>
      <c r="CD146" s="59">
        <f ca="1">AVERAGE(OFFSET($CC$3,0,0,'Données projet'!$E$12+1,1))-AVERAGE(OFFSET($H$3,0,0,'Données projet'!$E$12+1,1))</f>
        <v>169.2757878405003</v>
      </c>
      <c r="CE146" s="59">
        <f t="shared" si="148"/>
        <v>61.876502626609977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-8.5265128291212022E-14</v>
      </c>
      <c r="CU146" s="17">
        <f>CT146*VLOOKUP('Données projet'!$B$13,Paramètres!$A$1:$I$89,3,0)*VLOOKUP('Données projet'!$B$13,Paramètres!$A$1:$I$89,5,0)</f>
        <v>-6.7836936068488286E-14</v>
      </c>
      <c r="CV146" s="13" t="e">
        <f t="shared" si="149"/>
        <v>#NUM!</v>
      </c>
      <c r="CW146" s="20" t="e">
        <f t="shared" si="121"/>
        <v>#NUM!</v>
      </c>
      <c r="CX146" s="59" t="e">
        <f t="shared" si="122"/>
        <v>#NUM!</v>
      </c>
      <c r="CY146" s="59">
        <f ca="1">AVERAGE(OFFSET($CX$3,0,0,'Données projet'!$E$13+1,1))-AVERAGE(OFFSET($H$3,0,0,'Données projet'!$E$13+1,1))</f>
        <v>141.12810728817544</v>
      </c>
      <c r="CZ146" s="59">
        <f t="shared" si="150"/>
        <v>176.01405805137551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>
        <f>EXP(-LN(2)/35)*DF145+(1-EXP(-LN(2)/35))/(LN(2)/35)*DB146*DC146*VLOOKUP('Données projet'!$B$13,Paramètres!$A$1:$I$89,3,0)*0.475*44/12</f>
        <v>0</v>
      </c>
      <c r="DG146" s="21">
        <f>EXP(-LN(2)/25)*DG145+(1-EXP(-LN(2)/25))/(LN(2)/25)*Calculateur!DB146*Calculateur!DD146*VLOOKUP('Données projet'!$B$13,Paramètres!$A$1:$I$89,3,0)*0.475*44/12</f>
        <v>0.29300839588139838</v>
      </c>
      <c r="DH146" s="21">
        <f>EXP(-LN(2)/2)*DH145+(1-EXP(-LN(2)/2))/(LN(2)/2)*DB146*DE146*VLOOKUP('Données projet'!$B$13,Paramètres!$A$1:$I$89,3,0)*0.475*44/12</f>
        <v>7.8555571828819389E-17</v>
      </c>
      <c r="DI146" s="22">
        <f t="shared" si="123"/>
        <v>0.29300839588139843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5.6843418860808015E-14</v>
      </c>
      <c r="DP146" s="17">
        <f>DO146*VLOOKUP('Données projet'!$B$14,Paramètres!$A$1:$I$89,3,0)*VLOOKUP('Données projet'!$B$14,Paramètres!$A$1:$I$89,5,0)</f>
        <v>3.3992364478763198E-14</v>
      </c>
      <c r="DQ146" s="13">
        <f t="shared" si="151"/>
        <v>5.790027782444094E-13</v>
      </c>
      <c r="DR146" s="20">
        <f t="shared" si="124"/>
        <v>1.0676332069095257E-12</v>
      </c>
      <c r="DS146" s="59">
        <f t="shared" si="125"/>
        <v>293.33333333333439</v>
      </c>
      <c r="DT146" s="59">
        <f ca="1">AVERAGE(OFFSET($DS$3,0,0,'Données projet'!$E$14+1,1))-AVERAGE(OFFSET($H$3,0,0,'Données projet'!$E$14+1,1))</f>
        <v>165.39579887388538</v>
      </c>
      <c r="DU146" s="59">
        <f t="shared" si="152"/>
        <v>155.89639262545802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>
        <f>EXP(-LN(2)/35)*EA145+(1-EXP(-LN(2)/35))/(LN(2)/35)*DW146*DX146*VLOOKUP('Données projet'!$B$14,Paramètres!$A$1:$I$89,3,0)*0.475*44/12</f>
        <v>0</v>
      </c>
      <c r="EB146" s="21">
        <f>EXP(-LN(2)/25)*EB145+(1-EXP(-LN(2)/25))/(LN(2)/25)*Calculateur!DW146*Calculateur!DY146*VLOOKUP('Données projet'!$B$14,Paramètres!$A$1:$I$89,3,0)*0.475*44/12</f>
        <v>0.31770714120444332</v>
      </c>
      <c r="EC146" s="21">
        <f>EXP(-LN(2)/2)*EC145+(1-EXP(-LN(2)/2))/(LN(2)/2)*DW146*DZ146*VLOOKUP('Données projet'!$B$14,Paramètres!$A$1:$I$89,3,0)*0.475*44/12</f>
        <v>1.3620587146485411E-16</v>
      </c>
      <c r="ED146" s="22">
        <f t="shared" si="126"/>
        <v>0.31770714120444343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2.8421709430404007E-14</v>
      </c>
      <c r="EK146" s="17">
        <f>EJ146*VLOOKUP('Données projet'!$B$15,Paramètres!$A$1:$I$89,3,0)*VLOOKUP('Données projet'!$B$15,Paramètres!$A$1:$I$89,5,0)</f>
        <v>2.2168933355715127E-14</v>
      </c>
      <c r="EL146" s="13">
        <f t="shared" si="153"/>
        <v>3.9687356123668477E-13</v>
      </c>
      <c r="EM146" s="20">
        <f t="shared" si="127"/>
        <v>7.2983234474842979E-13</v>
      </c>
      <c r="EN146" s="59">
        <f t="shared" si="128"/>
        <v>293.33333333333405</v>
      </c>
      <c r="EO146" s="59">
        <f ca="1">AVERAGE(OFFSET($EN$3,0,0,'Données projet'!$E$15+1,1))-AVERAGE(OFFSET($H$3,0,0,'Données projet'!$E$15+1,1))</f>
        <v>104.07220236158577</v>
      </c>
      <c r="EP146" s="59">
        <f t="shared" si="154"/>
        <v>34.162068257911756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>
        <f>EXP(-LN(2)/35)*EV145+(1-EXP(-LN(2)/35))/(LN(2)/35)*ER146*ES146*VLOOKUP('Données projet'!$B$15,Paramètres!$A$1:$I$89,3,0)*0.475*44/12</f>
        <v>0</v>
      </c>
      <c r="EW146" s="21">
        <f>EXP(-LN(2)/25)*EW145+(1-EXP(-LN(2)/25))/(LN(2)/25)*Calculateur!ER146*Calculateur!ET146*VLOOKUP('Données projet'!$B$15,Paramètres!$A$1:$I$89,3,0)*0.475*44/12</f>
        <v>0</v>
      </c>
      <c r="EX146" s="21">
        <f>EXP(-LN(2)/2)*EX145+(1-EXP(-LN(2)/2))/(LN(2)/2)*ER146*EU146*VLOOKUP('Données projet'!$B$15,Paramètres!$A$1:$I$89,3,0)*0.475*44/12</f>
        <v>0</v>
      </c>
      <c r="EY146" s="22">
        <f t="shared" si="129"/>
        <v>0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5.6843418860808015E-14</v>
      </c>
      <c r="FF146" s="17">
        <f>FE146*VLOOKUP('Données projet'!$B$16,Paramètres!$A$1:$I$89,3,0)*VLOOKUP('Données projet'!$B$16,Paramètres!$A$1:$I$89,5,0)</f>
        <v>5.1431925385259088E-14</v>
      </c>
      <c r="FG146" s="13">
        <f t="shared" si="155"/>
        <v>8.3482866290946129E-13</v>
      </c>
      <c r="FH146" s="20">
        <f t="shared" si="130"/>
        <v>1.5435705246133045E-12</v>
      </c>
      <c r="FI146" s="59">
        <f t="shared" si="131"/>
        <v>293.33333333333485</v>
      </c>
      <c r="FJ146" s="59">
        <f ca="1">AVERAGE(OFFSET($FI$3,0,0,'Données projet'!$E$16+1,1))-AVERAGE(OFFSET($H$3,0,0,'Données projet'!$E$16+1,1))</f>
        <v>179.50097986986123</v>
      </c>
      <c r="FK146" s="59">
        <f t="shared" si="156"/>
        <v>287.11838730637578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>
        <f>EXP(-LN(2)/35)*FQ145+(1-EXP(-LN(2)/35))/(LN(2)/35)*FM146*FN146*VLOOKUP('Données projet'!$B$16,Paramètres!$A$1:$I$89,3,0)*0.475*44/12</f>
        <v>6.650476496855634E-2</v>
      </c>
      <c r="FR146" s="21">
        <f>EXP(-LN(2)/25)*FR145+(1-EXP(-LN(2)/25))/(LN(2)/25)*Calculateur!FM146*Calculateur!FO146*VLOOKUP('Données projet'!$B$16,Paramètres!$A$1:$I$89,3,0)*0.475*44/12</f>
        <v>0.27431268821264837</v>
      </c>
      <c r="FS146" s="21">
        <f>EXP(-LN(2)/2)*FS145+(1-EXP(-LN(2)/2))/(LN(2)/2)*FM146*FP146*VLOOKUP('Données projet'!$B$16,Paramètres!$A$1:$I$89,3,0)*0.475*44/12</f>
        <v>4.436292341828262E-17</v>
      </c>
      <c r="FT146" s="22">
        <f t="shared" si="132"/>
        <v>0.34081745318120477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5.6843418860808015E-14</v>
      </c>
      <c r="GA146" s="17">
        <f>FZ146*VLOOKUP('Données projet'!$B$17,Paramètres!$A$1:$I$89,3,0)*VLOOKUP('Données projet'!$B$17,Paramètres!$A$1:$I$89,5,0)</f>
        <v>3.3992364478763198E-14</v>
      </c>
      <c r="GB146" s="13">
        <f t="shared" si="157"/>
        <v>5.790027782444094E-13</v>
      </c>
      <c r="GC146" s="20">
        <f t="shared" si="133"/>
        <v>1.0676332069095257E-12</v>
      </c>
      <c r="GD146" s="59">
        <f t="shared" si="134"/>
        <v>293.33333333333439</v>
      </c>
      <c r="GE146" s="59">
        <f ca="1">AVERAGE(OFFSET($GD$3,0,0,'Données projet'!$E$17+1,1))-AVERAGE(OFFSET($H$3,0,0,'Données projet'!$E$17+1,1))</f>
        <v>165.39579887388538</v>
      </c>
      <c r="GF146" s="59">
        <f t="shared" si="158"/>
        <v>155.89639262545802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>
        <f>EXP(-LN(2)/35)*GL145+(1-EXP(-LN(2)/35))/(LN(2)/35)*GH146*GI146*VLOOKUP('Données projet'!$B$17,Paramètres!$A$1:$I$89,3,0)*0.475*44/12</f>
        <v>0</v>
      </c>
      <c r="GM146" s="21">
        <f>EXP(-LN(2)/25)*GM145+(1-EXP(-LN(2)/25))/(LN(2)/25)*Calculateur!GH146*Calculateur!GJ146*VLOOKUP('Données projet'!$B$17,Paramètres!$A$1:$I$89,3,0)*0.475*44/12</f>
        <v>0.31770714120444332</v>
      </c>
      <c r="GN146" s="21">
        <f>EXP(-LN(2)/2)*GN145+(1-EXP(-LN(2)/2))/(LN(2)/2)*GH146*GK146*VLOOKUP('Données projet'!$B$17,Paramètres!$A$1:$I$89,3,0)*0.475*44/12</f>
        <v>1.3620587146485411E-16</v>
      </c>
      <c r="GO146" s="21">
        <f t="shared" si="135"/>
        <v>0.31770714120444343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3.4106051316484809E-13</v>
      </c>
      <c r="O147" s="13">
        <f>N147*VLOOKUP('Données projet'!$B$9,Paramètres!$A$1:$I$89,3,0)*VLOOKUP('Données projet'!$B$9,Paramètres!$A$1:$I$89,5,0)</f>
        <v>1.9065282685915009E-13</v>
      </c>
      <c r="P147" s="13">
        <f t="shared" si="141"/>
        <v>2.6568987209435707E-12</v>
      </c>
      <c r="Q147" s="20">
        <f t="shared" si="108"/>
        <v>4.959485612423072E-12</v>
      </c>
      <c r="R147" s="59">
        <f t="shared" si="109"/>
        <v>293.33333333333826</v>
      </c>
      <c r="S147" s="59">
        <f ca="1">AVERAGE(OFFSET($R$3,0,0,'Données projet'!$E$9+1,1))-AVERAGE(OFFSET($H$3,0,0,'Données projet'!$E$9+1,1))</f>
        <v>235.10258076192054</v>
      </c>
      <c r="T147" s="59">
        <f t="shared" si="142"/>
        <v>233.47316052603765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0.35833104798638132</v>
      </c>
      <c r="AA147" s="21">
        <f>EXP(-LN(2)/25)*AA146+(1-EXP(-LN(2)/25))/(LN(2)/25)*Calculateur!V147*Calculateur!X147*VLOOKUP('Données projet'!$B$9,Paramètres!$A$1:$I$89,3,0)*0.475*44/12</f>
        <v>0.7815263840801363</v>
      </c>
      <c r="AB147" s="21">
        <f>EXP(-LN(2)/2)*AB146+(1-EXP(-LN(2)/2))/(LN(2)/2)*V147*Y147*VLOOKUP('Données projet'!$B$9,Paramètres!$A$1:$I$89,3,0)*0.475*44/12</f>
        <v>1.6738056581497222E-16</v>
      </c>
      <c r="AC147" s="22">
        <f t="shared" si="111"/>
        <v>1.1398574320665178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-8.5265128291212022E-14</v>
      </c>
      <c r="AJ147" s="13">
        <f>AI147*VLOOKUP('Données projet'!$B$10,Paramètres!$A$1:$I$89,3,0)*VLOOKUP('Données projet'!$B$10,Paramètres!$A$1:$I$89,5,0)</f>
        <v>-7.4487616075202836E-14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191.94797389630673</v>
      </c>
      <c r="AO147" s="59">
        <f t="shared" si="144"/>
        <v>273.52540822767878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0.26929121182006843</v>
      </c>
      <c r="AV147" s="21">
        <f>EXP(-LN(2)/25)*AV146+(1-EXP(-LN(2)/25))/(LN(2)/25)*Calculateur!AQ147*Calculateur!AS147*VLOOKUP('Données projet'!$B$10,Paramètres!$A$1:$I$89,3,0)*0.475*44/12</f>
        <v>0.59555570327689666</v>
      </c>
      <c r="AW147" s="21">
        <f>EXP(-LN(2)/2)*AW146+(1-EXP(-LN(2)/2))/(LN(2)/2)*AQ147*AT147*VLOOKUP('Données projet'!$B$10,Paramètres!$A$1:$I$89,3,0)*0.475*44/12</f>
        <v>1.6100359184526968E-16</v>
      </c>
      <c r="AX147" s="21">
        <f t="shared" si="114"/>
        <v>0.86484691509696521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2.8421709430404007E-14</v>
      </c>
      <c r="BE147" s="13">
        <f>BD147*VLOOKUP('Données projet'!$B$11,Paramètres!$A$1:$I$89,3,0)*VLOOKUP('Données projet'!$B$11,Paramètres!$A$1:$I$89,5,0)</f>
        <v>2.5715962692629544E-14</v>
      </c>
      <c r="BF147" s="13">
        <f t="shared" si="145"/>
        <v>4.5248818890525812E-13</v>
      </c>
      <c r="BG147" s="20">
        <f t="shared" si="115"/>
        <v>8.3287223069965432E-13</v>
      </c>
      <c r="BH147" s="59">
        <f t="shared" si="116"/>
        <v>293.33333333333417</v>
      </c>
      <c r="BI147" s="59">
        <f ca="1">AVERAGE(OFFSET($BH$3,0,0,'Données projet'!$E$11+1,1))-AVERAGE(OFFSET($H$3,0,0,'Données projet'!$E$11+1,1))</f>
        <v>138.8931001150624</v>
      </c>
      <c r="BJ147" s="59">
        <f t="shared" si="146"/>
        <v>48.964659354096625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2.8421709430404007E-14</v>
      </c>
      <c r="BZ147" s="13">
        <f>BY147*VLOOKUP('Données projet'!$B$12,Paramètres!$A$1:$I$89,3,0)*VLOOKUP('Données projet'!$B$12,Paramètres!$A$1:$I$89,5,0)</f>
        <v>2.8819613362429664E-14</v>
      </c>
      <c r="CA147" s="13">
        <f t="shared" si="147"/>
        <v>5.0041752926933358E-13</v>
      </c>
      <c r="CB147" s="20">
        <f t="shared" si="118"/>
        <v>9.2175469008365428E-13</v>
      </c>
      <c r="CC147" s="59">
        <f t="shared" si="119"/>
        <v>293.33333333333422</v>
      </c>
      <c r="CD147" s="59">
        <f ca="1">AVERAGE(OFFSET($CC$3,0,0,'Données projet'!$E$12+1,1))-AVERAGE(OFFSET($H$3,0,0,'Données projet'!$E$12+1,1))</f>
        <v>169.2757878405003</v>
      </c>
      <c r="CE147" s="59">
        <f t="shared" si="148"/>
        <v>61.876502626609977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-8.5265128291212022E-14</v>
      </c>
      <c r="CU147" s="17">
        <f>CT147*VLOOKUP('Données projet'!$B$13,Paramètres!$A$1:$I$89,3,0)*VLOOKUP('Données projet'!$B$13,Paramètres!$A$1:$I$89,5,0)</f>
        <v>-6.7836936068488286E-14</v>
      </c>
      <c r="CV147" s="13" t="e">
        <f t="shared" si="149"/>
        <v>#NUM!</v>
      </c>
      <c r="CW147" s="20" t="e">
        <f t="shared" si="121"/>
        <v>#NUM!</v>
      </c>
      <c r="CX147" s="59" t="e">
        <f t="shared" si="122"/>
        <v>#NUM!</v>
      </c>
      <c r="CY147" s="59">
        <f ca="1">AVERAGE(OFFSET($CX$3,0,0,'Données projet'!$E$13+1,1))-AVERAGE(OFFSET($H$3,0,0,'Données projet'!$E$13+1,1))</f>
        <v>141.12810728817544</v>
      </c>
      <c r="CZ147" s="59">
        <f t="shared" si="150"/>
        <v>176.01405805137551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>
        <f>EXP(-LN(2)/35)*DF146+(1-EXP(-LN(2)/35))/(LN(2)/35)*DB147*DC147*VLOOKUP('Données projet'!$B$13,Paramètres!$A$1:$I$89,3,0)*0.475*44/12</f>
        <v>0</v>
      </c>
      <c r="DG147" s="21">
        <f>EXP(-LN(2)/25)*DG146+(1-EXP(-LN(2)/25))/(LN(2)/25)*Calculateur!DB147*Calculateur!DD147*VLOOKUP('Données projet'!$B$13,Paramètres!$A$1:$I$89,3,0)*0.475*44/12</f>
        <v>0.28499606588737969</v>
      </c>
      <c r="DH147" s="21">
        <f>EXP(-LN(2)/2)*DH146+(1-EXP(-LN(2)/2))/(LN(2)/2)*DB147*DE147*VLOOKUP('Données projet'!$B$13,Paramètres!$A$1:$I$89,3,0)*0.475*44/12</f>
        <v>5.5547177540145108E-17</v>
      </c>
      <c r="DI147" s="22">
        <f t="shared" si="123"/>
        <v>0.28499606588737975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5.6843418860808015E-14</v>
      </c>
      <c r="DP147" s="17">
        <f>DO147*VLOOKUP('Données projet'!$B$14,Paramètres!$A$1:$I$89,3,0)*VLOOKUP('Données projet'!$B$14,Paramètres!$A$1:$I$89,5,0)</f>
        <v>3.3992364478763198E-14</v>
      </c>
      <c r="DQ147" s="13">
        <f t="shared" si="151"/>
        <v>5.790027782444094E-13</v>
      </c>
      <c r="DR147" s="20">
        <f t="shared" si="124"/>
        <v>1.0676332069095257E-12</v>
      </c>
      <c r="DS147" s="59">
        <f t="shared" si="125"/>
        <v>293.33333333333439</v>
      </c>
      <c r="DT147" s="59">
        <f ca="1">AVERAGE(OFFSET($DS$3,0,0,'Données projet'!$E$14+1,1))-AVERAGE(OFFSET($H$3,0,0,'Données projet'!$E$14+1,1))</f>
        <v>165.39579887388538</v>
      </c>
      <c r="DU147" s="59">
        <f t="shared" si="152"/>
        <v>155.89639262545802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>
        <f>EXP(-LN(2)/35)*EA146+(1-EXP(-LN(2)/35))/(LN(2)/35)*DW147*DX147*VLOOKUP('Données projet'!$B$14,Paramètres!$A$1:$I$89,3,0)*0.475*44/12</f>
        <v>0</v>
      </c>
      <c r="EB147" s="21">
        <f>EXP(-LN(2)/25)*EB146+(1-EXP(-LN(2)/25))/(LN(2)/25)*Calculateur!DW147*Calculateur!DY147*VLOOKUP('Données projet'!$B$14,Paramètres!$A$1:$I$89,3,0)*0.475*44/12</f>
        <v>0.30901942272071542</v>
      </c>
      <c r="EC147" s="21">
        <f>EXP(-LN(2)/2)*EC146+(1-EXP(-LN(2)/2))/(LN(2)/2)*DW147*DZ147*VLOOKUP('Données projet'!$B$14,Paramètres!$A$1:$I$89,3,0)*0.475*44/12</f>
        <v>9.6312095350221614E-17</v>
      </c>
      <c r="ED147" s="22">
        <f t="shared" si="126"/>
        <v>0.30901942272071553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2.8421709430404007E-14</v>
      </c>
      <c r="EK147" s="17">
        <f>EJ147*VLOOKUP('Données projet'!$B$15,Paramètres!$A$1:$I$89,3,0)*VLOOKUP('Données projet'!$B$15,Paramètres!$A$1:$I$89,5,0)</f>
        <v>2.2168933355715127E-14</v>
      </c>
      <c r="EL147" s="13">
        <f t="shared" si="153"/>
        <v>3.9687356123668477E-13</v>
      </c>
      <c r="EM147" s="20">
        <f t="shared" si="127"/>
        <v>7.2983234474842979E-13</v>
      </c>
      <c r="EN147" s="59">
        <f t="shared" si="128"/>
        <v>293.33333333333405</v>
      </c>
      <c r="EO147" s="59">
        <f ca="1">AVERAGE(OFFSET($EN$3,0,0,'Données projet'!$E$15+1,1))-AVERAGE(OFFSET($H$3,0,0,'Données projet'!$E$15+1,1))</f>
        <v>104.07220236158577</v>
      </c>
      <c r="EP147" s="59">
        <f t="shared" si="154"/>
        <v>34.162068257911756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>
        <f>EXP(-LN(2)/35)*EV146+(1-EXP(-LN(2)/35))/(LN(2)/35)*ER147*ES147*VLOOKUP('Données projet'!$B$15,Paramètres!$A$1:$I$89,3,0)*0.475*44/12</f>
        <v>0</v>
      </c>
      <c r="EW147" s="21">
        <f>EXP(-LN(2)/25)*EW146+(1-EXP(-LN(2)/25))/(LN(2)/25)*Calculateur!ER147*Calculateur!ET147*VLOOKUP('Données projet'!$B$15,Paramètres!$A$1:$I$89,3,0)*0.475*44/12</f>
        <v>0</v>
      </c>
      <c r="EX147" s="21">
        <f>EXP(-LN(2)/2)*EX146+(1-EXP(-LN(2)/2))/(LN(2)/2)*ER147*EU147*VLOOKUP('Données projet'!$B$15,Paramètres!$A$1:$I$89,3,0)*0.475*44/12</f>
        <v>0</v>
      </c>
      <c r="EY147" s="22">
        <f t="shared" si="129"/>
        <v>0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5.6843418860808015E-14</v>
      </c>
      <c r="FF147" s="17">
        <f>FE147*VLOOKUP('Données projet'!$B$16,Paramètres!$A$1:$I$89,3,0)*VLOOKUP('Données projet'!$B$16,Paramètres!$A$1:$I$89,5,0)</f>
        <v>5.1431925385259088E-14</v>
      </c>
      <c r="FG147" s="13">
        <f t="shared" si="155"/>
        <v>8.3482866290946129E-13</v>
      </c>
      <c r="FH147" s="20">
        <f t="shared" si="130"/>
        <v>1.5435705246133045E-12</v>
      </c>
      <c r="FI147" s="59">
        <f t="shared" si="131"/>
        <v>293.33333333333485</v>
      </c>
      <c r="FJ147" s="59">
        <f ca="1">AVERAGE(OFFSET($FI$3,0,0,'Données projet'!$E$16+1,1))-AVERAGE(OFFSET($H$3,0,0,'Données projet'!$E$16+1,1))</f>
        <v>179.50097986986123</v>
      </c>
      <c r="FK147" s="59">
        <f t="shared" si="156"/>
        <v>287.11838730637578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>
        <f>EXP(-LN(2)/35)*FQ146+(1-EXP(-LN(2)/35))/(LN(2)/35)*FM147*FN147*VLOOKUP('Données projet'!$B$16,Paramètres!$A$1:$I$89,3,0)*0.475*44/12</f>
        <v>6.520064709142423E-2</v>
      </c>
      <c r="FR147" s="21">
        <f>EXP(-LN(2)/25)*FR146+(1-EXP(-LN(2)/25))/(LN(2)/25)*Calculateur!FM147*Calculateur!FO147*VLOOKUP('Données projet'!$B$16,Paramètres!$A$1:$I$89,3,0)*0.475*44/12</f>
        <v>0.2668115933279962</v>
      </c>
      <c r="FS147" s="21">
        <f>EXP(-LN(2)/2)*FS146+(1-EXP(-LN(2)/2))/(LN(2)/2)*FM147*FP147*VLOOKUP('Données projet'!$B$16,Paramètres!$A$1:$I$89,3,0)*0.475*44/12</f>
        <v>3.1369323982327133E-17</v>
      </c>
      <c r="FT147" s="22">
        <f t="shared" si="132"/>
        <v>0.33201224041942051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5.6843418860808015E-14</v>
      </c>
      <c r="GA147" s="17">
        <f>FZ147*VLOOKUP('Données projet'!$B$17,Paramètres!$A$1:$I$89,3,0)*VLOOKUP('Données projet'!$B$17,Paramètres!$A$1:$I$89,5,0)</f>
        <v>3.3992364478763198E-14</v>
      </c>
      <c r="GB147" s="13">
        <f t="shared" si="157"/>
        <v>5.790027782444094E-13</v>
      </c>
      <c r="GC147" s="20">
        <f t="shared" si="133"/>
        <v>1.0676332069095257E-12</v>
      </c>
      <c r="GD147" s="59">
        <f t="shared" si="134"/>
        <v>293.33333333333439</v>
      </c>
      <c r="GE147" s="59">
        <f ca="1">AVERAGE(OFFSET($GD$3,0,0,'Données projet'!$E$17+1,1))-AVERAGE(OFFSET($H$3,0,0,'Données projet'!$E$17+1,1))</f>
        <v>165.39579887388538</v>
      </c>
      <c r="GF147" s="59">
        <f t="shared" si="158"/>
        <v>155.89639262545802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>
        <f>EXP(-LN(2)/35)*GL146+(1-EXP(-LN(2)/35))/(LN(2)/35)*GH147*GI147*VLOOKUP('Données projet'!$B$17,Paramètres!$A$1:$I$89,3,0)*0.475*44/12</f>
        <v>0</v>
      </c>
      <c r="GM147" s="21">
        <f>EXP(-LN(2)/25)*GM146+(1-EXP(-LN(2)/25))/(LN(2)/25)*Calculateur!GH147*Calculateur!GJ147*VLOOKUP('Données projet'!$B$17,Paramètres!$A$1:$I$89,3,0)*0.475*44/12</f>
        <v>0.30901942272071542</v>
      </c>
      <c r="GN147" s="21">
        <f>EXP(-LN(2)/2)*GN146+(1-EXP(-LN(2)/2))/(LN(2)/2)*GH147*GK147*VLOOKUP('Données projet'!$B$17,Paramètres!$A$1:$I$89,3,0)*0.475*44/12</f>
        <v>9.6312095350221614E-17</v>
      </c>
      <c r="GO147" s="21">
        <f t="shared" si="135"/>
        <v>0.30901942272071553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3.4106051316484809E-13</v>
      </c>
      <c r="O148" s="13">
        <f>N148*VLOOKUP('Données projet'!$B$9,Paramètres!$A$1:$I$89,3,0)*VLOOKUP('Données projet'!$B$9,Paramètres!$A$1:$I$89,5,0)</f>
        <v>1.9065282685915009E-13</v>
      </c>
      <c r="P148" s="13">
        <f t="shared" si="141"/>
        <v>2.6568987209435707E-12</v>
      </c>
      <c r="Q148" s="20">
        <f t="shared" si="108"/>
        <v>4.959485612423072E-12</v>
      </c>
      <c r="R148" s="59">
        <f t="shared" si="109"/>
        <v>293.33333333333826</v>
      </c>
      <c r="S148" s="59">
        <f ca="1">AVERAGE(OFFSET($R$3,0,0,'Données projet'!$E$9+1,1))-AVERAGE(OFFSET($H$3,0,0,'Données projet'!$E$9+1,1))</f>
        <v>235.10258076192054</v>
      </c>
      <c r="T148" s="59">
        <f t="shared" si="142"/>
        <v>233.47316052603765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0.35130439469572661</v>
      </c>
      <c r="AA148" s="21">
        <f>EXP(-LN(2)/25)*AA147+(1-EXP(-LN(2)/25))/(LN(2)/25)*Calculateur!V148*Calculateur!X148*VLOOKUP('Données projet'!$B$9,Paramètres!$A$1:$I$89,3,0)*0.475*44/12</f>
        <v>0.76015550400877863</v>
      </c>
      <c r="AB148" s="21">
        <f>EXP(-LN(2)/2)*AB147+(1-EXP(-LN(2)/2))/(LN(2)/2)*V148*Y148*VLOOKUP('Données projet'!$B$9,Paramètres!$A$1:$I$89,3,0)*0.475*44/12</f>
        <v>1.1835593312660808E-16</v>
      </c>
      <c r="AC148" s="22">
        <f t="shared" si="111"/>
        <v>1.1114598987045055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-8.5265128291212022E-14</v>
      </c>
      <c r="AJ148" s="13">
        <f>AI148*VLOOKUP('Données projet'!$B$10,Paramètres!$A$1:$I$89,3,0)*VLOOKUP('Données projet'!$B$10,Paramètres!$A$1:$I$89,5,0)</f>
        <v>-7.4487616075202836E-14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191.94797389630673</v>
      </c>
      <c r="AO148" s="59">
        <f t="shared" si="144"/>
        <v>273.52540822767878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0.26401057540769762</v>
      </c>
      <c r="AV148" s="21">
        <f>EXP(-LN(2)/25)*AV147+(1-EXP(-LN(2)/25))/(LN(2)/25)*Calculateur!AQ148*Calculateur!AS148*VLOOKUP('Données projet'!$B$10,Paramètres!$A$1:$I$89,3,0)*0.475*44/12</f>
        <v>0.57927020125187667</v>
      </c>
      <c r="AW148" s="21">
        <f>EXP(-LN(2)/2)*AW147+(1-EXP(-LN(2)/2))/(LN(2)/2)*AQ148*AT148*VLOOKUP('Données projet'!$B$10,Paramètres!$A$1:$I$89,3,0)*0.475*44/12</f>
        <v>1.1384673158918131E-16</v>
      </c>
      <c r="AX148" s="21">
        <f t="shared" si="114"/>
        <v>0.84328077665957435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2.8421709430404007E-14</v>
      </c>
      <c r="BE148" s="13">
        <f>BD148*VLOOKUP('Données projet'!$B$11,Paramètres!$A$1:$I$89,3,0)*VLOOKUP('Données projet'!$B$11,Paramètres!$A$1:$I$89,5,0)</f>
        <v>2.5715962692629544E-14</v>
      </c>
      <c r="BF148" s="13">
        <f t="shared" si="145"/>
        <v>4.5248818890525812E-13</v>
      </c>
      <c r="BG148" s="20">
        <f t="shared" si="115"/>
        <v>8.3287223069965432E-13</v>
      </c>
      <c r="BH148" s="59">
        <f t="shared" si="116"/>
        <v>293.33333333333417</v>
      </c>
      <c r="BI148" s="59">
        <f ca="1">AVERAGE(OFFSET($BH$3,0,0,'Données projet'!$E$11+1,1))-AVERAGE(OFFSET($H$3,0,0,'Données projet'!$E$11+1,1))</f>
        <v>138.8931001150624</v>
      </c>
      <c r="BJ148" s="59">
        <f t="shared" si="146"/>
        <v>48.964659354096625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2.8421709430404007E-14</v>
      </c>
      <c r="BZ148" s="13">
        <f>BY148*VLOOKUP('Données projet'!$B$12,Paramètres!$A$1:$I$89,3,0)*VLOOKUP('Données projet'!$B$12,Paramètres!$A$1:$I$89,5,0)</f>
        <v>2.8819613362429664E-14</v>
      </c>
      <c r="CA148" s="13">
        <f t="shared" si="147"/>
        <v>5.0041752926933358E-13</v>
      </c>
      <c r="CB148" s="20">
        <f t="shared" si="118"/>
        <v>9.2175469008365428E-13</v>
      </c>
      <c r="CC148" s="59">
        <f t="shared" si="119"/>
        <v>293.33333333333422</v>
      </c>
      <c r="CD148" s="59">
        <f ca="1">AVERAGE(OFFSET($CC$3,0,0,'Données projet'!$E$12+1,1))-AVERAGE(OFFSET($H$3,0,0,'Données projet'!$E$12+1,1))</f>
        <v>169.2757878405003</v>
      </c>
      <c r="CE148" s="59">
        <f t="shared" si="148"/>
        <v>61.876502626609977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-8.5265128291212022E-14</v>
      </c>
      <c r="CU148" s="17">
        <f>CT148*VLOOKUP('Données projet'!$B$13,Paramètres!$A$1:$I$89,3,0)*VLOOKUP('Données projet'!$B$13,Paramètres!$A$1:$I$89,5,0)</f>
        <v>-6.7836936068488286E-14</v>
      </c>
      <c r="CV148" s="13" t="e">
        <f t="shared" si="149"/>
        <v>#NUM!</v>
      </c>
      <c r="CW148" s="20" t="e">
        <f t="shared" si="121"/>
        <v>#NUM!</v>
      </c>
      <c r="CX148" s="59" t="e">
        <f t="shared" si="122"/>
        <v>#NUM!</v>
      </c>
      <c r="CY148" s="59">
        <f ca="1">AVERAGE(OFFSET($CX$3,0,0,'Données projet'!$E$13+1,1))-AVERAGE(OFFSET($H$3,0,0,'Données projet'!$E$13+1,1))</f>
        <v>141.12810728817544</v>
      </c>
      <c r="CZ148" s="59">
        <f t="shared" si="150"/>
        <v>176.01405805137551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>
        <f>EXP(-LN(2)/35)*DF147+(1-EXP(-LN(2)/35))/(LN(2)/35)*DB148*DC148*VLOOKUP('Données projet'!$B$13,Paramètres!$A$1:$I$89,3,0)*0.475*44/12</f>
        <v>0</v>
      </c>
      <c r="DG148" s="21">
        <f>EXP(-LN(2)/25)*DG147+(1-EXP(-LN(2)/25))/(LN(2)/25)*Calculateur!DB148*Calculateur!DD148*VLOOKUP('Données projet'!$B$13,Paramètres!$A$1:$I$89,3,0)*0.475*44/12</f>
        <v>0.27720283347839758</v>
      </c>
      <c r="DH148" s="21">
        <f>EXP(-LN(2)/2)*DH147+(1-EXP(-LN(2)/2))/(LN(2)/2)*DB148*DE148*VLOOKUP('Données projet'!$B$13,Paramètres!$A$1:$I$89,3,0)*0.475*44/12</f>
        <v>3.9277785914409695E-17</v>
      </c>
      <c r="DI148" s="22">
        <f t="shared" si="123"/>
        <v>0.27720283347839764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5.6843418860808015E-14</v>
      </c>
      <c r="DP148" s="17">
        <f>DO148*VLOOKUP('Données projet'!$B$14,Paramètres!$A$1:$I$89,3,0)*VLOOKUP('Données projet'!$B$14,Paramètres!$A$1:$I$89,5,0)</f>
        <v>3.3992364478763198E-14</v>
      </c>
      <c r="DQ148" s="13">
        <f t="shared" si="151"/>
        <v>5.790027782444094E-13</v>
      </c>
      <c r="DR148" s="20">
        <f t="shared" si="124"/>
        <v>1.0676332069095257E-12</v>
      </c>
      <c r="DS148" s="59">
        <f t="shared" si="125"/>
        <v>293.33333333333439</v>
      </c>
      <c r="DT148" s="59">
        <f ca="1">AVERAGE(OFFSET($DS$3,0,0,'Données projet'!$E$14+1,1))-AVERAGE(OFFSET($H$3,0,0,'Données projet'!$E$14+1,1))</f>
        <v>165.39579887388538</v>
      </c>
      <c r="DU148" s="59">
        <f t="shared" si="152"/>
        <v>155.89639262545802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>
        <f>EXP(-LN(2)/35)*EA147+(1-EXP(-LN(2)/35))/(LN(2)/35)*DW148*DX148*VLOOKUP('Données projet'!$B$14,Paramètres!$A$1:$I$89,3,0)*0.475*44/12</f>
        <v>0</v>
      </c>
      <c r="EB148" s="21">
        <f>EXP(-LN(2)/25)*EB147+(1-EXP(-LN(2)/25))/(LN(2)/25)*Calculateur!DW148*Calculateur!DY148*VLOOKUP('Données projet'!$B$14,Paramètres!$A$1:$I$89,3,0)*0.475*44/12</f>
        <v>0.30056927035579228</v>
      </c>
      <c r="EC148" s="21">
        <f>EXP(-LN(2)/2)*EC147+(1-EXP(-LN(2)/2))/(LN(2)/2)*DW148*DZ148*VLOOKUP('Données projet'!$B$14,Paramètres!$A$1:$I$89,3,0)*0.475*44/12</f>
        <v>6.8102935732427055E-17</v>
      </c>
      <c r="ED148" s="22">
        <f t="shared" si="126"/>
        <v>0.30056927035579234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2.8421709430404007E-14</v>
      </c>
      <c r="EK148" s="17">
        <f>EJ148*VLOOKUP('Données projet'!$B$15,Paramètres!$A$1:$I$89,3,0)*VLOOKUP('Données projet'!$B$15,Paramètres!$A$1:$I$89,5,0)</f>
        <v>2.2168933355715127E-14</v>
      </c>
      <c r="EL148" s="13">
        <f t="shared" si="153"/>
        <v>3.9687356123668477E-13</v>
      </c>
      <c r="EM148" s="20">
        <f t="shared" si="127"/>
        <v>7.2983234474842979E-13</v>
      </c>
      <c r="EN148" s="59">
        <f t="shared" si="128"/>
        <v>293.33333333333405</v>
      </c>
      <c r="EO148" s="59">
        <f ca="1">AVERAGE(OFFSET($EN$3,0,0,'Données projet'!$E$15+1,1))-AVERAGE(OFFSET($H$3,0,0,'Données projet'!$E$15+1,1))</f>
        <v>104.07220236158577</v>
      </c>
      <c r="EP148" s="59">
        <f t="shared" si="154"/>
        <v>34.162068257911756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>
        <f>EXP(-LN(2)/35)*EV147+(1-EXP(-LN(2)/35))/(LN(2)/35)*ER148*ES148*VLOOKUP('Données projet'!$B$15,Paramètres!$A$1:$I$89,3,0)*0.475*44/12</f>
        <v>0</v>
      </c>
      <c r="EW148" s="21">
        <f>EXP(-LN(2)/25)*EW147+(1-EXP(-LN(2)/25))/(LN(2)/25)*Calculateur!ER148*Calculateur!ET148*VLOOKUP('Données projet'!$B$15,Paramètres!$A$1:$I$89,3,0)*0.475*44/12</f>
        <v>0</v>
      </c>
      <c r="EX148" s="21">
        <f>EXP(-LN(2)/2)*EX147+(1-EXP(-LN(2)/2))/(LN(2)/2)*ER148*EU148*VLOOKUP('Données projet'!$B$15,Paramètres!$A$1:$I$89,3,0)*0.475*44/12</f>
        <v>0</v>
      </c>
      <c r="EY148" s="22">
        <f t="shared" si="129"/>
        <v>0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5.6843418860808015E-14</v>
      </c>
      <c r="FF148" s="17">
        <f>FE148*VLOOKUP('Données projet'!$B$16,Paramètres!$A$1:$I$89,3,0)*VLOOKUP('Données projet'!$B$16,Paramètres!$A$1:$I$89,5,0)</f>
        <v>5.1431925385259088E-14</v>
      </c>
      <c r="FG148" s="13">
        <f t="shared" si="155"/>
        <v>8.3482866290946129E-13</v>
      </c>
      <c r="FH148" s="20">
        <f t="shared" si="130"/>
        <v>1.5435705246133045E-12</v>
      </c>
      <c r="FI148" s="59">
        <f t="shared" si="131"/>
        <v>293.33333333333485</v>
      </c>
      <c r="FJ148" s="59">
        <f ca="1">AVERAGE(OFFSET($FI$3,0,0,'Données projet'!$E$16+1,1))-AVERAGE(OFFSET($H$3,0,0,'Données projet'!$E$16+1,1))</f>
        <v>179.50097986986123</v>
      </c>
      <c r="FK148" s="59">
        <f t="shared" si="156"/>
        <v>287.11838730637578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>
        <f>EXP(-LN(2)/35)*FQ147+(1-EXP(-LN(2)/35))/(LN(2)/35)*FM148*FN148*VLOOKUP('Données projet'!$B$16,Paramètres!$A$1:$I$89,3,0)*0.475*44/12</f>
        <v>6.3922102170429318E-2</v>
      </c>
      <c r="FR148" s="21">
        <f>EXP(-LN(2)/25)*FR147+(1-EXP(-LN(2)/25))/(LN(2)/25)*Calculateur!FM148*Calculateur!FO148*VLOOKUP('Données projet'!$B$16,Paramètres!$A$1:$I$89,3,0)*0.475*44/12</f>
        <v>0.25951561627743025</v>
      </c>
      <c r="FS148" s="21">
        <f>EXP(-LN(2)/2)*FS147+(1-EXP(-LN(2)/2))/(LN(2)/2)*FM148*FP148*VLOOKUP('Données projet'!$B$16,Paramètres!$A$1:$I$89,3,0)*0.475*44/12</f>
        <v>2.218146170914131E-17</v>
      </c>
      <c r="FT148" s="22">
        <f t="shared" si="132"/>
        <v>0.32343771844785957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5.6843418860808015E-14</v>
      </c>
      <c r="GA148" s="17">
        <f>FZ148*VLOOKUP('Données projet'!$B$17,Paramètres!$A$1:$I$89,3,0)*VLOOKUP('Données projet'!$B$17,Paramètres!$A$1:$I$89,5,0)</f>
        <v>3.3992364478763198E-14</v>
      </c>
      <c r="GB148" s="13">
        <f t="shared" si="157"/>
        <v>5.790027782444094E-13</v>
      </c>
      <c r="GC148" s="20">
        <f t="shared" si="133"/>
        <v>1.0676332069095257E-12</v>
      </c>
      <c r="GD148" s="59">
        <f t="shared" si="134"/>
        <v>293.33333333333439</v>
      </c>
      <c r="GE148" s="59">
        <f ca="1">AVERAGE(OFFSET($GD$3,0,0,'Données projet'!$E$17+1,1))-AVERAGE(OFFSET($H$3,0,0,'Données projet'!$E$17+1,1))</f>
        <v>165.39579887388538</v>
      </c>
      <c r="GF148" s="59">
        <f t="shared" si="158"/>
        <v>155.89639262545802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>
        <f>EXP(-LN(2)/35)*GL147+(1-EXP(-LN(2)/35))/(LN(2)/35)*GH148*GI148*VLOOKUP('Données projet'!$B$17,Paramètres!$A$1:$I$89,3,0)*0.475*44/12</f>
        <v>0</v>
      </c>
      <c r="GM148" s="21">
        <f>EXP(-LN(2)/25)*GM147+(1-EXP(-LN(2)/25))/(LN(2)/25)*Calculateur!GH148*Calculateur!GJ148*VLOOKUP('Données projet'!$B$17,Paramètres!$A$1:$I$89,3,0)*0.475*44/12</f>
        <v>0.30056927035579228</v>
      </c>
      <c r="GN148" s="21">
        <f>EXP(-LN(2)/2)*GN147+(1-EXP(-LN(2)/2))/(LN(2)/2)*GH148*GK148*VLOOKUP('Données projet'!$B$17,Paramètres!$A$1:$I$89,3,0)*0.475*44/12</f>
        <v>6.8102935732427055E-17</v>
      </c>
      <c r="GO148" s="21">
        <f t="shared" si="135"/>
        <v>0.30056927035579234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3.4106051316484809E-13</v>
      </c>
      <c r="O149" s="13">
        <f>N149*VLOOKUP('Données projet'!$B$9,Paramètres!$A$1:$I$89,3,0)*VLOOKUP('Données projet'!$B$9,Paramètres!$A$1:$I$89,5,0)</f>
        <v>1.9065282685915009E-13</v>
      </c>
      <c r="P149" s="13">
        <f t="shared" si="141"/>
        <v>2.6568987209435707E-12</v>
      </c>
      <c r="Q149" s="20">
        <f t="shared" si="108"/>
        <v>4.959485612423072E-12</v>
      </c>
      <c r="R149" s="59">
        <f t="shared" si="109"/>
        <v>293.33333333333826</v>
      </c>
      <c r="S149" s="59">
        <f ca="1">AVERAGE(OFFSET($R$3,0,0,'Données projet'!$E$9+1,1))-AVERAGE(OFFSET($H$3,0,0,'Données projet'!$E$9+1,1))</f>
        <v>235.10258076192054</v>
      </c>
      <c r="T149" s="59">
        <f t="shared" si="142"/>
        <v>233.47316052603765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0.34441552979026629</v>
      </c>
      <c r="AA149" s="21">
        <f>EXP(-LN(2)/25)*AA148+(1-EXP(-LN(2)/25))/(LN(2)/25)*Calculateur!V149*Calculateur!X149*VLOOKUP('Données projet'!$B$9,Paramètres!$A$1:$I$89,3,0)*0.475*44/12</f>
        <v>0.73936901177681802</v>
      </c>
      <c r="AB149" s="21">
        <f>EXP(-LN(2)/2)*AB148+(1-EXP(-LN(2)/2))/(LN(2)/2)*V149*Y149*VLOOKUP('Données projet'!$B$9,Paramètres!$A$1:$I$89,3,0)*0.475*44/12</f>
        <v>8.3690282907486109E-17</v>
      </c>
      <c r="AC149" s="22">
        <f t="shared" si="111"/>
        <v>1.0837845415670844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-8.5265128291212022E-14</v>
      </c>
      <c r="AJ149" s="13">
        <f>AI149*VLOOKUP('Données projet'!$B$10,Paramètres!$A$1:$I$89,3,0)*VLOOKUP('Données projet'!$B$10,Paramètres!$A$1:$I$89,5,0)</f>
        <v>-7.4487616075202836E-14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191.94797389630673</v>
      </c>
      <c r="AO149" s="59">
        <f t="shared" si="144"/>
        <v>273.52540822767878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0.25883348905450321</v>
      </c>
      <c r="AV149" s="21">
        <f>EXP(-LN(2)/25)*AV148+(1-EXP(-LN(2)/25))/(LN(2)/25)*Calculateur!AQ149*Calculateur!AS149*VLOOKUP('Données projet'!$B$10,Paramètres!$A$1:$I$89,3,0)*0.475*44/12</f>
        <v>0.5634300271361482</v>
      </c>
      <c r="AW149" s="21">
        <f>EXP(-LN(2)/2)*AW148+(1-EXP(-LN(2)/2))/(LN(2)/2)*AQ149*AT149*VLOOKUP('Données projet'!$B$10,Paramètres!$A$1:$I$89,3,0)*0.475*44/12</f>
        <v>8.0501795922634839E-17</v>
      </c>
      <c r="AX149" s="21">
        <f t="shared" si="114"/>
        <v>0.82226351619065152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2.8421709430404007E-14</v>
      </c>
      <c r="BE149" s="13">
        <f>BD149*VLOOKUP('Données projet'!$B$11,Paramètres!$A$1:$I$89,3,0)*VLOOKUP('Données projet'!$B$11,Paramètres!$A$1:$I$89,5,0)</f>
        <v>2.5715962692629544E-14</v>
      </c>
      <c r="BF149" s="13">
        <f t="shared" si="145"/>
        <v>4.5248818890525812E-13</v>
      </c>
      <c r="BG149" s="20">
        <f t="shared" si="115"/>
        <v>8.3287223069965432E-13</v>
      </c>
      <c r="BH149" s="59">
        <f t="shared" si="116"/>
        <v>293.33333333333417</v>
      </c>
      <c r="BI149" s="59">
        <f ca="1">AVERAGE(OFFSET($BH$3,0,0,'Données projet'!$E$11+1,1))-AVERAGE(OFFSET($H$3,0,0,'Données projet'!$E$11+1,1))</f>
        <v>138.8931001150624</v>
      </c>
      <c r="BJ149" s="59">
        <f t="shared" si="146"/>
        <v>48.964659354096625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2.8421709430404007E-14</v>
      </c>
      <c r="BZ149" s="13">
        <f>BY149*VLOOKUP('Données projet'!$B$12,Paramètres!$A$1:$I$89,3,0)*VLOOKUP('Données projet'!$B$12,Paramètres!$A$1:$I$89,5,0)</f>
        <v>2.8819613362429664E-14</v>
      </c>
      <c r="CA149" s="13">
        <f t="shared" si="147"/>
        <v>5.0041752926933358E-13</v>
      </c>
      <c r="CB149" s="20">
        <f t="shared" si="118"/>
        <v>9.2175469008365428E-13</v>
      </c>
      <c r="CC149" s="59">
        <f t="shared" si="119"/>
        <v>293.33333333333422</v>
      </c>
      <c r="CD149" s="59">
        <f ca="1">AVERAGE(OFFSET($CC$3,0,0,'Données projet'!$E$12+1,1))-AVERAGE(OFFSET($H$3,0,0,'Données projet'!$E$12+1,1))</f>
        <v>169.2757878405003</v>
      </c>
      <c r="CE149" s="59">
        <f t="shared" si="148"/>
        <v>61.876502626609977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-8.5265128291212022E-14</v>
      </c>
      <c r="CU149" s="17">
        <f>CT149*VLOOKUP('Données projet'!$B$13,Paramètres!$A$1:$I$89,3,0)*VLOOKUP('Données projet'!$B$13,Paramètres!$A$1:$I$89,5,0)</f>
        <v>-6.7836936068488286E-14</v>
      </c>
      <c r="CV149" s="13" t="e">
        <f t="shared" si="149"/>
        <v>#NUM!</v>
      </c>
      <c r="CW149" s="20" t="e">
        <f t="shared" si="121"/>
        <v>#NUM!</v>
      </c>
      <c r="CX149" s="59" t="e">
        <f t="shared" si="122"/>
        <v>#NUM!</v>
      </c>
      <c r="CY149" s="59">
        <f ca="1">AVERAGE(OFFSET($CX$3,0,0,'Données projet'!$E$13+1,1))-AVERAGE(OFFSET($H$3,0,0,'Données projet'!$E$13+1,1))</f>
        <v>141.12810728817544</v>
      </c>
      <c r="CZ149" s="59">
        <f t="shared" si="150"/>
        <v>176.01405805137551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>
        <f>EXP(-LN(2)/35)*DF148+(1-EXP(-LN(2)/35))/(LN(2)/35)*DB149*DC149*VLOOKUP('Données projet'!$B$13,Paramètres!$A$1:$I$89,3,0)*0.475*44/12</f>
        <v>0</v>
      </c>
      <c r="DG149" s="21">
        <f>EXP(-LN(2)/25)*DG148+(1-EXP(-LN(2)/25))/(LN(2)/25)*Calculateur!DB149*Calculateur!DD149*VLOOKUP('Données projet'!$B$13,Paramètres!$A$1:$I$89,3,0)*0.475*44/12</f>
        <v>0.26962270741946737</v>
      </c>
      <c r="DH149" s="21">
        <f>EXP(-LN(2)/2)*DH148+(1-EXP(-LN(2)/2))/(LN(2)/2)*DB149*DE149*VLOOKUP('Données projet'!$B$13,Paramètres!$A$1:$I$89,3,0)*0.475*44/12</f>
        <v>2.7773588770072554E-17</v>
      </c>
      <c r="DI149" s="22">
        <f t="shared" si="123"/>
        <v>0.26962270741946742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5.6843418860808015E-14</v>
      </c>
      <c r="DP149" s="17">
        <f>DO149*VLOOKUP('Données projet'!$B$14,Paramètres!$A$1:$I$89,3,0)*VLOOKUP('Données projet'!$B$14,Paramètres!$A$1:$I$89,5,0)</f>
        <v>3.3992364478763198E-14</v>
      </c>
      <c r="DQ149" s="13">
        <f t="shared" si="151"/>
        <v>5.790027782444094E-13</v>
      </c>
      <c r="DR149" s="20">
        <f t="shared" si="124"/>
        <v>1.0676332069095257E-12</v>
      </c>
      <c r="DS149" s="59">
        <f t="shared" si="125"/>
        <v>293.33333333333439</v>
      </c>
      <c r="DT149" s="59">
        <f ca="1">AVERAGE(OFFSET($DS$3,0,0,'Données projet'!$E$14+1,1))-AVERAGE(OFFSET($H$3,0,0,'Données projet'!$E$14+1,1))</f>
        <v>165.39579887388538</v>
      </c>
      <c r="DU149" s="59">
        <f t="shared" si="152"/>
        <v>155.89639262545802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>
        <f>EXP(-LN(2)/35)*EA148+(1-EXP(-LN(2)/35))/(LN(2)/35)*DW149*DX149*VLOOKUP('Données projet'!$B$14,Paramètres!$A$1:$I$89,3,0)*0.475*44/12</f>
        <v>0</v>
      </c>
      <c r="EB149" s="21">
        <f>EXP(-LN(2)/25)*EB148+(1-EXP(-LN(2)/25))/(LN(2)/25)*Calculateur!DW149*Calculateur!DY149*VLOOKUP('Données projet'!$B$14,Paramètres!$A$1:$I$89,3,0)*0.475*44/12</f>
        <v>0.29235018785166217</v>
      </c>
      <c r="EC149" s="21">
        <f>EXP(-LN(2)/2)*EC148+(1-EXP(-LN(2)/2))/(LN(2)/2)*DW149*DZ149*VLOOKUP('Données projet'!$B$14,Paramètres!$A$1:$I$89,3,0)*0.475*44/12</f>
        <v>4.8156047675110807E-17</v>
      </c>
      <c r="ED149" s="22">
        <f t="shared" si="126"/>
        <v>0.29235018785166222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2.8421709430404007E-14</v>
      </c>
      <c r="EK149" s="17">
        <f>EJ149*VLOOKUP('Données projet'!$B$15,Paramètres!$A$1:$I$89,3,0)*VLOOKUP('Données projet'!$B$15,Paramètres!$A$1:$I$89,5,0)</f>
        <v>2.2168933355715127E-14</v>
      </c>
      <c r="EL149" s="13">
        <f t="shared" si="153"/>
        <v>3.9687356123668477E-13</v>
      </c>
      <c r="EM149" s="20">
        <f t="shared" si="127"/>
        <v>7.2983234474842979E-13</v>
      </c>
      <c r="EN149" s="59">
        <f t="shared" si="128"/>
        <v>293.33333333333405</v>
      </c>
      <c r="EO149" s="59">
        <f ca="1">AVERAGE(OFFSET($EN$3,0,0,'Données projet'!$E$15+1,1))-AVERAGE(OFFSET($H$3,0,0,'Données projet'!$E$15+1,1))</f>
        <v>104.07220236158577</v>
      </c>
      <c r="EP149" s="59">
        <f t="shared" si="154"/>
        <v>34.162068257911756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>
        <f>EXP(-LN(2)/35)*EV148+(1-EXP(-LN(2)/35))/(LN(2)/35)*ER149*ES149*VLOOKUP('Données projet'!$B$15,Paramètres!$A$1:$I$89,3,0)*0.475*44/12</f>
        <v>0</v>
      </c>
      <c r="EW149" s="21">
        <f>EXP(-LN(2)/25)*EW148+(1-EXP(-LN(2)/25))/(LN(2)/25)*Calculateur!ER149*Calculateur!ET149*VLOOKUP('Données projet'!$B$15,Paramètres!$A$1:$I$89,3,0)*0.475*44/12</f>
        <v>0</v>
      </c>
      <c r="EX149" s="21">
        <f>EXP(-LN(2)/2)*EX148+(1-EXP(-LN(2)/2))/(LN(2)/2)*ER149*EU149*VLOOKUP('Données projet'!$B$15,Paramètres!$A$1:$I$89,3,0)*0.475*44/12</f>
        <v>0</v>
      </c>
      <c r="EY149" s="22">
        <f t="shared" si="129"/>
        <v>0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5.6843418860808015E-14</v>
      </c>
      <c r="FF149" s="17">
        <f>FE149*VLOOKUP('Données projet'!$B$16,Paramètres!$A$1:$I$89,3,0)*VLOOKUP('Données projet'!$B$16,Paramètres!$A$1:$I$89,5,0)</f>
        <v>5.1431925385259088E-14</v>
      </c>
      <c r="FG149" s="13">
        <f t="shared" si="155"/>
        <v>8.3482866290946129E-13</v>
      </c>
      <c r="FH149" s="20">
        <f t="shared" si="130"/>
        <v>1.5435705246133045E-12</v>
      </c>
      <c r="FI149" s="59">
        <f t="shared" si="131"/>
        <v>293.33333333333485</v>
      </c>
      <c r="FJ149" s="59">
        <f ca="1">AVERAGE(OFFSET($FI$3,0,0,'Données projet'!$E$16+1,1))-AVERAGE(OFFSET($H$3,0,0,'Données projet'!$E$16+1,1))</f>
        <v>179.50097986986123</v>
      </c>
      <c r="FK149" s="59">
        <f t="shared" si="156"/>
        <v>287.11838730637578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>
        <f>EXP(-LN(2)/35)*FQ148+(1-EXP(-LN(2)/35))/(LN(2)/35)*FM149*FN149*VLOOKUP('Données projet'!$B$16,Paramètres!$A$1:$I$89,3,0)*0.475*44/12</f>
        <v>6.2668628735499721E-2</v>
      </c>
      <c r="FR149" s="21">
        <f>EXP(-LN(2)/25)*FR148+(1-EXP(-LN(2)/25))/(LN(2)/25)*Calculateur!FM149*Calculateur!FO149*VLOOKUP('Données projet'!$B$16,Paramètres!$A$1:$I$89,3,0)*0.475*44/12</f>
        <v>0.25241914810299076</v>
      </c>
      <c r="FS149" s="21">
        <f>EXP(-LN(2)/2)*FS148+(1-EXP(-LN(2)/2))/(LN(2)/2)*FM149*FP149*VLOOKUP('Données projet'!$B$16,Paramètres!$A$1:$I$89,3,0)*0.475*44/12</f>
        <v>1.5684661991163566E-17</v>
      </c>
      <c r="FT149" s="22">
        <f t="shared" si="132"/>
        <v>0.31508777683849049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5.6843418860808015E-14</v>
      </c>
      <c r="GA149" s="17">
        <f>FZ149*VLOOKUP('Données projet'!$B$17,Paramètres!$A$1:$I$89,3,0)*VLOOKUP('Données projet'!$B$17,Paramètres!$A$1:$I$89,5,0)</f>
        <v>3.3992364478763198E-14</v>
      </c>
      <c r="GB149" s="13">
        <f t="shared" si="157"/>
        <v>5.790027782444094E-13</v>
      </c>
      <c r="GC149" s="20">
        <f t="shared" si="133"/>
        <v>1.0676332069095257E-12</v>
      </c>
      <c r="GD149" s="59">
        <f t="shared" si="134"/>
        <v>293.33333333333439</v>
      </c>
      <c r="GE149" s="59">
        <f ca="1">AVERAGE(OFFSET($GD$3,0,0,'Données projet'!$E$17+1,1))-AVERAGE(OFFSET($H$3,0,0,'Données projet'!$E$17+1,1))</f>
        <v>165.39579887388538</v>
      </c>
      <c r="GF149" s="59">
        <f t="shared" si="158"/>
        <v>155.89639262545802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>
        <f>EXP(-LN(2)/35)*GL148+(1-EXP(-LN(2)/35))/(LN(2)/35)*GH149*GI149*VLOOKUP('Données projet'!$B$17,Paramètres!$A$1:$I$89,3,0)*0.475*44/12</f>
        <v>0</v>
      </c>
      <c r="GM149" s="21">
        <f>EXP(-LN(2)/25)*GM148+(1-EXP(-LN(2)/25))/(LN(2)/25)*Calculateur!GH149*Calculateur!GJ149*VLOOKUP('Données projet'!$B$17,Paramètres!$A$1:$I$89,3,0)*0.475*44/12</f>
        <v>0.29235018785166217</v>
      </c>
      <c r="GN149" s="21">
        <f>EXP(-LN(2)/2)*GN148+(1-EXP(-LN(2)/2))/(LN(2)/2)*GH149*GK149*VLOOKUP('Données projet'!$B$17,Paramètres!$A$1:$I$89,3,0)*0.475*44/12</f>
        <v>4.8156047675110807E-17</v>
      </c>
      <c r="GO149" s="21">
        <f t="shared" si="135"/>
        <v>0.29235018785166222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3.4106051316484809E-13</v>
      </c>
      <c r="O150" s="13">
        <f>N150*VLOOKUP('Données projet'!$B$9,Paramètres!$A$1:$I$89,3,0)*VLOOKUP('Données projet'!$B$9,Paramètres!$A$1:$I$89,5,0)</f>
        <v>1.9065282685915009E-13</v>
      </c>
      <c r="P150" s="13">
        <f t="shared" si="141"/>
        <v>2.6568987209435707E-12</v>
      </c>
      <c r="Q150" s="20">
        <f t="shared" si="108"/>
        <v>4.959485612423072E-12</v>
      </c>
      <c r="R150" s="59">
        <f t="shared" si="109"/>
        <v>293.33333333333826</v>
      </c>
      <c r="S150" s="59">
        <f ca="1">AVERAGE(OFFSET($R$3,0,0,'Données projet'!$E$9+1,1))-AVERAGE(OFFSET($H$3,0,0,'Données projet'!$E$9+1,1))</f>
        <v>235.10258076192054</v>
      </c>
      <c r="T150" s="59">
        <f t="shared" si="142"/>
        <v>233.47316052603765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0.33766175132380938</v>
      </c>
      <c r="AA150" s="21">
        <f>EXP(-LN(2)/25)*AA149+(1-EXP(-LN(2)/25))/(LN(2)/25)*Calculateur!V150*Calculateur!X150*VLOOKUP('Données projet'!$B$9,Paramètres!$A$1:$I$89,3,0)*0.475*44/12</f>
        <v>0.71915092726805441</v>
      </c>
      <c r="AB150" s="21">
        <f>EXP(-LN(2)/2)*AB149+(1-EXP(-LN(2)/2))/(LN(2)/2)*V150*Y150*VLOOKUP('Données projet'!$B$9,Paramètres!$A$1:$I$89,3,0)*0.475*44/12</f>
        <v>5.9177966563304038E-17</v>
      </c>
      <c r="AC150" s="22">
        <f t="shared" si="111"/>
        <v>1.0568126785918639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-8.5265128291212022E-14</v>
      </c>
      <c r="AJ150" s="13">
        <f>AI150*VLOOKUP('Données projet'!$B$10,Paramètres!$A$1:$I$89,3,0)*VLOOKUP('Données projet'!$B$10,Paramètres!$A$1:$I$89,5,0)</f>
        <v>-7.4487616075202836E-14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191.94797389630673</v>
      </c>
      <c r="AO150" s="59">
        <f t="shared" si="144"/>
        <v>273.52540822767878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0.25375792220698407</v>
      </c>
      <c r="AV150" s="21">
        <f>EXP(-LN(2)/25)*AV149+(1-EXP(-LN(2)/25))/(LN(2)/25)*Calculateur!AQ150*Calculateur!AS150*VLOOKUP('Données projet'!$B$10,Paramètres!$A$1:$I$89,3,0)*0.475*44/12</f>
        <v>0.54802300341461285</v>
      </c>
      <c r="AW150" s="21">
        <f>EXP(-LN(2)/2)*AW149+(1-EXP(-LN(2)/2))/(LN(2)/2)*AQ150*AT150*VLOOKUP('Données projet'!$B$10,Paramètres!$A$1:$I$89,3,0)*0.475*44/12</f>
        <v>5.6923365794590655E-17</v>
      </c>
      <c r="AX150" s="21">
        <f t="shared" si="114"/>
        <v>0.80178092562159697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2.8421709430404007E-14</v>
      </c>
      <c r="BE150" s="13">
        <f>BD150*VLOOKUP('Données projet'!$B$11,Paramètres!$A$1:$I$89,3,0)*VLOOKUP('Données projet'!$B$11,Paramètres!$A$1:$I$89,5,0)</f>
        <v>2.5715962692629544E-14</v>
      </c>
      <c r="BF150" s="13">
        <f t="shared" si="145"/>
        <v>4.5248818890525812E-13</v>
      </c>
      <c r="BG150" s="20">
        <f t="shared" si="115"/>
        <v>8.3287223069965432E-13</v>
      </c>
      <c r="BH150" s="59">
        <f t="shared" si="116"/>
        <v>293.33333333333417</v>
      </c>
      <c r="BI150" s="59">
        <f ca="1">AVERAGE(OFFSET($BH$3,0,0,'Données projet'!$E$11+1,1))-AVERAGE(OFFSET($H$3,0,0,'Données projet'!$E$11+1,1))</f>
        <v>138.8931001150624</v>
      </c>
      <c r="BJ150" s="59">
        <f t="shared" si="146"/>
        <v>48.964659354096625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2.8421709430404007E-14</v>
      </c>
      <c r="BZ150" s="13">
        <f>BY150*VLOOKUP('Données projet'!$B$12,Paramètres!$A$1:$I$89,3,0)*VLOOKUP('Données projet'!$B$12,Paramètres!$A$1:$I$89,5,0)</f>
        <v>2.8819613362429664E-14</v>
      </c>
      <c r="CA150" s="13">
        <f t="shared" si="147"/>
        <v>5.0041752926933358E-13</v>
      </c>
      <c r="CB150" s="20">
        <f t="shared" si="118"/>
        <v>9.2175469008365428E-13</v>
      </c>
      <c r="CC150" s="59">
        <f t="shared" si="119"/>
        <v>293.33333333333422</v>
      </c>
      <c r="CD150" s="59">
        <f ca="1">AVERAGE(OFFSET($CC$3,0,0,'Données projet'!$E$12+1,1))-AVERAGE(OFFSET($H$3,0,0,'Données projet'!$E$12+1,1))</f>
        <v>169.2757878405003</v>
      </c>
      <c r="CE150" s="59">
        <f t="shared" si="148"/>
        <v>61.876502626609977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-8.5265128291212022E-14</v>
      </c>
      <c r="CU150" s="17">
        <f>CT150*VLOOKUP('Données projet'!$B$13,Paramètres!$A$1:$I$89,3,0)*VLOOKUP('Données projet'!$B$13,Paramètres!$A$1:$I$89,5,0)</f>
        <v>-6.7836936068488286E-14</v>
      </c>
      <c r="CV150" s="13" t="e">
        <f t="shared" si="149"/>
        <v>#NUM!</v>
      </c>
      <c r="CW150" s="20" t="e">
        <f t="shared" si="121"/>
        <v>#NUM!</v>
      </c>
      <c r="CX150" s="59" t="e">
        <f t="shared" si="122"/>
        <v>#NUM!</v>
      </c>
      <c r="CY150" s="59">
        <f ca="1">AVERAGE(OFFSET($CX$3,0,0,'Données projet'!$E$13+1,1))-AVERAGE(OFFSET($H$3,0,0,'Données projet'!$E$13+1,1))</f>
        <v>141.12810728817544</v>
      </c>
      <c r="CZ150" s="59">
        <f t="shared" si="150"/>
        <v>176.01405805137551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>
        <f>EXP(-LN(2)/35)*DF149+(1-EXP(-LN(2)/35))/(LN(2)/35)*DB150*DC150*VLOOKUP('Données projet'!$B$13,Paramètres!$A$1:$I$89,3,0)*0.475*44/12</f>
        <v>0</v>
      </c>
      <c r="DG150" s="21">
        <f>EXP(-LN(2)/25)*DG149+(1-EXP(-LN(2)/25))/(LN(2)/25)*Calculateur!DB150*Calculateur!DD150*VLOOKUP('Données projet'!$B$13,Paramètres!$A$1:$I$89,3,0)*0.475*44/12</f>
        <v>0.26224986030624009</v>
      </c>
      <c r="DH150" s="21">
        <f>EXP(-LN(2)/2)*DH149+(1-EXP(-LN(2)/2))/(LN(2)/2)*DB150*DE150*VLOOKUP('Données projet'!$B$13,Paramètres!$A$1:$I$89,3,0)*0.475*44/12</f>
        <v>1.9638892957204847E-17</v>
      </c>
      <c r="DI150" s="22">
        <f t="shared" si="123"/>
        <v>0.26224986030624009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5.6843418860808015E-14</v>
      </c>
      <c r="DP150" s="17">
        <f>DO150*VLOOKUP('Données projet'!$B$14,Paramètres!$A$1:$I$89,3,0)*VLOOKUP('Données projet'!$B$14,Paramètres!$A$1:$I$89,5,0)</f>
        <v>3.3992364478763198E-14</v>
      </c>
      <c r="DQ150" s="13">
        <f t="shared" si="151"/>
        <v>5.790027782444094E-13</v>
      </c>
      <c r="DR150" s="20">
        <f t="shared" si="124"/>
        <v>1.0676332069095257E-12</v>
      </c>
      <c r="DS150" s="59">
        <f t="shared" si="125"/>
        <v>293.33333333333439</v>
      </c>
      <c r="DT150" s="59">
        <f ca="1">AVERAGE(OFFSET($DS$3,0,0,'Données projet'!$E$14+1,1))-AVERAGE(OFFSET($H$3,0,0,'Données projet'!$E$14+1,1))</f>
        <v>165.39579887388538</v>
      </c>
      <c r="DU150" s="59">
        <f t="shared" si="152"/>
        <v>155.89639262545802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>
        <f>EXP(-LN(2)/35)*EA149+(1-EXP(-LN(2)/35))/(LN(2)/35)*DW150*DX150*VLOOKUP('Données projet'!$B$14,Paramètres!$A$1:$I$89,3,0)*0.475*44/12</f>
        <v>0</v>
      </c>
      <c r="EB150" s="21">
        <f>EXP(-LN(2)/25)*EB149+(1-EXP(-LN(2)/25))/(LN(2)/25)*Calculateur!DW150*Calculateur!DY150*VLOOKUP('Données projet'!$B$14,Paramètres!$A$1:$I$89,3,0)*0.475*44/12</f>
        <v>0.28435585659083024</v>
      </c>
      <c r="EC150" s="21">
        <f>EXP(-LN(2)/2)*EC149+(1-EXP(-LN(2)/2))/(LN(2)/2)*DW150*DZ150*VLOOKUP('Données projet'!$B$14,Paramètres!$A$1:$I$89,3,0)*0.475*44/12</f>
        <v>3.4051467866213527E-17</v>
      </c>
      <c r="ED150" s="22">
        <f t="shared" si="126"/>
        <v>0.28435585659083029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2.8421709430404007E-14</v>
      </c>
      <c r="EK150" s="17">
        <f>EJ150*VLOOKUP('Données projet'!$B$15,Paramètres!$A$1:$I$89,3,0)*VLOOKUP('Données projet'!$B$15,Paramètres!$A$1:$I$89,5,0)</f>
        <v>2.2168933355715127E-14</v>
      </c>
      <c r="EL150" s="13">
        <f t="shared" si="153"/>
        <v>3.9687356123668477E-13</v>
      </c>
      <c r="EM150" s="20">
        <f t="shared" si="127"/>
        <v>7.2983234474842979E-13</v>
      </c>
      <c r="EN150" s="59">
        <f t="shared" si="128"/>
        <v>293.33333333333405</v>
      </c>
      <c r="EO150" s="59">
        <f ca="1">AVERAGE(OFFSET($EN$3,0,0,'Données projet'!$E$15+1,1))-AVERAGE(OFFSET($H$3,0,0,'Données projet'!$E$15+1,1))</f>
        <v>104.07220236158577</v>
      </c>
      <c r="EP150" s="59">
        <f t="shared" si="154"/>
        <v>34.162068257911756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>
        <f>EXP(-LN(2)/35)*EV149+(1-EXP(-LN(2)/35))/(LN(2)/35)*ER150*ES150*VLOOKUP('Données projet'!$B$15,Paramètres!$A$1:$I$89,3,0)*0.475*44/12</f>
        <v>0</v>
      </c>
      <c r="EW150" s="21">
        <f>EXP(-LN(2)/25)*EW149+(1-EXP(-LN(2)/25))/(LN(2)/25)*Calculateur!ER150*Calculateur!ET150*VLOOKUP('Données projet'!$B$15,Paramètres!$A$1:$I$89,3,0)*0.475*44/12</f>
        <v>0</v>
      </c>
      <c r="EX150" s="21">
        <f>EXP(-LN(2)/2)*EX149+(1-EXP(-LN(2)/2))/(LN(2)/2)*ER150*EU150*VLOOKUP('Données projet'!$B$15,Paramètres!$A$1:$I$89,3,0)*0.475*44/12</f>
        <v>0</v>
      </c>
      <c r="EY150" s="22">
        <f t="shared" si="129"/>
        <v>0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5.6843418860808015E-14</v>
      </c>
      <c r="FF150" s="17">
        <f>FE150*VLOOKUP('Données projet'!$B$16,Paramètres!$A$1:$I$89,3,0)*VLOOKUP('Données projet'!$B$16,Paramètres!$A$1:$I$89,5,0)</f>
        <v>5.1431925385259088E-14</v>
      </c>
      <c r="FG150" s="13">
        <f t="shared" si="155"/>
        <v>8.3482866290946129E-13</v>
      </c>
      <c r="FH150" s="20">
        <f t="shared" si="130"/>
        <v>1.5435705246133045E-12</v>
      </c>
      <c r="FI150" s="59">
        <f t="shared" si="131"/>
        <v>293.33333333333485</v>
      </c>
      <c r="FJ150" s="59">
        <f ca="1">AVERAGE(OFFSET($FI$3,0,0,'Données projet'!$E$16+1,1))-AVERAGE(OFFSET($H$3,0,0,'Données projet'!$E$16+1,1))</f>
        <v>179.50097986986123</v>
      </c>
      <c r="FK150" s="59">
        <f t="shared" si="156"/>
        <v>287.11838730637578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>
        <f>EXP(-LN(2)/35)*FQ149+(1-EXP(-LN(2)/35))/(LN(2)/35)*FM150*FN150*VLOOKUP('Données projet'!$B$16,Paramètres!$A$1:$I$89,3,0)*0.475*44/12</f>
        <v>6.1439735150085786E-2</v>
      </c>
      <c r="FR150" s="21">
        <f>EXP(-LN(2)/25)*FR149+(1-EXP(-LN(2)/25))/(LN(2)/25)*Calculateur!FM150*Calculateur!FO150*VLOOKUP('Données projet'!$B$16,Paramètres!$A$1:$I$89,3,0)*0.475*44/12</f>
        <v>0.24551673322396839</v>
      </c>
      <c r="FS150" s="21">
        <f>EXP(-LN(2)/2)*FS149+(1-EXP(-LN(2)/2))/(LN(2)/2)*FM150*FP150*VLOOKUP('Données projet'!$B$16,Paramètres!$A$1:$I$89,3,0)*0.475*44/12</f>
        <v>1.1090730854570655E-17</v>
      </c>
      <c r="FT150" s="22">
        <f t="shared" si="132"/>
        <v>0.30695646837405416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5.6843418860808015E-14</v>
      </c>
      <c r="GA150" s="17">
        <f>FZ150*VLOOKUP('Données projet'!$B$17,Paramètres!$A$1:$I$89,3,0)*VLOOKUP('Données projet'!$B$17,Paramètres!$A$1:$I$89,5,0)</f>
        <v>3.3992364478763198E-14</v>
      </c>
      <c r="GB150" s="13">
        <f t="shared" si="157"/>
        <v>5.790027782444094E-13</v>
      </c>
      <c r="GC150" s="20">
        <f t="shared" si="133"/>
        <v>1.0676332069095257E-12</v>
      </c>
      <c r="GD150" s="59">
        <f t="shared" si="134"/>
        <v>293.33333333333439</v>
      </c>
      <c r="GE150" s="59">
        <f ca="1">AVERAGE(OFFSET($GD$3,0,0,'Données projet'!$E$17+1,1))-AVERAGE(OFFSET($H$3,0,0,'Données projet'!$E$17+1,1))</f>
        <v>165.39579887388538</v>
      </c>
      <c r="GF150" s="59">
        <f t="shared" si="158"/>
        <v>155.89639262545802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>
        <f>EXP(-LN(2)/35)*GL149+(1-EXP(-LN(2)/35))/(LN(2)/35)*GH150*GI150*VLOOKUP('Données projet'!$B$17,Paramètres!$A$1:$I$89,3,0)*0.475*44/12</f>
        <v>0</v>
      </c>
      <c r="GM150" s="21">
        <f>EXP(-LN(2)/25)*GM149+(1-EXP(-LN(2)/25))/(LN(2)/25)*Calculateur!GH150*Calculateur!GJ150*VLOOKUP('Données projet'!$B$17,Paramètres!$A$1:$I$89,3,0)*0.475*44/12</f>
        <v>0.28435585659083024</v>
      </c>
      <c r="GN150" s="21">
        <f>EXP(-LN(2)/2)*GN149+(1-EXP(-LN(2)/2))/(LN(2)/2)*GH150*GK150*VLOOKUP('Données projet'!$B$17,Paramètres!$A$1:$I$89,3,0)*0.475*44/12</f>
        <v>3.4051467866213527E-17</v>
      </c>
      <c r="GO150" s="21">
        <f t="shared" si="135"/>
        <v>0.28435585659083029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3.4106051316484809E-13</v>
      </c>
      <c r="O151" s="13">
        <f>N151*VLOOKUP('Données projet'!$B$9,Paramètres!$A$1:$I$89,3,0)*VLOOKUP('Données projet'!$B$9,Paramètres!$A$1:$I$89,5,0)</f>
        <v>1.9065282685915009E-13</v>
      </c>
      <c r="P151" s="13">
        <f t="shared" si="141"/>
        <v>2.6568987209435707E-12</v>
      </c>
      <c r="Q151" s="20">
        <f t="shared" si="108"/>
        <v>4.959485612423072E-12</v>
      </c>
      <c r="R151" s="59">
        <f t="shared" si="109"/>
        <v>293.33333333333826</v>
      </c>
      <c r="S151" s="59">
        <f ca="1">AVERAGE(OFFSET($R$3,0,0,'Données projet'!$E$9+1,1))-AVERAGE(OFFSET($H$3,0,0,'Données projet'!$E$9+1,1))</f>
        <v>235.10258076192054</v>
      </c>
      <c r="T151" s="59">
        <f t="shared" si="142"/>
        <v>233.47316052603765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0.33104041033368159</v>
      </c>
      <c r="AA151" s="21">
        <f>EXP(-LN(2)/25)*AA150+(1-EXP(-LN(2)/25))/(LN(2)/25)*Calculateur!V151*Calculateur!X151*VLOOKUP('Données projet'!$B$9,Paramètres!$A$1:$I$89,3,0)*0.475*44/12</f>
        <v>0.69948570734340587</v>
      </c>
      <c r="AB151" s="21">
        <f>EXP(-LN(2)/2)*AB150+(1-EXP(-LN(2)/2))/(LN(2)/2)*V151*Y151*VLOOKUP('Données projet'!$B$9,Paramètres!$A$1:$I$89,3,0)*0.475*44/12</f>
        <v>4.1845141453743055E-17</v>
      </c>
      <c r="AC151" s="22">
        <f t="shared" si="111"/>
        <v>1.0305261176770875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-8.5265128291212022E-14</v>
      </c>
      <c r="AJ151" s="13">
        <f>AI151*VLOOKUP('Données projet'!$B$10,Paramètres!$A$1:$I$89,3,0)*VLOOKUP('Données projet'!$B$10,Paramètres!$A$1:$I$89,5,0)</f>
        <v>-7.4487616075202836E-14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191.94797389630673</v>
      </c>
      <c r="AO151" s="59">
        <f t="shared" si="144"/>
        <v>273.52540822767878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0.24878188412955468</v>
      </c>
      <c r="AV151" s="21">
        <f>EXP(-LN(2)/25)*AV150+(1-EXP(-LN(2)/25))/(LN(2)/25)*Calculateur!AQ151*Calculateur!AS151*VLOOKUP('Données projet'!$B$10,Paramètres!$A$1:$I$89,3,0)*0.475*44/12</f>
        <v>0.53303728556696306</v>
      </c>
      <c r="AW151" s="21">
        <f>EXP(-LN(2)/2)*AW150+(1-EXP(-LN(2)/2))/(LN(2)/2)*AQ151*AT151*VLOOKUP('Données projet'!$B$10,Paramètres!$A$1:$I$89,3,0)*0.475*44/12</f>
        <v>4.025089796131742E-17</v>
      </c>
      <c r="AX151" s="21">
        <f t="shared" si="114"/>
        <v>0.78181916969651777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2.8421709430404007E-14</v>
      </c>
      <c r="BE151" s="13">
        <f>BD151*VLOOKUP('Données projet'!$B$11,Paramètres!$A$1:$I$89,3,0)*VLOOKUP('Données projet'!$B$11,Paramètres!$A$1:$I$89,5,0)</f>
        <v>2.5715962692629544E-14</v>
      </c>
      <c r="BF151" s="13">
        <f t="shared" si="145"/>
        <v>4.5248818890525812E-13</v>
      </c>
      <c r="BG151" s="20">
        <f t="shared" si="115"/>
        <v>8.3287223069965432E-13</v>
      </c>
      <c r="BH151" s="59">
        <f t="shared" si="116"/>
        <v>293.33333333333417</v>
      </c>
      <c r="BI151" s="59">
        <f ca="1">AVERAGE(OFFSET($BH$3,0,0,'Données projet'!$E$11+1,1))-AVERAGE(OFFSET($H$3,0,0,'Données projet'!$E$11+1,1))</f>
        <v>138.8931001150624</v>
      </c>
      <c r="BJ151" s="59">
        <f t="shared" si="146"/>
        <v>48.964659354096625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2.8421709430404007E-14</v>
      </c>
      <c r="BZ151" s="13">
        <f>BY151*VLOOKUP('Données projet'!$B$12,Paramètres!$A$1:$I$89,3,0)*VLOOKUP('Données projet'!$B$12,Paramètres!$A$1:$I$89,5,0)</f>
        <v>2.8819613362429664E-14</v>
      </c>
      <c r="CA151" s="13">
        <f t="shared" si="147"/>
        <v>5.0041752926933358E-13</v>
      </c>
      <c r="CB151" s="20">
        <f t="shared" si="118"/>
        <v>9.2175469008365428E-13</v>
      </c>
      <c r="CC151" s="59">
        <f t="shared" si="119"/>
        <v>293.33333333333422</v>
      </c>
      <c r="CD151" s="59">
        <f ca="1">AVERAGE(OFFSET($CC$3,0,0,'Données projet'!$E$12+1,1))-AVERAGE(OFFSET($H$3,0,0,'Données projet'!$E$12+1,1))</f>
        <v>169.2757878405003</v>
      </c>
      <c r="CE151" s="59">
        <f t="shared" si="148"/>
        <v>61.876502626609977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-8.5265128291212022E-14</v>
      </c>
      <c r="CU151" s="17">
        <f>CT151*VLOOKUP('Données projet'!$B$13,Paramètres!$A$1:$I$89,3,0)*VLOOKUP('Données projet'!$B$13,Paramètres!$A$1:$I$89,5,0)</f>
        <v>-6.7836936068488286E-14</v>
      </c>
      <c r="CV151" s="13" t="e">
        <f t="shared" si="149"/>
        <v>#NUM!</v>
      </c>
      <c r="CW151" s="20" t="e">
        <f t="shared" si="121"/>
        <v>#NUM!</v>
      </c>
      <c r="CX151" s="59" t="e">
        <f t="shared" si="122"/>
        <v>#NUM!</v>
      </c>
      <c r="CY151" s="59">
        <f ca="1">AVERAGE(OFFSET($CX$3,0,0,'Données projet'!$E$13+1,1))-AVERAGE(OFFSET($H$3,0,0,'Données projet'!$E$13+1,1))</f>
        <v>141.12810728817544</v>
      </c>
      <c r="CZ151" s="59">
        <f t="shared" si="150"/>
        <v>176.01405805137551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>
        <f>EXP(-LN(2)/35)*DF150+(1-EXP(-LN(2)/35))/(LN(2)/35)*DB151*DC151*VLOOKUP('Données projet'!$B$13,Paramètres!$A$1:$I$89,3,0)*0.475*44/12</f>
        <v>0</v>
      </c>
      <c r="DG151" s="21">
        <f>EXP(-LN(2)/25)*DG150+(1-EXP(-LN(2)/25))/(LN(2)/25)*Calculateur!DB151*Calculateur!DD151*VLOOKUP('Données projet'!$B$13,Paramètres!$A$1:$I$89,3,0)*0.475*44/12</f>
        <v>0.25507862408504517</v>
      </c>
      <c r="DH151" s="21">
        <f>EXP(-LN(2)/2)*DH150+(1-EXP(-LN(2)/2))/(LN(2)/2)*DB151*DE151*VLOOKUP('Données projet'!$B$13,Paramètres!$A$1:$I$89,3,0)*0.475*44/12</f>
        <v>1.3886794385036277E-17</v>
      </c>
      <c r="DI151" s="22">
        <f t="shared" si="123"/>
        <v>0.25507862408504517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5.6843418860808015E-14</v>
      </c>
      <c r="DP151" s="17">
        <f>DO151*VLOOKUP('Données projet'!$B$14,Paramètres!$A$1:$I$89,3,0)*VLOOKUP('Données projet'!$B$14,Paramètres!$A$1:$I$89,5,0)</f>
        <v>3.3992364478763198E-14</v>
      </c>
      <c r="DQ151" s="13">
        <f t="shared" si="151"/>
        <v>5.790027782444094E-13</v>
      </c>
      <c r="DR151" s="20">
        <f t="shared" si="124"/>
        <v>1.0676332069095257E-12</v>
      </c>
      <c r="DS151" s="59">
        <f t="shared" si="125"/>
        <v>293.33333333333439</v>
      </c>
      <c r="DT151" s="59">
        <f ca="1">AVERAGE(OFFSET($DS$3,0,0,'Données projet'!$E$14+1,1))-AVERAGE(OFFSET($H$3,0,0,'Données projet'!$E$14+1,1))</f>
        <v>165.39579887388538</v>
      </c>
      <c r="DU151" s="59">
        <f t="shared" si="152"/>
        <v>155.89639262545802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>
        <f>EXP(-LN(2)/35)*EA150+(1-EXP(-LN(2)/35))/(LN(2)/35)*DW151*DX151*VLOOKUP('Données projet'!$B$14,Paramètres!$A$1:$I$89,3,0)*0.475*44/12</f>
        <v>0</v>
      </c>
      <c r="EB151" s="21">
        <f>EXP(-LN(2)/25)*EB150+(1-EXP(-LN(2)/25))/(LN(2)/25)*Calculateur!DW151*Calculateur!DY151*VLOOKUP('Données projet'!$B$14,Paramètres!$A$1:$I$89,3,0)*0.475*44/12</f>
        <v>0.27658013073872939</v>
      </c>
      <c r="EC151" s="21">
        <f>EXP(-LN(2)/2)*EC150+(1-EXP(-LN(2)/2))/(LN(2)/2)*DW151*DZ151*VLOOKUP('Données projet'!$B$14,Paramètres!$A$1:$I$89,3,0)*0.475*44/12</f>
        <v>2.4078023837555403E-17</v>
      </c>
      <c r="ED151" s="22">
        <f t="shared" si="126"/>
        <v>0.27658013073872939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2.8421709430404007E-14</v>
      </c>
      <c r="EK151" s="17">
        <f>EJ151*VLOOKUP('Données projet'!$B$15,Paramètres!$A$1:$I$89,3,0)*VLOOKUP('Données projet'!$B$15,Paramètres!$A$1:$I$89,5,0)</f>
        <v>2.2168933355715127E-14</v>
      </c>
      <c r="EL151" s="13">
        <f t="shared" si="153"/>
        <v>3.9687356123668477E-13</v>
      </c>
      <c r="EM151" s="20">
        <f t="shared" si="127"/>
        <v>7.2983234474842979E-13</v>
      </c>
      <c r="EN151" s="59">
        <f t="shared" si="128"/>
        <v>293.33333333333405</v>
      </c>
      <c r="EO151" s="59">
        <f ca="1">AVERAGE(OFFSET($EN$3,0,0,'Données projet'!$E$15+1,1))-AVERAGE(OFFSET($H$3,0,0,'Données projet'!$E$15+1,1))</f>
        <v>104.07220236158577</v>
      </c>
      <c r="EP151" s="59">
        <f t="shared" si="154"/>
        <v>34.162068257911756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>
        <f>EXP(-LN(2)/35)*EV150+(1-EXP(-LN(2)/35))/(LN(2)/35)*ER151*ES151*VLOOKUP('Données projet'!$B$15,Paramètres!$A$1:$I$89,3,0)*0.475*44/12</f>
        <v>0</v>
      </c>
      <c r="EW151" s="21">
        <f>EXP(-LN(2)/25)*EW150+(1-EXP(-LN(2)/25))/(LN(2)/25)*Calculateur!ER151*Calculateur!ET151*VLOOKUP('Données projet'!$B$15,Paramètres!$A$1:$I$89,3,0)*0.475*44/12</f>
        <v>0</v>
      </c>
      <c r="EX151" s="21">
        <f>EXP(-LN(2)/2)*EX150+(1-EXP(-LN(2)/2))/(LN(2)/2)*ER151*EU151*VLOOKUP('Données projet'!$B$15,Paramètres!$A$1:$I$89,3,0)*0.475*44/12</f>
        <v>0</v>
      </c>
      <c r="EY151" s="22">
        <f t="shared" si="129"/>
        <v>0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5.6843418860808015E-14</v>
      </c>
      <c r="FF151" s="17">
        <f>FE151*VLOOKUP('Données projet'!$B$16,Paramètres!$A$1:$I$89,3,0)*VLOOKUP('Données projet'!$B$16,Paramètres!$A$1:$I$89,5,0)</f>
        <v>5.1431925385259088E-14</v>
      </c>
      <c r="FG151" s="13">
        <f t="shared" si="155"/>
        <v>8.3482866290946129E-13</v>
      </c>
      <c r="FH151" s="20">
        <f t="shared" si="130"/>
        <v>1.5435705246133045E-12</v>
      </c>
      <c r="FI151" s="59">
        <f t="shared" si="131"/>
        <v>293.33333333333485</v>
      </c>
      <c r="FJ151" s="59">
        <f ca="1">AVERAGE(OFFSET($FI$3,0,0,'Données projet'!$E$16+1,1))-AVERAGE(OFFSET($H$3,0,0,'Données projet'!$E$16+1,1))</f>
        <v>179.50097986986123</v>
      </c>
      <c r="FK151" s="59">
        <f t="shared" si="156"/>
        <v>287.11838730637578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>
        <f>EXP(-LN(2)/35)*FQ150+(1-EXP(-LN(2)/35))/(LN(2)/35)*FM151*FN151*VLOOKUP('Données projet'!$B$16,Paramètres!$A$1:$I$89,3,0)*0.475*44/12</f>
        <v>6.0234939418330739E-2</v>
      </c>
      <c r="FR151" s="21">
        <f>EXP(-LN(2)/25)*FR150+(1-EXP(-LN(2)/25))/(LN(2)/25)*Calculateur!FM151*Calculateur!FO151*VLOOKUP('Données projet'!$B$16,Paramètres!$A$1:$I$89,3,0)*0.475*44/12</f>
        <v>0.2388030652427951</v>
      </c>
      <c r="FS151" s="21">
        <f>EXP(-LN(2)/2)*FS150+(1-EXP(-LN(2)/2))/(LN(2)/2)*FM151*FP151*VLOOKUP('Données projet'!$B$16,Paramètres!$A$1:$I$89,3,0)*0.475*44/12</f>
        <v>7.8423309955817832E-18</v>
      </c>
      <c r="FT151" s="22">
        <f t="shared" si="132"/>
        <v>0.29903800466112584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5.6843418860808015E-14</v>
      </c>
      <c r="GA151" s="17">
        <f>FZ151*VLOOKUP('Données projet'!$B$17,Paramètres!$A$1:$I$89,3,0)*VLOOKUP('Données projet'!$B$17,Paramètres!$A$1:$I$89,5,0)</f>
        <v>3.3992364478763198E-14</v>
      </c>
      <c r="GB151" s="13">
        <f t="shared" si="157"/>
        <v>5.790027782444094E-13</v>
      </c>
      <c r="GC151" s="20">
        <f t="shared" si="133"/>
        <v>1.0676332069095257E-12</v>
      </c>
      <c r="GD151" s="59">
        <f t="shared" si="134"/>
        <v>293.33333333333439</v>
      </c>
      <c r="GE151" s="59">
        <f ca="1">AVERAGE(OFFSET($GD$3,0,0,'Données projet'!$E$17+1,1))-AVERAGE(OFFSET($H$3,0,0,'Données projet'!$E$17+1,1))</f>
        <v>165.39579887388538</v>
      </c>
      <c r="GF151" s="59">
        <f t="shared" si="158"/>
        <v>155.89639262545802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>
        <f>EXP(-LN(2)/35)*GL150+(1-EXP(-LN(2)/35))/(LN(2)/35)*GH151*GI151*VLOOKUP('Données projet'!$B$17,Paramètres!$A$1:$I$89,3,0)*0.475*44/12</f>
        <v>0</v>
      </c>
      <c r="GM151" s="21">
        <f>EXP(-LN(2)/25)*GM150+(1-EXP(-LN(2)/25))/(LN(2)/25)*Calculateur!GH151*Calculateur!GJ151*VLOOKUP('Données projet'!$B$17,Paramètres!$A$1:$I$89,3,0)*0.475*44/12</f>
        <v>0.27658013073872939</v>
      </c>
      <c r="GN151" s="21">
        <f>EXP(-LN(2)/2)*GN150+(1-EXP(-LN(2)/2))/(LN(2)/2)*GH151*GK151*VLOOKUP('Données projet'!$B$17,Paramètres!$A$1:$I$89,3,0)*0.475*44/12</f>
        <v>2.4078023837555403E-17</v>
      </c>
      <c r="GO151" s="21">
        <f t="shared" si="135"/>
        <v>0.27658013073872939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3.4106051316484809E-13</v>
      </c>
      <c r="O152" s="13">
        <f>N152*VLOOKUP('Données projet'!$B$9,Paramètres!$A$1:$I$89,3,0)*VLOOKUP('Données projet'!$B$9,Paramètres!$A$1:$I$89,5,0)</f>
        <v>1.9065282685915009E-13</v>
      </c>
      <c r="P152" s="13">
        <f t="shared" si="141"/>
        <v>2.6568987209435707E-12</v>
      </c>
      <c r="Q152" s="20">
        <f t="shared" si="108"/>
        <v>4.959485612423072E-12</v>
      </c>
      <c r="R152" s="59">
        <f t="shared" si="109"/>
        <v>293.33333333333826</v>
      </c>
      <c r="S152" s="59">
        <f ca="1">AVERAGE(OFFSET($R$3,0,0,'Données projet'!$E$9+1,1))-AVERAGE(OFFSET($H$3,0,0,'Données projet'!$E$9+1,1))</f>
        <v>235.10258076192054</v>
      </c>
      <c r="T152" s="59">
        <f t="shared" si="142"/>
        <v>233.47316052603765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0.324548909801751</v>
      </c>
      <c r="AA152" s="21">
        <f>EXP(-LN(2)/25)*AA151+(1-EXP(-LN(2)/25))/(LN(2)/25)*Calculateur!V152*Calculateur!X152*VLOOKUP('Données projet'!$B$9,Paramètres!$A$1:$I$89,3,0)*0.475*44/12</f>
        <v>0.68035823389174577</v>
      </c>
      <c r="AB152" s="21">
        <f>EXP(-LN(2)/2)*AB151+(1-EXP(-LN(2)/2))/(LN(2)/2)*V152*Y152*VLOOKUP('Données projet'!$B$9,Paramètres!$A$1:$I$89,3,0)*0.475*44/12</f>
        <v>2.9588983281652019E-17</v>
      </c>
      <c r="AC152" s="22">
        <f t="shared" si="111"/>
        <v>1.0049071436934969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-8.5265128291212022E-14</v>
      </c>
      <c r="AJ152" s="13">
        <f>AI152*VLOOKUP('Données projet'!$B$10,Paramètres!$A$1:$I$89,3,0)*VLOOKUP('Données projet'!$B$10,Paramètres!$A$1:$I$89,5,0)</f>
        <v>-7.4487616075202836E-14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191.94797389630673</v>
      </c>
      <c r="AO152" s="59">
        <f t="shared" si="144"/>
        <v>273.52540822767878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0.24390342312374017</v>
      </c>
      <c r="AV152" s="21">
        <f>EXP(-LN(2)/25)*AV151+(1-EXP(-LN(2)/25))/(LN(2)/25)*Calculateur!AQ152*Calculateur!AS152*VLOOKUP('Données projet'!$B$10,Paramètres!$A$1:$I$89,3,0)*0.475*44/12</f>
        <v>0.51846135296192186</v>
      </c>
      <c r="AW152" s="21">
        <f>EXP(-LN(2)/2)*AW151+(1-EXP(-LN(2)/2))/(LN(2)/2)*AQ152*AT152*VLOOKUP('Données projet'!$B$10,Paramètres!$A$1:$I$89,3,0)*0.475*44/12</f>
        <v>2.8461682897295327E-17</v>
      </c>
      <c r="AX152" s="21">
        <f t="shared" si="114"/>
        <v>0.762364776085662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2.8421709430404007E-14</v>
      </c>
      <c r="BE152" s="13">
        <f>BD152*VLOOKUP('Données projet'!$B$11,Paramètres!$A$1:$I$89,3,0)*VLOOKUP('Données projet'!$B$11,Paramètres!$A$1:$I$89,5,0)</f>
        <v>2.5715962692629544E-14</v>
      </c>
      <c r="BF152" s="13">
        <f t="shared" si="145"/>
        <v>4.5248818890525812E-13</v>
      </c>
      <c r="BG152" s="20">
        <f t="shared" si="115"/>
        <v>8.3287223069965432E-13</v>
      </c>
      <c r="BH152" s="59">
        <f t="shared" si="116"/>
        <v>293.33333333333417</v>
      </c>
      <c r="BI152" s="59">
        <f ca="1">AVERAGE(OFFSET($BH$3,0,0,'Données projet'!$E$11+1,1))-AVERAGE(OFFSET($H$3,0,0,'Données projet'!$E$11+1,1))</f>
        <v>138.8931001150624</v>
      </c>
      <c r="BJ152" s="59">
        <f t="shared" si="146"/>
        <v>48.964659354096625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2.8421709430404007E-14</v>
      </c>
      <c r="BZ152" s="13">
        <f>BY152*VLOOKUP('Données projet'!$B$12,Paramètres!$A$1:$I$89,3,0)*VLOOKUP('Données projet'!$B$12,Paramètres!$A$1:$I$89,5,0)</f>
        <v>2.8819613362429664E-14</v>
      </c>
      <c r="CA152" s="13">
        <f t="shared" si="147"/>
        <v>5.0041752926933358E-13</v>
      </c>
      <c r="CB152" s="20">
        <f t="shared" si="118"/>
        <v>9.2175469008365428E-13</v>
      </c>
      <c r="CC152" s="59">
        <f t="shared" si="119"/>
        <v>293.33333333333422</v>
      </c>
      <c r="CD152" s="59">
        <f ca="1">AVERAGE(OFFSET($CC$3,0,0,'Données projet'!$E$12+1,1))-AVERAGE(OFFSET($H$3,0,0,'Données projet'!$E$12+1,1))</f>
        <v>169.2757878405003</v>
      </c>
      <c r="CE152" s="59">
        <f t="shared" si="148"/>
        <v>61.876502626609977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-8.5265128291212022E-14</v>
      </c>
      <c r="CU152" s="17">
        <f>CT152*VLOOKUP('Données projet'!$B$13,Paramètres!$A$1:$I$89,3,0)*VLOOKUP('Données projet'!$B$13,Paramètres!$A$1:$I$89,5,0)</f>
        <v>-6.7836936068488286E-14</v>
      </c>
      <c r="CV152" s="13" t="e">
        <f t="shared" si="149"/>
        <v>#NUM!</v>
      </c>
      <c r="CW152" s="20" t="e">
        <f t="shared" si="121"/>
        <v>#NUM!</v>
      </c>
      <c r="CX152" s="59" t="e">
        <f t="shared" si="122"/>
        <v>#NUM!</v>
      </c>
      <c r="CY152" s="59">
        <f ca="1">AVERAGE(OFFSET($CX$3,0,0,'Données projet'!$E$13+1,1))-AVERAGE(OFFSET($H$3,0,0,'Données projet'!$E$13+1,1))</f>
        <v>141.12810728817544</v>
      </c>
      <c r="CZ152" s="59">
        <f t="shared" si="150"/>
        <v>176.01405805137551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>
        <f>EXP(-LN(2)/35)*DF151+(1-EXP(-LN(2)/35))/(LN(2)/35)*DB152*DC152*VLOOKUP('Données projet'!$B$13,Paramètres!$A$1:$I$89,3,0)*0.475*44/12</f>
        <v>0</v>
      </c>
      <c r="DG152" s="21">
        <f>EXP(-LN(2)/25)*DG151+(1-EXP(-LN(2)/25))/(LN(2)/25)*Calculateur!DB152*Calculateur!DD152*VLOOKUP('Données projet'!$B$13,Paramètres!$A$1:$I$89,3,0)*0.475*44/12</f>
        <v>0.24810348569543775</v>
      </c>
      <c r="DH152" s="21">
        <f>EXP(-LN(2)/2)*DH151+(1-EXP(-LN(2)/2))/(LN(2)/2)*DB152*DE152*VLOOKUP('Données projet'!$B$13,Paramètres!$A$1:$I$89,3,0)*0.475*44/12</f>
        <v>9.8194464786024237E-18</v>
      </c>
      <c r="DI152" s="22">
        <f t="shared" si="123"/>
        <v>0.24810348569543775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5.6843418860808015E-14</v>
      </c>
      <c r="DP152" s="17">
        <f>DO152*VLOOKUP('Données projet'!$B$14,Paramètres!$A$1:$I$89,3,0)*VLOOKUP('Données projet'!$B$14,Paramètres!$A$1:$I$89,5,0)</f>
        <v>3.3992364478763198E-14</v>
      </c>
      <c r="DQ152" s="13">
        <f t="shared" si="151"/>
        <v>5.790027782444094E-13</v>
      </c>
      <c r="DR152" s="20">
        <f t="shared" si="124"/>
        <v>1.0676332069095257E-12</v>
      </c>
      <c r="DS152" s="59">
        <f t="shared" si="125"/>
        <v>293.33333333333439</v>
      </c>
      <c r="DT152" s="59">
        <f ca="1">AVERAGE(OFFSET($DS$3,0,0,'Données projet'!$E$14+1,1))-AVERAGE(OFFSET($H$3,0,0,'Données projet'!$E$14+1,1))</f>
        <v>165.39579887388538</v>
      </c>
      <c r="DU152" s="59">
        <f t="shared" si="152"/>
        <v>155.89639262545802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>
        <f>EXP(-LN(2)/35)*EA151+(1-EXP(-LN(2)/35))/(LN(2)/35)*DW152*DX152*VLOOKUP('Données projet'!$B$14,Paramètres!$A$1:$I$89,3,0)*0.475*44/12</f>
        <v>0</v>
      </c>
      <c r="EB152" s="21">
        <f>EXP(-LN(2)/25)*EB151+(1-EXP(-LN(2)/25))/(LN(2)/25)*Calculateur!DW152*Calculateur!DY152*VLOOKUP('Données projet'!$B$14,Paramètres!$A$1:$I$89,3,0)*0.475*44/12</f>
        <v>0.26901703251896192</v>
      </c>
      <c r="EC152" s="21">
        <f>EXP(-LN(2)/2)*EC151+(1-EXP(-LN(2)/2))/(LN(2)/2)*DW152*DZ152*VLOOKUP('Données projet'!$B$14,Paramètres!$A$1:$I$89,3,0)*0.475*44/12</f>
        <v>1.7025733933106764E-17</v>
      </c>
      <c r="ED152" s="22">
        <f t="shared" si="126"/>
        <v>0.26901703251896192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2.8421709430404007E-14</v>
      </c>
      <c r="EK152" s="17">
        <f>EJ152*VLOOKUP('Données projet'!$B$15,Paramètres!$A$1:$I$89,3,0)*VLOOKUP('Données projet'!$B$15,Paramètres!$A$1:$I$89,5,0)</f>
        <v>2.2168933355715127E-14</v>
      </c>
      <c r="EL152" s="13">
        <f t="shared" si="153"/>
        <v>3.9687356123668477E-13</v>
      </c>
      <c r="EM152" s="20">
        <f t="shared" si="127"/>
        <v>7.2983234474842979E-13</v>
      </c>
      <c r="EN152" s="59">
        <f t="shared" si="128"/>
        <v>293.33333333333405</v>
      </c>
      <c r="EO152" s="59">
        <f ca="1">AVERAGE(OFFSET($EN$3,0,0,'Données projet'!$E$15+1,1))-AVERAGE(OFFSET($H$3,0,0,'Données projet'!$E$15+1,1))</f>
        <v>104.07220236158577</v>
      </c>
      <c r="EP152" s="59">
        <f t="shared" si="154"/>
        <v>34.162068257911756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>
        <f>EXP(-LN(2)/35)*EV151+(1-EXP(-LN(2)/35))/(LN(2)/35)*ER152*ES152*VLOOKUP('Données projet'!$B$15,Paramètres!$A$1:$I$89,3,0)*0.475*44/12</f>
        <v>0</v>
      </c>
      <c r="EW152" s="21">
        <f>EXP(-LN(2)/25)*EW151+(1-EXP(-LN(2)/25))/(LN(2)/25)*Calculateur!ER152*Calculateur!ET152*VLOOKUP('Données projet'!$B$15,Paramètres!$A$1:$I$89,3,0)*0.475*44/12</f>
        <v>0</v>
      </c>
      <c r="EX152" s="21">
        <f>EXP(-LN(2)/2)*EX151+(1-EXP(-LN(2)/2))/(LN(2)/2)*ER152*EU152*VLOOKUP('Données projet'!$B$15,Paramètres!$A$1:$I$89,3,0)*0.475*44/12</f>
        <v>0</v>
      </c>
      <c r="EY152" s="22">
        <f t="shared" si="129"/>
        <v>0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5.6843418860808015E-14</v>
      </c>
      <c r="FF152" s="17">
        <f>FE152*VLOOKUP('Données projet'!$B$16,Paramètres!$A$1:$I$89,3,0)*VLOOKUP('Données projet'!$B$16,Paramètres!$A$1:$I$89,5,0)</f>
        <v>5.1431925385259088E-14</v>
      </c>
      <c r="FG152" s="13">
        <f t="shared" si="155"/>
        <v>8.3482866290946129E-13</v>
      </c>
      <c r="FH152" s="20">
        <f t="shared" si="130"/>
        <v>1.5435705246133045E-12</v>
      </c>
      <c r="FI152" s="59">
        <f t="shared" si="131"/>
        <v>293.33333333333485</v>
      </c>
      <c r="FJ152" s="59">
        <f ca="1">AVERAGE(OFFSET($FI$3,0,0,'Données projet'!$E$16+1,1))-AVERAGE(OFFSET($H$3,0,0,'Données projet'!$E$16+1,1))</f>
        <v>179.50097986986123</v>
      </c>
      <c r="FK152" s="59">
        <f t="shared" si="156"/>
        <v>287.11838730637578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>
        <f>EXP(-LN(2)/35)*FQ151+(1-EXP(-LN(2)/35))/(LN(2)/35)*FM152*FN152*VLOOKUP('Données projet'!$B$16,Paramètres!$A$1:$I$89,3,0)*0.475*44/12</f>
        <v>5.9053768996022576E-2</v>
      </c>
      <c r="FR152" s="21">
        <f>EXP(-LN(2)/25)*FR151+(1-EXP(-LN(2)/25))/(LN(2)/25)*Calculateur!FM152*Calculateur!FO152*VLOOKUP('Données projet'!$B$16,Paramètres!$A$1:$I$89,3,0)*0.475*44/12</f>
        <v>0.23227298286562345</v>
      </c>
      <c r="FS152" s="21">
        <f>EXP(-LN(2)/2)*FS151+(1-EXP(-LN(2)/2))/(LN(2)/2)*FM152*FP152*VLOOKUP('Données projet'!$B$16,Paramètres!$A$1:$I$89,3,0)*0.475*44/12</f>
        <v>5.5453654272853275E-18</v>
      </c>
      <c r="FT152" s="22">
        <f t="shared" si="132"/>
        <v>0.29132675186164603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5.6843418860808015E-14</v>
      </c>
      <c r="GA152" s="17">
        <f>FZ152*VLOOKUP('Données projet'!$B$17,Paramètres!$A$1:$I$89,3,0)*VLOOKUP('Données projet'!$B$17,Paramètres!$A$1:$I$89,5,0)</f>
        <v>3.3992364478763198E-14</v>
      </c>
      <c r="GB152" s="13">
        <f t="shared" si="157"/>
        <v>5.790027782444094E-13</v>
      </c>
      <c r="GC152" s="20">
        <f t="shared" si="133"/>
        <v>1.0676332069095257E-12</v>
      </c>
      <c r="GD152" s="59">
        <f t="shared" si="134"/>
        <v>293.33333333333439</v>
      </c>
      <c r="GE152" s="59">
        <f ca="1">AVERAGE(OFFSET($GD$3,0,0,'Données projet'!$E$17+1,1))-AVERAGE(OFFSET($H$3,0,0,'Données projet'!$E$17+1,1))</f>
        <v>165.39579887388538</v>
      </c>
      <c r="GF152" s="59">
        <f t="shared" si="158"/>
        <v>155.89639262545802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>
        <f>EXP(-LN(2)/35)*GL151+(1-EXP(-LN(2)/35))/(LN(2)/35)*GH152*GI152*VLOOKUP('Données projet'!$B$17,Paramètres!$A$1:$I$89,3,0)*0.475*44/12</f>
        <v>0</v>
      </c>
      <c r="GM152" s="21">
        <f>EXP(-LN(2)/25)*GM151+(1-EXP(-LN(2)/25))/(LN(2)/25)*Calculateur!GH152*Calculateur!GJ152*VLOOKUP('Données projet'!$B$17,Paramètres!$A$1:$I$89,3,0)*0.475*44/12</f>
        <v>0.26901703251896192</v>
      </c>
      <c r="GN152" s="21">
        <f>EXP(-LN(2)/2)*GN151+(1-EXP(-LN(2)/2))/(LN(2)/2)*GH152*GK152*VLOOKUP('Données projet'!$B$17,Paramètres!$A$1:$I$89,3,0)*0.475*44/12</f>
        <v>1.7025733933106764E-17</v>
      </c>
      <c r="GO152" s="21">
        <f t="shared" si="135"/>
        <v>0.26901703251896192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3.4106051316484809E-13</v>
      </c>
      <c r="O153" s="13">
        <f>N153*VLOOKUP('Données projet'!$B$9,Paramètres!$A$1:$I$89,3,0)*VLOOKUP('Données projet'!$B$9,Paramètres!$A$1:$I$89,5,0)</f>
        <v>1.9065282685915009E-13</v>
      </c>
      <c r="P153" s="13">
        <f t="shared" si="141"/>
        <v>2.6568987209435707E-12</v>
      </c>
      <c r="Q153" s="20">
        <f t="shared" si="108"/>
        <v>4.959485612423072E-12</v>
      </c>
      <c r="R153" s="59">
        <f t="shared" si="109"/>
        <v>293.33333333333826</v>
      </c>
      <c r="S153" s="59">
        <f ca="1">AVERAGE(OFFSET($R$3,0,0,'Données projet'!$E$9+1,1))-AVERAGE(OFFSET($H$3,0,0,'Données projet'!$E$9+1,1))</f>
        <v>235.10258076192054</v>
      </c>
      <c r="T153" s="59">
        <f t="shared" si="142"/>
        <v>233.47316052603765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0.31818470363582718</v>
      </c>
      <c r="AA153" s="21">
        <f>EXP(-LN(2)/25)*AA152+(1-EXP(-LN(2)/25))/(LN(2)/25)*Calculateur!V153*Calculateur!X153*VLOOKUP('Données projet'!$B$9,Paramètres!$A$1:$I$89,3,0)*0.475*44/12</f>
        <v>0.66175380220749147</v>
      </c>
      <c r="AB153" s="21">
        <f>EXP(-LN(2)/2)*AB152+(1-EXP(-LN(2)/2))/(LN(2)/2)*V153*Y153*VLOOKUP('Données projet'!$B$9,Paramètres!$A$1:$I$89,3,0)*0.475*44/12</f>
        <v>2.0922570726871527E-17</v>
      </c>
      <c r="AC153" s="22">
        <f t="shared" si="111"/>
        <v>0.97993850584331865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-8.5265128291212022E-14</v>
      </c>
      <c r="AJ153" s="13">
        <f>AI153*VLOOKUP('Données projet'!$B$10,Paramètres!$A$1:$I$89,3,0)*VLOOKUP('Données projet'!$B$10,Paramètres!$A$1:$I$89,5,0)</f>
        <v>-7.4487616075202836E-14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191.94797389630673</v>
      </c>
      <c r="AO153" s="59">
        <f t="shared" si="144"/>
        <v>273.52540822767878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0.23912062576268225</v>
      </c>
      <c r="AV153" s="21">
        <f>EXP(-LN(2)/25)*AV152+(1-EXP(-LN(2)/25))/(LN(2)/25)*Calculateur!AQ153*Calculateur!AS153*VLOOKUP('Données projet'!$B$10,Paramètres!$A$1:$I$89,3,0)*0.475*44/12</f>
        <v>0.50428400000048057</v>
      </c>
      <c r="AW153" s="21">
        <f>EXP(-LN(2)/2)*AW152+(1-EXP(-LN(2)/2))/(LN(2)/2)*AQ153*AT153*VLOOKUP('Données projet'!$B$10,Paramètres!$A$1:$I$89,3,0)*0.475*44/12</f>
        <v>2.012544898065871E-17</v>
      </c>
      <c r="AX153" s="21">
        <f t="shared" si="114"/>
        <v>0.7434046257631628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2.8421709430404007E-14</v>
      </c>
      <c r="BE153" s="13">
        <f>BD153*VLOOKUP('Données projet'!$B$11,Paramètres!$A$1:$I$89,3,0)*VLOOKUP('Données projet'!$B$11,Paramètres!$A$1:$I$89,5,0)</f>
        <v>2.5715962692629544E-14</v>
      </c>
      <c r="BF153" s="13">
        <f t="shared" si="145"/>
        <v>4.5248818890525812E-13</v>
      </c>
      <c r="BG153" s="20">
        <f t="shared" si="115"/>
        <v>8.3287223069965432E-13</v>
      </c>
      <c r="BH153" s="59">
        <f t="shared" si="116"/>
        <v>293.33333333333417</v>
      </c>
      <c r="BI153" s="59">
        <f ca="1">AVERAGE(OFFSET($BH$3,0,0,'Données projet'!$E$11+1,1))-AVERAGE(OFFSET($H$3,0,0,'Données projet'!$E$11+1,1))</f>
        <v>138.8931001150624</v>
      </c>
      <c r="BJ153" s="59">
        <f t="shared" si="146"/>
        <v>48.964659354096625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2.8421709430404007E-14</v>
      </c>
      <c r="BZ153" s="13">
        <f>BY153*VLOOKUP('Données projet'!$B$12,Paramètres!$A$1:$I$89,3,0)*VLOOKUP('Données projet'!$B$12,Paramètres!$A$1:$I$89,5,0)</f>
        <v>2.8819613362429664E-14</v>
      </c>
      <c r="CA153" s="13">
        <f t="shared" si="147"/>
        <v>5.0041752926933358E-13</v>
      </c>
      <c r="CB153" s="20">
        <f t="shared" si="118"/>
        <v>9.2175469008365428E-13</v>
      </c>
      <c r="CC153" s="59">
        <f t="shared" si="119"/>
        <v>293.33333333333422</v>
      </c>
      <c r="CD153" s="59">
        <f ca="1">AVERAGE(OFFSET($CC$3,0,0,'Données projet'!$E$12+1,1))-AVERAGE(OFFSET($H$3,0,0,'Données projet'!$E$12+1,1))</f>
        <v>169.2757878405003</v>
      </c>
      <c r="CE153" s="59">
        <f t="shared" si="148"/>
        <v>61.876502626609977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-8.5265128291212022E-14</v>
      </c>
      <c r="CU153" s="17">
        <f>CT153*VLOOKUP('Données projet'!$B$13,Paramètres!$A$1:$I$89,3,0)*VLOOKUP('Données projet'!$B$13,Paramètres!$A$1:$I$89,5,0)</f>
        <v>-6.7836936068488286E-14</v>
      </c>
      <c r="CV153" s="13" t="e">
        <f t="shared" si="149"/>
        <v>#NUM!</v>
      </c>
      <c r="CW153" s="20" t="e">
        <f t="shared" si="121"/>
        <v>#NUM!</v>
      </c>
      <c r="CX153" s="59" t="e">
        <f t="shared" si="122"/>
        <v>#NUM!</v>
      </c>
      <c r="CY153" s="59">
        <f ca="1">AVERAGE(OFFSET($CX$3,0,0,'Données projet'!$E$13+1,1))-AVERAGE(OFFSET($H$3,0,0,'Données projet'!$E$13+1,1))</f>
        <v>141.12810728817544</v>
      </c>
      <c r="CZ153" s="59">
        <f t="shared" si="150"/>
        <v>176.01405805137551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>
        <f>EXP(-LN(2)/35)*DF152+(1-EXP(-LN(2)/35))/(LN(2)/35)*DB153*DC153*VLOOKUP('Données projet'!$B$13,Paramètres!$A$1:$I$89,3,0)*0.475*44/12</f>
        <v>0</v>
      </c>
      <c r="DG153" s="21">
        <f>EXP(-LN(2)/25)*DG152+(1-EXP(-LN(2)/25))/(LN(2)/25)*Calculateur!DB153*Calculateur!DD153*VLOOKUP('Données projet'!$B$13,Paramètres!$A$1:$I$89,3,0)*0.475*44/12</f>
        <v>0.24131908283190073</v>
      </c>
      <c r="DH153" s="21">
        <f>EXP(-LN(2)/2)*DH152+(1-EXP(-LN(2)/2))/(LN(2)/2)*DB153*DE153*VLOOKUP('Données projet'!$B$13,Paramètres!$A$1:$I$89,3,0)*0.475*44/12</f>
        <v>6.9433971925181384E-18</v>
      </c>
      <c r="DI153" s="22">
        <f t="shared" si="123"/>
        <v>0.24131908283190073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5.6843418860808015E-14</v>
      </c>
      <c r="DP153" s="17">
        <f>DO153*VLOOKUP('Données projet'!$B$14,Paramètres!$A$1:$I$89,3,0)*VLOOKUP('Données projet'!$B$14,Paramètres!$A$1:$I$89,5,0)</f>
        <v>3.3992364478763198E-14</v>
      </c>
      <c r="DQ153" s="13">
        <f t="shared" si="151"/>
        <v>5.790027782444094E-13</v>
      </c>
      <c r="DR153" s="20">
        <f t="shared" si="124"/>
        <v>1.0676332069095257E-12</v>
      </c>
      <c r="DS153" s="59">
        <f t="shared" si="125"/>
        <v>293.33333333333439</v>
      </c>
      <c r="DT153" s="59">
        <f ca="1">AVERAGE(OFFSET($DS$3,0,0,'Données projet'!$E$14+1,1))-AVERAGE(OFFSET($H$3,0,0,'Données projet'!$E$14+1,1))</f>
        <v>165.39579887388538</v>
      </c>
      <c r="DU153" s="59">
        <f t="shared" si="152"/>
        <v>155.89639262545802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>
        <f>EXP(-LN(2)/35)*EA152+(1-EXP(-LN(2)/35))/(LN(2)/35)*DW153*DX153*VLOOKUP('Données projet'!$B$14,Paramètres!$A$1:$I$89,3,0)*0.475*44/12</f>
        <v>0</v>
      </c>
      <c r="EB153" s="21">
        <f>EXP(-LN(2)/25)*EB152+(1-EXP(-LN(2)/25))/(LN(2)/25)*Calculateur!DW153*Calculateur!DY153*VLOOKUP('Données projet'!$B$14,Paramètres!$A$1:$I$89,3,0)*0.475*44/12</f>
        <v>0.26166074761774</v>
      </c>
      <c r="EC153" s="21">
        <f>EXP(-LN(2)/2)*EC152+(1-EXP(-LN(2)/2))/(LN(2)/2)*DW153*DZ153*VLOOKUP('Données projet'!$B$14,Paramètres!$A$1:$I$89,3,0)*0.475*44/12</f>
        <v>1.2039011918777702E-17</v>
      </c>
      <c r="ED153" s="22">
        <f t="shared" si="126"/>
        <v>0.26166074761774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2.8421709430404007E-14</v>
      </c>
      <c r="EK153" s="17">
        <f>EJ153*VLOOKUP('Données projet'!$B$15,Paramètres!$A$1:$I$89,3,0)*VLOOKUP('Données projet'!$B$15,Paramètres!$A$1:$I$89,5,0)</f>
        <v>2.2168933355715127E-14</v>
      </c>
      <c r="EL153" s="13">
        <f t="shared" si="153"/>
        <v>3.9687356123668477E-13</v>
      </c>
      <c r="EM153" s="20">
        <f t="shared" si="127"/>
        <v>7.2983234474842979E-13</v>
      </c>
      <c r="EN153" s="59">
        <f t="shared" si="128"/>
        <v>293.33333333333405</v>
      </c>
      <c r="EO153" s="59">
        <f ca="1">AVERAGE(OFFSET($EN$3,0,0,'Données projet'!$E$15+1,1))-AVERAGE(OFFSET($H$3,0,0,'Données projet'!$E$15+1,1))</f>
        <v>104.07220236158577</v>
      </c>
      <c r="EP153" s="59">
        <f t="shared" si="154"/>
        <v>34.162068257911756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>
        <f>EXP(-LN(2)/35)*EV152+(1-EXP(-LN(2)/35))/(LN(2)/35)*ER153*ES153*VLOOKUP('Données projet'!$B$15,Paramètres!$A$1:$I$89,3,0)*0.475*44/12</f>
        <v>0</v>
      </c>
      <c r="EW153" s="21">
        <f>EXP(-LN(2)/25)*EW152+(1-EXP(-LN(2)/25))/(LN(2)/25)*Calculateur!ER153*Calculateur!ET153*VLOOKUP('Données projet'!$B$15,Paramètres!$A$1:$I$89,3,0)*0.475*44/12</f>
        <v>0</v>
      </c>
      <c r="EX153" s="21">
        <f>EXP(-LN(2)/2)*EX152+(1-EXP(-LN(2)/2))/(LN(2)/2)*ER153*EU153*VLOOKUP('Données projet'!$B$15,Paramètres!$A$1:$I$89,3,0)*0.475*44/12</f>
        <v>0</v>
      </c>
      <c r="EY153" s="22">
        <f t="shared" si="129"/>
        <v>0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5.6843418860808015E-14</v>
      </c>
      <c r="FF153" s="17">
        <f>FE153*VLOOKUP('Données projet'!$B$16,Paramètres!$A$1:$I$89,3,0)*VLOOKUP('Données projet'!$B$16,Paramètres!$A$1:$I$89,5,0)</f>
        <v>5.1431925385259088E-14</v>
      </c>
      <c r="FG153" s="13">
        <f t="shared" si="155"/>
        <v>8.3482866290946129E-13</v>
      </c>
      <c r="FH153" s="20">
        <f t="shared" si="130"/>
        <v>1.5435705246133045E-12</v>
      </c>
      <c r="FI153" s="59">
        <f t="shared" si="131"/>
        <v>293.33333333333485</v>
      </c>
      <c r="FJ153" s="59">
        <f ca="1">AVERAGE(OFFSET($FI$3,0,0,'Données projet'!$E$16+1,1))-AVERAGE(OFFSET($H$3,0,0,'Données projet'!$E$16+1,1))</f>
        <v>179.50097986986123</v>
      </c>
      <c r="FK153" s="59">
        <f t="shared" si="156"/>
        <v>287.11838730637578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>
        <f>EXP(-LN(2)/35)*FQ152+(1-EXP(-LN(2)/35))/(LN(2)/35)*FM153*FN153*VLOOKUP('Données projet'!$B$16,Paramètres!$A$1:$I$89,3,0)*0.475*44/12</f>
        <v>5.7895760605253054E-2</v>
      </c>
      <c r="FR153" s="21">
        <f>EXP(-LN(2)/25)*FR152+(1-EXP(-LN(2)/25))/(LN(2)/25)*Calculateur!FM153*Calculateur!FO153*VLOOKUP('Données projet'!$B$16,Paramètres!$A$1:$I$89,3,0)*0.475*44/12</f>
        <v>0.22592146593445767</v>
      </c>
      <c r="FS153" s="21">
        <f>EXP(-LN(2)/2)*FS152+(1-EXP(-LN(2)/2))/(LN(2)/2)*FM153*FP153*VLOOKUP('Données projet'!$B$16,Paramètres!$A$1:$I$89,3,0)*0.475*44/12</f>
        <v>3.9211654977908916E-18</v>
      </c>
      <c r="FT153" s="22">
        <f t="shared" si="132"/>
        <v>0.2838172265397107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5.6843418860808015E-14</v>
      </c>
      <c r="GA153" s="17">
        <f>FZ153*VLOOKUP('Données projet'!$B$17,Paramètres!$A$1:$I$89,3,0)*VLOOKUP('Données projet'!$B$17,Paramètres!$A$1:$I$89,5,0)</f>
        <v>3.3992364478763198E-14</v>
      </c>
      <c r="GB153" s="13">
        <f t="shared" si="157"/>
        <v>5.790027782444094E-13</v>
      </c>
      <c r="GC153" s="20">
        <f t="shared" si="133"/>
        <v>1.0676332069095257E-12</v>
      </c>
      <c r="GD153" s="59">
        <f t="shared" si="134"/>
        <v>293.33333333333439</v>
      </c>
      <c r="GE153" s="59">
        <f ca="1">AVERAGE(OFFSET($GD$3,0,0,'Données projet'!$E$17+1,1))-AVERAGE(OFFSET($H$3,0,0,'Données projet'!$E$17+1,1))</f>
        <v>165.39579887388538</v>
      </c>
      <c r="GF153" s="59">
        <f t="shared" si="158"/>
        <v>155.89639262545802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>
        <f>EXP(-LN(2)/35)*GL152+(1-EXP(-LN(2)/35))/(LN(2)/35)*GH153*GI153*VLOOKUP('Données projet'!$B$17,Paramètres!$A$1:$I$89,3,0)*0.475*44/12</f>
        <v>0</v>
      </c>
      <c r="GM153" s="21">
        <f>EXP(-LN(2)/25)*GM152+(1-EXP(-LN(2)/25))/(LN(2)/25)*Calculateur!GH153*Calculateur!GJ153*VLOOKUP('Données projet'!$B$17,Paramètres!$A$1:$I$89,3,0)*0.475*44/12</f>
        <v>0.26166074761774</v>
      </c>
      <c r="GN153" s="21">
        <f>EXP(-LN(2)/2)*GN152+(1-EXP(-LN(2)/2))/(LN(2)/2)*GH153*GK153*VLOOKUP('Données projet'!$B$17,Paramètres!$A$1:$I$89,3,0)*0.475*44/12</f>
        <v>1.2039011918777702E-17</v>
      </c>
      <c r="GO153" s="21">
        <f t="shared" si="135"/>
        <v>0.26166074761774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3.4106051316484809E-13</v>
      </c>
      <c r="O154" s="13">
        <f>N154*VLOOKUP('Données projet'!$B$9,Paramètres!$A$1:$I$89,3,0)*VLOOKUP('Données projet'!$B$9,Paramètres!$A$1:$I$89,5,0)</f>
        <v>1.9065282685915009E-13</v>
      </c>
      <c r="P154" s="13">
        <f t="shared" si="141"/>
        <v>2.6568987209435707E-12</v>
      </c>
      <c r="Q154" s="20">
        <f t="shared" ref="Q154:Q203" si="162">(O154+P154)*0.475*44/12</f>
        <v>4.959485612423072E-12</v>
      </c>
      <c r="R154" s="59">
        <f t="shared" si="109"/>
        <v>293.33333333333826</v>
      </c>
      <c r="S154" s="59">
        <f ca="1">AVERAGE(OFFSET($R$3,0,0,'Données projet'!$E$9+1,1))-AVERAGE(OFFSET($H$3,0,0,'Données projet'!$E$9+1,1))</f>
        <v>235.10258076192054</v>
      </c>
      <c r="T154" s="59">
        <f t="shared" si="142"/>
        <v>233.47316052603765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0.31194529567103468</v>
      </c>
      <c r="AA154" s="21">
        <f>EXP(-LN(2)/25)*AA153+(1-EXP(-LN(2)/25))/(LN(2)/25)*Calculateur!V154*Calculateur!X154*VLOOKUP('Données projet'!$B$9,Paramètres!$A$1:$I$89,3,0)*0.475*44/12</f>
        <v>0.64365810968600756</v>
      </c>
      <c r="AB154" s="21">
        <f>EXP(-LN(2)/2)*AB153+(1-EXP(-LN(2)/2))/(LN(2)/2)*V154*Y154*VLOOKUP('Données projet'!$B$9,Paramètres!$A$1:$I$89,3,0)*0.475*44/12</f>
        <v>1.4794491640826009E-17</v>
      </c>
      <c r="AC154" s="22">
        <f t="shared" ref="AC154:AC203" si="163">SUM(Z154:AB154)</f>
        <v>0.95560340535704225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-8.5265128291212022E-14</v>
      </c>
      <c r="AJ154" s="13">
        <f>AI154*VLOOKUP('Données projet'!$B$10,Paramètres!$A$1:$I$89,3,0)*VLOOKUP('Données projet'!$B$10,Paramètres!$A$1:$I$89,5,0)</f>
        <v>-7.4487616075202836E-14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191.94797389630673</v>
      </c>
      <c r="AO154" s="59">
        <f t="shared" si="144"/>
        <v>273.52540822767878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0.23443161614065636</v>
      </c>
      <c r="AV154" s="21">
        <f>EXP(-LN(2)/25)*AV153+(1-EXP(-LN(2)/25))/(LN(2)/25)*Calculateur!AQ154*Calculateur!AS154*VLOOKUP('Données projet'!$B$10,Paramètres!$A$1:$I$89,3,0)*0.475*44/12</f>
        <v>0.49049432750132443</v>
      </c>
      <c r="AW154" s="21">
        <f>EXP(-LN(2)/2)*AW153+(1-EXP(-LN(2)/2))/(LN(2)/2)*AQ154*AT154*VLOOKUP('Données projet'!$B$10,Paramètres!$A$1:$I$89,3,0)*0.475*44/12</f>
        <v>1.4230841448647664E-17</v>
      </c>
      <c r="AX154" s="21">
        <f t="shared" ref="AX154:AX203" si="166">SUM(AU154:AW154)</f>
        <v>0.72492594364198082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2.8421709430404007E-14</v>
      </c>
      <c r="BE154" s="13">
        <f>BD154*VLOOKUP('Données projet'!$B$11,Paramètres!$A$1:$I$89,3,0)*VLOOKUP('Données projet'!$B$11,Paramètres!$A$1:$I$89,5,0)</f>
        <v>2.5715962692629544E-14</v>
      </c>
      <c r="BF154" s="13">
        <f t="shared" ref="BF154:BF203" si="167">EXP(-1.0587+0.8836*LN(BE154)+0.284)</f>
        <v>4.5248818890525812E-13</v>
      </c>
      <c r="BG154" s="20">
        <f t="shared" ref="BG154:BG203" si="168">(BE154+BF154)*0.475*44/12</f>
        <v>8.3287223069965432E-13</v>
      </c>
      <c r="BH154" s="59">
        <f t="shared" si="116"/>
        <v>293.33333333333417</v>
      </c>
      <c r="BI154" s="59">
        <f ca="1">AVERAGE(OFFSET($BH$3,0,0,'Données projet'!$E$11+1,1))-AVERAGE(OFFSET($H$3,0,0,'Données projet'!$E$11+1,1))</f>
        <v>138.8931001150624</v>
      </c>
      <c r="BJ154" s="59">
        <f t="shared" si="146"/>
        <v>48.964659354096625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2.8421709430404007E-14</v>
      </c>
      <c r="BZ154" s="13">
        <f>BY154*VLOOKUP('Données projet'!$B$12,Paramètres!$A$1:$I$89,3,0)*VLOOKUP('Données projet'!$B$12,Paramètres!$A$1:$I$89,5,0)</f>
        <v>2.8819613362429664E-14</v>
      </c>
      <c r="CA154" s="13">
        <f t="shared" ref="CA154:CA203" si="170">EXP(-1.0587+0.8836*LN(BZ154)+0.284)</f>
        <v>5.0041752926933358E-13</v>
      </c>
      <c r="CB154" s="20">
        <f t="shared" ref="CB154:CB203" si="171">(BZ154+CA154)*0.475*44/12</f>
        <v>9.2175469008365428E-13</v>
      </c>
      <c r="CC154" s="59">
        <f t="shared" si="119"/>
        <v>293.33333333333422</v>
      </c>
      <c r="CD154" s="59">
        <f ca="1">AVERAGE(OFFSET($CC$3,0,0,'Données projet'!$E$12+1,1))-AVERAGE(OFFSET($H$3,0,0,'Données projet'!$E$12+1,1))</f>
        <v>169.2757878405003</v>
      </c>
      <c r="CE154" s="59">
        <f t="shared" si="148"/>
        <v>61.876502626609977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-8.5265128291212022E-14</v>
      </c>
      <c r="CU154" s="17">
        <f>CT154*VLOOKUP('Données projet'!$B$13,Paramètres!$A$1:$I$89,3,0)*VLOOKUP('Données projet'!$B$13,Paramètres!$A$1:$I$89,5,0)</f>
        <v>-6.7836936068488286E-14</v>
      </c>
      <c r="CV154" s="13" t="e">
        <f t="shared" ref="CV154:CV203" si="173">EXP(-1.0587+0.8836*LN(CU154)+0.284)</f>
        <v>#NUM!</v>
      </c>
      <c r="CW154" s="20" t="e">
        <f t="shared" ref="CW154:CW203" si="174">(CU154+CV154)*0.475*44/12</f>
        <v>#NUM!</v>
      </c>
      <c r="CX154" s="59" t="e">
        <f t="shared" si="122"/>
        <v>#NUM!</v>
      </c>
      <c r="CY154" s="59">
        <f ca="1">AVERAGE(OFFSET($CX$3,0,0,'Données projet'!$E$13+1,1))-AVERAGE(OFFSET($H$3,0,0,'Données projet'!$E$13+1,1))</f>
        <v>141.12810728817544</v>
      </c>
      <c r="CZ154" s="59">
        <f t="shared" si="150"/>
        <v>176.01405805137551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>
        <f>EXP(-LN(2)/35)*DF153+(1-EXP(-LN(2)/35))/(LN(2)/35)*DB154*DC154*VLOOKUP('Données projet'!$B$13,Paramètres!$A$1:$I$89,3,0)*0.475*44/12</f>
        <v>0</v>
      </c>
      <c r="DG154" s="21">
        <f>EXP(-LN(2)/25)*DG153+(1-EXP(-LN(2)/25))/(LN(2)/25)*Calculateur!DB154*Calculateur!DD154*VLOOKUP('Données projet'!$B$13,Paramètres!$A$1:$I$89,3,0)*0.475*44/12</f>
        <v>0.23472019982144338</v>
      </c>
      <c r="DH154" s="21">
        <f>EXP(-LN(2)/2)*DH153+(1-EXP(-LN(2)/2))/(LN(2)/2)*DB154*DE154*VLOOKUP('Données projet'!$B$13,Paramètres!$A$1:$I$89,3,0)*0.475*44/12</f>
        <v>4.9097232393012118E-18</v>
      </c>
      <c r="DI154" s="22">
        <f t="shared" ref="DI154:DI203" si="175">SUM(DF154:DH154)</f>
        <v>0.23472019982144338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5.6843418860808015E-14</v>
      </c>
      <c r="DP154" s="17">
        <f>DO154*VLOOKUP('Données projet'!$B$14,Paramètres!$A$1:$I$89,3,0)*VLOOKUP('Données projet'!$B$14,Paramètres!$A$1:$I$89,5,0)</f>
        <v>3.3992364478763198E-14</v>
      </c>
      <c r="DQ154" s="13">
        <f t="shared" ref="DQ154:DQ203" si="176">EXP(-1.0587+0.8836*LN(DP154)+0.284)</f>
        <v>5.790027782444094E-13</v>
      </c>
      <c r="DR154" s="20">
        <f t="shared" ref="DR154:DR203" si="177">(DP154+DQ154)*0.475*44/12</f>
        <v>1.0676332069095257E-12</v>
      </c>
      <c r="DS154" s="59">
        <f t="shared" si="125"/>
        <v>293.33333333333439</v>
      </c>
      <c r="DT154" s="59">
        <f ca="1">AVERAGE(OFFSET($DS$3,0,0,'Données projet'!$E$14+1,1))-AVERAGE(OFFSET($H$3,0,0,'Données projet'!$E$14+1,1))</f>
        <v>165.39579887388538</v>
      </c>
      <c r="DU154" s="59">
        <f t="shared" si="152"/>
        <v>155.89639262545802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>
        <f>EXP(-LN(2)/35)*EA153+(1-EXP(-LN(2)/35))/(LN(2)/35)*DW154*DX154*VLOOKUP('Données projet'!$B$14,Paramètres!$A$1:$I$89,3,0)*0.475*44/12</f>
        <v>0</v>
      </c>
      <c r="EB154" s="21">
        <f>EXP(-LN(2)/25)*EB153+(1-EXP(-LN(2)/25))/(LN(2)/25)*Calculateur!DW154*Calculateur!DY154*VLOOKUP('Données projet'!$B$14,Paramètres!$A$1:$I$89,3,0)*0.475*44/12</f>
        <v>0.25450562071399219</v>
      </c>
      <c r="EC154" s="21">
        <f>EXP(-LN(2)/2)*EC153+(1-EXP(-LN(2)/2))/(LN(2)/2)*DW154*DZ154*VLOOKUP('Données projet'!$B$14,Paramètres!$A$1:$I$89,3,0)*0.475*44/12</f>
        <v>8.5128669665533818E-18</v>
      </c>
      <c r="ED154" s="22">
        <f t="shared" ref="ED154:ED203" si="178">SUM(EA154:EC154)</f>
        <v>0.25450562071399219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2.8421709430404007E-14</v>
      </c>
      <c r="EK154" s="17">
        <f>EJ154*VLOOKUP('Données projet'!$B$15,Paramètres!$A$1:$I$89,3,0)*VLOOKUP('Données projet'!$B$15,Paramètres!$A$1:$I$89,5,0)</f>
        <v>2.2168933355715127E-14</v>
      </c>
      <c r="EL154" s="13">
        <f t="shared" ref="EL154:EL203" si="179">EXP(-1.0587+0.8836*LN(EK154)+0.284)</f>
        <v>3.9687356123668477E-13</v>
      </c>
      <c r="EM154" s="20">
        <f t="shared" ref="EM154:EM203" si="180">(EK154+EL154)*0.475*44/12</f>
        <v>7.2983234474842979E-13</v>
      </c>
      <c r="EN154" s="59">
        <f t="shared" si="128"/>
        <v>293.33333333333405</v>
      </c>
      <c r="EO154" s="59">
        <f ca="1">AVERAGE(OFFSET($EN$3,0,0,'Données projet'!$E$15+1,1))-AVERAGE(OFFSET($H$3,0,0,'Données projet'!$E$15+1,1))</f>
        <v>104.07220236158577</v>
      </c>
      <c r="EP154" s="59">
        <f t="shared" si="154"/>
        <v>34.162068257911756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>
        <f>EXP(-LN(2)/35)*EV153+(1-EXP(-LN(2)/35))/(LN(2)/35)*ER154*ES154*VLOOKUP('Données projet'!$B$15,Paramètres!$A$1:$I$89,3,0)*0.475*44/12</f>
        <v>0</v>
      </c>
      <c r="EW154" s="21">
        <f>EXP(-LN(2)/25)*EW153+(1-EXP(-LN(2)/25))/(LN(2)/25)*Calculateur!ER154*Calculateur!ET154*VLOOKUP('Données projet'!$B$15,Paramètres!$A$1:$I$89,3,0)*0.475*44/12</f>
        <v>0</v>
      </c>
      <c r="EX154" s="21">
        <f>EXP(-LN(2)/2)*EX153+(1-EXP(-LN(2)/2))/(LN(2)/2)*ER154*EU154*VLOOKUP('Données projet'!$B$15,Paramètres!$A$1:$I$89,3,0)*0.475*44/12</f>
        <v>0</v>
      </c>
      <c r="EY154" s="22">
        <f t="shared" ref="EY154:EY203" si="181">SUM(EV154:EX154)</f>
        <v>0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5.6843418860808015E-14</v>
      </c>
      <c r="FF154" s="17">
        <f>FE154*VLOOKUP('Données projet'!$B$16,Paramètres!$A$1:$I$89,3,0)*VLOOKUP('Données projet'!$B$16,Paramètres!$A$1:$I$89,5,0)</f>
        <v>5.1431925385259088E-14</v>
      </c>
      <c r="FG154" s="13">
        <f t="shared" ref="FG154:FG203" si="182">EXP(-1.0587+0.8836*LN(FF154)+0.284)</f>
        <v>8.3482866290946129E-13</v>
      </c>
      <c r="FH154" s="20">
        <f t="shared" ref="FH154:FH203" si="183">(FF154+FG154)*0.475*44/12</f>
        <v>1.5435705246133045E-12</v>
      </c>
      <c r="FI154" s="59">
        <f t="shared" si="131"/>
        <v>293.33333333333485</v>
      </c>
      <c r="FJ154" s="59">
        <f ca="1">AVERAGE(OFFSET($FI$3,0,0,'Données projet'!$E$16+1,1))-AVERAGE(OFFSET($H$3,0,0,'Données projet'!$E$16+1,1))</f>
        <v>179.50097986986123</v>
      </c>
      <c r="FK154" s="59">
        <f t="shared" si="156"/>
        <v>287.11838730637578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>
        <f>EXP(-LN(2)/35)*FQ153+(1-EXP(-LN(2)/35))/(LN(2)/35)*FM154*FN154*VLOOKUP('Données projet'!$B$16,Paramètres!$A$1:$I$89,3,0)*0.475*44/12</f>
        <v>5.6760460052711147E-2</v>
      </c>
      <c r="FR154" s="21">
        <f>EXP(-LN(2)/25)*FR153+(1-EXP(-LN(2)/25))/(LN(2)/25)*Calculateur!FM154*Calculateur!FO154*VLOOKUP('Données projet'!$B$16,Paramètres!$A$1:$I$89,3,0)*0.475*44/12</f>
        <v>0.21974363156778637</v>
      </c>
      <c r="FS154" s="21">
        <f>EXP(-LN(2)/2)*FS153+(1-EXP(-LN(2)/2))/(LN(2)/2)*FM154*FP154*VLOOKUP('Données projet'!$B$16,Paramètres!$A$1:$I$89,3,0)*0.475*44/12</f>
        <v>2.7726827136426637E-18</v>
      </c>
      <c r="FT154" s="22">
        <f t="shared" ref="FT154:FT203" si="184">SUM(FQ154:FS154)</f>
        <v>0.27650409162049749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5.6843418860808015E-14</v>
      </c>
      <c r="GA154" s="17">
        <f>FZ154*VLOOKUP('Données projet'!$B$17,Paramètres!$A$1:$I$89,3,0)*VLOOKUP('Données projet'!$B$17,Paramètres!$A$1:$I$89,5,0)</f>
        <v>3.3992364478763198E-14</v>
      </c>
      <c r="GB154" s="13">
        <f t="shared" ref="GB154:GB203" si="185">EXP(-1.0587+0.8836*LN(GA154)+0.284)</f>
        <v>5.790027782444094E-13</v>
      </c>
      <c r="GC154" s="20">
        <f t="shared" ref="GC154:GC203" si="186">(GA154+GB154)*0.475*44/12</f>
        <v>1.0676332069095257E-12</v>
      </c>
      <c r="GD154" s="59">
        <f t="shared" si="134"/>
        <v>293.33333333333439</v>
      </c>
      <c r="GE154" s="59">
        <f ca="1">AVERAGE(OFFSET($GD$3,0,0,'Données projet'!$E$17+1,1))-AVERAGE(OFFSET($H$3,0,0,'Données projet'!$E$17+1,1))</f>
        <v>165.39579887388538</v>
      </c>
      <c r="GF154" s="59">
        <f t="shared" si="158"/>
        <v>155.89639262545802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>
        <f>EXP(-LN(2)/35)*GL153+(1-EXP(-LN(2)/35))/(LN(2)/35)*GH154*GI154*VLOOKUP('Données projet'!$B$17,Paramètres!$A$1:$I$89,3,0)*0.475*44/12</f>
        <v>0</v>
      </c>
      <c r="GM154" s="21">
        <f>EXP(-LN(2)/25)*GM153+(1-EXP(-LN(2)/25))/(LN(2)/25)*Calculateur!GH154*Calculateur!GJ154*VLOOKUP('Données projet'!$B$17,Paramètres!$A$1:$I$89,3,0)*0.475*44/12</f>
        <v>0.25450562071399219</v>
      </c>
      <c r="GN154" s="21">
        <f>EXP(-LN(2)/2)*GN153+(1-EXP(-LN(2)/2))/(LN(2)/2)*GH154*GK154*VLOOKUP('Données projet'!$B$17,Paramètres!$A$1:$I$89,3,0)*0.475*44/12</f>
        <v>8.5128669665533818E-18</v>
      </c>
      <c r="GO154" s="21">
        <f t="shared" ref="GO154:GO203" si="187">SUM(GL154:GN154)</f>
        <v>0.25450562071399219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3.4106051316484809E-13</v>
      </c>
      <c r="O155" s="13">
        <f>N155*VLOOKUP('Données projet'!$B$9,Paramètres!$A$1:$I$89,3,0)*VLOOKUP('Données projet'!$B$9,Paramètres!$A$1:$I$89,5,0)</f>
        <v>1.9065282685915009E-13</v>
      </c>
      <c r="P155" s="13">
        <f t="shared" si="141"/>
        <v>2.6568987209435707E-12</v>
      </c>
      <c r="Q155" s="20">
        <f t="shared" si="162"/>
        <v>4.959485612423072E-12</v>
      </c>
      <c r="R155" s="59">
        <f t="shared" si="109"/>
        <v>293.33333333333826</v>
      </c>
      <c r="S155" s="59">
        <f ca="1">AVERAGE(OFFSET($R$3,0,0,'Données projet'!$E$9+1,1))-AVERAGE(OFFSET($H$3,0,0,'Données projet'!$E$9+1,1))</f>
        <v>235.10258076192054</v>
      </c>
      <c r="T155" s="59">
        <f t="shared" si="142"/>
        <v>233.47316052603765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0.30582823869076864</v>
      </c>
      <c r="AA155" s="21">
        <f>EXP(-LN(2)/25)*AA154+(1-EXP(-LN(2)/25))/(LN(2)/25)*Calculateur!V155*Calculateur!X155*VLOOKUP('Données projet'!$B$9,Paramètres!$A$1:$I$89,3,0)*0.475*44/12</f>
        <v>0.62605724482813485</v>
      </c>
      <c r="AB155" s="21">
        <f>EXP(-LN(2)/2)*AB154+(1-EXP(-LN(2)/2))/(LN(2)/2)*V155*Y155*VLOOKUP('Données projet'!$B$9,Paramètres!$A$1:$I$89,3,0)*0.475*44/12</f>
        <v>1.0461285363435764E-17</v>
      </c>
      <c r="AC155" s="22">
        <f t="shared" si="163"/>
        <v>0.93188548351890343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-8.5265128291212022E-14</v>
      </c>
      <c r="AJ155" s="13">
        <f>AI155*VLOOKUP('Données projet'!$B$10,Paramètres!$A$1:$I$89,3,0)*VLOOKUP('Données projet'!$B$10,Paramètres!$A$1:$I$89,5,0)</f>
        <v>-7.4487616075202836E-14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191.94797389630673</v>
      </c>
      <c r="AO155" s="59">
        <f t="shared" si="144"/>
        <v>273.52540822767878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0.22983455513730491</v>
      </c>
      <c r="AV155" s="21">
        <f>EXP(-LN(2)/25)*AV154+(1-EXP(-LN(2)/25))/(LN(2)/25)*Calculateur!AQ155*Calculateur!AS155*VLOOKUP('Données projet'!$B$10,Paramètres!$A$1:$I$89,3,0)*0.475*44/12</f>
        <v>0.4770817343218251</v>
      </c>
      <c r="AW155" s="21">
        <f>EXP(-LN(2)/2)*AW154+(1-EXP(-LN(2)/2))/(LN(2)/2)*AQ155*AT155*VLOOKUP('Données projet'!$B$10,Paramètres!$A$1:$I$89,3,0)*0.475*44/12</f>
        <v>1.0062724490329355E-17</v>
      </c>
      <c r="AX155" s="21">
        <f t="shared" si="166"/>
        <v>0.70691628945912999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2.8421709430404007E-14</v>
      </c>
      <c r="BE155" s="13">
        <f>BD155*VLOOKUP('Données projet'!$B$11,Paramètres!$A$1:$I$89,3,0)*VLOOKUP('Données projet'!$B$11,Paramètres!$A$1:$I$89,5,0)</f>
        <v>2.5715962692629544E-14</v>
      </c>
      <c r="BF155" s="13">
        <f t="shared" si="167"/>
        <v>4.5248818890525812E-13</v>
      </c>
      <c r="BG155" s="20">
        <f t="shared" si="168"/>
        <v>8.3287223069965432E-13</v>
      </c>
      <c r="BH155" s="59">
        <f t="shared" si="116"/>
        <v>293.33333333333417</v>
      </c>
      <c r="BI155" s="59">
        <f ca="1">AVERAGE(OFFSET($BH$3,0,0,'Données projet'!$E$11+1,1))-AVERAGE(OFFSET($H$3,0,0,'Données projet'!$E$11+1,1))</f>
        <v>138.8931001150624</v>
      </c>
      <c r="BJ155" s="59">
        <f t="shared" si="146"/>
        <v>48.964659354096625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2.8421709430404007E-14</v>
      </c>
      <c r="BZ155" s="13">
        <f>BY155*VLOOKUP('Données projet'!$B$12,Paramètres!$A$1:$I$89,3,0)*VLOOKUP('Données projet'!$B$12,Paramètres!$A$1:$I$89,5,0)</f>
        <v>2.8819613362429664E-14</v>
      </c>
      <c r="CA155" s="13">
        <f t="shared" si="170"/>
        <v>5.0041752926933358E-13</v>
      </c>
      <c r="CB155" s="20">
        <f t="shared" si="171"/>
        <v>9.2175469008365428E-13</v>
      </c>
      <c r="CC155" s="59">
        <f t="shared" si="119"/>
        <v>293.33333333333422</v>
      </c>
      <c r="CD155" s="59">
        <f ca="1">AVERAGE(OFFSET($CC$3,0,0,'Données projet'!$E$12+1,1))-AVERAGE(OFFSET($H$3,0,0,'Données projet'!$E$12+1,1))</f>
        <v>169.2757878405003</v>
      </c>
      <c r="CE155" s="59">
        <f t="shared" si="148"/>
        <v>61.876502626609977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-8.5265128291212022E-14</v>
      </c>
      <c r="CU155" s="17">
        <f>CT155*VLOOKUP('Données projet'!$B$13,Paramètres!$A$1:$I$89,3,0)*VLOOKUP('Données projet'!$B$13,Paramètres!$A$1:$I$89,5,0)</f>
        <v>-6.7836936068488286E-14</v>
      </c>
      <c r="CV155" s="13" t="e">
        <f t="shared" si="173"/>
        <v>#NUM!</v>
      </c>
      <c r="CW155" s="20" t="e">
        <f t="shared" si="174"/>
        <v>#NUM!</v>
      </c>
      <c r="CX155" s="59" t="e">
        <f t="shared" si="122"/>
        <v>#NUM!</v>
      </c>
      <c r="CY155" s="59">
        <f ca="1">AVERAGE(OFFSET($CX$3,0,0,'Données projet'!$E$13+1,1))-AVERAGE(OFFSET($H$3,0,0,'Données projet'!$E$13+1,1))</f>
        <v>141.12810728817544</v>
      </c>
      <c r="CZ155" s="59">
        <f t="shared" si="150"/>
        <v>176.01405805137551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>
        <f>EXP(-LN(2)/35)*DF154+(1-EXP(-LN(2)/35))/(LN(2)/35)*DB155*DC155*VLOOKUP('Données projet'!$B$13,Paramètres!$A$1:$I$89,3,0)*0.475*44/12</f>
        <v>0</v>
      </c>
      <c r="DG155" s="21">
        <f>EXP(-LN(2)/25)*DG154+(1-EXP(-LN(2)/25))/(LN(2)/25)*Calculateur!DB155*Calculateur!DD155*VLOOKUP('Données projet'!$B$13,Paramètres!$A$1:$I$89,3,0)*0.475*44/12</f>
        <v>0.22830176361392715</v>
      </c>
      <c r="DH155" s="21">
        <f>EXP(-LN(2)/2)*DH154+(1-EXP(-LN(2)/2))/(LN(2)/2)*DB155*DE155*VLOOKUP('Données projet'!$B$13,Paramètres!$A$1:$I$89,3,0)*0.475*44/12</f>
        <v>3.4716985962590692E-18</v>
      </c>
      <c r="DI155" s="22">
        <f t="shared" si="175"/>
        <v>0.22830176361392715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5.6843418860808015E-14</v>
      </c>
      <c r="DP155" s="17">
        <f>DO155*VLOOKUP('Données projet'!$B$14,Paramètres!$A$1:$I$89,3,0)*VLOOKUP('Données projet'!$B$14,Paramètres!$A$1:$I$89,5,0)</f>
        <v>3.3992364478763198E-14</v>
      </c>
      <c r="DQ155" s="13">
        <f t="shared" si="176"/>
        <v>5.790027782444094E-13</v>
      </c>
      <c r="DR155" s="20">
        <f t="shared" si="177"/>
        <v>1.0676332069095257E-12</v>
      </c>
      <c r="DS155" s="59">
        <f t="shared" si="125"/>
        <v>293.33333333333439</v>
      </c>
      <c r="DT155" s="59">
        <f ca="1">AVERAGE(OFFSET($DS$3,0,0,'Données projet'!$E$14+1,1))-AVERAGE(OFFSET($H$3,0,0,'Données projet'!$E$14+1,1))</f>
        <v>165.39579887388538</v>
      </c>
      <c r="DU155" s="59">
        <f t="shared" si="152"/>
        <v>155.89639262545802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>
        <f>EXP(-LN(2)/35)*EA154+(1-EXP(-LN(2)/35))/(LN(2)/35)*DW155*DX155*VLOOKUP('Données projet'!$B$14,Paramètres!$A$1:$I$89,3,0)*0.475*44/12</f>
        <v>0</v>
      </c>
      <c r="EB155" s="21">
        <f>EXP(-LN(2)/25)*EB154+(1-EXP(-LN(2)/25))/(LN(2)/25)*Calculateur!DW155*Calculateur!DY155*VLOOKUP('Données projet'!$B$14,Paramètres!$A$1:$I$89,3,0)*0.475*44/12</f>
        <v>0.24754615113169914</v>
      </c>
      <c r="EC155" s="21">
        <f>EXP(-LN(2)/2)*EC154+(1-EXP(-LN(2)/2))/(LN(2)/2)*DW155*DZ155*VLOOKUP('Données projet'!$B$14,Paramètres!$A$1:$I$89,3,0)*0.475*44/12</f>
        <v>6.0195059593888509E-18</v>
      </c>
      <c r="ED155" s="22">
        <f t="shared" si="178"/>
        <v>0.24754615113169914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2.8421709430404007E-14</v>
      </c>
      <c r="EK155" s="17">
        <f>EJ155*VLOOKUP('Données projet'!$B$15,Paramètres!$A$1:$I$89,3,0)*VLOOKUP('Données projet'!$B$15,Paramètres!$A$1:$I$89,5,0)</f>
        <v>2.2168933355715127E-14</v>
      </c>
      <c r="EL155" s="13">
        <f t="shared" si="179"/>
        <v>3.9687356123668477E-13</v>
      </c>
      <c r="EM155" s="20">
        <f t="shared" si="180"/>
        <v>7.2983234474842979E-13</v>
      </c>
      <c r="EN155" s="59">
        <f t="shared" si="128"/>
        <v>293.33333333333405</v>
      </c>
      <c r="EO155" s="59">
        <f ca="1">AVERAGE(OFFSET($EN$3,0,0,'Données projet'!$E$15+1,1))-AVERAGE(OFFSET($H$3,0,0,'Données projet'!$E$15+1,1))</f>
        <v>104.07220236158577</v>
      </c>
      <c r="EP155" s="59">
        <f t="shared" si="154"/>
        <v>34.162068257911756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>
        <f>EXP(-LN(2)/35)*EV154+(1-EXP(-LN(2)/35))/(LN(2)/35)*ER155*ES155*VLOOKUP('Données projet'!$B$15,Paramètres!$A$1:$I$89,3,0)*0.475*44/12</f>
        <v>0</v>
      </c>
      <c r="EW155" s="21">
        <f>EXP(-LN(2)/25)*EW154+(1-EXP(-LN(2)/25))/(LN(2)/25)*Calculateur!ER155*Calculateur!ET155*VLOOKUP('Données projet'!$B$15,Paramètres!$A$1:$I$89,3,0)*0.475*44/12</f>
        <v>0</v>
      </c>
      <c r="EX155" s="21">
        <f>EXP(-LN(2)/2)*EX154+(1-EXP(-LN(2)/2))/(LN(2)/2)*ER155*EU155*VLOOKUP('Données projet'!$B$15,Paramètres!$A$1:$I$89,3,0)*0.475*44/12</f>
        <v>0</v>
      </c>
      <c r="EY155" s="22">
        <f t="shared" si="181"/>
        <v>0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5.6843418860808015E-14</v>
      </c>
      <c r="FF155" s="17">
        <f>FE155*VLOOKUP('Données projet'!$B$16,Paramètres!$A$1:$I$89,3,0)*VLOOKUP('Données projet'!$B$16,Paramètres!$A$1:$I$89,5,0)</f>
        <v>5.1431925385259088E-14</v>
      </c>
      <c r="FG155" s="13">
        <f t="shared" si="182"/>
        <v>8.3482866290946129E-13</v>
      </c>
      <c r="FH155" s="20">
        <f t="shared" si="183"/>
        <v>1.5435705246133045E-12</v>
      </c>
      <c r="FI155" s="59">
        <f t="shared" si="131"/>
        <v>293.33333333333485</v>
      </c>
      <c r="FJ155" s="59">
        <f ca="1">AVERAGE(OFFSET($FI$3,0,0,'Données projet'!$E$16+1,1))-AVERAGE(OFFSET($H$3,0,0,'Données projet'!$E$16+1,1))</f>
        <v>179.50097986986123</v>
      </c>
      <c r="FK155" s="59">
        <f t="shared" si="156"/>
        <v>287.11838730637578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>
        <f>EXP(-LN(2)/35)*FQ154+(1-EXP(-LN(2)/35))/(LN(2)/35)*FM155*FN155*VLOOKUP('Données projet'!$B$16,Paramètres!$A$1:$I$89,3,0)*0.475*44/12</f>
        <v>5.5647422051539629E-2</v>
      </c>
      <c r="FR155" s="21">
        <f>EXP(-LN(2)/25)*FR154+(1-EXP(-LN(2)/25))/(LN(2)/25)*Calculateur!FM155*Calculateur!FO155*VLOOKUP('Données projet'!$B$16,Paramètres!$A$1:$I$89,3,0)*0.475*44/12</f>
        <v>0.2137347304067499</v>
      </c>
      <c r="FS155" s="21">
        <f>EXP(-LN(2)/2)*FS154+(1-EXP(-LN(2)/2))/(LN(2)/2)*FM155*FP155*VLOOKUP('Données projet'!$B$16,Paramètres!$A$1:$I$89,3,0)*0.475*44/12</f>
        <v>1.9605827488954458E-18</v>
      </c>
      <c r="FT155" s="22">
        <f t="shared" si="184"/>
        <v>0.2693821524582895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5.6843418860808015E-14</v>
      </c>
      <c r="GA155" s="17">
        <f>FZ155*VLOOKUP('Données projet'!$B$17,Paramètres!$A$1:$I$89,3,0)*VLOOKUP('Données projet'!$B$17,Paramètres!$A$1:$I$89,5,0)</f>
        <v>3.3992364478763198E-14</v>
      </c>
      <c r="GB155" s="13">
        <f t="shared" si="185"/>
        <v>5.790027782444094E-13</v>
      </c>
      <c r="GC155" s="20">
        <f t="shared" si="186"/>
        <v>1.0676332069095257E-12</v>
      </c>
      <c r="GD155" s="59">
        <f t="shared" si="134"/>
        <v>293.33333333333439</v>
      </c>
      <c r="GE155" s="59">
        <f ca="1">AVERAGE(OFFSET($GD$3,0,0,'Données projet'!$E$17+1,1))-AVERAGE(OFFSET($H$3,0,0,'Données projet'!$E$17+1,1))</f>
        <v>165.39579887388538</v>
      </c>
      <c r="GF155" s="59">
        <f t="shared" si="158"/>
        <v>155.89639262545802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>
        <f>EXP(-LN(2)/35)*GL154+(1-EXP(-LN(2)/35))/(LN(2)/35)*GH155*GI155*VLOOKUP('Données projet'!$B$17,Paramètres!$A$1:$I$89,3,0)*0.475*44/12</f>
        <v>0</v>
      </c>
      <c r="GM155" s="21">
        <f>EXP(-LN(2)/25)*GM154+(1-EXP(-LN(2)/25))/(LN(2)/25)*Calculateur!GH155*Calculateur!GJ155*VLOOKUP('Données projet'!$B$17,Paramètres!$A$1:$I$89,3,0)*0.475*44/12</f>
        <v>0.24754615113169914</v>
      </c>
      <c r="GN155" s="21">
        <f>EXP(-LN(2)/2)*GN154+(1-EXP(-LN(2)/2))/(LN(2)/2)*GH155*GK155*VLOOKUP('Données projet'!$B$17,Paramètres!$A$1:$I$89,3,0)*0.475*44/12</f>
        <v>6.0195059593888509E-18</v>
      </c>
      <c r="GO155" s="21">
        <f t="shared" si="187"/>
        <v>0.24754615113169914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3.4106051316484809E-13</v>
      </c>
      <c r="O156" s="13">
        <f>N156*VLOOKUP('Données projet'!$B$9,Paramètres!$A$1:$I$89,3,0)*VLOOKUP('Données projet'!$B$9,Paramètres!$A$1:$I$89,5,0)</f>
        <v>1.9065282685915009E-13</v>
      </c>
      <c r="P156" s="13">
        <f t="shared" si="141"/>
        <v>2.6568987209435707E-12</v>
      </c>
      <c r="Q156" s="20">
        <f t="shared" si="162"/>
        <v>4.959485612423072E-12</v>
      </c>
      <c r="R156" s="59">
        <f t="shared" si="109"/>
        <v>293.33333333333826</v>
      </c>
      <c r="S156" s="59">
        <f ca="1">AVERAGE(OFFSET($R$3,0,0,'Données projet'!$E$9+1,1))-AVERAGE(OFFSET($H$3,0,0,'Données projet'!$E$9+1,1))</f>
        <v>235.10258076192054</v>
      </c>
      <c r="T156" s="59">
        <f t="shared" si="142"/>
        <v>233.47316052603765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0.29983113346684931</v>
      </c>
      <c r="AA156" s="21">
        <f>EXP(-LN(2)/25)*AA155+(1-EXP(-LN(2)/25))/(LN(2)/25)*Calculateur!V156*Calculateur!X156*VLOOKUP('Données projet'!$B$9,Paramètres!$A$1:$I$89,3,0)*0.475*44/12</f>
        <v>0.60893767654538988</v>
      </c>
      <c r="AB156" s="21">
        <f>EXP(-LN(2)/2)*AB155+(1-EXP(-LN(2)/2))/(LN(2)/2)*V156*Y156*VLOOKUP('Données projet'!$B$9,Paramètres!$A$1:$I$89,3,0)*0.475*44/12</f>
        <v>7.3972458204130047E-18</v>
      </c>
      <c r="AC156" s="22">
        <f t="shared" si="163"/>
        <v>0.90876881001223919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-8.5265128291212022E-14</v>
      </c>
      <c r="AJ156" s="13">
        <f>AI156*VLOOKUP('Données projet'!$B$10,Paramètres!$A$1:$I$89,3,0)*VLOOKUP('Données projet'!$B$10,Paramètres!$A$1:$I$89,5,0)</f>
        <v>-7.4487616075202836E-14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191.94797389630673</v>
      </c>
      <c r="AO156" s="59">
        <f t="shared" si="144"/>
        <v>273.52540822767878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0.22532763969629885</v>
      </c>
      <c r="AV156" s="21">
        <f>EXP(-LN(2)/25)*AV155+(1-EXP(-LN(2)/25))/(LN(2)/25)*Calculateur!AQ156*Calculateur!AS156*VLOOKUP('Données projet'!$B$10,Paramètres!$A$1:$I$89,3,0)*0.475*44/12</f>
        <v>0.46403590920815679</v>
      </c>
      <c r="AW156" s="21">
        <f>EXP(-LN(2)/2)*AW155+(1-EXP(-LN(2)/2))/(LN(2)/2)*AQ156*AT156*VLOOKUP('Données projet'!$B$10,Paramètres!$A$1:$I$89,3,0)*0.475*44/12</f>
        <v>7.1154207243238319E-18</v>
      </c>
      <c r="AX156" s="21">
        <f t="shared" si="166"/>
        <v>0.68936354890445561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2.8421709430404007E-14</v>
      </c>
      <c r="BE156" s="13">
        <f>BD156*VLOOKUP('Données projet'!$B$11,Paramètres!$A$1:$I$89,3,0)*VLOOKUP('Données projet'!$B$11,Paramètres!$A$1:$I$89,5,0)</f>
        <v>2.5715962692629544E-14</v>
      </c>
      <c r="BF156" s="13">
        <f t="shared" si="167"/>
        <v>4.5248818890525812E-13</v>
      </c>
      <c r="BG156" s="20">
        <f t="shared" si="168"/>
        <v>8.3287223069965432E-13</v>
      </c>
      <c r="BH156" s="59">
        <f t="shared" si="116"/>
        <v>293.33333333333417</v>
      </c>
      <c r="BI156" s="59">
        <f ca="1">AVERAGE(OFFSET($BH$3,0,0,'Données projet'!$E$11+1,1))-AVERAGE(OFFSET($H$3,0,0,'Données projet'!$E$11+1,1))</f>
        <v>138.8931001150624</v>
      </c>
      <c r="BJ156" s="59">
        <f t="shared" si="146"/>
        <v>48.964659354096625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2.8421709430404007E-14</v>
      </c>
      <c r="BZ156" s="13">
        <f>BY156*VLOOKUP('Données projet'!$B$12,Paramètres!$A$1:$I$89,3,0)*VLOOKUP('Données projet'!$B$12,Paramètres!$A$1:$I$89,5,0)</f>
        <v>2.8819613362429664E-14</v>
      </c>
      <c r="CA156" s="13">
        <f t="shared" si="170"/>
        <v>5.0041752926933358E-13</v>
      </c>
      <c r="CB156" s="20">
        <f t="shared" si="171"/>
        <v>9.2175469008365428E-13</v>
      </c>
      <c r="CC156" s="59">
        <f t="shared" si="119"/>
        <v>293.33333333333422</v>
      </c>
      <c r="CD156" s="59">
        <f ca="1">AVERAGE(OFFSET($CC$3,0,0,'Données projet'!$E$12+1,1))-AVERAGE(OFFSET($H$3,0,0,'Données projet'!$E$12+1,1))</f>
        <v>169.2757878405003</v>
      </c>
      <c r="CE156" s="59">
        <f t="shared" si="148"/>
        <v>61.876502626609977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-8.5265128291212022E-14</v>
      </c>
      <c r="CU156" s="17">
        <f>CT156*VLOOKUP('Données projet'!$B$13,Paramètres!$A$1:$I$89,3,0)*VLOOKUP('Données projet'!$B$13,Paramètres!$A$1:$I$89,5,0)</f>
        <v>-6.7836936068488286E-14</v>
      </c>
      <c r="CV156" s="13" t="e">
        <f t="shared" si="173"/>
        <v>#NUM!</v>
      </c>
      <c r="CW156" s="20" t="e">
        <f t="shared" si="174"/>
        <v>#NUM!</v>
      </c>
      <c r="CX156" s="59" t="e">
        <f t="shared" si="122"/>
        <v>#NUM!</v>
      </c>
      <c r="CY156" s="59">
        <f ca="1">AVERAGE(OFFSET($CX$3,0,0,'Données projet'!$E$13+1,1))-AVERAGE(OFFSET($H$3,0,0,'Données projet'!$E$13+1,1))</f>
        <v>141.12810728817544</v>
      </c>
      <c r="CZ156" s="59">
        <f t="shared" si="150"/>
        <v>176.01405805137551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>
        <f>EXP(-LN(2)/35)*DF155+(1-EXP(-LN(2)/35))/(LN(2)/35)*DB156*DC156*VLOOKUP('Données projet'!$B$13,Paramètres!$A$1:$I$89,3,0)*0.475*44/12</f>
        <v>0</v>
      </c>
      <c r="DG156" s="21">
        <f>EXP(-LN(2)/25)*DG155+(1-EXP(-LN(2)/25))/(LN(2)/25)*Calculateur!DB156*Calculateur!DD156*VLOOKUP('Données projet'!$B$13,Paramètres!$A$1:$I$89,3,0)*0.475*44/12</f>
        <v>0.22205883988203634</v>
      </c>
      <c r="DH156" s="21">
        <f>EXP(-LN(2)/2)*DH155+(1-EXP(-LN(2)/2))/(LN(2)/2)*DB156*DE156*VLOOKUP('Données projet'!$B$13,Paramètres!$A$1:$I$89,3,0)*0.475*44/12</f>
        <v>2.4548616196506059E-18</v>
      </c>
      <c r="DI156" s="22">
        <f t="shared" si="175"/>
        <v>0.22205883988203634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5.6843418860808015E-14</v>
      </c>
      <c r="DP156" s="17">
        <f>DO156*VLOOKUP('Données projet'!$B$14,Paramètres!$A$1:$I$89,3,0)*VLOOKUP('Données projet'!$B$14,Paramètres!$A$1:$I$89,5,0)</f>
        <v>3.3992364478763198E-14</v>
      </c>
      <c r="DQ156" s="13">
        <f t="shared" si="176"/>
        <v>5.790027782444094E-13</v>
      </c>
      <c r="DR156" s="20">
        <f t="shared" si="177"/>
        <v>1.0676332069095257E-12</v>
      </c>
      <c r="DS156" s="59">
        <f t="shared" si="125"/>
        <v>293.33333333333439</v>
      </c>
      <c r="DT156" s="59">
        <f ca="1">AVERAGE(OFFSET($DS$3,0,0,'Données projet'!$E$14+1,1))-AVERAGE(OFFSET($H$3,0,0,'Données projet'!$E$14+1,1))</f>
        <v>165.39579887388538</v>
      </c>
      <c r="DU156" s="59">
        <f t="shared" si="152"/>
        <v>155.89639262545802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>
        <f>EXP(-LN(2)/35)*EA155+(1-EXP(-LN(2)/35))/(LN(2)/35)*DW156*DX156*VLOOKUP('Données projet'!$B$14,Paramètres!$A$1:$I$89,3,0)*0.475*44/12</f>
        <v>0</v>
      </c>
      <c r="EB156" s="21">
        <f>EXP(-LN(2)/25)*EB155+(1-EXP(-LN(2)/25))/(LN(2)/25)*Calculateur!DW156*Calculateur!DY156*VLOOKUP('Données projet'!$B$14,Paramètres!$A$1:$I$89,3,0)*0.475*44/12</f>
        <v>0.24077698861111652</v>
      </c>
      <c r="EC156" s="21">
        <f>EXP(-LN(2)/2)*EC155+(1-EXP(-LN(2)/2))/(LN(2)/2)*DW156*DZ156*VLOOKUP('Données projet'!$B$14,Paramètres!$A$1:$I$89,3,0)*0.475*44/12</f>
        <v>4.2564334832766909E-18</v>
      </c>
      <c r="ED156" s="22">
        <f t="shared" si="178"/>
        <v>0.24077698861111652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2.8421709430404007E-14</v>
      </c>
      <c r="EK156" s="17">
        <f>EJ156*VLOOKUP('Données projet'!$B$15,Paramètres!$A$1:$I$89,3,0)*VLOOKUP('Données projet'!$B$15,Paramètres!$A$1:$I$89,5,0)</f>
        <v>2.2168933355715127E-14</v>
      </c>
      <c r="EL156" s="13">
        <f t="shared" si="179"/>
        <v>3.9687356123668477E-13</v>
      </c>
      <c r="EM156" s="20">
        <f t="shared" si="180"/>
        <v>7.2983234474842979E-13</v>
      </c>
      <c r="EN156" s="59">
        <f t="shared" si="128"/>
        <v>293.33333333333405</v>
      </c>
      <c r="EO156" s="59">
        <f ca="1">AVERAGE(OFFSET($EN$3,0,0,'Données projet'!$E$15+1,1))-AVERAGE(OFFSET($H$3,0,0,'Données projet'!$E$15+1,1))</f>
        <v>104.07220236158577</v>
      </c>
      <c r="EP156" s="59">
        <f t="shared" si="154"/>
        <v>34.162068257911756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>
        <f>EXP(-LN(2)/35)*EV155+(1-EXP(-LN(2)/35))/(LN(2)/35)*ER156*ES156*VLOOKUP('Données projet'!$B$15,Paramètres!$A$1:$I$89,3,0)*0.475*44/12</f>
        <v>0</v>
      </c>
      <c r="EW156" s="21">
        <f>EXP(-LN(2)/25)*EW155+(1-EXP(-LN(2)/25))/(LN(2)/25)*Calculateur!ER156*Calculateur!ET156*VLOOKUP('Données projet'!$B$15,Paramètres!$A$1:$I$89,3,0)*0.475*44/12</f>
        <v>0</v>
      </c>
      <c r="EX156" s="21">
        <f>EXP(-LN(2)/2)*EX155+(1-EXP(-LN(2)/2))/(LN(2)/2)*ER156*EU156*VLOOKUP('Données projet'!$B$15,Paramètres!$A$1:$I$89,3,0)*0.475*44/12</f>
        <v>0</v>
      </c>
      <c r="EY156" s="22">
        <f t="shared" si="181"/>
        <v>0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5.6843418860808015E-14</v>
      </c>
      <c r="FF156" s="17">
        <f>FE156*VLOOKUP('Données projet'!$B$16,Paramètres!$A$1:$I$89,3,0)*VLOOKUP('Données projet'!$B$16,Paramètres!$A$1:$I$89,5,0)</f>
        <v>5.1431925385259088E-14</v>
      </c>
      <c r="FG156" s="13">
        <f t="shared" si="182"/>
        <v>8.3482866290946129E-13</v>
      </c>
      <c r="FH156" s="20">
        <f t="shared" si="183"/>
        <v>1.5435705246133045E-12</v>
      </c>
      <c r="FI156" s="59">
        <f t="shared" si="131"/>
        <v>293.33333333333485</v>
      </c>
      <c r="FJ156" s="59">
        <f ca="1">AVERAGE(OFFSET($FI$3,0,0,'Données projet'!$E$16+1,1))-AVERAGE(OFFSET($H$3,0,0,'Données projet'!$E$16+1,1))</f>
        <v>179.50097986986123</v>
      </c>
      <c r="FK156" s="59">
        <f t="shared" si="156"/>
        <v>287.11838730637578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>
        <f>EXP(-LN(2)/35)*FQ155+(1-EXP(-LN(2)/35))/(LN(2)/35)*FM156*FN156*VLOOKUP('Données projet'!$B$16,Paramètres!$A$1:$I$89,3,0)*0.475*44/12</f>
        <v>5.4556210046684935E-2</v>
      </c>
      <c r="FR156" s="21">
        <f>EXP(-LN(2)/25)*FR155+(1-EXP(-LN(2)/25))/(LN(2)/25)*Calculateur!FM156*Calculateur!FO156*VLOOKUP('Données projet'!$B$16,Paramètres!$A$1:$I$89,3,0)*0.475*44/12</f>
        <v>0.20789014296395633</v>
      </c>
      <c r="FS156" s="21">
        <f>EXP(-LN(2)/2)*FS155+(1-EXP(-LN(2)/2))/(LN(2)/2)*FM156*FP156*VLOOKUP('Données projet'!$B$16,Paramètres!$A$1:$I$89,3,0)*0.475*44/12</f>
        <v>1.3863413568213319E-18</v>
      </c>
      <c r="FT156" s="22">
        <f t="shared" si="184"/>
        <v>0.26244635301064129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5.6843418860808015E-14</v>
      </c>
      <c r="GA156" s="17">
        <f>FZ156*VLOOKUP('Données projet'!$B$17,Paramètres!$A$1:$I$89,3,0)*VLOOKUP('Données projet'!$B$17,Paramètres!$A$1:$I$89,5,0)</f>
        <v>3.3992364478763198E-14</v>
      </c>
      <c r="GB156" s="13">
        <f t="shared" si="185"/>
        <v>5.790027782444094E-13</v>
      </c>
      <c r="GC156" s="20">
        <f t="shared" si="186"/>
        <v>1.0676332069095257E-12</v>
      </c>
      <c r="GD156" s="59">
        <f t="shared" si="134"/>
        <v>293.33333333333439</v>
      </c>
      <c r="GE156" s="59">
        <f ca="1">AVERAGE(OFFSET($GD$3,0,0,'Données projet'!$E$17+1,1))-AVERAGE(OFFSET($H$3,0,0,'Données projet'!$E$17+1,1))</f>
        <v>165.39579887388538</v>
      </c>
      <c r="GF156" s="59">
        <f t="shared" si="158"/>
        <v>155.89639262545802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>
        <f>EXP(-LN(2)/35)*GL155+(1-EXP(-LN(2)/35))/(LN(2)/35)*GH156*GI156*VLOOKUP('Données projet'!$B$17,Paramètres!$A$1:$I$89,3,0)*0.475*44/12</f>
        <v>0</v>
      </c>
      <c r="GM156" s="21">
        <f>EXP(-LN(2)/25)*GM155+(1-EXP(-LN(2)/25))/(LN(2)/25)*Calculateur!GH156*Calculateur!GJ156*VLOOKUP('Données projet'!$B$17,Paramètres!$A$1:$I$89,3,0)*0.475*44/12</f>
        <v>0.24077698861111652</v>
      </c>
      <c r="GN156" s="21">
        <f>EXP(-LN(2)/2)*GN155+(1-EXP(-LN(2)/2))/(LN(2)/2)*GH156*GK156*VLOOKUP('Données projet'!$B$17,Paramètres!$A$1:$I$89,3,0)*0.475*44/12</f>
        <v>4.2564334832766909E-18</v>
      </c>
      <c r="GO156" s="21">
        <f t="shared" si="187"/>
        <v>0.24077698861111652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3.4106051316484809E-13</v>
      </c>
      <c r="O157" s="13">
        <f>N157*VLOOKUP('Données projet'!$B$9,Paramètres!$A$1:$I$89,3,0)*VLOOKUP('Données projet'!$B$9,Paramètres!$A$1:$I$89,5,0)</f>
        <v>1.9065282685915009E-13</v>
      </c>
      <c r="P157" s="13">
        <f t="shared" si="141"/>
        <v>2.6568987209435707E-12</v>
      </c>
      <c r="Q157" s="20">
        <f t="shared" si="162"/>
        <v>4.959485612423072E-12</v>
      </c>
      <c r="R157" s="59">
        <f t="shared" si="109"/>
        <v>293.33333333333826</v>
      </c>
      <c r="S157" s="59">
        <f ca="1">AVERAGE(OFFSET($R$3,0,0,'Données projet'!$E$9+1,1))-AVERAGE(OFFSET($H$3,0,0,'Données projet'!$E$9+1,1))</f>
        <v>235.10258076192054</v>
      </c>
      <c r="T157" s="59">
        <f t="shared" si="142"/>
        <v>233.47316052603765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0.29395162781849804</v>
      </c>
      <c r="AA157" s="21">
        <f>EXP(-LN(2)/25)*AA156+(1-EXP(-LN(2)/25))/(LN(2)/25)*Calculateur!V157*Calculateur!X157*VLOOKUP('Données projet'!$B$9,Paramètres!$A$1:$I$89,3,0)*0.475*44/12</f>
        <v>0.59228624375761552</v>
      </c>
      <c r="AB157" s="21">
        <f>EXP(-LN(2)/2)*AB156+(1-EXP(-LN(2)/2))/(LN(2)/2)*V157*Y157*VLOOKUP('Données projet'!$B$9,Paramètres!$A$1:$I$89,3,0)*0.475*44/12</f>
        <v>5.2306426817178818E-18</v>
      </c>
      <c r="AC157" s="22">
        <f t="shared" si="163"/>
        <v>0.88623787157611356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-8.5265128291212022E-14</v>
      </c>
      <c r="AJ157" s="13">
        <f>AI157*VLOOKUP('Données projet'!$B$10,Paramètres!$A$1:$I$89,3,0)*VLOOKUP('Données projet'!$B$10,Paramètres!$A$1:$I$89,5,0)</f>
        <v>-7.4487616075202836E-14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191.94797389630673</v>
      </c>
      <c r="AO157" s="59">
        <f t="shared" si="144"/>
        <v>273.52540822767878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0.22090910211814394</v>
      </c>
      <c r="AV157" s="21">
        <f>EXP(-LN(2)/25)*AV156+(1-EXP(-LN(2)/25))/(LN(2)/25)*Calculateur!AQ157*Calculateur!AS157*VLOOKUP('Données projet'!$B$10,Paramètres!$A$1:$I$89,3,0)*0.475*44/12</f>
        <v>0.45134682286827182</v>
      </c>
      <c r="AW157" s="21">
        <f>EXP(-LN(2)/2)*AW156+(1-EXP(-LN(2)/2))/(LN(2)/2)*AQ157*AT157*VLOOKUP('Données projet'!$B$10,Paramètres!$A$1:$I$89,3,0)*0.475*44/12</f>
        <v>5.0313622451646775E-18</v>
      </c>
      <c r="AX157" s="21">
        <f t="shared" si="166"/>
        <v>0.67225592498641573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2.8421709430404007E-14</v>
      </c>
      <c r="BE157" s="13">
        <f>BD157*VLOOKUP('Données projet'!$B$11,Paramètres!$A$1:$I$89,3,0)*VLOOKUP('Données projet'!$B$11,Paramètres!$A$1:$I$89,5,0)</f>
        <v>2.5715962692629544E-14</v>
      </c>
      <c r="BF157" s="13">
        <f t="shared" si="167"/>
        <v>4.5248818890525812E-13</v>
      </c>
      <c r="BG157" s="20">
        <f t="shared" si="168"/>
        <v>8.3287223069965432E-13</v>
      </c>
      <c r="BH157" s="59">
        <f t="shared" si="116"/>
        <v>293.33333333333417</v>
      </c>
      <c r="BI157" s="59">
        <f ca="1">AVERAGE(OFFSET($BH$3,0,0,'Données projet'!$E$11+1,1))-AVERAGE(OFFSET($H$3,0,0,'Données projet'!$E$11+1,1))</f>
        <v>138.8931001150624</v>
      </c>
      <c r="BJ157" s="59">
        <f t="shared" si="146"/>
        <v>48.964659354096625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2.8421709430404007E-14</v>
      </c>
      <c r="BZ157" s="13">
        <f>BY157*VLOOKUP('Données projet'!$B$12,Paramètres!$A$1:$I$89,3,0)*VLOOKUP('Données projet'!$B$12,Paramètres!$A$1:$I$89,5,0)</f>
        <v>2.8819613362429664E-14</v>
      </c>
      <c r="CA157" s="13">
        <f t="shared" si="170"/>
        <v>5.0041752926933358E-13</v>
      </c>
      <c r="CB157" s="20">
        <f t="shared" si="171"/>
        <v>9.2175469008365428E-13</v>
      </c>
      <c r="CC157" s="59">
        <f t="shared" si="119"/>
        <v>293.33333333333422</v>
      </c>
      <c r="CD157" s="59">
        <f ca="1">AVERAGE(OFFSET($CC$3,0,0,'Données projet'!$E$12+1,1))-AVERAGE(OFFSET($H$3,0,0,'Données projet'!$E$12+1,1))</f>
        <v>169.2757878405003</v>
      </c>
      <c r="CE157" s="59">
        <f t="shared" si="148"/>
        <v>61.876502626609977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-8.5265128291212022E-14</v>
      </c>
      <c r="CU157" s="17">
        <f>CT157*VLOOKUP('Données projet'!$B$13,Paramètres!$A$1:$I$89,3,0)*VLOOKUP('Données projet'!$B$13,Paramètres!$A$1:$I$89,5,0)</f>
        <v>-6.7836936068488286E-14</v>
      </c>
      <c r="CV157" s="13" t="e">
        <f t="shared" si="173"/>
        <v>#NUM!</v>
      </c>
      <c r="CW157" s="20" t="e">
        <f t="shared" si="174"/>
        <v>#NUM!</v>
      </c>
      <c r="CX157" s="59" t="e">
        <f t="shared" si="122"/>
        <v>#NUM!</v>
      </c>
      <c r="CY157" s="59">
        <f ca="1">AVERAGE(OFFSET($CX$3,0,0,'Données projet'!$E$13+1,1))-AVERAGE(OFFSET($H$3,0,0,'Données projet'!$E$13+1,1))</f>
        <v>141.12810728817544</v>
      </c>
      <c r="CZ157" s="59">
        <f t="shared" si="150"/>
        <v>176.01405805137551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>
        <f>EXP(-LN(2)/35)*DF156+(1-EXP(-LN(2)/35))/(LN(2)/35)*DB157*DC157*VLOOKUP('Données projet'!$B$13,Paramètres!$A$1:$I$89,3,0)*0.475*44/12</f>
        <v>0</v>
      </c>
      <c r="DG157" s="21">
        <f>EXP(-LN(2)/25)*DG156+(1-EXP(-LN(2)/25))/(LN(2)/25)*Calculateur!DB157*Calculateur!DD157*VLOOKUP('Données projet'!$B$13,Paramètres!$A$1:$I$89,3,0)*0.475*44/12</f>
        <v>0.21598662922789519</v>
      </c>
      <c r="DH157" s="21">
        <f>EXP(-LN(2)/2)*DH156+(1-EXP(-LN(2)/2))/(LN(2)/2)*DB157*DE157*VLOOKUP('Données projet'!$B$13,Paramètres!$A$1:$I$89,3,0)*0.475*44/12</f>
        <v>1.7358492981295346E-18</v>
      </c>
      <c r="DI157" s="22">
        <f t="shared" si="175"/>
        <v>0.21598662922789519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5.6843418860808015E-14</v>
      </c>
      <c r="DP157" s="17">
        <f>DO157*VLOOKUP('Données projet'!$B$14,Paramètres!$A$1:$I$89,3,0)*VLOOKUP('Données projet'!$B$14,Paramètres!$A$1:$I$89,5,0)</f>
        <v>3.3992364478763198E-14</v>
      </c>
      <c r="DQ157" s="13">
        <f t="shared" si="176"/>
        <v>5.790027782444094E-13</v>
      </c>
      <c r="DR157" s="20">
        <f t="shared" si="177"/>
        <v>1.0676332069095257E-12</v>
      </c>
      <c r="DS157" s="59">
        <f t="shared" si="125"/>
        <v>293.33333333333439</v>
      </c>
      <c r="DT157" s="59">
        <f ca="1">AVERAGE(OFFSET($DS$3,0,0,'Données projet'!$E$14+1,1))-AVERAGE(OFFSET($H$3,0,0,'Données projet'!$E$14+1,1))</f>
        <v>165.39579887388538</v>
      </c>
      <c r="DU157" s="59">
        <f t="shared" si="152"/>
        <v>155.89639262545802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>
        <f>EXP(-LN(2)/35)*EA156+(1-EXP(-LN(2)/35))/(LN(2)/35)*DW157*DX157*VLOOKUP('Données projet'!$B$14,Paramètres!$A$1:$I$89,3,0)*0.475*44/12</f>
        <v>0</v>
      </c>
      <c r="EB157" s="21">
        <f>EXP(-LN(2)/25)*EB156+(1-EXP(-LN(2)/25))/(LN(2)/25)*Calculateur!DW157*Calculateur!DY157*VLOOKUP('Données projet'!$B$14,Paramètres!$A$1:$I$89,3,0)*0.475*44/12</f>
        <v>0.234192929195634</v>
      </c>
      <c r="EC157" s="21">
        <f>EXP(-LN(2)/2)*EC156+(1-EXP(-LN(2)/2))/(LN(2)/2)*DW157*DZ157*VLOOKUP('Données projet'!$B$14,Paramètres!$A$1:$I$89,3,0)*0.475*44/12</f>
        <v>3.0097529796944254E-18</v>
      </c>
      <c r="ED157" s="22">
        <f t="shared" si="178"/>
        <v>0.234192929195634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2.8421709430404007E-14</v>
      </c>
      <c r="EK157" s="17">
        <f>EJ157*VLOOKUP('Données projet'!$B$15,Paramètres!$A$1:$I$89,3,0)*VLOOKUP('Données projet'!$B$15,Paramètres!$A$1:$I$89,5,0)</f>
        <v>2.2168933355715127E-14</v>
      </c>
      <c r="EL157" s="13">
        <f t="shared" si="179"/>
        <v>3.9687356123668477E-13</v>
      </c>
      <c r="EM157" s="20">
        <f t="shared" si="180"/>
        <v>7.2983234474842979E-13</v>
      </c>
      <c r="EN157" s="59">
        <f t="shared" si="128"/>
        <v>293.33333333333405</v>
      </c>
      <c r="EO157" s="59">
        <f ca="1">AVERAGE(OFFSET($EN$3,0,0,'Données projet'!$E$15+1,1))-AVERAGE(OFFSET($H$3,0,0,'Données projet'!$E$15+1,1))</f>
        <v>104.07220236158577</v>
      </c>
      <c r="EP157" s="59">
        <f t="shared" si="154"/>
        <v>34.162068257911756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>
        <f>EXP(-LN(2)/35)*EV156+(1-EXP(-LN(2)/35))/(LN(2)/35)*ER157*ES157*VLOOKUP('Données projet'!$B$15,Paramètres!$A$1:$I$89,3,0)*0.475*44/12</f>
        <v>0</v>
      </c>
      <c r="EW157" s="21">
        <f>EXP(-LN(2)/25)*EW156+(1-EXP(-LN(2)/25))/(LN(2)/25)*Calculateur!ER157*Calculateur!ET157*VLOOKUP('Données projet'!$B$15,Paramètres!$A$1:$I$89,3,0)*0.475*44/12</f>
        <v>0</v>
      </c>
      <c r="EX157" s="21">
        <f>EXP(-LN(2)/2)*EX156+(1-EXP(-LN(2)/2))/(LN(2)/2)*ER157*EU157*VLOOKUP('Données projet'!$B$15,Paramètres!$A$1:$I$89,3,0)*0.475*44/12</f>
        <v>0</v>
      </c>
      <c r="EY157" s="22">
        <f t="shared" si="181"/>
        <v>0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5.6843418860808015E-14</v>
      </c>
      <c r="FF157" s="17">
        <f>FE157*VLOOKUP('Données projet'!$B$16,Paramètres!$A$1:$I$89,3,0)*VLOOKUP('Données projet'!$B$16,Paramètres!$A$1:$I$89,5,0)</f>
        <v>5.1431925385259088E-14</v>
      </c>
      <c r="FG157" s="13">
        <f t="shared" si="182"/>
        <v>8.3482866290946129E-13</v>
      </c>
      <c r="FH157" s="20">
        <f t="shared" si="183"/>
        <v>1.5435705246133045E-12</v>
      </c>
      <c r="FI157" s="59">
        <f t="shared" si="131"/>
        <v>293.33333333333485</v>
      </c>
      <c r="FJ157" s="59">
        <f ca="1">AVERAGE(OFFSET($FI$3,0,0,'Données projet'!$E$16+1,1))-AVERAGE(OFFSET($H$3,0,0,'Données projet'!$E$16+1,1))</f>
        <v>179.50097986986123</v>
      </c>
      <c r="FK157" s="59">
        <f t="shared" si="156"/>
        <v>287.11838730637578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>
        <f>EXP(-LN(2)/35)*FQ156+(1-EXP(-LN(2)/35))/(LN(2)/35)*FM157*FN157*VLOOKUP('Données projet'!$B$16,Paramètres!$A$1:$I$89,3,0)*0.475*44/12</f>
        <v>5.3486396043671842E-2</v>
      </c>
      <c r="FR157" s="21">
        <f>EXP(-LN(2)/25)*FR156+(1-EXP(-LN(2)/25))/(LN(2)/25)*Calculateur!FM157*Calculateur!FO157*VLOOKUP('Données projet'!$B$16,Paramètres!$A$1:$I$89,3,0)*0.475*44/12</f>
        <v>0.20220537607213945</v>
      </c>
      <c r="FS157" s="21">
        <f>EXP(-LN(2)/2)*FS156+(1-EXP(-LN(2)/2))/(LN(2)/2)*FM157*FP157*VLOOKUP('Données projet'!$B$16,Paramètres!$A$1:$I$89,3,0)*0.475*44/12</f>
        <v>9.802913744477229E-19</v>
      </c>
      <c r="FT157" s="22">
        <f t="shared" si="184"/>
        <v>0.25569177211581129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5.6843418860808015E-14</v>
      </c>
      <c r="GA157" s="17">
        <f>FZ157*VLOOKUP('Données projet'!$B$17,Paramètres!$A$1:$I$89,3,0)*VLOOKUP('Données projet'!$B$17,Paramètres!$A$1:$I$89,5,0)</f>
        <v>3.3992364478763198E-14</v>
      </c>
      <c r="GB157" s="13">
        <f t="shared" si="185"/>
        <v>5.790027782444094E-13</v>
      </c>
      <c r="GC157" s="20">
        <f t="shared" si="186"/>
        <v>1.0676332069095257E-12</v>
      </c>
      <c r="GD157" s="59">
        <f t="shared" si="134"/>
        <v>293.33333333333439</v>
      </c>
      <c r="GE157" s="59">
        <f ca="1">AVERAGE(OFFSET($GD$3,0,0,'Données projet'!$E$17+1,1))-AVERAGE(OFFSET($H$3,0,0,'Données projet'!$E$17+1,1))</f>
        <v>165.39579887388538</v>
      </c>
      <c r="GF157" s="59">
        <f t="shared" si="158"/>
        <v>155.89639262545802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>
        <f>EXP(-LN(2)/35)*GL156+(1-EXP(-LN(2)/35))/(LN(2)/35)*GH157*GI157*VLOOKUP('Données projet'!$B$17,Paramètres!$A$1:$I$89,3,0)*0.475*44/12</f>
        <v>0</v>
      </c>
      <c r="GM157" s="21">
        <f>EXP(-LN(2)/25)*GM156+(1-EXP(-LN(2)/25))/(LN(2)/25)*Calculateur!GH157*Calculateur!GJ157*VLOOKUP('Données projet'!$B$17,Paramètres!$A$1:$I$89,3,0)*0.475*44/12</f>
        <v>0.234192929195634</v>
      </c>
      <c r="GN157" s="21">
        <f>EXP(-LN(2)/2)*GN156+(1-EXP(-LN(2)/2))/(LN(2)/2)*GH157*GK157*VLOOKUP('Données projet'!$B$17,Paramètres!$A$1:$I$89,3,0)*0.475*44/12</f>
        <v>3.0097529796944254E-18</v>
      </c>
      <c r="GO157" s="21">
        <f t="shared" si="187"/>
        <v>0.234192929195634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3.4106051316484809E-13</v>
      </c>
      <c r="O158" s="13">
        <f>N158*VLOOKUP('Données projet'!$B$9,Paramètres!$A$1:$I$89,3,0)*VLOOKUP('Données projet'!$B$9,Paramètres!$A$1:$I$89,5,0)</f>
        <v>1.9065282685915009E-13</v>
      </c>
      <c r="P158" s="13">
        <f t="shared" si="141"/>
        <v>2.6568987209435707E-12</v>
      </c>
      <c r="Q158" s="20">
        <f t="shared" si="162"/>
        <v>4.959485612423072E-12</v>
      </c>
      <c r="R158" s="59">
        <f t="shared" si="109"/>
        <v>293.33333333333826</v>
      </c>
      <c r="S158" s="59">
        <f ca="1">AVERAGE(OFFSET($R$3,0,0,'Données projet'!$E$9+1,1))-AVERAGE(OFFSET($H$3,0,0,'Données projet'!$E$9+1,1))</f>
        <v>235.10258076192054</v>
      </c>
      <c r="T158" s="59">
        <f t="shared" si="142"/>
        <v>233.47316052603765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0.28818741568976658</v>
      </c>
      <c r="AA158" s="21">
        <f>EXP(-LN(2)/25)*AA157+(1-EXP(-LN(2)/25))/(LN(2)/25)*Calculateur!V158*Calculateur!X158*VLOOKUP('Données projet'!$B$9,Paramètres!$A$1:$I$89,3,0)*0.475*44/12</f>
        <v>0.57609014527508362</v>
      </c>
      <c r="AB158" s="21">
        <f>EXP(-LN(2)/2)*AB157+(1-EXP(-LN(2)/2))/(LN(2)/2)*V158*Y158*VLOOKUP('Données projet'!$B$9,Paramètres!$A$1:$I$89,3,0)*0.475*44/12</f>
        <v>3.6986229102065023E-18</v>
      </c>
      <c r="AC158" s="22">
        <f t="shared" si="163"/>
        <v>0.8642775609648502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-8.5265128291212022E-14</v>
      </c>
      <c r="AJ158" s="13">
        <f>AI158*VLOOKUP('Données projet'!$B$10,Paramètres!$A$1:$I$89,3,0)*VLOOKUP('Données projet'!$B$10,Paramètres!$A$1:$I$89,5,0)</f>
        <v>-7.4487616075202836E-14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191.94797389630673</v>
      </c>
      <c r="AO158" s="59">
        <f t="shared" si="144"/>
        <v>273.52540822767878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0.21657720936685484</v>
      </c>
      <c r="AV158" s="21">
        <f>EXP(-LN(2)/25)*AV157+(1-EXP(-LN(2)/25))/(LN(2)/25)*Calculateur!AQ158*Calculateur!AS158*VLOOKUP('Données projet'!$B$10,Paramètres!$A$1:$I$89,3,0)*0.475*44/12</f>
        <v>0.43900472026164106</v>
      </c>
      <c r="AW158" s="21">
        <f>EXP(-LN(2)/2)*AW157+(1-EXP(-LN(2)/2))/(LN(2)/2)*AQ158*AT158*VLOOKUP('Données projet'!$B$10,Paramètres!$A$1:$I$89,3,0)*0.475*44/12</f>
        <v>3.5577103621619159E-18</v>
      </c>
      <c r="AX158" s="21">
        <f t="shared" si="166"/>
        <v>0.65558192962849593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2.8421709430404007E-14</v>
      </c>
      <c r="BE158" s="13">
        <f>BD158*VLOOKUP('Données projet'!$B$11,Paramètres!$A$1:$I$89,3,0)*VLOOKUP('Données projet'!$B$11,Paramètres!$A$1:$I$89,5,0)</f>
        <v>2.5715962692629544E-14</v>
      </c>
      <c r="BF158" s="13">
        <f t="shared" si="167"/>
        <v>4.5248818890525812E-13</v>
      </c>
      <c r="BG158" s="20">
        <f t="shared" si="168"/>
        <v>8.3287223069965432E-13</v>
      </c>
      <c r="BH158" s="59">
        <f t="shared" si="116"/>
        <v>293.33333333333417</v>
      </c>
      <c r="BI158" s="59">
        <f ca="1">AVERAGE(OFFSET($BH$3,0,0,'Données projet'!$E$11+1,1))-AVERAGE(OFFSET($H$3,0,0,'Données projet'!$E$11+1,1))</f>
        <v>138.8931001150624</v>
      </c>
      <c r="BJ158" s="59">
        <f t="shared" si="146"/>
        <v>48.964659354096625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2.8421709430404007E-14</v>
      </c>
      <c r="BZ158" s="13">
        <f>BY158*VLOOKUP('Données projet'!$B$12,Paramètres!$A$1:$I$89,3,0)*VLOOKUP('Données projet'!$B$12,Paramètres!$A$1:$I$89,5,0)</f>
        <v>2.8819613362429664E-14</v>
      </c>
      <c r="CA158" s="13">
        <f t="shared" si="170"/>
        <v>5.0041752926933358E-13</v>
      </c>
      <c r="CB158" s="20">
        <f t="shared" si="171"/>
        <v>9.2175469008365428E-13</v>
      </c>
      <c r="CC158" s="59">
        <f t="shared" si="119"/>
        <v>293.33333333333422</v>
      </c>
      <c r="CD158" s="59">
        <f ca="1">AVERAGE(OFFSET($CC$3,0,0,'Données projet'!$E$12+1,1))-AVERAGE(OFFSET($H$3,0,0,'Données projet'!$E$12+1,1))</f>
        <v>169.2757878405003</v>
      </c>
      <c r="CE158" s="59">
        <f t="shared" si="148"/>
        <v>61.876502626609977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-8.5265128291212022E-14</v>
      </c>
      <c r="CU158" s="17">
        <f>CT158*VLOOKUP('Données projet'!$B$13,Paramètres!$A$1:$I$89,3,0)*VLOOKUP('Données projet'!$B$13,Paramètres!$A$1:$I$89,5,0)</f>
        <v>-6.7836936068488286E-14</v>
      </c>
      <c r="CV158" s="13" t="e">
        <f t="shared" si="173"/>
        <v>#NUM!</v>
      </c>
      <c r="CW158" s="20" t="e">
        <f t="shared" si="174"/>
        <v>#NUM!</v>
      </c>
      <c r="CX158" s="59" t="e">
        <f t="shared" si="122"/>
        <v>#NUM!</v>
      </c>
      <c r="CY158" s="59">
        <f ca="1">AVERAGE(OFFSET($CX$3,0,0,'Données projet'!$E$13+1,1))-AVERAGE(OFFSET($H$3,0,0,'Données projet'!$E$13+1,1))</f>
        <v>141.12810728817544</v>
      </c>
      <c r="CZ158" s="59">
        <f t="shared" si="150"/>
        <v>176.01405805137551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>
        <f>EXP(-LN(2)/35)*DF157+(1-EXP(-LN(2)/35))/(LN(2)/35)*DB158*DC158*VLOOKUP('Données projet'!$B$13,Paramètres!$A$1:$I$89,3,0)*0.475*44/12</f>
        <v>0</v>
      </c>
      <c r="DG158" s="21">
        <f>EXP(-LN(2)/25)*DG157+(1-EXP(-LN(2)/25))/(LN(2)/25)*Calculateur!DB158*Calculateur!DD158*VLOOKUP('Données projet'!$B$13,Paramètres!$A$1:$I$89,3,0)*0.475*44/12</f>
        <v>0.21008046349341522</v>
      </c>
      <c r="DH158" s="21">
        <f>EXP(-LN(2)/2)*DH157+(1-EXP(-LN(2)/2))/(LN(2)/2)*DB158*DE158*VLOOKUP('Données projet'!$B$13,Paramètres!$A$1:$I$89,3,0)*0.475*44/12</f>
        <v>1.227430809825303E-18</v>
      </c>
      <c r="DI158" s="22">
        <f t="shared" si="175"/>
        <v>0.21008046349341522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5.6843418860808015E-14</v>
      </c>
      <c r="DP158" s="17">
        <f>DO158*VLOOKUP('Données projet'!$B$14,Paramètres!$A$1:$I$89,3,0)*VLOOKUP('Données projet'!$B$14,Paramètres!$A$1:$I$89,5,0)</f>
        <v>3.3992364478763198E-14</v>
      </c>
      <c r="DQ158" s="13">
        <f t="shared" si="176"/>
        <v>5.790027782444094E-13</v>
      </c>
      <c r="DR158" s="20">
        <f t="shared" si="177"/>
        <v>1.0676332069095257E-12</v>
      </c>
      <c r="DS158" s="59">
        <f t="shared" si="125"/>
        <v>293.33333333333439</v>
      </c>
      <c r="DT158" s="59">
        <f ca="1">AVERAGE(OFFSET($DS$3,0,0,'Données projet'!$E$14+1,1))-AVERAGE(OFFSET($H$3,0,0,'Données projet'!$E$14+1,1))</f>
        <v>165.39579887388538</v>
      </c>
      <c r="DU158" s="59">
        <f t="shared" si="152"/>
        <v>155.89639262545802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>
        <f>EXP(-LN(2)/35)*EA157+(1-EXP(-LN(2)/35))/(LN(2)/35)*DW158*DX158*VLOOKUP('Données projet'!$B$14,Paramètres!$A$1:$I$89,3,0)*0.475*44/12</f>
        <v>0</v>
      </c>
      <c r="EB158" s="21">
        <f>EXP(-LN(2)/25)*EB157+(1-EXP(-LN(2)/25))/(LN(2)/25)*Calculateur!DW158*Calculateur!DY158*VLOOKUP('Données projet'!$B$14,Paramètres!$A$1:$I$89,3,0)*0.475*44/12</f>
        <v>0.2277889112311085</v>
      </c>
      <c r="EC158" s="21">
        <f>EXP(-LN(2)/2)*EC157+(1-EXP(-LN(2)/2))/(LN(2)/2)*DW158*DZ158*VLOOKUP('Données projet'!$B$14,Paramètres!$A$1:$I$89,3,0)*0.475*44/12</f>
        <v>2.1282167416383455E-18</v>
      </c>
      <c r="ED158" s="22">
        <f t="shared" si="178"/>
        <v>0.2277889112311085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2.8421709430404007E-14</v>
      </c>
      <c r="EK158" s="17">
        <f>EJ158*VLOOKUP('Données projet'!$B$15,Paramètres!$A$1:$I$89,3,0)*VLOOKUP('Données projet'!$B$15,Paramètres!$A$1:$I$89,5,0)</f>
        <v>2.2168933355715127E-14</v>
      </c>
      <c r="EL158" s="13">
        <f t="shared" si="179"/>
        <v>3.9687356123668477E-13</v>
      </c>
      <c r="EM158" s="20">
        <f t="shared" si="180"/>
        <v>7.2983234474842979E-13</v>
      </c>
      <c r="EN158" s="59">
        <f t="shared" si="128"/>
        <v>293.33333333333405</v>
      </c>
      <c r="EO158" s="59">
        <f ca="1">AVERAGE(OFFSET($EN$3,0,0,'Données projet'!$E$15+1,1))-AVERAGE(OFFSET($H$3,0,0,'Données projet'!$E$15+1,1))</f>
        <v>104.07220236158577</v>
      </c>
      <c r="EP158" s="59">
        <f t="shared" si="154"/>
        <v>34.162068257911756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>
        <f>EXP(-LN(2)/35)*EV157+(1-EXP(-LN(2)/35))/(LN(2)/35)*ER158*ES158*VLOOKUP('Données projet'!$B$15,Paramètres!$A$1:$I$89,3,0)*0.475*44/12</f>
        <v>0</v>
      </c>
      <c r="EW158" s="21">
        <f>EXP(-LN(2)/25)*EW157+(1-EXP(-LN(2)/25))/(LN(2)/25)*Calculateur!ER158*Calculateur!ET158*VLOOKUP('Données projet'!$B$15,Paramètres!$A$1:$I$89,3,0)*0.475*44/12</f>
        <v>0</v>
      </c>
      <c r="EX158" s="21">
        <f>EXP(-LN(2)/2)*EX157+(1-EXP(-LN(2)/2))/(LN(2)/2)*ER158*EU158*VLOOKUP('Données projet'!$B$15,Paramètres!$A$1:$I$89,3,0)*0.475*44/12</f>
        <v>0</v>
      </c>
      <c r="EY158" s="22">
        <f t="shared" si="181"/>
        <v>0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5.6843418860808015E-14</v>
      </c>
      <c r="FF158" s="17">
        <f>FE158*VLOOKUP('Données projet'!$B$16,Paramètres!$A$1:$I$89,3,0)*VLOOKUP('Données projet'!$B$16,Paramètres!$A$1:$I$89,5,0)</f>
        <v>5.1431925385259088E-14</v>
      </c>
      <c r="FG158" s="13">
        <f t="shared" si="182"/>
        <v>8.3482866290946129E-13</v>
      </c>
      <c r="FH158" s="20">
        <f t="shared" si="183"/>
        <v>1.5435705246133045E-12</v>
      </c>
      <c r="FI158" s="59">
        <f t="shared" si="131"/>
        <v>293.33333333333485</v>
      </c>
      <c r="FJ158" s="59">
        <f ca="1">AVERAGE(OFFSET($FI$3,0,0,'Données projet'!$E$16+1,1))-AVERAGE(OFFSET($H$3,0,0,'Données projet'!$E$16+1,1))</f>
        <v>179.50097986986123</v>
      </c>
      <c r="FK158" s="59">
        <f t="shared" si="156"/>
        <v>287.11838730637578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>
        <f>EXP(-LN(2)/35)*FQ157+(1-EXP(-LN(2)/35))/(LN(2)/35)*FM158*FN158*VLOOKUP('Données projet'!$B$16,Paramètres!$A$1:$I$89,3,0)*0.475*44/12</f>
        <v>5.243756044073572E-2</v>
      </c>
      <c r="FR158" s="21">
        <f>EXP(-LN(2)/25)*FR157+(1-EXP(-LN(2)/25))/(LN(2)/25)*Calculateur!FM158*Calculateur!FO158*VLOOKUP('Données projet'!$B$16,Paramètres!$A$1:$I$89,3,0)*0.475*44/12</f>
        <v>0.19667605942992822</v>
      </c>
      <c r="FS158" s="21">
        <f>EXP(-LN(2)/2)*FS157+(1-EXP(-LN(2)/2))/(LN(2)/2)*FM158*FP158*VLOOKUP('Données projet'!$B$16,Paramètres!$A$1:$I$89,3,0)*0.475*44/12</f>
        <v>6.9317067841066594E-19</v>
      </c>
      <c r="FT158" s="22">
        <f t="shared" si="184"/>
        <v>0.24911361987066394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5.6843418860808015E-14</v>
      </c>
      <c r="GA158" s="17">
        <f>FZ158*VLOOKUP('Données projet'!$B$17,Paramètres!$A$1:$I$89,3,0)*VLOOKUP('Données projet'!$B$17,Paramètres!$A$1:$I$89,5,0)</f>
        <v>3.3992364478763198E-14</v>
      </c>
      <c r="GB158" s="13">
        <f t="shared" si="185"/>
        <v>5.790027782444094E-13</v>
      </c>
      <c r="GC158" s="20">
        <f t="shared" si="186"/>
        <v>1.0676332069095257E-12</v>
      </c>
      <c r="GD158" s="59">
        <f t="shared" si="134"/>
        <v>293.33333333333439</v>
      </c>
      <c r="GE158" s="59">
        <f ca="1">AVERAGE(OFFSET($GD$3,0,0,'Données projet'!$E$17+1,1))-AVERAGE(OFFSET($H$3,0,0,'Données projet'!$E$17+1,1))</f>
        <v>165.39579887388538</v>
      </c>
      <c r="GF158" s="59">
        <f t="shared" si="158"/>
        <v>155.89639262545802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>
        <f>EXP(-LN(2)/35)*GL157+(1-EXP(-LN(2)/35))/(LN(2)/35)*GH158*GI158*VLOOKUP('Données projet'!$B$17,Paramètres!$A$1:$I$89,3,0)*0.475*44/12</f>
        <v>0</v>
      </c>
      <c r="GM158" s="21">
        <f>EXP(-LN(2)/25)*GM157+(1-EXP(-LN(2)/25))/(LN(2)/25)*Calculateur!GH158*Calculateur!GJ158*VLOOKUP('Données projet'!$B$17,Paramètres!$A$1:$I$89,3,0)*0.475*44/12</f>
        <v>0.2277889112311085</v>
      </c>
      <c r="GN158" s="21">
        <f>EXP(-LN(2)/2)*GN157+(1-EXP(-LN(2)/2))/(LN(2)/2)*GH158*GK158*VLOOKUP('Données projet'!$B$17,Paramètres!$A$1:$I$89,3,0)*0.475*44/12</f>
        <v>2.1282167416383455E-18</v>
      </c>
      <c r="GO158" s="21">
        <f t="shared" si="187"/>
        <v>0.2277889112311085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3.4106051316484809E-13</v>
      </c>
      <c r="O159" s="13">
        <f>N159*VLOOKUP('Données projet'!$B$9,Paramètres!$A$1:$I$89,3,0)*VLOOKUP('Données projet'!$B$9,Paramètres!$A$1:$I$89,5,0)</f>
        <v>1.9065282685915009E-13</v>
      </c>
      <c r="P159" s="13">
        <f t="shared" si="141"/>
        <v>2.6568987209435707E-12</v>
      </c>
      <c r="Q159" s="20">
        <f t="shared" si="162"/>
        <v>4.959485612423072E-12</v>
      </c>
      <c r="R159" s="59">
        <f t="shared" si="109"/>
        <v>293.33333333333826</v>
      </c>
      <c r="S159" s="59">
        <f ca="1">AVERAGE(OFFSET($R$3,0,0,'Données projet'!$E$9+1,1))-AVERAGE(OFFSET($H$3,0,0,'Données projet'!$E$9+1,1))</f>
        <v>235.10258076192054</v>
      </c>
      <c r="T159" s="59">
        <f t="shared" si="142"/>
        <v>233.47316052603765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0.2825362362450573</v>
      </c>
      <c r="AA159" s="21">
        <f>EXP(-LN(2)/25)*AA158+(1-EXP(-LN(2)/25))/(LN(2)/25)*Calculateur!V159*Calculateur!X159*VLOOKUP('Données projet'!$B$9,Paramètres!$A$1:$I$89,3,0)*0.475*44/12</f>
        <v>0.56033692995727236</v>
      </c>
      <c r="AB159" s="21">
        <f>EXP(-LN(2)/2)*AB158+(1-EXP(-LN(2)/2))/(LN(2)/2)*V159*Y159*VLOOKUP('Données projet'!$B$9,Paramètres!$A$1:$I$89,3,0)*0.475*44/12</f>
        <v>2.6153213408589409E-18</v>
      </c>
      <c r="AC159" s="22">
        <f t="shared" si="163"/>
        <v>0.84287316620232966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-8.5265128291212022E-14</v>
      </c>
      <c r="AJ159" s="13">
        <f>AI159*VLOOKUP('Données projet'!$B$10,Paramètres!$A$1:$I$89,3,0)*VLOOKUP('Données projet'!$B$10,Paramètres!$A$1:$I$89,5,0)</f>
        <v>-7.4487616075202836E-14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191.94797389630673</v>
      </c>
      <c r="AO159" s="59">
        <f t="shared" si="144"/>
        <v>273.52540822767878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0.21233026239022484</v>
      </c>
      <c r="AV159" s="21">
        <f>EXP(-LN(2)/25)*AV158+(1-EXP(-LN(2)/25))/(LN(2)/25)*Calculateur!AQ159*Calculateur!AS159*VLOOKUP('Données projet'!$B$10,Paramètres!$A$1:$I$89,3,0)*0.475*44/12</f>
        <v>0.4270001130998316</v>
      </c>
      <c r="AW159" s="21">
        <f>EXP(-LN(2)/2)*AW158+(1-EXP(-LN(2)/2))/(LN(2)/2)*AQ159*AT159*VLOOKUP('Données projet'!$B$10,Paramètres!$A$1:$I$89,3,0)*0.475*44/12</f>
        <v>2.5156811225823387E-18</v>
      </c>
      <c r="AX159" s="21">
        <f t="shared" si="166"/>
        <v>0.63933037549005645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2.8421709430404007E-14</v>
      </c>
      <c r="BE159" s="13">
        <f>BD159*VLOOKUP('Données projet'!$B$11,Paramètres!$A$1:$I$89,3,0)*VLOOKUP('Données projet'!$B$11,Paramètres!$A$1:$I$89,5,0)</f>
        <v>2.5715962692629544E-14</v>
      </c>
      <c r="BF159" s="13">
        <f t="shared" si="167"/>
        <v>4.5248818890525812E-13</v>
      </c>
      <c r="BG159" s="20">
        <f t="shared" si="168"/>
        <v>8.3287223069965432E-13</v>
      </c>
      <c r="BH159" s="59">
        <f t="shared" si="116"/>
        <v>293.33333333333417</v>
      </c>
      <c r="BI159" s="59">
        <f ca="1">AVERAGE(OFFSET($BH$3,0,0,'Données projet'!$E$11+1,1))-AVERAGE(OFFSET($H$3,0,0,'Données projet'!$E$11+1,1))</f>
        <v>138.8931001150624</v>
      </c>
      <c r="BJ159" s="59">
        <f t="shared" si="146"/>
        <v>48.964659354096625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2.8421709430404007E-14</v>
      </c>
      <c r="BZ159" s="13">
        <f>BY159*VLOOKUP('Données projet'!$B$12,Paramètres!$A$1:$I$89,3,0)*VLOOKUP('Données projet'!$B$12,Paramètres!$A$1:$I$89,5,0)</f>
        <v>2.8819613362429664E-14</v>
      </c>
      <c r="CA159" s="13">
        <f t="shared" si="170"/>
        <v>5.0041752926933358E-13</v>
      </c>
      <c r="CB159" s="20">
        <f t="shared" si="171"/>
        <v>9.2175469008365428E-13</v>
      </c>
      <c r="CC159" s="59">
        <f t="shared" si="119"/>
        <v>293.33333333333422</v>
      </c>
      <c r="CD159" s="59">
        <f ca="1">AVERAGE(OFFSET($CC$3,0,0,'Données projet'!$E$12+1,1))-AVERAGE(OFFSET($H$3,0,0,'Données projet'!$E$12+1,1))</f>
        <v>169.2757878405003</v>
      </c>
      <c r="CE159" s="59">
        <f t="shared" si="148"/>
        <v>61.876502626609977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-8.5265128291212022E-14</v>
      </c>
      <c r="CU159" s="17">
        <f>CT159*VLOOKUP('Données projet'!$B$13,Paramètres!$A$1:$I$89,3,0)*VLOOKUP('Données projet'!$B$13,Paramètres!$A$1:$I$89,5,0)</f>
        <v>-6.7836936068488286E-14</v>
      </c>
      <c r="CV159" s="13" t="e">
        <f t="shared" si="173"/>
        <v>#NUM!</v>
      </c>
      <c r="CW159" s="20" t="e">
        <f t="shared" si="174"/>
        <v>#NUM!</v>
      </c>
      <c r="CX159" s="59" t="e">
        <f t="shared" si="122"/>
        <v>#NUM!</v>
      </c>
      <c r="CY159" s="59">
        <f ca="1">AVERAGE(OFFSET($CX$3,0,0,'Données projet'!$E$13+1,1))-AVERAGE(OFFSET($H$3,0,0,'Données projet'!$E$13+1,1))</f>
        <v>141.12810728817544</v>
      </c>
      <c r="CZ159" s="59">
        <f t="shared" si="150"/>
        <v>176.01405805137551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>
        <f>EXP(-LN(2)/35)*DF158+(1-EXP(-LN(2)/35))/(LN(2)/35)*DB159*DC159*VLOOKUP('Données projet'!$B$13,Paramètres!$A$1:$I$89,3,0)*0.475*44/12</f>
        <v>0</v>
      </c>
      <c r="DG159" s="21">
        <f>EXP(-LN(2)/25)*DG158+(1-EXP(-LN(2)/25))/(LN(2)/25)*Calculateur!DB159*Calculateur!DD159*VLOOKUP('Données projet'!$B$13,Paramètres!$A$1:$I$89,3,0)*0.475*44/12</f>
        <v>0.20433580217153635</v>
      </c>
      <c r="DH159" s="21">
        <f>EXP(-LN(2)/2)*DH158+(1-EXP(-LN(2)/2))/(LN(2)/2)*DB159*DE159*VLOOKUP('Données projet'!$B$13,Paramètres!$A$1:$I$89,3,0)*0.475*44/12</f>
        <v>8.6792464906476731E-19</v>
      </c>
      <c r="DI159" s="22">
        <f t="shared" si="175"/>
        <v>0.20433580217153635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5.6843418860808015E-14</v>
      </c>
      <c r="DP159" s="17">
        <f>DO159*VLOOKUP('Données projet'!$B$14,Paramètres!$A$1:$I$89,3,0)*VLOOKUP('Données projet'!$B$14,Paramètres!$A$1:$I$89,5,0)</f>
        <v>3.3992364478763198E-14</v>
      </c>
      <c r="DQ159" s="13">
        <f t="shared" si="176"/>
        <v>5.790027782444094E-13</v>
      </c>
      <c r="DR159" s="20">
        <f t="shared" si="177"/>
        <v>1.0676332069095257E-12</v>
      </c>
      <c r="DS159" s="59">
        <f t="shared" si="125"/>
        <v>293.33333333333439</v>
      </c>
      <c r="DT159" s="59">
        <f ca="1">AVERAGE(OFFSET($DS$3,0,0,'Données projet'!$E$14+1,1))-AVERAGE(OFFSET($H$3,0,0,'Données projet'!$E$14+1,1))</f>
        <v>165.39579887388538</v>
      </c>
      <c r="DU159" s="59">
        <f t="shared" si="152"/>
        <v>155.89639262545802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>
        <f>EXP(-LN(2)/35)*EA158+(1-EXP(-LN(2)/35))/(LN(2)/35)*DW159*DX159*VLOOKUP('Données projet'!$B$14,Paramètres!$A$1:$I$89,3,0)*0.475*44/12</f>
        <v>0</v>
      </c>
      <c r="EB159" s="21">
        <f>EXP(-LN(2)/25)*EB158+(1-EXP(-LN(2)/25))/(LN(2)/25)*Calculateur!DW159*Calculateur!DY159*VLOOKUP('Données projet'!$B$14,Paramètres!$A$1:$I$89,3,0)*0.475*44/12</f>
        <v>0.22156001147459561</v>
      </c>
      <c r="EC159" s="21">
        <f>EXP(-LN(2)/2)*EC158+(1-EXP(-LN(2)/2))/(LN(2)/2)*DW159*DZ159*VLOOKUP('Données projet'!$B$14,Paramètres!$A$1:$I$89,3,0)*0.475*44/12</f>
        <v>1.5048764898472127E-18</v>
      </c>
      <c r="ED159" s="22">
        <f t="shared" si="178"/>
        <v>0.22156001147459561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2.8421709430404007E-14</v>
      </c>
      <c r="EK159" s="17">
        <f>EJ159*VLOOKUP('Données projet'!$B$15,Paramètres!$A$1:$I$89,3,0)*VLOOKUP('Données projet'!$B$15,Paramètres!$A$1:$I$89,5,0)</f>
        <v>2.2168933355715127E-14</v>
      </c>
      <c r="EL159" s="13">
        <f t="shared" si="179"/>
        <v>3.9687356123668477E-13</v>
      </c>
      <c r="EM159" s="20">
        <f t="shared" si="180"/>
        <v>7.2983234474842979E-13</v>
      </c>
      <c r="EN159" s="59">
        <f t="shared" si="128"/>
        <v>293.33333333333405</v>
      </c>
      <c r="EO159" s="59">
        <f ca="1">AVERAGE(OFFSET($EN$3,0,0,'Données projet'!$E$15+1,1))-AVERAGE(OFFSET($H$3,0,0,'Données projet'!$E$15+1,1))</f>
        <v>104.07220236158577</v>
      </c>
      <c r="EP159" s="59">
        <f t="shared" si="154"/>
        <v>34.162068257911756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>
        <f>EXP(-LN(2)/35)*EV158+(1-EXP(-LN(2)/35))/(LN(2)/35)*ER159*ES159*VLOOKUP('Données projet'!$B$15,Paramètres!$A$1:$I$89,3,0)*0.475*44/12</f>
        <v>0</v>
      </c>
      <c r="EW159" s="21">
        <f>EXP(-LN(2)/25)*EW158+(1-EXP(-LN(2)/25))/(LN(2)/25)*Calculateur!ER159*Calculateur!ET159*VLOOKUP('Données projet'!$B$15,Paramètres!$A$1:$I$89,3,0)*0.475*44/12</f>
        <v>0</v>
      </c>
      <c r="EX159" s="21">
        <f>EXP(-LN(2)/2)*EX158+(1-EXP(-LN(2)/2))/(LN(2)/2)*ER159*EU159*VLOOKUP('Données projet'!$B$15,Paramètres!$A$1:$I$89,3,0)*0.475*44/12</f>
        <v>0</v>
      </c>
      <c r="EY159" s="22">
        <f t="shared" si="181"/>
        <v>0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5.6843418860808015E-14</v>
      </c>
      <c r="FF159" s="17">
        <f>FE159*VLOOKUP('Données projet'!$B$16,Paramètres!$A$1:$I$89,3,0)*VLOOKUP('Données projet'!$B$16,Paramètres!$A$1:$I$89,5,0)</f>
        <v>5.1431925385259088E-14</v>
      </c>
      <c r="FG159" s="13">
        <f t="shared" si="182"/>
        <v>8.3482866290946129E-13</v>
      </c>
      <c r="FH159" s="20">
        <f t="shared" si="183"/>
        <v>1.5435705246133045E-12</v>
      </c>
      <c r="FI159" s="59">
        <f t="shared" si="131"/>
        <v>293.33333333333485</v>
      </c>
      <c r="FJ159" s="59">
        <f ca="1">AVERAGE(OFFSET($FI$3,0,0,'Données projet'!$E$16+1,1))-AVERAGE(OFFSET($H$3,0,0,'Données projet'!$E$16+1,1))</f>
        <v>179.50097986986123</v>
      </c>
      <c r="FK159" s="59">
        <f t="shared" si="156"/>
        <v>287.11838730637578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>
        <f>EXP(-LN(2)/35)*FQ158+(1-EXP(-LN(2)/35))/(LN(2)/35)*FM159*FN159*VLOOKUP('Données projet'!$B$16,Paramètres!$A$1:$I$89,3,0)*0.475*44/12</f>
        <v>5.1409291864246628E-2</v>
      </c>
      <c r="FR159" s="21">
        <f>EXP(-LN(2)/25)*FR158+(1-EXP(-LN(2)/25))/(LN(2)/25)*Calculateur!FM159*Calculateur!FO159*VLOOKUP('Données projet'!$B$16,Paramètres!$A$1:$I$89,3,0)*0.475*44/12</f>
        <v>0.19129794224207239</v>
      </c>
      <c r="FS159" s="21">
        <f>EXP(-LN(2)/2)*FS158+(1-EXP(-LN(2)/2))/(LN(2)/2)*FM159*FP159*VLOOKUP('Données projet'!$B$16,Paramètres!$A$1:$I$89,3,0)*0.475*44/12</f>
        <v>4.9014568722386145E-19</v>
      </c>
      <c r="FT159" s="22">
        <f t="shared" si="184"/>
        <v>0.242707234106319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5.6843418860808015E-14</v>
      </c>
      <c r="GA159" s="17">
        <f>FZ159*VLOOKUP('Données projet'!$B$17,Paramètres!$A$1:$I$89,3,0)*VLOOKUP('Données projet'!$B$17,Paramètres!$A$1:$I$89,5,0)</f>
        <v>3.3992364478763198E-14</v>
      </c>
      <c r="GB159" s="13">
        <f t="shared" si="185"/>
        <v>5.790027782444094E-13</v>
      </c>
      <c r="GC159" s="20">
        <f t="shared" si="186"/>
        <v>1.0676332069095257E-12</v>
      </c>
      <c r="GD159" s="59">
        <f t="shared" si="134"/>
        <v>293.33333333333439</v>
      </c>
      <c r="GE159" s="59">
        <f ca="1">AVERAGE(OFFSET($GD$3,0,0,'Données projet'!$E$17+1,1))-AVERAGE(OFFSET($H$3,0,0,'Données projet'!$E$17+1,1))</f>
        <v>165.39579887388538</v>
      </c>
      <c r="GF159" s="59">
        <f t="shared" si="158"/>
        <v>155.89639262545802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>
        <f>EXP(-LN(2)/35)*GL158+(1-EXP(-LN(2)/35))/(LN(2)/35)*GH159*GI159*VLOOKUP('Données projet'!$B$17,Paramètres!$A$1:$I$89,3,0)*0.475*44/12</f>
        <v>0</v>
      </c>
      <c r="GM159" s="21">
        <f>EXP(-LN(2)/25)*GM158+(1-EXP(-LN(2)/25))/(LN(2)/25)*Calculateur!GH159*Calculateur!GJ159*VLOOKUP('Données projet'!$B$17,Paramètres!$A$1:$I$89,3,0)*0.475*44/12</f>
        <v>0.22156001147459561</v>
      </c>
      <c r="GN159" s="21">
        <f>EXP(-LN(2)/2)*GN158+(1-EXP(-LN(2)/2))/(LN(2)/2)*GH159*GK159*VLOOKUP('Données projet'!$B$17,Paramètres!$A$1:$I$89,3,0)*0.475*44/12</f>
        <v>1.5048764898472127E-18</v>
      </c>
      <c r="GO159" s="21">
        <f t="shared" si="187"/>
        <v>0.22156001147459561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3.4106051316484809E-13</v>
      </c>
      <c r="O160" s="13">
        <f>N160*VLOOKUP('Données projet'!$B$9,Paramètres!$A$1:$I$89,3,0)*VLOOKUP('Données projet'!$B$9,Paramètres!$A$1:$I$89,5,0)</f>
        <v>1.9065282685915009E-13</v>
      </c>
      <c r="P160" s="13">
        <f t="shared" si="141"/>
        <v>2.6568987209435707E-12</v>
      </c>
      <c r="Q160" s="20">
        <f t="shared" si="162"/>
        <v>4.959485612423072E-12</v>
      </c>
      <c r="R160" s="59">
        <f t="shared" si="109"/>
        <v>293.33333333333826</v>
      </c>
      <c r="S160" s="59">
        <f ca="1">AVERAGE(OFFSET($R$3,0,0,'Données projet'!$E$9+1,1))-AVERAGE(OFFSET($H$3,0,0,'Données projet'!$E$9+1,1))</f>
        <v>235.10258076192054</v>
      </c>
      <c r="T160" s="59">
        <f t="shared" si="142"/>
        <v>233.47316052603765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0.27699587298237965</v>
      </c>
      <c r="AA160" s="21">
        <f>EXP(-LN(2)/25)*AA159+(1-EXP(-LN(2)/25))/(LN(2)/25)*Calculateur!V160*Calculateur!X160*VLOOKUP('Données projet'!$B$9,Paramètres!$A$1:$I$89,3,0)*0.475*44/12</f>
        <v>0.54501448714075229</v>
      </c>
      <c r="AB160" s="21">
        <f>EXP(-LN(2)/2)*AB159+(1-EXP(-LN(2)/2))/(LN(2)/2)*V160*Y160*VLOOKUP('Données projet'!$B$9,Paramètres!$A$1:$I$89,3,0)*0.475*44/12</f>
        <v>1.8493114551032512E-18</v>
      </c>
      <c r="AC160" s="22">
        <f t="shared" si="163"/>
        <v>0.82201036012313189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-8.5265128291212022E-14</v>
      </c>
      <c r="AJ160" s="13">
        <f>AI160*VLOOKUP('Données projet'!$B$10,Paramètres!$A$1:$I$89,3,0)*VLOOKUP('Données projet'!$B$10,Paramètres!$A$1:$I$89,5,0)</f>
        <v>-7.4487616075202836E-14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191.94797389630673</v>
      </c>
      <c r="AO160" s="59">
        <f t="shared" si="144"/>
        <v>273.52540822767878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0.20816659545342467</v>
      </c>
      <c r="AV160" s="21">
        <f>EXP(-LN(2)/25)*AV159+(1-EXP(-LN(2)/25))/(LN(2)/25)*Calculateur!AQ160*Calculateur!AS160*VLOOKUP('Données projet'!$B$10,Paramètres!$A$1:$I$89,3,0)*0.475*44/12</f>
        <v>0.41532377255215669</v>
      </c>
      <c r="AW160" s="21">
        <f>EXP(-LN(2)/2)*AW159+(1-EXP(-LN(2)/2))/(LN(2)/2)*AQ160*AT160*VLOOKUP('Données projet'!$B$10,Paramètres!$A$1:$I$89,3,0)*0.475*44/12</f>
        <v>1.778855181080958E-18</v>
      </c>
      <c r="AX160" s="21">
        <f t="shared" si="166"/>
        <v>0.62349036800558133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2.8421709430404007E-14</v>
      </c>
      <c r="BE160" s="13">
        <f>BD160*VLOOKUP('Données projet'!$B$11,Paramètres!$A$1:$I$89,3,0)*VLOOKUP('Données projet'!$B$11,Paramètres!$A$1:$I$89,5,0)</f>
        <v>2.5715962692629544E-14</v>
      </c>
      <c r="BF160" s="13">
        <f t="shared" si="167"/>
        <v>4.5248818890525812E-13</v>
      </c>
      <c r="BG160" s="20">
        <f t="shared" si="168"/>
        <v>8.3287223069965432E-13</v>
      </c>
      <c r="BH160" s="59">
        <f t="shared" si="116"/>
        <v>293.33333333333417</v>
      </c>
      <c r="BI160" s="59">
        <f ca="1">AVERAGE(OFFSET($BH$3,0,0,'Données projet'!$E$11+1,1))-AVERAGE(OFFSET($H$3,0,0,'Données projet'!$E$11+1,1))</f>
        <v>138.8931001150624</v>
      </c>
      <c r="BJ160" s="59">
        <f t="shared" si="146"/>
        <v>48.964659354096625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2.8421709430404007E-14</v>
      </c>
      <c r="BZ160" s="13">
        <f>BY160*VLOOKUP('Données projet'!$B$12,Paramètres!$A$1:$I$89,3,0)*VLOOKUP('Données projet'!$B$12,Paramètres!$A$1:$I$89,5,0)</f>
        <v>2.8819613362429664E-14</v>
      </c>
      <c r="CA160" s="13">
        <f t="shared" si="170"/>
        <v>5.0041752926933358E-13</v>
      </c>
      <c r="CB160" s="20">
        <f t="shared" si="171"/>
        <v>9.2175469008365428E-13</v>
      </c>
      <c r="CC160" s="59">
        <f t="shared" si="119"/>
        <v>293.33333333333422</v>
      </c>
      <c r="CD160" s="59">
        <f ca="1">AVERAGE(OFFSET($CC$3,0,0,'Données projet'!$E$12+1,1))-AVERAGE(OFFSET($H$3,0,0,'Données projet'!$E$12+1,1))</f>
        <v>169.2757878405003</v>
      </c>
      <c r="CE160" s="59">
        <f t="shared" si="148"/>
        <v>61.876502626609977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-8.5265128291212022E-14</v>
      </c>
      <c r="CU160" s="17">
        <f>CT160*VLOOKUP('Données projet'!$B$13,Paramètres!$A$1:$I$89,3,0)*VLOOKUP('Données projet'!$B$13,Paramètres!$A$1:$I$89,5,0)</f>
        <v>-6.7836936068488286E-14</v>
      </c>
      <c r="CV160" s="13" t="e">
        <f t="shared" si="173"/>
        <v>#NUM!</v>
      </c>
      <c r="CW160" s="20" t="e">
        <f t="shared" si="174"/>
        <v>#NUM!</v>
      </c>
      <c r="CX160" s="59" t="e">
        <f t="shared" si="122"/>
        <v>#NUM!</v>
      </c>
      <c r="CY160" s="59">
        <f ca="1">AVERAGE(OFFSET($CX$3,0,0,'Données projet'!$E$13+1,1))-AVERAGE(OFFSET($H$3,0,0,'Données projet'!$E$13+1,1))</f>
        <v>141.12810728817544</v>
      </c>
      <c r="CZ160" s="59">
        <f t="shared" si="150"/>
        <v>176.01405805137551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>
        <f>EXP(-LN(2)/35)*DF159+(1-EXP(-LN(2)/35))/(LN(2)/35)*DB160*DC160*VLOOKUP('Données projet'!$B$13,Paramètres!$A$1:$I$89,3,0)*0.475*44/12</f>
        <v>0</v>
      </c>
      <c r="DG160" s="21">
        <f>EXP(-LN(2)/25)*DG159+(1-EXP(-LN(2)/25))/(LN(2)/25)*Calculateur!DB160*Calculateur!DD160*VLOOKUP('Données projet'!$B$13,Paramètres!$A$1:$I$89,3,0)*0.475*44/12</f>
        <v>0.19874822891560287</v>
      </c>
      <c r="DH160" s="21">
        <f>EXP(-LN(2)/2)*DH159+(1-EXP(-LN(2)/2))/(LN(2)/2)*DB160*DE160*VLOOKUP('Données projet'!$B$13,Paramètres!$A$1:$I$89,3,0)*0.475*44/12</f>
        <v>6.1371540491265148E-19</v>
      </c>
      <c r="DI160" s="22">
        <f t="shared" si="175"/>
        <v>0.19874822891560287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5.6843418860808015E-14</v>
      </c>
      <c r="DP160" s="17">
        <f>DO160*VLOOKUP('Données projet'!$B$14,Paramètres!$A$1:$I$89,3,0)*VLOOKUP('Données projet'!$B$14,Paramètres!$A$1:$I$89,5,0)</f>
        <v>3.3992364478763198E-14</v>
      </c>
      <c r="DQ160" s="13">
        <f t="shared" si="176"/>
        <v>5.790027782444094E-13</v>
      </c>
      <c r="DR160" s="20">
        <f t="shared" si="177"/>
        <v>1.0676332069095257E-12</v>
      </c>
      <c r="DS160" s="59">
        <f t="shared" si="125"/>
        <v>293.33333333333439</v>
      </c>
      <c r="DT160" s="59">
        <f ca="1">AVERAGE(OFFSET($DS$3,0,0,'Données projet'!$E$14+1,1))-AVERAGE(OFFSET($H$3,0,0,'Données projet'!$E$14+1,1))</f>
        <v>165.39579887388538</v>
      </c>
      <c r="DU160" s="59">
        <f t="shared" si="152"/>
        <v>155.89639262545802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>
        <f>EXP(-LN(2)/35)*EA159+(1-EXP(-LN(2)/35))/(LN(2)/35)*DW160*DX160*VLOOKUP('Données projet'!$B$14,Paramètres!$A$1:$I$89,3,0)*0.475*44/12</f>
        <v>0</v>
      </c>
      <c r="EB160" s="21">
        <f>EXP(-LN(2)/25)*EB159+(1-EXP(-LN(2)/25))/(LN(2)/25)*Calculateur!DW160*Calculateur!DY160*VLOOKUP('Données projet'!$B$14,Paramètres!$A$1:$I$89,3,0)*0.475*44/12</f>
        <v>0.21550144130948817</v>
      </c>
      <c r="EC160" s="21">
        <f>EXP(-LN(2)/2)*EC159+(1-EXP(-LN(2)/2))/(LN(2)/2)*DW160*DZ160*VLOOKUP('Données projet'!$B$14,Paramètres!$A$1:$I$89,3,0)*0.475*44/12</f>
        <v>1.0641083708191727E-18</v>
      </c>
      <c r="ED160" s="22">
        <f t="shared" si="178"/>
        <v>0.21550144130948817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2.8421709430404007E-14</v>
      </c>
      <c r="EK160" s="17">
        <f>EJ160*VLOOKUP('Données projet'!$B$15,Paramètres!$A$1:$I$89,3,0)*VLOOKUP('Données projet'!$B$15,Paramètres!$A$1:$I$89,5,0)</f>
        <v>2.2168933355715127E-14</v>
      </c>
      <c r="EL160" s="13">
        <f t="shared" si="179"/>
        <v>3.9687356123668477E-13</v>
      </c>
      <c r="EM160" s="20">
        <f t="shared" si="180"/>
        <v>7.2983234474842979E-13</v>
      </c>
      <c r="EN160" s="59">
        <f t="shared" si="128"/>
        <v>293.33333333333405</v>
      </c>
      <c r="EO160" s="59">
        <f ca="1">AVERAGE(OFFSET($EN$3,0,0,'Données projet'!$E$15+1,1))-AVERAGE(OFFSET($H$3,0,0,'Données projet'!$E$15+1,1))</f>
        <v>104.07220236158577</v>
      </c>
      <c r="EP160" s="59">
        <f t="shared" si="154"/>
        <v>34.162068257911756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>
        <f>EXP(-LN(2)/35)*EV159+(1-EXP(-LN(2)/35))/(LN(2)/35)*ER160*ES160*VLOOKUP('Données projet'!$B$15,Paramètres!$A$1:$I$89,3,0)*0.475*44/12</f>
        <v>0</v>
      </c>
      <c r="EW160" s="21">
        <f>EXP(-LN(2)/25)*EW159+(1-EXP(-LN(2)/25))/(LN(2)/25)*Calculateur!ER160*Calculateur!ET160*VLOOKUP('Données projet'!$B$15,Paramètres!$A$1:$I$89,3,0)*0.475*44/12</f>
        <v>0</v>
      </c>
      <c r="EX160" s="21">
        <f>EXP(-LN(2)/2)*EX159+(1-EXP(-LN(2)/2))/(LN(2)/2)*ER160*EU160*VLOOKUP('Données projet'!$B$15,Paramètres!$A$1:$I$89,3,0)*0.475*44/12</f>
        <v>0</v>
      </c>
      <c r="EY160" s="22">
        <f t="shared" si="181"/>
        <v>0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5.6843418860808015E-14</v>
      </c>
      <c r="FF160" s="17">
        <f>FE160*VLOOKUP('Données projet'!$B$16,Paramètres!$A$1:$I$89,3,0)*VLOOKUP('Données projet'!$B$16,Paramètres!$A$1:$I$89,5,0)</f>
        <v>5.1431925385259088E-14</v>
      </c>
      <c r="FG160" s="13">
        <f t="shared" si="182"/>
        <v>8.3482866290946129E-13</v>
      </c>
      <c r="FH160" s="20">
        <f t="shared" si="183"/>
        <v>1.5435705246133045E-12</v>
      </c>
      <c r="FI160" s="59">
        <f t="shared" si="131"/>
        <v>293.33333333333485</v>
      </c>
      <c r="FJ160" s="59">
        <f ca="1">AVERAGE(OFFSET($FI$3,0,0,'Données projet'!$E$16+1,1))-AVERAGE(OFFSET($H$3,0,0,'Données projet'!$E$16+1,1))</f>
        <v>179.50097986986123</v>
      </c>
      <c r="FK160" s="59">
        <f t="shared" si="156"/>
        <v>287.11838730637578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>
        <f>EXP(-LN(2)/35)*FQ159+(1-EXP(-LN(2)/35))/(LN(2)/35)*FM160*FN160*VLOOKUP('Données projet'!$B$16,Paramètres!$A$1:$I$89,3,0)*0.475*44/12</f>
        <v>5.0401187007360584E-2</v>
      </c>
      <c r="FR160" s="21">
        <f>EXP(-LN(2)/25)*FR159+(1-EXP(-LN(2)/25))/(LN(2)/25)*Calculateur!FM160*Calculateur!FO160*VLOOKUP('Données projet'!$B$16,Paramètres!$A$1:$I$89,3,0)*0.475*44/12</f>
        <v>0.18606688995154136</v>
      </c>
      <c r="FS160" s="21">
        <f>EXP(-LN(2)/2)*FS159+(1-EXP(-LN(2)/2))/(LN(2)/2)*FM160*FP160*VLOOKUP('Données projet'!$B$16,Paramètres!$A$1:$I$89,3,0)*0.475*44/12</f>
        <v>3.4658533920533297E-19</v>
      </c>
      <c r="FT160" s="22">
        <f t="shared" si="184"/>
        <v>0.23646807695890193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5.6843418860808015E-14</v>
      </c>
      <c r="GA160" s="17">
        <f>FZ160*VLOOKUP('Données projet'!$B$17,Paramètres!$A$1:$I$89,3,0)*VLOOKUP('Données projet'!$B$17,Paramètres!$A$1:$I$89,5,0)</f>
        <v>3.3992364478763198E-14</v>
      </c>
      <c r="GB160" s="13">
        <f t="shared" si="185"/>
        <v>5.790027782444094E-13</v>
      </c>
      <c r="GC160" s="20">
        <f t="shared" si="186"/>
        <v>1.0676332069095257E-12</v>
      </c>
      <c r="GD160" s="59">
        <f t="shared" si="134"/>
        <v>293.33333333333439</v>
      </c>
      <c r="GE160" s="59">
        <f ca="1">AVERAGE(OFFSET($GD$3,0,0,'Données projet'!$E$17+1,1))-AVERAGE(OFFSET($H$3,0,0,'Données projet'!$E$17+1,1))</f>
        <v>165.39579887388538</v>
      </c>
      <c r="GF160" s="59">
        <f t="shared" si="158"/>
        <v>155.89639262545802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>
        <f>EXP(-LN(2)/35)*GL159+(1-EXP(-LN(2)/35))/(LN(2)/35)*GH160*GI160*VLOOKUP('Données projet'!$B$17,Paramètres!$A$1:$I$89,3,0)*0.475*44/12</f>
        <v>0</v>
      </c>
      <c r="GM160" s="21">
        <f>EXP(-LN(2)/25)*GM159+(1-EXP(-LN(2)/25))/(LN(2)/25)*Calculateur!GH160*Calculateur!GJ160*VLOOKUP('Données projet'!$B$17,Paramètres!$A$1:$I$89,3,0)*0.475*44/12</f>
        <v>0.21550144130948817</v>
      </c>
      <c r="GN160" s="21">
        <f>EXP(-LN(2)/2)*GN159+(1-EXP(-LN(2)/2))/(LN(2)/2)*GH160*GK160*VLOOKUP('Données projet'!$B$17,Paramètres!$A$1:$I$89,3,0)*0.475*44/12</f>
        <v>1.0641083708191727E-18</v>
      </c>
      <c r="GO160" s="21">
        <f t="shared" si="187"/>
        <v>0.21550144130948817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3.4106051316484809E-13</v>
      </c>
      <c r="O161" s="13">
        <f>N161*VLOOKUP('Données projet'!$B$9,Paramètres!$A$1:$I$89,3,0)*VLOOKUP('Données projet'!$B$9,Paramètres!$A$1:$I$89,5,0)</f>
        <v>1.9065282685915009E-13</v>
      </c>
      <c r="P161" s="13">
        <f t="shared" si="141"/>
        <v>2.6568987209435707E-12</v>
      </c>
      <c r="Q161" s="20">
        <f t="shared" si="162"/>
        <v>4.959485612423072E-12</v>
      </c>
      <c r="R161" s="59">
        <f t="shared" si="109"/>
        <v>293.33333333333826</v>
      </c>
      <c r="S161" s="59">
        <f ca="1">AVERAGE(OFFSET($R$3,0,0,'Données projet'!$E$9+1,1))-AVERAGE(OFFSET($H$3,0,0,'Données projet'!$E$9+1,1))</f>
        <v>235.10258076192054</v>
      </c>
      <c r="T161" s="59">
        <f t="shared" si="142"/>
        <v>233.47316052603765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0.27156415286399521</v>
      </c>
      <c r="AA161" s="21">
        <f>EXP(-LN(2)/25)*AA160+(1-EXP(-LN(2)/25))/(LN(2)/25)*Calculateur!V161*Calculateur!X161*VLOOKUP('Données projet'!$B$9,Paramètres!$A$1:$I$89,3,0)*0.475*44/12</f>
        <v>0.53011103732882214</v>
      </c>
      <c r="AB161" s="21">
        <f>EXP(-LN(2)/2)*AB160+(1-EXP(-LN(2)/2))/(LN(2)/2)*V161*Y161*VLOOKUP('Données projet'!$B$9,Paramètres!$A$1:$I$89,3,0)*0.475*44/12</f>
        <v>1.3076606704294705E-18</v>
      </c>
      <c r="AC161" s="22">
        <f t="shared" si="163"/>
        <v>0.80167519019281741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-8.5265128291212022E-14</v>
      </c>
      <c r="AJ161" s="13">
        <f>AI161*VLOOKUP('Données projet'!$B$10,Paramètres!$A$1:$I$89,3,0)*VLOOKUP('Données projet'!$B$10,Paramètres!$A$1:$I$89,5,0)</f>
        <v>-7.4487616075202836E-14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191.94797389630673</v>
      </c>
      <c r="AO161" s="59">
        <f t="shared" si="144"/>
        <v>273.52540822767878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0.20408457548566908</v>
      </c>
      <c r="AV161" s="21">
        <f>EXP(-LN(2)/25)*AV160+(1-EXP(-LN(2)/25))/(LN(2)/25)*Calculateur!AQ161*Calculateur!AS161*VLOOKUP('Données projet'!$B$10,Paramètres!$A$1:$I$89,3,0)*0.475*44/12</f>
        <v>0.40396672215078999</v>
      </c>
      <c r="AW161" s="21">
        <f>EXP(-LN(2)/2)*AW160+(1-EXP(-LN(2)/2))/(LN(2)/2)*AQ161*AT161*VLOOKUP('Données projet'!$B$10,Paramètres!$A$1:$I$89,3,0)*0.475*44/12</f>
        <v>1.2578405612911694E-18</v>
      </c>
      <c r="AX161" s="21">
        <f t="shared" si="166"/>
        <v>0.60805129763645904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2.8421709430404007E-14</v>
      </c>
      <c r="BE161" s="13">
        <f>BD161*VLOOKUP('Données projet'!$B$11,Paramètres!$A$1:$I$89,3,0)*VLOOKUP('Données projet'!$B$11,Paramètres!$A$1:$I$89,5,0)</f>
        <v>2.5715962692629544E-14</v>
      </c>
      <c r="BF161" s="13">
        <f t="shared" si="167"/>
        <v>4.5248818890525812E-13</v>
      </c>
      <c r="BG161" s="20">
        <f t="shared" si="168"/>
        <v>8.3287223069965432E-13</v>
      </c>
      <c r="BH161" s="59">
        <f t="shared" si="116"/>
        <v>293.33333333333417</v>
      </c>
      <c r="BI161" s="59">
        <f ca="1">AVERAGE(OFFSET($BH$3,0,0,'Données projet'!$E$11+1,1))-AVERAGE(OFFSET($H$3,0,0,'Données projet'!$E$11+1,1))</f>
        <v>138.8931001150624</v>
      </c>
      <c r="BJ161" s="59">
        <f t="shared" si="146"/>
        <v>48.964659354096625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2.8421709430404007E-14</v>
      </c>
      <c r="BZ161" s="13">
        <f>BY161*VLOOKUP('Données projet'!$B$12,Paramètres!$A$1:$I$89,3,0)*VLOOKUP('Données projet'!$B$12,Paramètres!$A$1:$I$89,5,0)</f>
        <v>2.8819613362429664E-14</v>
      </c>
      <c r="CA161" s="13">
        <f t="shared" si="170"/>
        <v>5.0041752926933358E-13</v>
      </c>
      <c r="CB161" s="20">
        <f t="shared" si="171"/>
        <v>9.2175469008365428E-13</v>
      </c>
      <c r="CC161" s="59">
        <f t="shared" si="119"/>
        <v>293.33333333333422</v>
      </c>
      <c r="CD161" s="59">
        <f ca="1">AVERAGE(OFFSET($CC$3,0,0,'Données projet'!$E$12+1,1))-AVERAGE(OFFSET($H$3,0,0,'Données projet'!$E$12+1,1))</f>
        <v>169.2757878405003</v>
      </c>
      <c r="CE161" s="59">
        <f t="shared" si="148"/>
        <v>61.876502626609977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-8.5265128291212022E-14</v>
      </c>
      <c r="CU161" s="17">
        <f>CT161*VLOOKUP('Données projet'!$B$13,Paramètres!$A$1:$I$89,3,0)*VLOOKUP('Données projet'!$B$13,Paramètres!$A$1:$I$89,5,0)</f>
        <v>-6.7836936068488286E-14</v>
      </c>
      <c r="CV161" s="13" t="e">
        <f t="shared" si="173"/>
        <v>#NUM!</v>
      </c>
      <c r="CW161" s="20" t="e">
        <f t="shared" si="174"/>
        <v>#NUM!</v>
      </c>
      <c r="CX161" s="59" t="e">
        <f t="shared" si="122"/>
        <v>#NUM!</v>
      </c>
      <c r="CY161" s="59">
        <f ca="1">AVERAGE(OFFSET($CX$3,0,0,'Données projet'!$E$13+1,1))-AVERAGE(OFFSET($H$3,0,0,'Données projet'!$E$13+1,1))</f>
        <v>141.12810728817544</v>
      </c>
      <c r="CZ161" s="59">
        <f t="shared" si="150"/>
        <v>176.01405805137551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>
        <f>EXP(-LN(2)/35)*DF160+(1-EXP(-LN(2)/35))/(LN(2)/35)*DB161*DC161*VLOOKUP('Données projet'!$B$13,Paramètres!$A$1:$I$89,3,0)*0.475*44/12</f>
        <v>0</v>
      </c>
      <c r="DG161" s="21">
        <f>EXP(-LN(2)/25)*DG160+(1-EXP(-LN(2)/25))/(LN(2)/25)*Calculateur!DB161*Calculateur!DD161*VLOOKUP('Données projet'!$B$13,Paramètres!$A$1:$I$89,3,0)*0.475*44/12</f>
        <v>0.1933134481441906</v>
      </c>
      <c r="DH161" s="21">
        <f>EXP(-LN(2)/2)*DH160+(1-EXP(-LN(2)/2))/(LN(2)/2)*DB161*DE161*VLOOKUP('Données projet'!$B$13,Paramètres!$A$1:$I$89,3,0)*0.475*44/12</f>
        <v>4.3396232453238365E-19</v>
      </c>
      <c r="DI161" s="22">
        <f t="shared" si="175"/>
        <v>0.1933134481441906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5.6843418860808015E-14</v>
      </c>
      <c r="DP161" s="17">
        <f>DO161*VLOOKUP('Données projet'!$B$14,Paramètres!$A$1:$I$89,3,0)*VLOOKUP('Données projet'!$B$14,Paramètres!$A$1:$I$89,5,0)</f>
        <v>3.3992364478763198E-14</v>
      </c>
      <c r="DQ161" s="13">
        <f t="shared" si="176"/>
        <v>5.790027782444094E-13</v>
      </c>
      <c r="DR161" s="20">
        <f t="shared" si="177"/>
        <v>1.0676332069095257E-12</v>
      </c>
      <c r="DS161" s="59">
        <f t="shared" si="125"/>
        <v>293.33333333333439</v>
      </c>
      <c r="DT161" s="59">
        <f ca="1">AVERAGE(OFFSET($DS$3,0,0,'Données projet'!$E$14+1,1))-AVERAGE(OFFSET($H$3,0,0,'Données projet'!$E$14+1,1))</f>
        <v>165.39579887388538</v>
      </c>
      <c r="DU161" s="59">
        <f t="shared" si="152"/>
        <v>155.89639262545802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>
        <f>EXP(-LN(2)/35)*EA160+(1-EXP(-LN(2)/35))/(LN(2)/35)*DW161*DX161*VLOOKUP('Données projet'!$B$14,Paramètres!$A$1:$I$89,3,0)*0.475*44/12</f>
        <v>0</v>
      </c>
      <c r="EB161" s="21">
        <f>EXP(-LN(2)/25)*EB160+(1-EXP(-LN(2)/25))/(LN(2)/25)*Calculateur!DW161*Calculateur!DY161*VLOOKUP('Données projet'!$B$14,Paramètres!$A$1:$I$89,3,0)*0.475*44/12</f>
        <v>0.20960854306415194</v>
      </c>
      <c r="EC161" s="21">
        <f>EXP(-LN(2)/2)*EC160+(1-EXP(-LN(2)/2))/(LN(2)/2)*DW161*DZ161*VLOOKUP('Données projet'!$B$14,Paramètres!$A$1:$I$89,3,0)*0.475*44/12</f>
        <v>7.5243824492360636E-19</v>
      </c>
      <c r="ED161" s="22">
        <f t="shared" si="178"/>
        <v>0.20960854306415194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2.8421709430404007E-14</v>
      </c>
      <c r="EK161" s="17">
        <f>EJ161*VLOOKUP('Données projet'!$B$15,Paramètres!$A$1:$I$89,3,0)*VLOOKUP('Données projet'!$B$15,Paramètres!$A$1:$I$89,5,0)</f>
        <v>2.2168933355715127E-14</v>
      </c>
      <c r="EL161" s="13">
        <f t="shared" si="179"/>
        <v>3.9687356123668477E-13</v>
      </c>
      <c r="EM161" s="20">
        <f t="shared" si="180"/>
        <v>7.2983234474842979E-13</v>
      </c>
      <c r="EN161" s="59">
        <f t="shared" si="128"/>
        <v>293.33333333333405</v>
      </c>
      <c r="EO161" s="59">
        <f ca="1">AVERAGE(OFFSET($EN$3,0,0,'Données projet'!$E$15+1,1))-AVERAGE(OFFSET($H$3,0,0,'Données projet'!$E$15+1,1))</f>
        <v>104.07220236158577</v>
      </c>
      <c r="EP161" s="59">
        <f t="shared" si="154"/>
        <v>34.162068257911756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>
        <f>EXP(-LN(2)/35)*EV160+(1-EXP(-LN(2)/35))/(LN(2)/35)*ER161*ES161*VLOOKUP('Données projet'!$B$15,Paramètres!$A$1:$I$89,3,0)*0.475*44/12</f>
        <v>0</v>
      </c>
      <c r="EW161" s="21">
        <f>EXP(-LN(2)/25)*EW160+(1-EXP(-LN(2)/25))/(LN(2)/25)*Calculateur!ER161*Calculateur!ET161*VLOOKUP('Données projet'!$B$15,Paramètres!$A$1:$I$89,3,0)*0.475*44/12</f>
        <v>0</v>
      </c>
      <c r="EX161" s="21">
        <f>EXP(-LN(2)/2)*EX160+(1-EXP(-LN(2)/2))/(LN(2)/2)*ER161*EU161*VLOOKUP('Données projet'!$B$15,Paramètres!$A$1:$I$89,3,0)*0.475*44/12</f>
        <v>0</v>
      </c>
      <c r="EY161" s="22">
        <f t="shared" si="181"/>
        <v>0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5.6843418860808015E-14</v>
      </c>
      <c r="FF161" s="17">
        <f>FE161*VLOOKUP('Données projet'!$B$16,Paramètres!$A$1:$I$89,3,0)*VLOOKUP('Données projet'!$B$16,Paramètres!$A$1:$I$89,5,0)</f>
        <v>5.1431925385259088E-14</v>
      </c>
      <c r="FG161" s="13">
        <f t="shared" si="182"/>
        <v>8.3482866290946129E-13</v>
      </c>
      <c r="FH161" s="20">
        <f t="shared" si="183"/>
        <v>1.5435705246133045E-12</v>
      </c>
      <c r="FI161" s="59">
        <f t="shared" si="131"/>
        <v>293.33333333333485</v>
      </c>
      <c r="FJ161" s="59">
        <f ca="1">AVERAGE(OFFSET($FI$3,0,0,'Données projet'!$E$16+1,1))-AVERAGE(OFFSET($H$3,0,0,'Données projet'!$E$16+1,1))</f>
        <v>179.50097986986123</v>
      </c>
      <c r="FK161" s="59">
        <f t="shared" si="156"/>
        <v>287.11838730637578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>
        <f>EXP(-LN(2)/35)*FQ160+(1-EXP(-LN(2)/35))/(LN(2)/35)*FM161*FN161*VLOOKUP('Données projet'!$B$16,Paramètres!$A$1:$I$89,3,0)*0.475*44/12</f>
        <v>4.9412850471834829E-2</v>
      </c>
      <c r="FR161" s="21">
        <f>EXP(-LN(2)/25)*FR160+(1-EXP(-LN(2)/25))/(LN(2)/25)*Calculateur!FM161*Calculateur!FO161*VLOOKUP('Données projet'!$B$16,Paramètres!$A$1:$I$89,3,0)*0.475*44/12</f>
        <v>0.18097888106098398</v>
      </c>
      <c r="FS161" s="21">
        <f>EXP(-LN(2)/2)*FS160+(1-EXP(-LN(2)/2))/(LN(2)/2)*FM161*FP161*VLOOKUP('Données projet'!$B$16,Paramètres!$A$1:$I$89,3,0)*0.475*44/12</f>
        <v>2.4507284361193072E-19</v>
      </c>
      <c r="FT161" s="22">
        <f t="shared" si="184"/>
        <v>0.23039173153281881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5.6843418860808015E-14</v>
      </c>
      <c r="GA161" s="17">
        <f>FZ161*VLOOKUP('Données projet'!$B$17,Paramètres!$A$1:$I$89,3,0)*VLOOKUP('Données projet'!$B$17,Paramètres!$A$1:$I$89,5,0)</f>
        <v>3.3992364478763198E-14</v>
      </c>
      <c r="GB161" s="13">
        <f t="shared" si="185"/>
        <v>5.790027782444094E-13</v>
      </c>
      <c r="GC161" s="20">
        <f t="shared" si="186"/>
        <v>1.0676332069095257E-12</v>
      </c>
      <c r="GD161" s="59">
        <f t="shared" si="134"/>
        <v>293.33333333333439</v>
      </c>
      <c r="GE161" s="59">
        <f ca="1">AVERAGE(OFFSET($GD$3,0,0,'Données projet'!$E$17+1,1))-AVERAGE(OFFSET($H$3,0,0,'Données projet'!$E$17+1,1))</f>
        <v>165.39579887388538</v>
      </c>
      <c r="GF161" s="59">
        <f t="shared" si="158"/>
        <v>155.89639262545802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>
        <f>EXP(-LN(2)/35)*GL160+(1-EXP(-LN(2)/35))/(LN(2)/35)*GH161*GI161*VLOOKUP('Données projet'!$B$17,Paramètres!$A$1:$I$89,3,0)*0.475*44/12</f>
        <v>0</v>
      </c>
      <c r="GM161" s="21">
        <f>EXP(-LN(2)/25)*GM160+(1-EXP(-LN(2)/25))/(LN(2)/25)*Calculateur!GH161*Calculateur!GJ161*VLOOKUP('Données projet'!$B$17,Paramètres!$A$1:$I$89,3,0)*0.475*44/12</f>
        <v>0.20960854306415194</v>
      </c>
      <c r="GN161" s="21">
        <f>EXP(-LN(2)/2)*GN160+(1-EXP(-LN(2)/2))/(LN(2)/2)*GH161*GK161*VLOOKUP('Données projet'!$B$17,Paramètres!$A$1:$I$89,3,0)*0.475*44/12</f>
        <v>7.5243824492360636E-19</v>
      </c>
      <c r="GO161" s="21">
        <f t="shared" si="187"/>
        <v>0.20960854306415194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3.4106051316484809E-13</v>
      </c>
      <c r="O162" s="13">
        <f>N162*VLOOKUP('Données projet'!$B$9,Paramètres!$A$1:$I$89,3,0)*VLOOKUP('Données projet'!$B$9,Paramètres!$A$1:$I$89,5,0)</f>
        <v>1.9065282685915009E-13</v>
      </c>
      <c r="P162" s="13">
        <f t="shared" si="141"/>
        <v>2.6568987209435707E-12</v>
      </c>
      <c r="Q162" s="20">
        <f t="shared" si="162"/>
        <v>4.959485612423072E-12</v>
      </c>
      <c r="R162" s="59">
        <f t="shared" si="109"/>
        <v>293.33333333333826</v>
      </c>
      <c r="S162" s="59">
        <f ca="1">AVERAGE(OFFSET($R$3,0,0,'Données projet'!$E$9+1,1))-AVERAGE(OFFSET($H$3,0,0,'Données projet'!$E$9+1,1))</f>
        <v>235.10258076192054</v>
      </c>
      <c r="T162" s="59">
        <f t="shared" si="142"/>
        <v>233.47316052603765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0.26623894546411014</v>
      </c>
      <c r="AA162" s="21">
        <f>EXP(-LN(2)/25)*AA161+(1-EXP(-LN(2)/25))/(LN(2)/25)*Calculateur!V162*Calculateur!X162*VLOOKUP('Données projet'!$B$9,Paramètres!$A$1:$I$89,3,0)*0.475*44/12</f>
        <v>0.51561512313573765</v>
      </c>
      <c r="AB162" s="21">
        <f>EXP(-LN(2)/2)*AB161+(1-EXP(-LN(2)/2))/(LN(2)/2)*V162*Y162*VLOOKUP('Données projet'!$B$9,Paramètres!$A$1:$I$89,3,0)*0.475*44/12</f>
        <v>9.2465572755162559E-19</v>
      </c>
      <c r="AC162" s="22">
        <f t="shared" si="163"/>
        <v>0.78185406859984785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-8.5265128291212022E-14</v>
      </c>
      <c r="AJ162" s="13">
        <f>AI162*VLOOKUP('Données projet'!$B$10,Paramètres!$A$1:$I$89,3,0)*VLOOKUP('Données projet'!$B$10,Paramètres!$A$1:$I$89,5,0)</f>
        <v>-7.4487616075202836E-14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191.94797389630673</v>
      </c>
      <c r="AO162" s="59">
        <f t="shared" si="144"/>
        <v>273.52540822767878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0.20008260143969483</v>
      </c>
      <c r="AV162" s="21">
        <f>EXP(-LN(2)/25)*AV161+(1-EXP(-LN(2)/25))/(LN(2)/25)*Calculateur!AQ162*Calculateur!AS162*VLOOKUP('Données projet'!$B$10,Paramètres!$A$1:$I$89,3,0)*0.475*44/12</f>
        <v>0.39292023088988998</v>
      </c>
      <c r="AW162" s="21">
        <f>EXP(-LN(2)/2)*AW161+(1-EXP(-LN(2)/2))/(LN(2)/2)*AQ162*AT162*VLOOKUP('Données projet'!$B$10,Paramètres!$A$1:$I$89,3,0)*0.475*44/12</f>
        <v>8.8942759054047898E-19</v>
      </c>
      <c r="AX162" s="21">
        <f t="shared" si="166"/>
        <v>0.59300283232958484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2.8421709430404007E-14</v>
      </c>
      <c r="BE162" s="13">
        <f>BD162*VLOOKUP('Données projet'!$B$11,Paramètres!$A$1:$I$89,3,0)*VLOOKUP('Données projet'!$B$11,Paramètres!$A$1:$I$89,5,0)</f>
        <v>2.5715962692629544E-14</v>
      </c>
      <c r="BF162" s="13">
        <f t="shared" si="167"/>
        <v>4.5248818890525812E-13</v>
      </c>
      <c r="BG162" s="20">
        <f t="shared" si="168"/>
        <v>8.3287223069965432E-13</v>
      </c>
      <c r="BH162" s="59">
        <f t="shared" si="116"/>
        <v>293.33333333333417</v>
      </c>
      <c r="BI162" s="59">
        <f ca="1">AVERAGE(OFFSET($BH$3,0,0,'Données projet'!$E$11+1,1))-AVERAGE(OFFSET($H$3,0,0,'Données projet'!$E$11+1,1))</f>
        <v>138.8931001150624</v>
      </c>
      <c r="BJ162" s="59">
        <f t="shared" si="146"/>
        <v>48.964659354096625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2.8421709430404007E-14</v>
      </c>
      <c r="BZ162" s="13">
        <f>BY162*VLOOKUP('Données projet'!$B$12,Paramètres!$A$1:$I$89,3,0)*VLOOKUP('Données projet'!$B$12,Paramètres!$A$1:$I$89,5,0)</f>
        <v>2.8819613362429664E-14</v>
      </c>
      <c r="CA162" s="13">
        <f t="shared" si="170"/>
        <v>5.0041752926933358E-13</v>
      </c>
      <c r="CB162" s="20">
        <f t="shared" si="171"/>
        <v>9.2175469008365428E-13</v>
      </c>
      <c r="CC162" s="59">
        <f t="shared" si="119"/>
        <v>293.33333333333422</v>
      </c>
      <c r="CD162" s="59">
        <f ca="1">AVERAGE(OFFSET($CC$3,0,0,'Données projet'!$E$12+1,1))-AVERAGE(OFFSET($H$3,0,0,'Données projet'!$E$12+1,1))</f>
        <v>169.2757878405003</v>
      </c>
      <c r="CE162" s="59">
        <f t="shared" si="148"/>
        <v>61.876502626609977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-8.5265128291212022E-14</v>
      </c>
      <c r="CU162" s="17">
        <f>CT162*VLOOKUP('Données projet'!$B$13,Paramètres!$A$1:$I$89,3,0)*VLOOKUP('Données projet'!$B$13,Paramètres!$A$1:$I$89,5,0)</f>
        <v>-6.7836936068488286E-14</v>
      </c>
      <c r="CV162" s="13" t="e">
        <f t="shared" si="173"/>
        <v>#NUM!</v>
      </c>
      <c r="CW162" s="20" t="e">
        <f t="shared" si="174"/>
        <v>#NUM!</v>
      </c>
      <c r="CX162" s="59" t="e">
        <f t="shared" si="122"/>
        <v>#NUM!</v>
      </c>
      <c r="CY162" s="59">
        <f ca="1">AVERAGE(OFFSET($CX$3,0,0,'Données projet'!$E$13+1,1))-AVERAGE(OFFSET($H$3,0,0,'Données projet'!$E$13+1,1))</f>
        <v>141.12810728817544</v>
      </c>
      <c r="CZ162" s="59">
        <f t="shared" si="150"/>
        <v>176.01405805137551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>
        <f>EXP(-LN(2)/35)*DF161+(1-EXP(-LN(2)/35))/(LN(2)/35)*DB162*DC162*VLOOKUP('Données projet'!$B$13,Paramètres!$A$1:$I$89,3,0)*0.475*44/12</f>
        <v>0</v>
      </c>
      <c r="DG162" s="21">
        <f>EXP(-LN(2)/25)*DG161+(1-EXP(-LN(2)/25))/(LN(2)/25)*Calculateur!DB162*Calculateur!DD162*VLOOKUP('Données projet'!$B$13,Paramètres!$A$1:$I$89,3,0)*0.475*44/12</f>
        <v>0.18802728173877531</v>
      </c>
      <c r="DH162" s="21">
        <f>EXP(-LN(2)/2)*DH161+(1-EXP(-LN(2)/2))/(LN(2)/2)*DB162*DE162*VLOOKUP('Données projet'!$B$13,Paramètres!$A$1:$I$89,3,0)*0.475*44/12</f>
        <v>3.0685770245632574E-19</v>
      </c>
      <c r="DI162" s="22">
        <f t="shared" si="175"/>
        <v>0.18802728173877531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5.6843418860808015E-14</v>
      </c>
      <c r="DP162" s="17">
        <f>DO162*VLOOKUP('Données projet'!$B$14,Paramètres!$A$1:$I$89,3,0)*VLOOKUP('Données projet'!$B$14,Paramètres!$A$1:$I$89,5,0)</f>
        <v>3.3992364478763198E-14</v>
      </c>
      <c r="DQ162" s="13">
        <f t="shared" si="176"/>
        <v>5.790027782444094E-13</v>
      </c>
      <c r="DR162" s="20">
        <f t="shared" si="177"/>
        <v>1.0676332069095257E-12</v>
      </c>
      <c r="DS162" s="59">
        <f t="shared" si="125"/>
        <v>293.33333333333439</v>
      </c>
      <c r="DT162" s="59">
        <f ca="1">AVERAGE(OFFSET($DS$3,0,0,'Données projet'!$E$14+1,1))-AVERAGE(OFFSET($H$3,0,0,'Données projet'!$E$14+1,1))</f>
        <v>165.39579887388538</v>
      </c>
      <c r="DU162" s="59">
        <f t="shared" si="152"/>
        <v>155.89639262545802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>
        <f>EXP(-LN(2)/35)*EA161+(1-EXP(-LN(2)/35))/(LN(2)/35)*DW162*DX162*VLOOKUP('Données projet'!$B$14,Paramètres!$A$1:$I$89,3,0)*0.475*44/12</f>
        <v>0</v>
      </c>
      <c r="EB162" s="21">
        <f>EXP(-LN(2)/25)*EB161+(1-EXP(-LN(2)/25))/(LN(2)/25)*Calculateur!DW162*Calculateur!DY162*VLOOKUP('Données projet'!$B$14,Paramètres!$A$1:$I$89,3,0)*0.475*44/12</f>
        <v>0.2038767864312285</v>
      </c>
      <c r="EC162" s="21">
        <f>EXP(-LN(2)/2)*EC161+(1-EXP(-LN(2)/2))/(LN(2)/2)*DW162*DZ162*VLOOKUP('Données projet'!$B$14,Paramètres!$A$1:$I$89,3,0)*0.475*44/12</f>
        <v>5.3205418540958636E-19</v>
      </c>
      <c r="ED162" s="22">
        <f t="shared" si="178"/>
        <v>0.2038767864312285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2.8421709430404007E-14</v>
      </c>
      <c r="EK162" s="17">
        <f>EJ162*VLOOKUP('Données projet'!$B$15,Paramètres!$A$1:$I$89,3,0)*VLOOKUP('Données projet'!$B$15,Paramètres!$A$1:$I$89,5,0)</f>
        <v>2.2168933355715127E-14</v>
      </c>
      <c r="EL162" s="13">
        <f t="shared" si="179"/>
        <v>3.9687356123668477E-13</v>
      </c>
      <c r="EM162" s="20">
        <f t="shared" si="180"/>
        <v>7.2983234474842979E-13</v>
      </c>
      <c r="EN162" s="59">
        <f t="shared" si="128"/>
        <v>293.33333333333405</v>
      </c>
      <c r="EO162" s="59">
        <f ca="1">AVERAGE(OFFSET($EN$3,0,0,'Données projet'!$E$15+1,1))-AVERAGE(OFFSET($H$3,0,0,'Données projet'!$E$15+1,1))</f>
        <v>104.07220236158577</v>
      </c>
      <c r="EP162" s="59">
        <f t="shared" si="154"/>
        <v>34.162068257911756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>
        <f>EXP(-LN(2)/35)*EV161+(1-EXP(-LN(2)/35))/(LN(2)/35)*ER162*ES162*VLOOKUP('Données projet'!$B$15,Paramètres!$A$1:$I$89,3,0)*0.475*44/12</f>
        <v>0</v>
      </c>
      <c r="EW162" s="21">
        <f>EXP(-LN(2)/25)*EW161+(1-EXP(-LN(2)/25))/(LN(2)/25)*Calculateur!ER162*Calculateur!ET162*VLOOKUP('Données projet'!$B$15,Paramètres!$A$1:$I$89,3,0)*0.475*44/12</f>
        <v>0</v>
      </c>
      <c r="EX162" s="21">
        <f>EXP(-LN(2)/2)*EX161+(1-EXP(-LN(2)/2))/(LN(2)/2)*ER162*EU162*VLOOKUP('Données projet'!$B$15,Paramètres!$A$1:$I$89,3,0)*0.475*44/12</f>
        <v>0</v>
      </c>
      <c r="EY162" s="22">
        <f t="shared" si="181"/>
        <v>0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5.6843418860808015E-14</v>
      </c>
      <c r="FF162" s="17">
        <f>FE162*VLOOKUP('Données projet'!$B$16,Paramètres!$A$1:$I$89,3,0)*VLOOKUP('Données projet'!$B$16,Paramètres!$A$1:$I$89,5,0)</f>
        <v>5.1431925385259088E-14</v>
      </c>
      <c r="FG162" s="13">
        <f t="shared" si="182"/>
        <v>8.3482866290946129E-13</v>
      </c>
      <c r="FH162" s="20">
        <f t="shared" si="183"/>
        <v>1.5435705246133045E-12</v>
      </c>
      <c r="FI162" s="59">
        <f t="shared" si="131"/>
        <v>293.33333333333485</v>
      </c>
      <c r="FJ162" s="59">
        <f ca="1">AVERAGE(OFFSET($FI$3,0,0,'Données projet'!$E$16+1,1))-AVERAGE(OFFSET($H$3,0,0,'Données projet'!$E$16+1,1))</f>
        <v>179.50097986986123</v>
      </c>
      <c r="FK162" s="59">
        <f t="shared" si="156"/>
        <v>287.11838730637578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>
        <f>EXP(-LN(2)/35)*FQ161+(1-EXP(-LN(2)/35))/(LN(2)/35)*FM162*FN162*VLOOKUP('Données projet'!$B$16,Paramètres!$A$1:$I$89,3,0)*0.475*44/12</f>
        <v>4.8443894612944974E-2</v>
      </c>
      <c r="FR162" s="21">
        <f>EXP(-LN(2)/25)*FR161+(1-EXP(-LN(2)/25))/(LN(2)/25)*Calculateur!FM162*Calculateur!FO162*VLOOKUP('Données projet'!$B$16,Paramètres!$A$1:$I$89,3,0)*0.475*44/12</f>
        <v>0.17603000404110564</v>
      </c>
      <c r="FS162" s="21">
        <f>EXP(-LN(2)/2)*FS161+(1-EXP(-LN(2)/2))/(LN(2)/2)*FM162*FP162*VLOOKUP('Données projet'!$B$16,Paramètres!$A$1:$I$89,3,0)*0.475*44/12</f>
        <v>1.7329266960266648E-19</v>
      </c>
      <c r="FT162" s="22">
        <f t="shared" si="184"/>
        <v>0.2244738986540506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5.6843418860808015E-14</v>
      </c>
      <c r="GA162" s="17">
        <f>FZ162*VLOOKUP('Données projet'!$B$17,Paramètres!$A$1:$I$89,3,0)*VLOOKUP('Données projet'!$B$17,Paramètres!$A$1:$I$89,5,0)</f>
        <v>3.3992364478763198E-14</v>
      </c>
      <c r="GB162" s="13">
        <f t="shared" si="185"/>
        <v>5.790027782444094E-13</v>
      </c>
      <c r="GC162" s="20">
        <f t="shared" si="186"/>
        <v>1.0676332069095257E-12</v>
      </c>
      <c r="GD162" s="59">
        <f t="shared" si="134"/>
        <v>293.33333333333439</v>
      </c>
      <c r="GE162" s="59">
        <f ca="1">AVERAGE(OFFSET($GD$3,0,0,'Données projet'!$E$17+1,1))-AVERAGE(OFFSET($H$3,0,0,'Données projet'!$E$17+1,1))</f>
        <v>165.39579887388538</v>
      </c>
      <c r="GF162" s="59">
        <f t="shared" si="158"/>
        <v>155.89639262545802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>
        <f>EXP(-LN(2)/35)*GL161+(1-EXP(-LN(2)/35))/(LN(2)/35)*GH162*GI162*VLOOKUP('Données projet'!$B$17,Paramètres!$A$1:$I$89,3,0)*0.475*44/12</f>
        <v>0</v>
      </c>
      <c r="GM162" s="21">
        <f>EXP(-LN(2)/25)*GM161+(1-EXP(-LN(2)/25))/(LN(2)/25)*Calculateur!GH162*Calculateur!GJ162*VLOOKUP('Données projet'!$B$17,Paramètres!$A$1:$I$89,3,0)*0.475*44/12</f>
        <v>0.2038767864312285</v>
      </c>
      <c r="GN162" s="21">
        <f>EXP(-LN(2)/2)*GN161+(1-EXP(-LN(2)/2))/(LN(2)/2)*GH162*GK162*VLOOKUP('Données projet'!$B$17,Paramètres!$A$1:$I$89,3,0)*0.475*44/12</f>
        <v>5.3205418540958636E-19</v>
      </c>
      <c r="GO162" s="21">
        <f t="shared" si="187"/>
        <v>0.2038767864312285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3.4106051316484809E-13</v>
      </c>
      <c r="O163" s="13">
        <f>N163*VLOOKUP('Données projet'!$B$9,Paramètres!$A$1:$I$89,3,0)*VLOOKUP('Données projet'!$B$9,Paramètres!$A$1:$I$89,5,0)</f>
        <v>1.9065282685915009E-13</v>
      </c>
      <c r="P163" s="13">
        <f t="shared" si="141"/>
        <v>2.6568987209435707E-12</v>
      </c>
      <c r="Q163" s="20">
        <f t="shared" si="162"/>
        <v>4.959485612423072E-12</v>
      </c>
      <c r="R163" s="59">
        <f t="shared" si="109"/>
        <v>293.33333333333826</v>
      </c>
      <c r="S163" s="59">
        <f ca="1">AVERAGE(OFFSET($R$3,0,0,'Données projet'!$E$9+1,1))-AVERAGE(OFFSET($H$3,0,0,'Données projet'!$E$9+1,1))</f>
        <v>235.10258076192054</v>
      </c>
      <c r="T163" s="59">
        <f t="shared" si="142"/>
        <v>233.47316052603765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0.26101816213328105</v>
      </c>
      <c r="AA163" s="21">
        <f>EXP(-LN(2)/25)*AA162+(1-EXP(-LN(2)/25))/(LN(2)/25)*Calculateur!V163*Calculateur!X163*VLOOKUP('Données projet'!$B$9,Paramètres!$A$1:$I$89,3,0)*0.475*44/12</f>
        <v>0.50151560047857002</v>
      </c>
      <c r="AB163" s="21">
        <f>EXP(-LN(2)/2)*AB162+(1-EXP(-LN(2)/2))/(LN(2)/2)*V163*Y163*VLOOKUP('Données projet'!$B$9,Paramètres!$A$1:$I$89,3,0)*0.475*44/12</f>
        <v>6.5383033521473523E-19</v>
      </c>
      <c r="AC163" s="22">
        <f t="shared" si="163"/>
        <v>0.76253376261185113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-8.5265128291212022E-14</v>
      </c>
      <c r="AJ163" s="13">
        <f>AI163*VLOOKUP('Données projet'!$B$10,Paramètres!$A$1:$I$89,3,0)*VLOOKUP('Données projet'!$B$10,Paramètres!$A$1:$I$89,5,0)</f>
        <v>-7.4487616075202836E-14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191.94797389630673</v>
      </c>
      <c r="AO163" s="59">
        <f t="shared" si="144"/>
        <v>273.52540822767878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0.19615910366379902</v>
      </c>
      <c r="AV163" s="21">
        <f>EXP(-LN(2)/25)*AV162+(1-EXP(-LN(2)/25))/(LN(2)/25)*Calculateur!AQ163*Calculateur!AS163*VLOOKUP('Données projet'!$B$10,Paramètres!$A$1:$I$89,3,0)*0.475*44/12</f>
        <v>0.38217580651342903</v>
      </c>
      <c r="AW163" s="21">
        <f>EXP(-LN(2)/2)*AW162+(1-EXP(-LN(2)/2))/(LN(2)/2)*AQ163*AT163*VLOOKUP('Données projet'!$B$10,Paramètres!$A$1:$I$89,3,0)*0.475*44/12</f>
        <v>6.2892028064558468E-19</v>
      </c>
      <c r="AX163" s="21">
        <f t="shared" si="166"/>
        <v>0.57833491017722805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2.8421709430404007E-14</v>
      </c>
      <c r="BE163" s="13">
        <f>BD163*VLOOKUP('Données projet'!$B$11,Paramètres!$A$1:$I$89,3,0)*VLOOKUP('Données projet'!$B$11,Paramètres!$A$1:$I$89,5,0)</f>
        <v>2.5715962692629544E-14</v>
      </c>
      <c r="BF163" s="13">
        <f t="shared" si="167"/>
        <v>4.5248818890525812E-13</v>
      </c>
      <c r="BG163" s="20">
        <f t="shared" si="168"/>
        <v>8.3287223069965432E-13</v>
      </c>
      <c r="BH163" s="59">
        <f t="shared" si="116"/>
        <v>293.33333333333417</v>
      </c>
      <c r="BI163" s="59">
        <f ca="1">AVERAGE(OFFSET($BH$3,0,0,'Données projet'!$E$11+1,1))-AVERAGE(OFFSET($H$3,0,0,'Données projet'!$E$11+1,1))</f>
        <v>138.8931001150624</v>
      </c>
      <c r="BJ163" s="59">
        <f t="shared" si="146"/>
        <v>48.964659354096625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2.8421709430404007E-14</v>
      </c>
      <c r="BZ163" s="13">
        <f>BY163*VLOOKUP('Données projet'!$B$12,Paramètres!$A$1:$I$89,3,0)*VLOOKUP('Données projet'!$B$12,Paramètres!$A$1:$I$89,5,0)</f>
        <v>2.8819613362429664E-14</v>
      </c>
      <c r="CA163" s="13">
        <f t="shared" si="170"/>
        <v>5.0041752926933358E-13</v>
      </c>
      <c r="CB163" s="20">
        <f t="shared" si="171"/>
        <v>9.2175469008365428E-13</v>
      </c>
      <c r="CC163" s="59">
        <f t="shared" si="119"/>
        <v>293.33333333333422</v>
      </c>
      <c r="CD163" s="59">
        <f ca="1">AVERAGE(OFFSET($CC$3,0,0,'Données projet'!$E$12+1,1))-AVERAGE(OFFSET($H$3,0,0,'Données projet'!$E$12+1,1))</f>
        <v>169.2757878405003</v>
      </c>
      <c r="CE163" s="59">
        <f t="shared" si="148"/>
        <v>61.876502626609977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-8.5265128291212022E-14</v>
      </c>
      <c r="CU163" s="17">
        <f>CT163*VLOOKUP('Données projet'!$B$13,Paramètres!$A$1:$I$89,3,0)*VLOOKUP('Données projet'!$B$13,Paramètres!$A$1:$I$89,5,0)</f>
        <v>-6.7836936068488286E-14</v>
      </c>
      <c r="CV163" s="13" t="e">
        <f t="shared" si="173"/>
        <v>#NUM!</v>
      </c>
      <c r="CW163" s="20" t="e">
        <f t="shared" si="174"/>
        <v>#NUM!</v>
      </c>
      <c r="CX163" s="59" t="e">
        <f t="shared" si="122"/>
        <v>#NUM!</v>
      </c>
      <c r="CY163" s="59">
        <f ca="1">AVERAGE(OFFSET($CX$3,0,0,'Données projet'!$E$13+1,1))-AVERAGE(OFFSET($H$3,0,0,'Données projet'!$E$13+1,1))</f>
        <v>141.12810728817544</v>
      </c>
      <c r="CZ163" s="59">
        <f t="shared" si="150"/>
        <v>176.01405805137551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>
        <f>EXP(-LN(2)/35)*DF162+(1-EXP(-LN(2)/35))/(LN(2)/35)*DB163*DC163*VLOOKUP('Données projet'!$B$13,Paramètres!$A$1:$I$89,3,0)*0.475*44/12</f>
        <v>0</v>
      </c>
      <c r="DG163" s="21">
        <f>EXP(-LN(2)/25)*DG162+(1-EXP(-LN(2)/25))/(LN(2)/25)*Calculateur!DB163*Calculateur!DD163*VLOOKUP('Données projet'!$B$13,Paramètres!$A$1:$I$89,3,0)*0.475*44/12</f>
        <v>0.18288566583170349</v>
      </c>
      <c r="DH163" s="21">
        <f>EXP(-LN(2)/2)*DH162+(1-EXP(-LN(2)/2))/(LN(2)/2)*DB163*DE163*VLOOKUP('Données projet'!$B$13,Paramètres!$A$1:$I$89,3,0)*0.475*44/12</f>
        <v>2.1698116226619183E-19</v>
      </c>
      <c r="DI163" s="22">
        <f t="shared" si="175"/>
        <v>0.18288566583170349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5.6843418860808015E-14</v>
      </c>
      <c r="DP163" s="17">
        <f>DO163*VLOOKUP('Données projet'!$B$14,Paramètres!$A$1:$I$89,3,0)*VLOOKUP('Données projet'!$B$14,Paramètres!$A$1:$I$89,5,0)</f>
        <v>3.3992364478763198E-14</v>
      </c>
      <c r="DQ163" s="13">
        <f t="shared" si="176"/>
        <v>5.790027782444094E-13</v>
      </c>
      <c r="DR163" s="20">
        <f t="shared" si="177"/>
        <v>1.0676332069095257E-12</v>
      </c>
      <c r="DS163" s="59">
        <f t="shared" si="125"/>
        <v>293.33333333333439</v>
      </c>
      <c r="DT163" s="59">
        <f ca="1">AVERAGE(OFFSET($DS$3,0,0,'Données projet'!$E$14+1,1))-AVERAGE(OFFSET($H$3,0,0,'Données projet'!$E$14+1,1))</f>
        <v>165.39579887388538</v>
      </c>
      <c r="DU163" s="59">
        <f t="shared" si="152"/>
        <v>155.89639262545802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>
        <f>EXP(-LN(2)/35)*EA162+(1-EXP(-LN(2)/35))/(LN(2)/35)*DW163*DX163*VLOOKUP('Données projet'!$B$14,Paramètres!$A$1:$I$89,3,0)*0.475*44/12</f>
        <v>0</v>
      </c>
      <c r="EB163" s="21">
        <f>EXP(-LN(2)/25)*EB162+(1-EXP(-LN(2)/25))/(LN(2)/25)*Calculateur!DW163*Calculateur!DY163*VLOOKUP('Données projet'!$B$14,Paramètres!$A$1:$I$89,3,0)*0.475*44/12</f>
        <v>0.19830176498485233</v>
      </c>
      <c r="EC163" s="21">
        <f>EXP(-LN(2)/2)*EC162+(1-EXP(-LN(2)/2))/(LN(2)/2)*DW163*DZ163*VLOOKUP('Données projet'!$B$14,Paramètres!$A$1:$I$89,3,0)*0.475*44/12</f>
        <v>3.7621912246180318E-19</v>
      </c>
      <c r="ED163" s="22">
        <f t="shared" si="178"/>
        <v>0.19830176498485233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2.8421709430404007E-14</v>
      </c>
      <c r="EK163" s="17">
        <f>EJ163*VLOOKUP('Données projet'!$B$15,Paramètres!$A$1:$I$89,3,0)*VLOOKUP('Données projet'!$B$15,Paramètres!$A$1:$I$89,5,0)</f>
        <v>2.2168933355715127E-14</v>
      </c>
      <c r="EL163" s="13">
        <f t="shared" si="179"/>
        <v>3.9687356123668477E-13</v>
      </c>
      <c r="EM163" s="20">
        <f t="shared" si="180"/>
        <v>7.2983234474842979E-13</v>
      </c>
      <c r="EN163" s="59">
        <f t="shared" si="128"/>
        <v>293.33333333333405</v>
      </c>
      <c r="EO163" s="59">
        <f ca="1">AVERAGE(OFFSET($EN$3,0,0,'Données projet'!$E$15+1,1))-AVERAGE(OFFSET($H$3,0,0,'Données projet'!$E$15+1,1))</f>
        <v>104.07220236158577</v>
      </c>
      <c r="EP163" s="59">
        <f t="shared" si="154"/>
        <v>34.162068257911756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>
        <f>EXP(-LN(2)/35)*EV162+(1-EXP(-LN(2)/35))/(LN(2)/35)*ER163*ES163*VLOOKUP('Données projet'!$B$15,Paramètres!$A$1:$I$89,3,0)*0.475*44/12</f>
        <v>0</v>
      </c>
      <c r="EW163" s="21">
        <f>EXP(-LN(2)/25)*EW162+(1-EXP(-LN(2)/25))/(LN(2)/25)*Calculateur!ER163*Calculateur!ET163*VLOOKUP('Données projet'!$B$15,Paramètres!$A$1:$I$89,3,0)*0.475*44/12</f>
        <v>0</v>
      </c>
      <c r="EX163" s="21">
        <f>EXP(-LN(2)/2)*EX162+(1-EXP(-LN(2)/2))/(LN(2)/2)*ER163*EU163*VLOOKUP('Données projet'!$B$15,Paramètres!$A$1:$I$89,3,0)*0.475*44/12</f>
        <v>0</v>
      </c>
      <c r="EY163" s="22">
        <f t="shared" si="181"/>
        <v>0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5.6843418860808015E-14</v>
      </c>
      <c r="FF163" s="17">
        <f>FE163*VLOOKUP('Données projet'!$B$16,Paramètres!$A$1:$I$89,3,0)*VLOOKUP('Données projet'!$B$16,Paramètres!$A$1:$I$89,5,0)</f>
        <v>5.1431925385259088E-14</v>
      </c>
      <c r="FG163" s="13">
        <f t="shared" si="182"/>
        <v>8.3482866290946129E-13</v>
      </c>
      <c r="FH163" s="20">
        <f t="shared" si="183"/>
        <v>1.5435705246133045E-12</v>
      </c>
      <c r="FI163" s="59">
        <f t="shared" si="131"/>
        <v>293.33333333333485</v>
      </c>
      <c r="FJ163" s="59">
        <f ca="1">AVERAGE(OFFSET($FI$3,0,0,'Données projet'!$E$16+1,1))-AVERAGE(OFFSET($H$3,0,0,'Données projet'!$E$16+1,1))</f>
        <v>179.50097986986123</v>
      </c>
      <c r="FK163" s="59">
        <f t="shared" si="156"/>
        <v>287.11838730637578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>
        <f>EXP(-LN(2)/35)*FQ162+(1-EXP(-LN(2)/35))/(LN(2)/35)*FM163*FN163*VLOOKUP('Données projet'!$B$16,Paramètres!$A$1:$I$89,3,0)*0.475*44/12</f>
        <v>4.7493939387443229E-2</v>
      </c>
      <c r="FR163" s="21">
        <f>EXP(-LN(2)/25)*FR162+(1-EXP(-LN(2)/25))/(LN(2)/25)*Calculateur!FM163*Calculateur!FO163*VLOOKUP('Données projet'!$B$16,Paramètres!$A$1:$I$89,3,0)*0.475*44/12</f>
        <v>0.17121645432358601</v>
      </c>
      <c r="FS163" s="21">
        <f>EXP(-LN(2)/2)*FS162+(1-EXP(-LN(2)/2))/(LN(2)/2)*FM163*FP163*VLOOKUP('Données projet'!$B$16,Paramètres!$A$1:$I$89,3,0)*0.475*44/12</f>
        <v>1.2253642180596536E-19</v>
      </c>
      <c r="FT163" s="22">
        <f t="shared" si="184"/>
        <v>0.21871039371102924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5.6843418860808015E-14</v>
      </c>
      <c r="GA163" s="17">
        <f>FZ163*VLOOKUP('Données projet'!$B$17,Paramètres!$A$1:$I$89,3,0)*VLOOKUP('Données projet'!$B$17,Paramètres!$A$1:$I$89,5,0)</f>
        <v>3.3992364478763198E-14</v>
      </c>
      <c r="GB163" s="13">
        <f t="shared" si="185"/>
        <v>5.790027782444094E-13</v>
      </c>
      <c r="GC163" s="20">
        <f t="shared" si="186"/>
        <v>1.0676332069095257E-12</v>
      </c>
      <c r="GD163" s="59">
        <f t="shared" si="134"/>
        <v>293.33333333333439</v>
      </c>
      <c r="GE163" s="59">
        <f ca="1">AVERAGE(OFFSET($GD$3,0,0,'Données projet'!$E$17+1,1))-AVERAGE(OFFSET($H$3,0,0,'Données projet'!$E$17+1,1))</f>
        <v>165.39579887388538</v>
      </c>
      <c r="GF163" s="59">
        <f t="shared" si="158"/>
        <v>155.89639262545802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>
        <f>EXP(-LN(2)/35)*GL162+(1-EXP(-LN(2)/35))/(LN(2)/35)*GH163*GI163*VLOOKUP('Données projet'!$B$17,Paramètres!$A$1:$I$89,3,0)*0.475*44/12</f>
        <v>0</v>
      </c>
      <c r="GM163" s="21">
        <f>EXP(-LN(2)/25)*GM162+(1-EXP(-LN(2)/25))/(LN(2)/25)*Calculateur!GH163*Calculateur!GJ163*VLOOKUP('Données projet'!$B$17,Paramètres!$A$1:$I$89,3,0)*0.475*44/12</f>
        <v>0.19830176498485233</v>
      </c>
      <c r="GN163" s="21">
        <f>EXP(-LN(2)/2)*GN162+(1-EXP(-LN(2)/2))/(LN(2)/2)*GH163*GK163*VLOOKUP('Données projet'!$B$17,Paramètres!$A$1:$I$89,3,0)*0.475*44/12</f>
        <v>3.7621912246180318E-19</v>
      </c>
      <c r="GO163" s="21">
        <f t="shared" si="187"/>
        <v>0.19830176498485233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3.4106051316484809E-13</v>
      </c>
      <c r="O164" s="13">
        <f>N164*VLOOKUP('Données projet'!$B$9,Paramètres!$A$1:$I$89,3,0)*VLOOKUP('Données projet'!$B$9,Paramètres!$A$1:$I$89,5,0)</f>
        <v>1.9065282685915009E-13</v>
      </c>
      <c r="P164" s="13">
        <f t="shared" si="141"/>
        <v>2.6568987209435707E-12</v>
      </c>
      <c r="Q164" s="20">
        <f t="shared" si="162"/>
        <v>4.959485612423072E-12</v>
      </c>
      <c r="R164" s="59">
        <f t="shared" si="109"/>
        <v>293.33333333333826</v>
      </c>
      <c r="S164" s="59">
        <f ca="1">AVERAGE(OFFSET($R$3,0,0,'Données projet'!$E$9+1,1))-AVERAGE(OFFSET($H$3,0,0,'Données projet'!$E$9+1,1))</f>
        <v>235.10258076192054</v>
      </c>
      <c r="T164" s="59">
        <f t="shared" si="142"/>
        <v>233.47316052603765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0.2558997551792061</v>
      </c>
      <c r="AA164" s="21">
        <f>EXP(-LN(2)/25)*AA163+(1-EXP(-LN(2)/25))/(LN(2)/25)*Calculateur!V164*Calculateur!X164*VLOOKUP('Données projet'!$B$9,Paramètres!$A$1:$I$89,3,0)*0.475*44/12</f>
        <v>0.48780163000992433</v>
      </c>
      <c r="AB164" s="21">
        <f>EXP(-LN(2)/2)*AB163+(1-EXP(-LN(2)/2))/(LN(2)/2)*V164*Y164*VLOOKUP('Données projet'!$B$9,Paramètres!$A$1:$I$89,3,0)*0.475*44/12</f>
        <v>4.6232786377581279E-19</v>
      </c>
      <c r="AC164" s="22">
        <f t="shared" si="163"/>
        <v>0.74370138518913043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-8.5265128291212022E-14</v>
      </c>
      <c r="AJ164" s="13">
        <f>AI164*VLOOKUP('Données projet'!$B$10,Paramètres!$A$1:$I$89,3,0)*VLOOKUP('Données projet'!$B$10,Paramètres!$A$1:$I$89,5,0)</f>
        <v>-7.4487616075202836E-14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191.94797389630673</v>
      </c>
      <c r="AO164" s="59">
        <f t="shared" si="144"/>
        <v>273.52540822767878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0.19231254328619116</v>
      </c>
      <c r="AV164" s="21">
        <f>EXP(-LN(2)/25)*AV163+(1-EXP(-LN(2)/25))/(LN(2)/25)*Calculateur!AQ164*Calculateur!AS164*VLOOKUP('Données projet'!$B$10,Paramètres!$A$1:$I$89,3,0)*0.475*44/12</f>
        <v>0.37172518898656715</v>
      </c>
      <c r="AW164" s="21">
        <f>EXP(-LN(2)/2)*AW163+(1-EXP(-LN(2)/2))/(LN(2)/2)*AQ164*AT164*VLOOKUP('Données projet'!$B$10,Paramètres!$A$1:$I$89,3,0)*0.475*44/12</f>
        <v>4.4471379527023949E-19</v>
      </c>
      <c r="AX164" s="21">
        <f t="shared" si="166"/>
        <v>0.56403773227275833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2.8421709430404007E-14</v>
      </c>
      <c r="BE164" s="13">
        <f>BD164*VLOOKUP('Données projet'!$B$11,Paramètres!$A$1:$I$89,3,0)*VLOOKUP('Données projet'!$B$11,Paramètres!$A$1:$I$89,5,0)</f>
        <v>2.5715962692629544E-14</v>
      </c>
      <c r="BF164" s="13">
        <f t="shared" si="167"/>
        <v>4.5248818890525812E-13</v>
      </c>
      <c r="BG164" s="20">
        <f t="shared" si="168"/>
        <v>8.3287223069965432E-13</v>
      </c>
      <c r="BH164" s="59">
        <f t="shared" si="116"/>
        <v>293.33333333333417</v>
      </c>
      <c r="BI164" s="59">
        <f ca="1">AVERAGE(OFFSET($BH$3,0,0,'Données projet'!$E$11+1,1))-AVERAGE(OFFSET($H$3,0,0,'Données projet'!$E$11+1,1))</f>
        <v>138.8931001150624</v>
      </c>
      <c r="BJ164" s="59">
        <f t="shared" si="146"/>
        <v>48.964659354096625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2.8421709430404007E-14</v>
      </c>
      <c r="BZ164" s="13">
        <f>BY164*VLOOKUP('Données projet'!$B$12,Paramètres!$A$1:$I$89,3,0)*VLOOKUP('Données projet'!$B$12,Paramètres!$A$1:$I$89,5,0)</f>
        <v>2.8819613362429664E-14</v>
      </c>
      <c r="CA164" s="13">
        <f t="shared" si="170"/>
        <v>5.0041752926933358E-13</v>
      </c>
      <c r="CB164" s="20">
        <f t="shared" si="171"/>
        <v>9.2175469008365428E-13</v>
      </c>
      <c r="CC164" s="59">
        <f t="shared" si="119"/>
        <v>293.33333333333422</v>
      </c>
      <c r="CD164" s="59">
        <f ca="1">AVERAGE(OFFSET($CC$3,0,0,'Données projet'!$E$12+1,1))-AVERAGE(OFFSET($H$3,0,0,'Données projet'!$E$12+1,1))</f>
        <v>169.2757878405003</v>
      </c>
      <c r="CE164" s="59">
        <f t="shared" si="148"/>
        <v>61.876502626609977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-8.5265128291212022E-14</v>
      </c>
      <c r="CU164" s="17">
        <f>CT164*VLOOKUP('Données projet'!$B$13,Paramètres!$A$1:$I$89,3,0)*VLOOKUP('Données projet'!$B$13,Paramètres!$A$1:$I$89,5,0)</f>
        <v>-6.7836936068488286E-14</v>
      </c>
      <c r="CV164" s="13" t="e">
        <f t="shared" si="173"/>
        <v>#NUM!</v>
      </c>
      <c r="CW164" s="20" t="e">
        <f t="shared" si="174"/>
        <v>#NUM!</v>
      </c>
      <c r="CX164" s="59" t="e">
        <f t="shared" si="122"/>
        <v>#NUM!</v>
      </c>
      <c r="CY164" s="59">
        <f ca="1">AVERAGE(OFFSET($CX$3,0,0,'Données projet'!$E$13+1,1))-AVERAGE(OFFSET($H$3,0,0,'Données projet'!$E$13+1,1))</f>
        <v>141.12810728817544</v>
      </c>
      <c r="CZ164" s="59">
        <f t="shared" si="150"/>
        <v>176.01405805137551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>
        <f>EXP(-LN(2)/35)*DF163+(1-EXP(-LN(2)/35))/(LN(2)/35)*DB164*DC164*VLOOKUP('Données projet'!$B$13,Paramètres!$A$1:$I$89,3,0)*0.475*44/12</f>
        <v>0</v>
      </c>
      <c r="DG164" s="21">
        <f>EXP(-LN(2)/25)*DG163+(1-EXP(-LN(2)/25))/(LN(2)/25)*Calculateur!DB164*Calculateur!DD164*VLOOKUP('Données projet'!$B$13,Paramètres!$A$1:$I$89,3,0)*0.475*44/12</f>
        <v>0.17788464768199638</v>
      </c>
      <c r="DH164" s="21">
        <f>EXP(-LN(2)/2)*DH163+(1-EXP(-LN(2)/2))/(LN(2)/2)*DB164*DE164*VLOOKUP('Données projet'!$B$13,Paramètres!$A$1:$I$89,3,0)*0.475*44/12</f>
        <v>1.5342885122816287E-19</v>
      </c>
      <c r="DI164" s="22">
        <f t="shared" si="175"/>
        <v>0.17788464768199638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5.6843418860808015E-14</v>
      </c>
      <c r="DP164" s="17">
        <f>DO164*VLOOKUP('Données projet'!$B$14,Paramètres!$A$1:$I$89,3,0)*VLOOKUP('Données projet'!$B$14,Paramètres!$A$1:$I$89,5,0)</f>
        <v>3.3992364478763198E-14</v>
      </c>
      <c r="DQ164" s="13">
        <f t="shared" si="176"/>
        <v>5.790027782444094E-13</v>
      </c>
      <c r="DR164" s="20">
        <f t="shared" si="177"/>
        <v>1.0676332069095257E-12</v>
      </c>
      <c r="DS164" s="59">
        <f t="shared" si="125"/>
        <v>293.33333333333439</v>
      </c>
      <c r="DT164" s="59">
        <f ca="1">AVERAGE(OFFSET($DS$3,0,0,'Données projet'!$E$14+1,1))-AVERAGE(OFFSET($H$3,0,0,'Données projet'!$E$14+1,1))</f>
        <v>165.39579887388538</v>
      </c>
      <c r="DU164" s="59">
        <f t="shared" si="152"/>
        <v>155.89639262545802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>
        <f>EXP(-LN(2)/35)*EA163+(1-EXP(-LN(2)/35))/(LN(2)/35)*DW164*DX164*VLOOKUP('Données projet'!$B$14,Paramètres!$A$1:$I$89,3,0)*0.475*44/12</f>
        <v>0</v>
      </c>
      <c r="EB164" s="21">
        <f>EXP(-LN(2)/25)*EB163+(1-EXP(-LN(2)/25))/(LN(2)/25)*Calculateur!DW164*Calculateur!DY164*VLOOKUP('Données projet'!$B$14,Paramètres!$A$1:$I$89,3,0)*0.475*44/12</f>
        <v>0.19287919279310495</v>
      </c>
      <c r="EC164" s="21">
        <f>EXP(-LN(2)/2)*EC163+(1-EXP(-LN(2)/2))/(LN(2)/2)*DW164*DZ164*VLOOKUP('Données projet'!$B$14,Paramètres!$A$1:$I$89,3,0)*0.475*44/12</f>
        <v>2.6602709270479318E-19</v>
      </c>
      <c r="ED164" s="22">
        <f t="shared" si="178"/>
        <v>0.19287919279310495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2.8421709430404007E-14</v>
      </c>
      <c r="EK164" s="17">
        <f>EJ164*VLOOKUP('Données projet'!$B$15,Paramètres!$A$1:$I$89,3,0)*VLOOKUP('Données projet'!$B$15,Paramètres!$A$1:$I$89,5,0)</f>
        <v>2.2168933355715127E-14</v>
      </c>
      <c r="EL164" s="13">
        <f t="shared" si="179"/>
        <v>3.9687356123668477E-13</v>
      </c>
      <c r="EM164" s="20">
        <f t="shared" si="180"/>
        <v>7.2983234474842979E-13</v>
      </c>
      <c r="EN164" s="59">
        <f t="shared" si="128"/>
        <v>293.33333333333405</v>
      </c>
      <c r="EO164" s="59">
        <f ca="1">AVERAGE(OFFSET($EN$3,0,0,'Données projet'!$E$15+1,1))-AVERAGE(OFFSET($H$3,0,0,'Données projet'!$E$15+1,1))</f>
        <v>104.07220236158577</v>
      </c>
      <c r="EP164" s="59">
        <f t="shared" si="154"/>
        <v>34.162068257911756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>
        <f>EXP(-LN(2)/35)*EV163+(1-EXP(-LN(2)/35))/(LN(2)/35)*ER164*ES164*VLOOKUP('Données projet'!$B$15,Paramètres!$A$1:$I$89,3,0)*0.475*44/12</f>
        <v>0</v>
      </c>
      <c r="EW164" s="21">
        <f>EXP(-LN(2)/25)*EW163+(1-EXP(-LN(2)/25))/(LN(2)/25)*Calculateur!ER164*Calculateur!ET164*VLOOKUP('Données projet'!$B$15,Paramètres!$A$1:$I$89,3,0)*0.475*44/12</f>
        <v>0</v>
      </c>
      <c r="EX164" s="21">
        <f>EXP(-LN(2)/2)*EX163+(1-EXP(-LN(2)/2))/(LN(2)/2)*ER164*EU164*VLOOKUP('Données projet'!$B$15,Paramètres!$A$1:$I$89,3,0)*0.475*44/12</f>
        <v>0</v>
      </c>
      <c r="EY164" s="22">
        <f t="shared" si="181"/>
        <v>0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5.6843418860808015E-14</v>
      </c>
      <c r="FF164" s="17">
        <f>FE164*VLOOKUP('Données projet'!$B$16,Paramètres!$A$1:$I$89,3,0)*VLOOKUP('Données projet'!$B$16,Paramètres!$A$1:$I$89,5,0)</f>
        <v>5.1431925385259088E-14</v>
      </c>
      <c r="FG164" s="13">
        <f t="shared" si="182"/>
        <v>8.3482866290946129E-13</v>
      </c>
      <c r="FH164" s="20">
        <f t="shared" si="183"/>
        <v>1.5435705246133045E-12</v>
      </c>
      <c r="FI164" s="59">
        <f t="shared" si="131"/>
        <v>293.33333333333485</v>
      </c>
      <c r="FJ164" s="59">
        <f ca="1">AVERAGE(OFFSET($FI$3,0,0,'Données projet'!$E$16+1,1))-AVERAGE(OFFSET($H$3,0,0,'Données projet'!$E$16+1,1))</f>
        <v>179.50097986986123</v>
      </c>
      <c r="FK164" s="59">
        <f t="shared" si="156"/>
        <v>287.11838730637578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>
        <f>EXP(-LN(2)/35)*FQ163+(1-EXP(-LN(2)/35))/(LN(2)/35)*FM164*FN164*VLOOKUP('Données projet'!$B$16,Paramètres!$A$1:$I$89,3,0)*0.475*44/12</f>
        <v>4.6562612204498095E-2</v>
      </c>
      <c r="FR164" s="21">
        <f>EXP(-LN(2)/25)*FR163+(1-EXP(-LN(2)/25))/(LN(2)/25)*Calculateur!FM164*Calculateur!FO164*VLOOKUP('Données projet'!$B$16,Paramètres!$A$1:$I$89,3,0)*0.475*44/12</f>
        <v>0.16653453137622554</v>
      </c>
      <c r="FS164" s="21">
        <f>EXP(-LN(2)/2)*FS163+(1-EXP(-LN(2)/2))/(LN(2)/2)*FM164*FP164*VLOOKUP('Données projet'!$B$16,Paramètres!$A$1:$I$89,3,0)*0.475*44/12</f>
        <v>8.6646334801333242E-20</v>
      </c>
      <c r="FT164" s="22">
        <f t="shared" si="184"/>
        <v>0.21309714358072362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5.6843418860808015E-14</v>
      </c>
      <c r="GA164" s="17">
        <f>FZ164*VLOOKUP('Données projet'!$B$17,Paramètres!$A$1:$I$89,3,0)*VLOOKUP('Données projet'!$B$17,Paramètres!$A$1:$I$89,5,0)</f>
        <v>3.3992364478763198E-14</v>
      </c>
      <c r="GB164" s="13">
        <f t="shared" si="185"/>
        <v>5.790027782444094E-13</v>
      </c>
      <c r="GC164" s="20">
        <f t="shared" si="186"/>
        <v>1.0676332069095257E-12</v>
      </c>
      <c r="GD164" s="59">
        <f t="shared" si="134"/>
        <v>293.33333333333439</v>
      </c>
      <c r="GE164" s="59">
        <f ca="1">AVERAGE(OFFSET($GD$3,0,0,'Données projet'!$E$17+1,1))-AVERAGE(OFFSET($H$3,0,0,'Données projet'!$E$17+1,1))</f>
        <v>165.39579887388538</v>
      </c>
      <c r="GF164" s="59">
        <f t="shared" si="158"/>
        <v>155.89639262545802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>
        <f>EXP(-LN(2)/35)*GL163+(1-EXP(-LN(2)/35))/(LN(2)/35)*GH164*GI164*VLOOKUP('Données projet'!$B$17,Paramètres!$A$1:$I$89,3,0)*0.475*44/12</f>
        <v>0</v>
      </c>
      <c r="GM164" s="21">
        <f>EXP(-LN(2)/25)*GM163+(1-EXP(-LN(2)/25))/(LN(2)/25)*Calculateur!GH164*Calculateur!GJ164*VLOOKUP('Données projet'!$B$17,Paramètres!$A$1:$I$89,3,0)*0.475*44/12</f>
        <v>0.19287919279310495</v>
      </c>
      <c r="GN164" s="21">
        <f>EXP(-LN(2)/2)*GN163+(1-EXP(-LN(2)/2))/(LN(2)/2)*GH164*GK164*VLOOKUP('Données projet'!$B$17,Paramètres!$A$1:$I$89,3,0)*0.475*44/12</f>
        <v>2.6602709270479318E-19</v>
      </c>
      <c r="GO164" s="21">
        <f t="shared" si="187"/>
        <v>0.19287919279310495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3.4106051316484809E-13</v>
      </c>
      <c r="O165" s="13">
        <f>N165*VLOOKUP('Données projet'!$B$9,Paramètres!$A$1:$I$89,3,0)*VLOOKUP('Données projet'!$B$9,Paramètres!$A$1:$I$89,5,0)</f>
        <v>1.9065282685915009E-13</v>
      </c>
      <c r="P165" s="13">
        <f t="shared" si="141"/>
        <v>2.6568987209435707E-12</v>
      </c>
      <c r="Q165" s="20">
        <f t="shared" si="162"/>
        <v>4.959485612423072E-12</v>
      </c>
      <c r="R165" s="59">
        <f t="shared" si="109"/>
        <v>293.33333333333826</v>
      </c>
      <c r="S165" s="59">
        <f ca="1">AVERAGE(OFFSET($R$3,0,0,'Données projet'!$E$9+1,1))-AVERAGE(OFFSET($H$3,0,0,'Données projet'!$E$9+1,1))</f>
        <v>235.10258076192054</v>
      </c>
      <c r="T165" s="59">
        <f t="shared" si="142"/>
        <v>233.47316052603765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0.25088171706358059</v>
      </c>
      <c r="AA165" s="21">
        <f>EXP(-LN(2)/25)*AA164+(1-EXP(-LN(2)/25))/(LN(2)/25)*Calculateur!V165*Calculateur!X165*VLOOKUP('Données projet'!$B$9,Paramètres!$A$1:$I$89,3,0)*0.475*44/12</f>
        <v>0.4744626687849301</v>
      </c>
      <c r="AB165" s="21">
        <f>EXP(-LN(2)/2)*AB164+(1-EXP(-LN(2)/2))/(LN(2)/2)*V165*Y165*VLOOKUP('Données projet'!$B$9,Paramètres!$A$1:$I$89,3,0)*0.475*44/12</f>
        <v>3.2691516760736761E-19</v>
      </c>
      <c r="AC165" s="22">
        <f t="shared" si="163"/>
        <v>0.72534438584851069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-8.5265128291212022E-14</v>
      </c>
      <c r="AJ165" s="13">
        <f>AI165*VLOOKUP('Données projet'!$B$10,Paramètres!$A$1:$I$89,3,0)*VLOOKUP('Données projet'!$B$10,Paramètres!$A$1:$I$89,5,0)</f>
        <v>-7.4487616075202836E-14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191.94797389630673</v>
      </c>
      <c r="AO165" s="59">
        <f t="shared" si="144"/>
        <v>273.52540822767878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0.18854141161141802</v>
      </c>
      <c r="AV165" s="21">
        <f>EXP(-LN(2)/25)*AV164+(1-EXP(-LN(2)/25))/(LN(2)/25)*Calculateur!AQ165*Calculateur!AS165*VLOOKUP('Données projet'!$B$10,Paramètres!$A$1:$I$89,3,0)*0.475*44/12</f>
        <v>0.36156034414555138</v>
      </c>
      <c r="AW165" s="21">
        <f>EXP(-LN(2)/2)*AW164+(1-EXP(-LN(2)/2))/(LN(2)/2)*AQ165*AT165*VLOOKUP('Données projet'!$B$10,Paramètres!$A$1:$I$89,3,0)*0.475*44/12</f>
        <v>3.1446014032279234E-19</v>
      </c>
      <c r="AX165" s="21">
        <f t="shared" si="166"/>
        <v>0.5501017557569694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2.8421709430404007E-14</v>
      </c>
      <c r="BE165" s="13">
        <f>BD165*VLOOKUP('Données projet'!$B$11,Paramètres!$A$1:$I$89,3,0)*VLOOKUP('Données projet'!$B$11,Paramètres!$A$1:$I$89,5,0)</f>
        <v>2.5715962692629544E-14</v>
      </c>
      <c r="BF165" s="13">
        <f t="shared" si="167"/>
        <v>4.5248818890525812E-13</v>
      </c>
      <c r="BG165" s="20">
        <f t="shared" si="168"/>
        <v>8.3287223069965432E-13</v>
      </c>
      <c r="BH165" s="59">
        <f t="shared" si="116"/>
        <v>293.33333333333417</v>
      </c>
      <c r="BI165" s="59">
        <f ca="1">AVERAGE(OFFSET($BH$3,0,0,'Données projet'!$E$11+1,1))-AVERAGE(OFFSET($H$3,0,0,'Données projet'!$E$11+1,1))</f>
        <v>138.8931001150624</v>
      </c>
      <c r="BJ165" s="59">
        <f t="shared" si="146"/>
        <v>48.964659354096625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2.8421709430404007E-14</v>
      </c>
      <c r="BZ165" s="13">
        <f>BY165*VLOOKUP('Données projet'!$B$12,Paramètres!$A$1:$I$89,3,0)*VLOOKUP('Données projet'!$B$12,Paramètres!$A$1:$I$89,5,0)</f>
        <v>2.8819613362429664E-14</v>
      </c>
      <c r="CA165" s="13">
        <f t="shared" si="170"/>
        <v>5.0041752926933358E-13</v>
      </c>
      <c r="CB165" s="20">
        <f t="shared" si="171"/>
        <v>9.2175469008365428E-13</v>
      </c>
      <c r="CC165" s="59">
        <f t="shared" si="119"/>
        <v>293.33333333333422</v>
      </c>
      <c r="CD165" s="59">
        <f ca="1">AVERAGE(OFFSET($CC$3,0,0,'Données projet'!$E$12+1,1))-AVERAGE(OFFSET($H$3,0,0,'Données projet'!$E$12+1,1))</f>
        <v>169.2757878405003</v>
      </c>
      <c r="CE165" s="59">
        <f t="shared" si="148"/>
        <v>61.876502626609977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-8.5265128291212022E-14</v>
      </c>
      <c r="CU165" s="17">
        <f>CT165*VLOOKUP('Données projet'!$B$13,Paramètres!$A$1:$I$89,3,0)*VLOOKUP('Données projet'!$B$13,Paramètres!$A$1:$I$89,5,0)</f>
        <v>-6.7836936068488286E-14</v>
      </c>
      <c r="CV165" s="13" t="e">
        <f t="shared" si="173"/>
        <v>#NUM!</v>
      </c>
      <c r="CW165" s="20" t="e">
        <f t="shared" si="174"/>
        <v>#NUM!</v>
      </c>
      <c r="CX165" s="59" t="e">
        <f t="shared" si="122"/>
        <v>#NUM!</v>
      </c>
      <c r="CY165" s="59">
        <f ca="1">AVERAGE(OFFSET($CX$3,0,0,'Données projet'!$E$13+1,1))-AVERAGE(OFFSET($H$3,0,0,'Données projet'!$E$13+1,1))</f>
        <v>141.12810728817544</v>
      </c>
      <c r="CZ165" s="59">
        <f t="shared" si="150"/>
        <v>176.01405805137551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>
        <f>EXP(-LN(2)/35)*DF164+(1-EXP(-LN(2)/35))/(LN(2)/35)*DB165*DC165*VLOOKUP('Données projet'!$B$13,Paramètres!$A$1:$I$89,3,0)*0.475*44/12</f>
        <v>0</v>
      </c>
      <c r="DG165" s="21">
        <f>EXP(-LN(2)/25)*DG164+(1-EXP(-LN(2)/25))/(LN(2)/25)*Calculateur!DB165*Calculateur!DD165*VLOOKUP('Données projet'!$B$13,Paramètres!$A$1:$I$89,3,0)*0.475*44/12</f>
        <v>0.17302038263658512</v>
      </c>
      <c r="DH165" s="21">
        <f>EXP(-LN(2)/2)*DH164+(1-EXP(-LN(2)/2))/(LN(2)/2)*DB165*DE165*VLOOKUP('Données projet'!$B$13,Paramètres!$A$1:$I$89,3,0)*0.475*44/12</f>
        <v>1.0849058113309591E-19</v>
      </c>
      <c r="DI165" s="22">
        <f t="shared" si="175"/>
        <v>0.17302038263658512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5.6843418860808015E-14</v>
      </c>
      <c r="DP165" s="17">
        <f>DO165*VLOOKUP('Données projet'!$B$14,Paramètres!$A$1:$I$89,3,0)*VLOOKUP('Données projet'!$B$14,Paramètres!$A$1:$I$89,5,0)</f>
        <v>3.3992364478763198E-14</v>
      </c>
      <c r="DQ165" s="13">
        <f t="shared" si="176"/>
        <v>5.790027782444094E-13</v>
      </c>
      <c r="DR165" s="20">
        <f t="shared" si="177"/>
        <v>1.0676332069095257E-12</v>
      </c>
      <c r="DS165" s="59">
        <f t="shared" si="125"/>
        <v>293.33333333333439</v>
      </c>
      <c r="DT165" s="59">
        <f ca="1">AVERAGE(OFFSET($DS$3,0,0,'Données projet'!$E$14+1,1))-AVERAGE(OFFSET($H$3,0,0,'Données projet'!$E$14+1,1))</f>
        <v>165.39579887388538</v>
      </c>
      <c r="DU165" s="59">
        <f t="shared" si="152"/>
        <v>155.89639262545802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>
        <f>EXP(-LN(2)/35)*EA164+(1-EXP(-LN(2)/35))/(LN(2)/35)*DW165*DX165*VLOOKUP('Données projet'!$B$14,Paramètres!$A$1:$I$89,3,0)*0.475*44/12</f>
        <v>0</v>
      </c>
      <c r="EB165" s="21">
        <f>EXP(-LN(2)/25)*EB164+(1-EXP(-LN(2)/25))/(LN(2)/25)*Calculateur!DW165*Calculateur!DY165*VLOOKUP('Données projet'!$B$14,Paramètres!$A$1:$I$89,3,0)*0.475*44/12</f>
        <v>0.18760490112310158</v>
      </c>
      <c r="EC165" s="21">
        <f>EXP(-LN(2)/2)*EC164+(1-EXP(-LN(2)/2))/(LN(2)/2)*DW165*DZ165*VLOOKUP('Données projet'!$B$14,Paramètres!$A$1:$I$89,3,0)*0.475*44/12</f>
        <v>1.8810956123090159E-19</v>
      </c>
      <c r="ED165" s="22">
        <f t="shared" si="178"/>
        <v>0.18760490112310158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2.8421709430404007E-14</v>
      </c>
      <c r="EK165" s="17">
        <f>EJ165*VLOOKUP('Données projet'!$B$15,Paramètres!$A$1:$I$89,3,0)*VLOOKUP('Données projet'!$B$15,Paramètres!$A$1:$I$89,5,0)</f>
        <v>2.2168933355715127E-14</v>
      </c>
      <c r="EL165" s="13">
        <f t="shared" si="179"/>
        <v>3.9687356123668477E-13</v>
      </c>
      <c r="EM165" s="20">
        <f t="shared" si="180"/>
        <v>7.2983234474842979E-13</v>
      </c>
      <c r="EN165" s="59">
        <f t="shared" si="128"/>
        <v>293.33333333333405</v>
      </c>
      <c r="EO165" s="59">
        <f ca="1">AVERAGE(OFFSET($EN$3,0,0,'Données projet'!$E$15+1,1))-AVERAGE(OFFSET($H$3,0,0,'Données projet'!$E$15+1,1))</f>
        <v>104.07220236158577</v>
      </c>
      <c r="EP165" s="59">
        <f t="shared" si="154"/>
        <v>34.162068257911756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>
        <f>EXP(-LN(2)/35)*EV164+(1-EXP(-LN(2)/35))/(LN(2)/35)*ER165*ES165*VLOOKUP('Données projet'!$B$15,Paramètres!$A$1:$I$89,3,0)*0.475*44/12</f>
        <v>0</v>
      </c>
      <c r="EW165" s="21">
        <f>EXP(-LN(2)/25)*EW164+(1-EXP(-LN(2)/25))/(LN(2)/25)*Calculateur!ER165*Calculateur!ET165*VLOOKUP('Données projet'!$B$15,Paramètres!$A$1:$I$89,3,0)*0.475*44/12</f>
        <v>0</v>
      </c>
      <c r="EX165" s="21">
        <f>EXP(-LN(2)/2)*EX164+(1-EXP(-LN(2)/2))/(LN(2)/2)*ER165*EU165*VLOOKUP('Données projet'!$B$15,Paramètres!$A$1:$I$89,3,0)*0.475*44/12</f>
        <v>0</v>
      </c>
      <c r="EY165" s="22">
        <f t="shared" si="181"/>
        <v>0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5.6843418860808015E-14</v>
      </c>
      <c r="FF165" s="17">
        <f>FE165*VLOOKUP('Données projet'!$B$16,Paramètres!$A$1:$I$89,3,0)*VLOOKUP('Données projet'!$B$16,Paramètres!$A$1:$I$89,5,0)</f>
        <v>5.1431925385259088E-14</v>
      </c>
      <c r="FG165" s="13">
        <f t="shared" si="182"/>
        <v>8.3482866290946129E-13</v>
      </c>
      <c r="FH165" s="20">
        <f t="shared" si="183"/>
        <v>1.5435705246133045E-12</v>
      </c>
      <c r="FI165" s="59">
        <f t="shared" si="131"/>
        <v>293.33333333333485</v>
      </c>
      <c r="FJ165" s="59">
        <f ca="1">AVERAGE(OFFSET($FI$3,0,0,'Données projet'!$E$16+1,1))-AVERAGE(OFFSET($H$3,0,0,'Données projet'!$E$16+1,1))</f>
        <v>179.50097986986123</v>
      </c>
      <c r="FK165" s="59">
        <f t="shared" si="156"/>
        <v>287.11838730637578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>
        <f>EXP(-LN(2)/35)*FQ164+(1-EXP(-LN(2)/35))/(LN(2)/35)*FM165*FN165*VLOOKUP('Données projet'!$B$16,Paramètres!$A$1:$I$89,3,0)*0.475*44/12</f>
        <v>4.5649547779557029E-2</v>
      </c>
      <c r="FR165" s="21">
        <f>EXP(-LN(2)/25)*FR164+(1-EXP(-LN(2)/25))/(LN(2)/25)*Calculateur!FM165*Calculateur!FO165*VLOOKUP('Données projet'!$B$16,Paramètres!$A$1:$I$89,3,0)*0.475*44/12</f>
        <v>0.16198063585807226</v>
      </c>
      <c r="FS165" s="21">
        <f>EXP(-LN(2)/2)*FS164+(1-EXP(-LN(2)/2))/(LN(2)/2)*FM165*FP165*VLOOKUP('Données projet'!$B$16,Paramètres!$A$1:$I$89,3,0)*0.475*44/12</f>
        <v>6.1268210902982681E-20</v>
      </c>
      <c r="FT165" s="22">
        <f t="shared" si="184"/>
        <v>0.20763018363762931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5.6843418860808015E-14</v>
      </c>
      <c r="GA165" s="17">
        <f>FZ165*VLOOKUP('Données projet'!$B$17,Paramètres!$A$1:$I$89,3,0)*VLOOKUP('Données projet'!$B$17,Paramètres!$A$1:$I$89,5,0)</f>
        <v>3.3992364478763198E-14</v>
      </c>
      <c r="GB165" s="13">
        <f t="shared" si="185"/>
        <v>5.790027782444094E-13</v>
      </c>
      <c r="GC165" s="20">
        <f t="shared" si="186"/>
        <v>1.0676332069095257E-12</v>
      </c>
      <c r="GD165" s="59">
        <f t="shared" si="134"/>
        <v>293.33333333333439</v>
      </c>
      <c r="GE165" s="59">
        <f ca="1">AVERAGE(OFFSET($GD$3,0,0,'Données projet'!$E$17+1,1))-AVERAGE(OFFSET($H$3,0,0,'Données projet'!$E$17+1,1))</f>
        <v>165.39579887388538</v>
      </c>
      <c r="GF165" s="59">
        <f t="shared" si="158"/>
        <v>155.89639262545802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>
        <f>EXP(-LN(2)/35)*GL164+(1-EXP(-LN(2)/35))/(LN(2)/35)*GH165*GI165*VLOOKUP('Données projet'!$B$17,Paramètres!$A$1:$I$89,3,0)*0.475*44/12</f>
        <v>0</v>
      </c>
      <c r="GM165" s="21">
        <f>EXP(-LN(2)/25)*GM164+(1-EXP(-LN(2)/25))/(LN(2)/25)*Calculateur!GH165*Calculateur!GJ165*VLOOKUP('Données projet'!$B$17,Paramètres!$A$1:$I$89,3,0)*0.475*44/12</f>
        <v>0.18760490112310158</v>
      </c>
      <c r="GN165" s="21">
        <f>EXP(-LN(2)/2)*GN164+(1-EXP(-LN(2)/2))/(LN(2)/2)*GH165*GK165*VLOOKUP('Données projet'!$B$17,Paramètres!$A$1:$I$89,3,0)*0.475*44/12</f>
        <v>1.8810956123090159E-19</v>
      </c>
      <c r="GO165" s="21">
        <f t="shared" si="187"/>
        <v>0.18760490112310158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3.4106051316484809E-13</v>
      </c>
      <c r="O166" s="13">
        <f>N166*VLOOKUP('Données projet'!$B$9,Paramètres!$A$1:$I$89,3,0)*VLOOKUP('Données projet'!$B$9,Paramètres!$A$1:$I$89,5,0)</f>
        <v>1.9065282685915009E-13</v>
      </c>
      <c r="P166" s="13">
        <f t="shared" si="141"/>
        <v>2.6568987209435707E-12</v>
      </c>
      <c r="Q166" s="20">
        <f t="shared" si="162"/>
        <v>4.959485612423072E-12</v>
      </c>
      <c r="R166" s="59">
        <f t="shared" si="109"/>
        <v>293.33333333333826</v>
      </c>
      <c r="S166" s="59">
        <f ca="1">AVERAGE(OFFSET($R$3,0,0,'Données projet'!$E$9+1,1))-AVERAGE(OFFSET($H$3,0,0,'Données projet'!$E$9+1,1))</f>
        <v>235.10258076192054</v>
      </c>
      <c r="T166" s="59">
        <f t="shared" si="142"/>
        <v>233.47316052603765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0.24596207961470143</v>
      </c>
      <c r="AA166" s="21">
        <f>EXP(-LN(2)/25)*AA165+(1-EXP(-LN(2)/25))/(LN(2)/25)*Calculateur!V166*Calculateur!X166*VLOOKUP('Données projet'!$B$9,Paramètres!$A$1:$I$89,3,0)*0.475*44/12</f>
        <v>0.46148846215609884</v>
      </c>
      <c r="AB166" s="21">
        <f>EXP(-LN(2)/2)*AB165+(1-EXP(-LN(2)/2))/(LN(2)/2)*V166*Y166*VLOOKUP('Données projet'!$B$9,Paramètres!$A$1:$I$89,3,0)*0.475*44/12</f>
        <v>2.311639318879064E-19</v>
      </c>
      <c r="AC166" s="22">
        <f t="shared" si="163"/>
        <v>0.70745054177080025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-8.5265128291212022E-14</v>
      </c>
      <c r="AJ166" s="13">
        <f>AI166*VLOOKUP('Données projet'!$B$10,Paramètres!$A$1:$I$89,3,0)*VLOOKUP('Données projet'!$B$10,Paramètres!$A$1:$I$89,5,0)</f>
        <v>-7.4487616075202836E-14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191.94797389630673</v>
      </c>
      <c r="AO166" s="59">
        <f t="shared" si="144"/>
        <v>273.52540822767878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0.184844229528624</v>
      </c>
      <c r="AV166" s="21">
        <f>EXP(-LN(2)/25)*AV165+(1-EXP(-LN(2)/25))/(LN(2)/25)*Calculateur!AQ166*Calculateur!AS166*VLOOKUP('Données projet'!$B$10,Paramètres!$A$1:$I$89,3,0)*0.475*44/12</f>
        <v>0.35167345752125911</v>
      </c>
      <c r="AW166" s="21">
        <f>EXP(-LN(2)/2)*AW165+(1-EXP(-LN(2)/2))/(LN(2)/2)*AQ166*AT166*VLOOKUP('Données projet'!$B$10,Paramètres!$A$1:$I$89,3,0)*0.475*44/12</f>
        <v>2.2235689763511975E-19</v>
      </c>
      <c r="AX166" s="21">
        <f t="shared" si="166"/>
        <v>0.53651768704988312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2.8421709430404007E-14</v>
      </c>
      <c r="BE166" s="13">
        <f>BD166*VLOOKUP('Données projet'!$B$11,Paramètres!$A$1:$I$89,3,0)*VLOOKUP('Données projet'!$B$11,Paramètres!$A$1:$I$89,5,0)</f>
        <v>2.5715962692629544E-14</v>
      </c>
      <c r="BF166" s="13">
        <f t="shared" si="167"/>
        <v>4.5248818890525812E-13</v>
      </c>
      <c r="BG166" s="20">
        <f t="shared" si="168"/>
        <v>8.3287223069965432E-13</v>
      </c>
      <c r="BH166" s="59">
        <f t="shared" si="116"/>
        <v>293.33333333333417</v>
      </c>
      <c r="BI166" s="59">
        <f ca="1">AVERAGE(OFFSET($BH$3,0,0,'Données projet'!$E$11+1,1))-AVERAGE(OFFSET($H$3,0,0,'Données projet'!$E$11+1,1))</f>
        <v>138.8931001150624</v>
      </c>
      <c r="BJ166" s="59">
        <f t="shared" si="146"/>
        <v>48.964659354096625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2.8421709430404007E-14</v>
      </c>
      <c r="BZ166" s="13">
        <f>BY166*VLOOKUP('Données projet'!$B$12,Paramètres!$A$1:$I$89,3,0)*VLOOKUP('Données projet'!$B$12,Paramètres!$A$1:$I$89,5,0)</f>
        <v>2.8819613362429664E-14</v>
      </c>
      <c r="CA166" s="13">
        <f t="shared" si="170"/>
        <v>5.0041752926933358E-13</v>
      </c>
      <c r="CB166" s="20">
        <f t="shared" si="171"/>
        <v>9.2175469008365428E-13</v>
      </c>
      <c r="CC166" s="59">
        <f t="shared" si="119"/>
        <v>293.33333333333422</v>
      </c>
      <c r="CD166" s="59">
        <f ca="1">AVERAGE(OFFSET($CC$3,0,0,'Données projet'!$E$12+1,1))-AVERAGE(OFFSET($H$3,0,0,'Données projet'!$E$12+1,1))</f>
        <v>169.2757878405003</v>
      </c>
      <c r="CE166" s="59">
        <f t="shared" si="148"/>
        <v>61.876502626609977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-8.5265128291212022E-14</v>
      </c>
      <c r="CU166" s="17">
        <f>CT166*VLOOKUP('Données projet'!$B$13,Paramètres!$A$1:$I$89,3,0)*VLOOKUP('Données projet'!$B$13,Paramètres!$A$1:$I$89,5,0)</f>
        <v>-6.7836936068488286E-14</v>
      </c>
      <c r="CV166" s="13" t="e">
        <f t="shared" si="173"/>
        <v>#NUM!</v>
      </c>
      <c r="CW166" s="20" t="e">
        <f t="shared" si="174"/>
        <v>#NUM!</v>
      </c>
      <c r="CX166" s="59" t="e">
        <f t="shared" si="122"/>
        <v>#NUM!</v>
      </c>
      <c r="CY166" s="59">
        <f ca="1">AVERAGE(OFFSET($CX$3,0,0,'Données projet'!$E$13+1,1))-AVERAGE(OFFSET($H$3,0,0,'Données projet'!$E$13+1,1))</f>
        <v>141.12810728817544</v>
      </c>
      <c r="CZ166" s="59">
        <f t="shared" si="150"/>
        <v>176.01405805137551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>
        <f>EXP(-LN(2)/35)*DF165+(1-EXP(-LN(2)/35))/(LN(2)/35)*DB166*DC166*VLOOKUP('Données projet'!$B$13,Paramètres!$A$1:$I$89,3,0)*0.475*44/12</f>
        <v>0</v>
      </c>
      <c r="DG166" s="21">
        <f>EXP(-LN(2)/25)*DG165+(1-EXP(-LN(2)/25))/(LN(2)/25)*Calculateur!DB166*Calculateur!DD166*VLOOKUP('Données projet'!$B$13,Paramètres!$A$1:$I$89,3,0)*0.475*44/12</f>
        <v>0.16828913117464123</v>
      </c>
      <c r="DH166" s="21">
        <f>EXP(-LN(2)/2)*DH165+(1-EXP(-LN(2)/2))/(LN(2)/2)*DB166*DE166*VLOOKUP('Données projet'!$B$13,Paramètres!$A$1:$I$89,3,0)*0.475*44/12</f>
        <v>7.6714425614081435E-20</v>
      </c>
      <c r="DI166" s="22">
        <f t="shared" si="175"/>
        <v>0.16828913117464123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5.6843418860808015E-14</v>
      </c>
      <c r="DP166" s="17">
        <f>DO166*VLOOKUP('Données projet'!$B$14,Paramètres!$A$1:$I$89,3,0)*VLOOKUP('Données projet'!$B$14,Paramètres!$A$1:$I$89,5,0)</f>
        <v>3.3992364478763198E-14</v>
      </c>
      <c r="DQ166" s="13">
        <f t="shared" si="176"/>
        <v>5.790027782444094E-13</v>
      </c>
      <c r="DR166" s="20">
        <f t="shared" si="177"/>
        <v>1.0676332069095257E-12</v>
      </c>
      <c r="DS166" s="59">
        <f t="shared" si="125"/>
        <v>293.33333333333439</v>
      </c>
      <c r="DT166" s="59">
        <f ca="1">AVERAGE(OFFSET($DS$3,0,0,'Données projet'!$E$14+1,1))-AVERAGE(OFFSET($H$3,0,0,'Données projet'!$E$14+1,1))</f>
        <v>165.39579887388538</v>
      </c>
      <c r="DU166" s="59">
        <f t="shared" si="152"/>
        <v>155.89639262545802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>
        <f>EXP(-LN(2)/35)*EA165+(1-EXP(-LN(2)/35))/(LN(2)/35)*DW166*DX166*VLOOKUP('Données projet'!$B$14,Paramètres!$A$1:$I$89,3,0)*0.475*44/12</f>
        <v>0</v>
      </c>
      <c r="EB166" s="21">
        <f>EXP(-LN(2)/25)*EB165+(1-EXP(-LN(2)/25))/(LN(2)/25)*Calculateur!DW166*Calculateur!DY166*VLOOKUP('Données projet'!$B$14,Paramètres!$A$1:$I$89,3,0)*0.475*44/12</f>
        <v>0.18247483523617739</v>
      </c>
      <c r="EC166" s="21">
        <f>EXP(-LN(2)/2)*EC165+(1-EXP(-LN(2)/2))/(LN(2)/2)*DW166*DZ166*VLOOKUP('Données projet'!$B$14,Paramètres!$A$1:$I$89,3,0)*0.475*44/12</f>
        <v>1.3301354635239659E-19</v>
      </c>
      <c r="ED166" s="22">
        <f t="shared" si="178"/>
        <v>0.18247483523617739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2.8421709430404007E-14</v>
      </c>
      <c r="EK166" s="17">
        <f>EJ166*VLOOKUP('Données projet'!$B$15,Paramètres!$A$1:$I$89,3,0)*VLOOKUP('Données projet'!$B$15,Paramètres!$A$1:$I$89,5,0)</f>
        <v>2.2168933355715127E-14</v>
      </c>
      <c r="EL166" s="13">
        <f t="shared" si="179"/>
        <v>3.9687356123668477E-13</v>
      </c>
      <c r="EM166" s="20">
        <f t="shared" si="180"/>
        <v>7.2983234474842979E-13</v>
      </c>
      <c r="EN166" s="59">
        <f t="shared" si="128"/>
        <v>293.33333333333405</v>
      </c>
      <c r="EO166" s="59">
        <f ca="1">AVERAGE(OFFSET($EN$3,0,0,'Données projet'!$E$15+1,1))-AVERAGE(OFFSET($H$3,0,0,'Données projet'!$E$15+1,1))</f>
        <v>104.07220236158577</v>
      </c>
      <c r="EP166" s="59">
        <f t="shared" si="154"/>
        <v>34.162068257911756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>
        <f>EXP(-LN(2)/35)*EV165+(1-EXP(-LN(2)/35))/(LN(2)/35)*ER166*ES166*VLOOKUP('Données projet'!$B$15,Paramètres!$A$1:$I$89,3,0)*0.475*44/12</f>
        <v>0</v>
      </c>
      <c r="EW166" s="21">
        <f>EXP(-LN(2)/25)*EW165+(1-EXP(-LN(2)/25))/(LN(2)/25)*Calculateur!ER166*Calculateur!ET166*VLOOKUP('Données projet'!$B$15,Paramètres!$A$1:$I$89,3,0)*0.475*44/12</f>
        <v>0</v>
      </c>
      <c r="EX166" s="21">
        <f>EXP(-LN(2)/2)*EX165+(1-EXP(-LN(2)/2))/(LN(2)/2)*ER166*EU166*VLOOKUP('Données projet'!$B$15,Paramètres!$A$1:$I$89,3,0)*0.475*44/12</f>
        <v>0</v>
      </c>
      <c r="EY166" s="22">
        <f t="shared" si="181"/>
        <v>0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5.6843418860808015E-14</v>
      </c>
      <c r="FF166" s="17">
        <f>FE166*VLOOKUP('Données projet'!$B$16,Paramètres!$A$1:$I$89,3,0)*VLOOKUP('Données projet'!$B$16,Paramètres!$A$1:$I$89,5,0)</f>
        <v>5.1431925385259088E-14</v>
      </c>
      <c r="FG166" s="13">
        <f t="shared" si="182"/>
        <v>8.3482866290946129E-13</v>
      </c>
      <c r="FH166" s="20">
        <f t="shared" si="183"/>
        <v>1.5435705246133045E-12</v>
      </c>
      <c r="FI166" s="59">
        <f t="shared" si="131"/>
        <v>293.33333333333485</v>
      </c>
      <c r="FJ166" s="59">
        <f ca="1">AVERAGE(OFFSET($FI$3,0,0,'Données projet'!$E$16+1,1))-AVERAGE(OFFSET($H$3,0,0,'Données projet'!$E$16+1,1))</f>
        <v>179.50097986986123</v>
      </c>
      <c r="FK166" s="59">
        <f t="shared" si="156"/>
        <v>287.11838730637578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>
        <f>EXP(-LN(2)/35)*FQ165+(1-EXP(-LN(2)/35))/(LN(2)/35)*FM166*FN166*VLOOKUP('Données projet'!$B$16,Paramètres!$A$1:$I$89,3,0)*0.475*44/12</f>
        <v>4.4754387991074743E-2</v>
      </c>
      <c r="FR166" s="21">
        <f>EXP(-LN(2)/25)*FR165+(1-EXP(-LN(2)/25))/(LN(2)/25)*Calculateur!FM166*Calculateur!FO166*VLOOKUP('Données projet'!$B$16,Paramètres!$A$1:$I$89,3,0)*0.475*44/12</f>
        <v>0.15755126685234186</v>
      </c>
      <c r="FS166" s="21">
        <f>EXP(-LN(2)/2)*FS165+(1-EXP(-LN(2)/2))/(LN(2)/2)*FM166*FP166*VLOOKUP('Données projet'!$B$16,Paramètres!$A$1:$I$89,3,0)*0.475*44/12</f>
        <v>4.3323167400666621E-20</v>
      </c>
      <c r="FT166" s="22">
        <f t="shared" si="184"/>
        <v>0.20230565484341662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5.6843418860808015E-14</v>
      </c>
      <c r="GA166" s="17">
        <f>FZ166*VLOOKUP('Données projet'!$B$17,Paramètres!$A$1:$I$89,3,0)*VLOOKUP('Données projet'!$B$17,Paramètres!$A$1:$I$89,5,0)</f>
        <v>3.3992364478763198E-14</v>
      </c>
      <c r="GB166" s="13">
        <f t="shared" si="185"/>
        <v>5.790027782444094E-13</v>
      </c>
      <c r="GC166" s="20">
        <f t="shared" si="186"/>
        <v>1.0676332069095257E-12</v>
      </c>
      <c r="GD166" s="59">
        <f t="shared" si="134"/>
        <v>293.33333333333439</v>
      </c>
      <c r="GE166" s="59">
        <f ca="1">AVERAGE(OFFSET($GD$3,0,0,'Données projet'!$E$17+1,1))-AVERAGE(OFFSET($H$3,0,0,'Données projet'!$E$17+1,1))</f>
        <v>165.39579887388538</v>
      </c>
      <c r="GF166" s="59">
        <f t="shared" si="158"/>
        <v>155.89639262545802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>
        <f>EXP(-LN(2)/35)*GL165+(1-EXP(-LN(2)/35))/(LN(2)/35)*GH166*GI166*VLOOKUP('Données projet'!$B$17,Paramètres!$A$1:$I$89,3,0)*0.475*44/12</f>
        <v>0</v>
      </c>
      <c r="GM166" s="21">
        <f>EXP(-LN(2)/25)*GM165+(1-EXP(-LN(2)/25))/(LN(2)/25)*Calculateur!GH166*Calculateur!GJ166*VLOOKUP('Données projet'!$B$17,Paramètres!$A$1:$I$89,3,0)*0.475*44/12</f>
        <v>0.18247483523617739</v>
      </c>
      <c r="GN166" s="21">
        <f>EXP(-LN(2)/2)*GN165+(1-EXP(-LN(2)/2))/(LN(2)/2)*GH166*GK166*VLOOKUP('Données projet'!$B$17,Paramètres!$A$1:$I$89,3,0)*0.475*44/12</f>
        <v>1.3301354635239659E-19</v>
      </c>
      <c r="GO166" s="21">
        <f t="shared" si="187"/>
        <v>0.18247483523617739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3.4106051316484809E-13</v>
      </c>
      <c r="O167" s="13">
        <f>N167*VLOOKUP('Données projet'!$B$9,Paramètres!$A$1:$I$89,3,0)*VLOOKUP('Données projet'!$B$9,Paramètres!$A$1:$I$89,5,0)</f>
        <v>1.9065282685915009E-13</v>
      </c>
      <c r="P167" s="13">
        <f t="shared" si="141"/>
        <v>2.6568987209435707E-12</v>
      </c>
      <c r="Q167" s="20">
        <f t="shared" si="162"/>
        <v>4.959485612423072E-12</v>
      </c>
      <c r="R167" s="59">
        <f t="shared" si="109"/>
        <v>293.33333333333826</v>
      </c>
      <c r="S167" s="59">
        <f ca="1">AVERAGE(OFFSET($R$3,0,0,'Données projet'!$E$9+1,1))-AVERAGE(OFFSET($H$3,0,0,'Données projet'!$E$9+1,1))</f>
        <v>235.10258076192054</v>
      </c>
      <c r="T167" s="59">
        <f t="shared" si="142"/>
        <v>233.47316052603765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0.24113891325551226</v>
      </c>
      <c r="AA167" s="21">
        <f>EXP(-LN(2)/25)*AA166+(1-EXP(-LN(2)/25))/(LN(2)/25)*Calculateur!V167*Calculateur!X167*VLOOKUP('Données projet'!$B$9,Paramètres!$A$1:$I$89,3,0)*0.475*44/12</f>
        <v>0.44886903588981686</v>
      </c>
      <c r="AB167" s="21">
        <f>EXP(-LN(2)/2)*AB166+(1-EXP(-LN(2)/2))/(LN(2)/2)*V167*Y167*VLOOKUP('Données projet'!$B$9,Paramètres!$A$1:$I$89,3,0)*0.475*44/12</f>
        <v>1.6345758380368381E-19</v>
      </c>
      <c r="AC167" s="22">
        <f t="shared" si="163"/>
        <v>0.69000794914532915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-8.5265128291212022E-14</v>
      </c>
      <c r="AJ167" s="13">
        <f>AI167*VLOOKUP('Données projet'!$B$10,Paramètres!$A$1:$I$89,3,0)*VLOOKUP('Données projet'!$B$10,Paramètres!$A$1:$I$89,5,0)</f>
        <v>-7.4487616075202836E-14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191.94797389630673</v>
      </c>
      <c r="AO167" s="59">
        <f t="shared" si="144"/>
        <v>273.52540822767878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0.18121954693141518</v>
      </c>
      <c r="AV167" s="21">
        <f>EXP(-LN(2)/25)*AV166+(1-EXP(-LN(2)/25))/(LN(2)/25)*Calculateur!AQ167*Calculateur!AS167*VLOOKUP('Données projet'!$B$10,Paramètres!$A$1:$I$89,3,0)*0.475*44/12</f>
        <v>0.34205692833163692</v>
      </c>
      <c r="AW167" s="21">
        <f>EXP(-LN(2)/2)*AW166+(1-EXP(-LN(2)/2))/(LN(2)/2)*AQ167*AT167*VLOOKUP('Données projet'!$B$10,Paramètres!$A$1:$I$89,3,0)*0.475*44/12</f>
        <v>1.5723007016139617E-19</v>
      </c>
      <c r="AX167" s="21">
        <f t="shared" si="166"/>
        <v>0.5232764752630521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2.8421709430404007E-14</v>
      </c>
      <c r="BE167" s="13">
        <f>BD167*VLOOKUP('Données projet'!$B$11,Paramètres!$A$1:$I$89,3,0)*VLOOKUP('Données projet'!$B$11,Paramètres!$A$1:$I$89,5,0)</f>
        <v>2.5715962692629544E-14</v>
      </c>
      <c r="BF167" s="13">
        <f t="shared" si="167"/>
        <v>4.5248818890525812E-13</v>
      </c>
      <c r="BG167" s="20">
        <f t="shared" si="168"/>
        <v>8.3287223069965432E-13</v>
      </c>
      <c r="BH167" s="59">
        <f t="shared" si="116"/>
        <v>293.33333333333417</v>
      </c>
      <c r="BI167" s="59">
        <f ca="1">AVERAGE(OFFSET($BH$3,0,0,'Données projet'!$E$11+1,1))-AVERAGE(OFFSET($H$3,0,0,'Données projet'!$E$11+1,1))</f>
        <v>138.8931001150624</v>
      </c>
      <c r="BJ167" s="59">
        <f t="shared" si="146"/>
        <v>48.964659354096625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2.8421709430404007E-14</v>
      </c>
      <c r="BZ167" s="13">
        <f>BY167*VLOOKUP('Données projet'!$B$12,Paramètres!$A$1:$I$89,3,0)*VLOOKUP('Données projet'!$B$12,Paramètres!$A$1:$I$89,5,0)</f>
        <v>2.8819613362429664E-14</v>
      </c>
      <c r="CA167" s="13">
        <f t="shared" si="170"/>
        <v>5.0041752926933358E-13</v>
      </c>
      <c r="CB167" s="20">
        <f t="shared" si="171"/>
        <v>9.2175469008365428E-13</v>
      </c>
      <c r="CC167" s="59">
        <f t="shared" si="119"/>
        <v>293.33333333333422</v>
      </c>
      <c r="CD167" s="59">
        <f ca="1">AVERAGE(OFFSET($CC$3,0,0,'Données projet'!$E$12+1,1))-AVERAGE(OFFSET($H$3,0,0,'Données projet'!$E$12+1,1))</f>
        <v>169.2757878405003</v>
      </c>
      <c r="CE167" s="59">
        <f t="shared" si="148"/>
        <v>61.876502626609977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-8.5265128291212022E-14</v>
      </c>
      <c r="CU167" s="17">
        <f>CT167*VLOOKUP('Données projet'!$B$13,Paramètres!$A$1:$I$89,3,0)*VLOOKUP('Données projet'!$B$13,Paramètres!$A$1:$I$89,5,0)</f>
        <v>-6.7836936068488286E-14</v>
      </c>
      <c r="CV167" s="13" t="e">
        <f t="shared" si="173"/>
        <v>#NUM!</v>
      </c>
      <c r="CW167" s="20" t="e">
        <f t="shared" si="174"/>
        <v>#NUM!</v>
      </c>
      <c r="CX167" s="59" t="e">
        <f t="shared" si="122"/>
        <v>#NUM!</v>
      </c>
      <c r="CY167" s="59">
        <f ca="1">AVERAGE(OFFSET($CX$3,0,0,'Données projet'!$E$13+1,1))-AVERAGE(OFFSET($H$3,0,0,'Données projet'!$E$13+1,1))</f>
        <v>141.12810728817544</v>
      </c>
      <c r="CZ167" s="59">
        <f t="shared" si="150"/>
        <v>176.01405805137551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>
        <f>EXP(-LN(2)/35)*DF166+(1-EXP(-LN(2)/35))/(LN(2)/35)*DB167*DC167*VLOOKUP('Données projet'!$B$13,Paramètres!$A$1:$I$89,3,0)*0.475*44/12</f>
        <v>0</v>
      </c>
      <c r="DG167" s="21">
        <f>EXP(-LN(2)/25)*DG166+(1-EXP(-LN(2)/25))/(LN(2)/25)*Calculateur!DB167*Calculateur!DD167*VLOOKUP('Données projet'!$B$13,Paramètres!$A$1:$I$89,3,0)*0.475*44/12</f>
        <v>0.16368725603272988</v>
      </c>
      <c r="DH167" s="21">
        <f>EXP(-LN(2)/2)*DH166+(1-EXP(-LN(2)/2))/(LN(2)/2)*DB167*DE167*VLOOKUP('Données projet'!$B$13,Paramètres!$A$1:$I$89,3,0)*0.475*44/12</f>
        <v>5.4245290566547957E-20</v>
      </c>
      <c r="DI167" s="22">
        <f t="shared" si="175"/>
        <v>0.16368725603272988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5.6843418860808015E-14</v>
      </c>
      <c r="DP167" s="17">
        <f>DO167*VLOOKUP('Données projet'!$B$14,Paramètres!$A$1:$I$89,3,0)*VLOOKUP('Données projet'!$B$14,Paramètres!$A$1:$I$89,5,0)</f>
        <v>3.3992364478763198E-14</v>
      </c>
      <c r="DQ167" s="13">
        <f t="shared" si="176"/>
        <v>5.790027782444094E-13</v>
      </c>
      <c r="DR167" s="20">
        <f t="shared" si="177"/>
        <v>1.0676332069095257E-12</v>
      </c>
      <c r="DS167" s="59">
        <f t="shared" si="125"/>
        <v>293.33333333333439</v>
      </c>
      <c r="DT167" s="59">
        <f ca="1">AVERAGE(OFFSET($DS$3,0,0,'Données projet'!$E$14+1,1))-AVERAGE(OFFSET($H$3,0,0,'Données projet'!$E$14+1,1))</f>
        <v>165.39579887388538</v>
      </c>
      <c r="DU167" s="59">
        <f t="shared" si="152"/>
        <v>155.89639262545802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>
        <f>EXP(-LN(2)/35)*EA166+(1-EXP(-LN(2)/35))/(LN(2)/35)*DW167*DX167*VLOOKUP('Données projet'!$B$14,Paramètres!$A$1:$I$89,3,0)*0.475*44/12</f>
        <v>0</v>
      </c>
      <c r="EB167" s="21">
        <f>EXP(-LN(2)/25)*EB166+(1-EXP(-LN(2)/25))/(LN(2)/25)*Calculateur!DW167*Calculateur!DY167*VLOOKUP('Données projet'!$B$14,Paramètres!$A$1:$I$89,3,0)*0.475*44/12</f>
        <v>0.17748505127070957</v>
      </c>
      <c r="EC167" s="21">
        <f>EXP(-LN(2)/2)*EC166+(1-EXP(-LN(2)/2))/(LN(2)/2)*DW167*DZ167*VLOOKUP('Données projet'!$B$14,Paramètres!$A$1:$I$89,3,0)*0.475*44/12</f>
        <v>9.4054780615450795E-20</v>
      </c>
      <c r="ED167" s="22">
        <f t="shared" si="178"/>
        <v>0.17748505127070957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2.8421709430404007E-14</v>
      </c>
      <c r="EK167" s="17">
        <f>EJ167*VLOOKUP('Données projet'!$B$15,Paramètres!$A$1:$I$89,3,0)*VLOOKUP('Données projet'!$B$15,Paramètres!$A$1:$I$89,5,0)</f>
        <v>2.2168933355715127E-14</v>
      </c>
      <c r="EL167" s="13">
        <f t="shared" si="179"/>
        <v>3.9687356123668477E-13</v>
      </c>
      <c r="EM167" s="20">
        <f t="shared" si="180"/>
        <v>7.2983234474842979E-13</v>
      </c>
      <c r="EN167" s="59">
        <f t="shared" si="128"/>
        <v>293.33333333333405</v>
      </c>
      <c r="EO167" s="59">
        <f ca="1">AVERAGE(OFFSET($EN$3,0,0,'Données projet'!$E$15+1,1))-AVERAGE(OFFSET($H$3,0,0,'Données projet'!$E$15+1,1))</f>
        <v>104.07220236158577</v>
      </c>
      <c r="EP167" s="59">
        <f t="shared" si="154"/>
        <v>34.162068257911756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>
        <f>EXP(-LN(2)/35)*EV166+(1-EXP(-LN(2)/35))/(LN(2)/35)*ER167*ES167*VLOOKUP('Données projet'!$B$15,Paramètres!$A$1:$I$89,3,0)*0.475*44/12</f>
        <v>0</v>
      </c>
      <c r="EW167" s="21">
        <f>EXP(-LN(2)/25)*EW166+(1-EXP(-LN(2)/25))/(LN(2)/25)*Calculateur!ER167*Calculateur!ET167*VLOOKUP('Données projet'!$B$15,Paramètres!$A$1:$I$89,3,0)*0.475*44/12</f>
        <v>0</v>
      </c>
      <c r="EX167" s="21">
        <f>EXP(-LN(2)/2)*EX166+(1-EXP(-LN(2)/2))/(LN(2)/2)*ER167*EU167*VLOOKUP('Données projet'!$B$15,Paramètres!$A$1:$I$89,3,0)*0.475*44/12</f>
        <v>0</v>
      </c>
      <c r="EY167" s="22">
        <f t="shared" si="181"/>
        <v>0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5.6843418860808015E-14</v>
      </c>
      <c r="FF167" s="17">
        <f>FE167*VLOOKUP('Données projet'!$B$16,Paramètres!$A$1:$I$89,3,0)*VLOOKUP('Données projet'!$B$16,Paramètres!$A$1:$I$89,5,0)</f>
        <v>5.1431925385259088E-14</v>
      </c>
      <c r="FG167" s="13">
        <f t="shared" si="182"/>
        <v>8.3482866290946129E-13</v>
      </c>
      <c r="FH167" s="20">
        <f t="shared" si="183"/>
        <v>1.5435705246133045E-12</v>
      </c>
      <c r="FI167" s="59">
        <f t="shared" si="131"/>
        <v>293.33333333333485</v>
      </c>
      <c r="FJ167" s="59">
        <f ca="1">AVERAGE(OFFSET($FI$3,0,0,'Données projet'!$E$16+1,1))-AVERAGE(OFFSET($H$3,0,0,'Données projet'!$E$16+1,1))</f>
        <v>179.50097986986123</v>
      </c>
      <c r="FK167" s="59">
        <f t="shared" si="156"/>
        <v>287.11838730637578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>
        <f>EXP(-LN(2)/35)*FQ166+(1-EXP(-LN(2)/35))/(LN(2)/35)*FM167*FN167*VLOOKUP('Données projet'!$B$16,Paramètres!$A$1:$I$89,3,0)*0.475*44/12</f>
        <v>4.3876781740051038E-2</v>
      </c>
      <c r="FR167" s="21">
        <f>EXP(-LN(2)/25)*FR166+(1-EXP(-LN(2)/25))/(LN(2)/25)*Calculateur!FM167*Calculateur!FO167*VLOOKUP('Données projet'!$B$16,Paramètres!$A$1:$I$89,3,0)*0.475*44/12</f>
        <v>0.15324301917500355</v>
      </c>
      <c r="FS167" s="21">
        <f>EXP(-LN(2)/2)*FS166+(1-EXP(-LN(2)/2))/(LN(2)/2)*FM167*FP167*VLOOKUP('Données projet'!$B$16,Paramètres!$A$1:$I$89,3,0)*0.475*44/12</f>
        <v>3.0634105451491341E-20</v>
      </c>
      <c r="FT167" s="22">
        <f t="shared" si="184"/>
        <v>0.1971198009150546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5.6843418860808015E-14</v>
      </c>
      <c r="GA167" s="17">
        <f>FZ167*VLOOKUP('Données projet'!$B$17,Paramètres!$A$1:$I$89,3,0)*VLOOKUP('Données projet'!$B$17,Paramètres!$A$1:$I$89,5,0)</f>
        <v>3.3992364478763198E-14</v>
      </c>
      <c r="GB167" s="13">
        <f t="shared" si="185"/>
        <v>5.790027782444094E-13</v>
      </c>
      <c r="GC167" s="20">
        <f t="shared" si="186"/>
        <v>1.0676332069095257E-12</v>
      </c>
      <c r="GD167" s="59">
        <f t="shared" si="134"/>
        <v>293.33333333333439</v>
      </c>
      <c r="GE167" s="59">
        <f ca="1">AVERAGE(OFFSET($GD$3,0,0,'Données projet'!$E$17+1,1))-AVERAGE(OFFSET($H$3,0,0,'Données projet'!$E$17+1,1))</f>
        <v>165.39579887388538</v>
      </c>
      <c r="GF167" s="59">
        <f t="shared" si="158"/>
        <v>155.89639262545802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>
        <f>EXP(-LN(2)/35)*GL166+(1-EXP(-LN(2)/35))/(LN(2)/35)*GH167*GI167*VLOOKUP('Données projet'!$B$17,Paramètres!$A$1:$I$89,3,0)*0.475*44/12</f>
        <v>0</v>
      </c>
      <c r="GM167" s="21">
        <f>EXP(-LN(2)/25)*GM166+(1-EXP(-LN(2)/25))/(LN(2)/25)*Calculateur!GH167*Calculateur!GJ167*VLOOKUP('Données projet'!$B$17,Paramètres!$A$1:$I$89,3,0)*0.475*44/12</f>
        <v>0.17748505127070957</v>
      </c>
      <c r="GN167" s="21">
        <f>EXP(-LN(2)/2)*GN166+(1-EXP(-LN(2)/2))/(LN(2)/2)*GH167*GK167*VLOOKUP('Données projet'!$B$17,Paramètres!$A$1:$I$89,3,0)*0.475*44/12</f>
        <v>9.4054780615450795E-20</v>
      </c>
      <c r="GO167" s="21">
        <f t="shared" si="187"/>
        <v>0.17748505127070957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3.4106051316484809E-13</v>
      </c>
      <c r="O168" s="13">
        <f>N168*VLOOKUP('Données projet'!$B$9,Paramètres!$A$1:$I$89,3,0)*VLOOKUP('Données projet'!$B$9,Paramètres!$A$1:$I$89,5,0)</f>
        <v>1.9065282685915009E-13</v>
      </c>
      <c r="P168" s="13">
        <f t="shared" si="141"/>
        <v>2.6568987209435707E-12</v>
      </c>
      <c r="Q168" s="20">
        <f t="shared" si="162"/>
        <v>4.959485612423072E-12</v>
      </c>
      <c r="R168" s="59">
        <f t="shared" si="109"/>
        <v>293.33333333333826</v>
      </c>
      <c r="S168" s="59">
        <f ca="1">AVERAGE(OFFSET($R$3,0,0,'Données projet'!$E$9+1,1))-AVERAGE(OFFSET($H$3,0,0,'Données projet'!$E$9+1,1))</f>
        <v>235.10258076192054</v>
      </c>
      <c r="T168" s="59">
        <f t="shared" si="142"/>
        <v>233.47316052603765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0.23641032624678579</v>
      </c>
      <c r="AA168" s="21">
        <f>EXP(-LN(2)/25)*AA167+(1-EXP(-LN(2)/25))/(LN(2)/25)*Calculateur!V168*Calculateur!X168*VLOOKUP('Données projet'!$B$9,Paramètres!$A$1:$I$89,3,0)*0.475*44/12</f>
        <v>0.4365946884984131</v>
      </c>
      <c r="AB168" s="21">
        <f>EXP(-LN(2)/2)*AB167+(1-EXP(-LN(2)/2))/(LN(2)/2)*V168*Y168*VLOOKUP('Données projet'!$B$9,Paramètres!$A$1:$I$89,3,0)*0.475*44/12</f>
        <v>1.155819659439532E-19</v>
      </c>
      <c r="AC168" s="22">
        <f t="shared" si="163"/>
        <v>0.67300501474519892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-8.5265128291212022E-14</v>
      </c>
      <c r="AJ168" s="13">
        <f>AI168*VLOOKUP('Données projet'!$B$10,Paramètres!$A$1:$I$89,3,0)*VLOOKUP('Données projet'!$B$10,Paramètres!$A$1:$I$89,5,0)</f>
        <v>-7.4487616075202836E-14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191.94797389630673</v>
      </c>
      <c r="AO168" s="59">
        <f t="shared" si="144"/>
        <v>273.52540822767878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0.17766594214909953</v>
      </c>
      <c r="AV168" s="21">
        <f>EXP(-LN(2)/25)*AV167+(1-EXP(-LN(2)/25))/(LN(2)/25)*Calculateur!AQ168*Calculateur!AS168*VLOOKUP('Données projet'!$B$10,Paramètres!$A$1:$I$89,3,0)*0.475*44/12</f>
        <v>0.33270336363841624</v>
      </c>
      <c r="AW168" s="21">
        <f>EXP(-LN(2)/2)*AW167+(1-EXP(-LN(2)/2))/(LN(2)/2)*AQ168*AT168*VLOOKUP('Données projet'!$B$10,Paramètres!$A$1:$I$89,3,0)*0.475*44/12</f>
        <v>1.1117844881755987E-19</v>
      </c>
      <c r="AX168" s="21">
        <f t="shared" si="166"/>
        <v>0.51036930578751583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2.8421709430404007E-14</v>
      </c>
      <c r="BE168" s="13">
        <f>BD168*VLOOKUP('Données projet'!$B$11,Paramètres!$A$1:$I$89,3,0)*VLOOKUP('Données projet'!$B$11,Paramètres!$A$1:$I$89,5,0)</f>
        <v>2.5715962692629544E-14</v>
      </c>
      <c r="BF168" s="13">
        <f t="shared" si="167"/>
        <v>4.5248818890525812E-13</v>
      </c>
      <c r="BG168" s="20">
        <f t="shared" si="168"/>
        <v>8.3287223069965432E-13</v>
      </c>
      <c r="BH168" s="59">
        <f t="shared" si="116"/>
        <v>293.33333333333417</v>
      </c>
      <c r="BI168" s="59">
        <f ca="1">AVERAGE(OFFSET($BH$3,0,0,'Données projet'!$E$11+1,1))-AVERAGE(OFFSET($H$3,0,0,'Données projet'!$E$11+1,1))</f>
        <v>138.8931001150624</v>
      </c>
      <c r="BJ168" s="59">
        <f t="shared" si="146"/>
        <v>48.964659354096625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2.8421709430404007E-14</v>
      </c>
      <c r="BZ168" s="13">
        <f>BY168*VLOOKUP('Données projet'!$B$12,Paramètres!$A$1:$I$89,3,0)*VLOOKUP('Données projet'!$B$12,Paramètres!$A$1:$I$89,5,0)</f>
        <v>2.8819613362429664E-14</v>
      </c>
      <c r="CA168" s="13">
        <f t="shared" si="170"/>
        <v>5.0041752926933358E-13</v>
      </c>
      <c r="CB168" s="20">
        <f t="shared" si="171"/>
        <v>9.2175469008365428E-13</v>
      </c>
      <c r="CC168" s="59">
        <f t="shared" si="119"/>
        <v>293.33333333333422</v>
      </c>
      <c r="CD168" s="59">
        <f ca="1">AVERAGE(OFFSET($CC$3,0,0,'Données projet'!$E$12+1,1))-AVERAGE(OFFSET($H$3,0,0,'Données projet'!$E$12+1,1))</f>
        <v>169.2757878405003</v>
      </c>
      <c r="CE168" s="59">
        <f t="shared" si="148"/>
        <v>61.876502626609977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-8.5265128291212022E-14</v>
      </c>
      <c r="CU168" s="17">
        <f>CT168*VLOOKUP('Données projet'!$B$13,Paramètres!$A$1:$I$89,3,0)*VLOOKUP('Données projet'!$B$13,Paramètres!$A$1:$I$89,5,0)</f>
        <v>-6.7836936068488286E-14</v>
      </c>
      <c r="CV168" s="13" t="e">
        <f t="shared" si="173"/>
        <v>#NUM!</v>
      </c>
      <c r="CW168" s="20" t="e">
        <f t="shared" si="174"/>
        <v>#NUM!</v>
      </c>
      <c r="CX168" s="59" t="e">
        <f t="shared" si="122"/>
        <v>#NUM!</v>
      </c>
      <c r="CY168" s="59">
        <f ca="1">AVERAGE(OFFSET($CX$3,0,0,'Données projet'!$E$13+1,1))-AVERAGE(OFFSET($H$3,0,0,'Données projet'!$E$13+1,1))</f>
        <v>141.12810728817544</v>
      </c>
      <c r="CZ168" s="59">
        <f t="shared" si="150"/>
        <v>176.01405805137551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>
        <f>EXP(-LN(2)/35)*DF167+(1-EXP(-LN(2)/35))/(LN(2)/35)*DB168*DC168*VLOOKUP('Données projet'!$B$13,Paramètres!$A$1:$I$89,3,0)*0.475*44/12</f>
        <v>0</v>
      </c>
      <c r="DG168" s="21">
        <f>EXP(-LN(2)/25)*DG167+(1-EXP(-LN(2)/25))/(LN(2)/25)*Calculateur!DB168*Calculateur!DD168*VLOOKUP('Données projet'!$B$13,Paramètres!$A$1:$I$89,3,0)*0.475*44/12</f>
        <v>0.15921121940857619</v>
      </c>
      <c r="DH168" s="21">
        <f>EXP(-LN(2)/2)*DH167+(1-EXP(-LN(2)/2))/(LN(2)/2)*DB168*DE168*VLOOKUP('Données projet'!$B$13,Paramètres!$A$1:$I$89,3,0)*0.475*44/12</f>
        <v>3.8357212807040718E-20</v>
      </c>
      <c r="DI168" s="22">
        <f t="shared" si="175"/>
        <v>0.15921121940857619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5.6843418860808015E-14</v>
      </c>
      <c r="DP168" s="17">
        <f>DO168*VLOOKUP('Données projet'!$B$14,Paramètres!$A$1:$I$89,3,0)*VLOOKUP('Données projet'!$B$14,Paramètres!$A$1:$I$89,5,0)</f>
        <v>3.3992364478763198E-14</v>
      </c>
      <c r="DQ168" s="13">
        <f t="shared" si="176"/>
        <v>5.790027782444094E-13</v>
      </c>
      <c r="DR168" s="20">
        <f t="shared" si="177"/>
        <v>1.0676332069095257E-12</v>
      </c>
      <c r="DS168" s="59">
        <f t="shared" si="125"/>
        <v>293.33333333333439</v>
      </c>
      <c r="DT168" s="59">
        <f ca="1">AVERAGE(OFFSET($DS$3,0,0,'Données projet'!$E$14+1,1))-AVERAGE(OFFSET($H$3,0,0,'Données projet'!$E$14+1,1))</f>
        <v>165.39579887388538</v>
      </c>
      <c r="DU168" s="59">
        <f t="shared" si="152"/>
        <v>155.89639262545802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>
        <f>EXP(-LN(2)/35)*EA167+(1-EXP(-LN(2)/35))/(LN(2)/35)*DW168*DX168*VLOOKUP('Données projet'!$B$14,Paramètres!$A$1:$I$89,3,0)*0.475*44/12</f>
        <v>0</v>
      </c>
      <c r="EB168" s="21">
        <f>EXP(-LN(2)/25)*EB167+(1-EXP(-LN(2)/25))/(LN(2)/25)*Calculateur!DW168*Calculateur!DY168*VLOOKUP('Données projet'!$B$14,Paramètres!$A$1:$I$89,3,0)*0.475*44/12</f>
        <v>0.17263171321017881</v>
      </c>
      <c r="EC168" s="21">
        <f>EXP(-LN(2)/2)*EC167+(1-EXP(-LN(2)/2))/(LN(2)/2)*DW168*DZ168*VLOOKUP('Données projet'!$B$14,Paramètres!$A$1:$I$89,3,0)*0.475*44/12</f>
        <v>6.6506773176198296E-20</v>
      </c>
      <c r="ED168" s="22">
        <f t="shared" si="178"/>
        <v>0.17263171321017881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2.8421709430404007E-14</v>
      </c>
      <c r="EK168" s="17">
        <f>EJ168*VLOOKUP('Données projet'!$B$15,Paramètres!$A$1:$I$89,3,0)*VLOOKUP('Données projet'!$B$15,Paramètres!$A$1:$I$89,5,0)</f>
        <v>2.2168933355715127E-14</v>
      </c>
      <c r="EL168" s="13">
        <f t="shared" si="179"/>
        <v>3.9687356123668477E-13</v>
      </c>
      <c r="EM168" s="20">
        <f t="shared" si="180"/>
        <v>7.2983234474842979E-13</v>
      </c>
      <c r="EN168" s="59">
        <f t="shared" si="128"/>
        <v>293.33333333333405</v>
      </c>
      <c r="EO168" s="59">
        <f ca="1">AVERAGE(OFFSET($EN$3,0,0,'Données projet'!$E$15+1,1))-AVERAGE(OFFSET($H$3,0,0,'Données projet'!$E$15+1,1))</f>
        <v>104.07220236158577</v>
      </c>
      <c r="EP168" s="59">
        <f t="shared" si="154"/>
        <v>34.162068257911756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>
        <f>EXP(-LN(2)/35)*EV167+(1-EXP(-LN(2)/35))/(LN(2)/35)*ER168*ES168*VLOOKUP('Données projet'!$B$15,Paramètres!$A$1:$I$89,3,0)*0.475*44/12</f>
        <v>0</v>
      </c>
      <c r="EW168" s="21">
        <f>EXP(-LN(2)/25)*EW167+(1-EXP(-LN(2)/25))/(LN(2)/25)*Calculateur!ER168*Calculateur!ET168*VLOOKUP('Données projet'!$B$15,Paramètres!$A$1:$I$89,3,0)*0.475*44/12</f>
        <v>0</v>
      </c>
      <c r="EX168" s="21">
        <f>EXP(-LN(2)/2)*EX167+(1-EXP(-LN(2)/2))/(LN(2)/2)*ER168*EU168*VLOOKUP('Données projet'!$B$15,Paramètres!$A$1:$I$89,3,0)*0.475*44/12</f>
        <v>0</v>
      </c>
      <c r="EY168" s="22">
        <f t="shared" si="181"/>
        <v>0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5.6843418860808015E-14</v>
      </c>
      <c r="FF168" s="17">
        <f>FE168*VLOOKUP('Données projet'!$B$16,Paramètres!$A$1:$I$89,3,0)*VLOOKUP('Données projet'!$B$16,Paramètres!$A$1:$I$89,5,0)</f>
        <v>5.1431925385259088E-14</v>
      </c>
      <c r="FG168" s="13">
        <f t="shared" si="182"/>
        <v>8.3482866290946129E-13</v>
      </c>
      <c r="FH168" s="20">
        <f t="shared" si="183"/>
        <v>1.5435705246133045E-12</v>
      </c>
      <c r="FI168" s="59">
        <f t="shared" si="131"/>
        <v>293.33333333333485</v>
      </c>
      <c r="FJ168" s="59">
        <f ca="1">AVERAGE(OFFSET($FI$3,0,0,'Données projet'!$E$16+1,1))-AVERAGE(OFFSET($H$3,0,0,'Données projet'!$E$16+1,1))</f>
        <v>179.50097986986123</v>
      </c>
      <c r="FK168" s="59">
        <f t="shared" si="156"/>
        <v>287.11838730637578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>
        <f>EXP(-LN(2)/35)*FQ167+(1-EXP(-LN(2)/35))/(LN(2)/35)*FM168*FN168*VLOOKUP('Données projet'!$B$16,Paramètres!$A$1:$I$89,3,0)*0.475*44/12</f>
        <v>4.301638481232295E-2</v>
      </c>
      <c r="FR168" s="21">
        <f>EXP(-LN(2)/25)*FR167+(1-EXP(-LN(2)/25))/(LN(2)/25)*Calculateur!FM168*Calculateur!FO168*VLOOKUP('Données projet'!$B$16,Paramètres!$A$1:$I$89,3,0)*0.475*44/12</f>
        <v>0.14905258075696293</v>
      </c>
      <c r="FS168" s="21">
        <f>EXP(-LN(2)/2)*FS167+(1-EXP(-LN(2)/2))/(LN(2)/2)*FM168*FP168*VLOOKUP('Données projet'!$B$16,Paramètres!$A$1:$I$89,3,0)*0.475*44/12</f>
        <v>2.166158370033331E-20</v>
      </c>
      <c r="FT168" s="22">
        <f t="shared" si="184"/>
        <v>0.19206896556928588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5.6843418860808015E-14</v>
      </c>
      <c r="GA168" s="17">
        <f>FZ168*VLOOKUP('Données projet'!$B$17,Paramètres!$A$1:$I$89,3,0)*VLOOKUP('Données projet'!$B$17,Paramètres!$A$1:$I$89,5,0)</f>
        <v>3.3992364478763198E-14</v>
      </c>
      <c r="GB168" s="13">
        <f t="shared" si="185"/>
        <v>5.790027782444094E-13</v>
      </c>
      <c r="GC168" s="20">
        <f t="shared" si="186"/>
        <v>1.0676332069095257E-12</v>
      </c>
      <c r="GD168" s="59">
        <f t="shared" si="134"/>
        <v>293.33333333333439</v>
      </c>
      <c r="GE168" s="59">
        <f ca="1">AVERAGE(OFFSET($GD$3,0,0,'Données projet'!$E$17+1,1))-AVERAGE(OFFSET($H$3,0,0,'Données projet'!$E$17+1,1))</f>
        <v>165.39579887388538</v>
      </c>
      <c r="GF168" s="59">
        <f t="shared" si="158"/>
        <v>155.89639262545802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>
        <f>EXP(-LN(2)/35)*GL167+(1-EXP(-LN(2)/35))/(LN(2)/35)*GH168*GI168*VLOOKUP('Données projet'!$B$17,Paramètres!$A$1:$I$89,3,0)*0.475*44/12</f>
        <v>0</v>
      </c>
      <c r="GM168" s="21">
        <f>EXP(-LN(2)/25)*GM167+(1-EXP(-LN(2)/25))/(LN(2)/25)*Calculateur!GH168*Calculateur!GJ168*VLOOKUP('Données projet'!$B$17,Paramètres!$A$1:$I$89,3,0)*0.475*44/12</f>
        <v>0.17263171321017881</v>
      </c>
      <c r="GN168" s="21">
        <f>EXP(-LN(2)/2)*GN167+(1-EXP(-LN(2)/2))/(LN(2)/2)*GH168*GK168*VLOOKUP('Données projet'!$B$17,Paramètres!$A$1:$I$89,3,0)*0.475*44/12</f>
        <v>6.6506773176198296E-20</v>
      </c>
      <c r="GO168" s="21">
        <f t="shared" si="187"/>
        <v>0.17263171321017881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3.4106051316484809E-13</v>
      </c>
      <c r="O169" s="13">
        <f>N169*VLOOKUP('Données projet'!$B$9,Paramètres!$A$1:$I$89,3,0)*VLOOKUP('Données projet'!$B$9,Paramètres!$A$1:$I$89,5,0)</f>
        <v>1.9065282685915009E-13</v>
      </c>
      <c r="P169" s="13">
        <f t="shared" si="141"/>
        <v>2.6568987209435707E-12</v>
      </c>
      <c r="Q169" s="20">
        <f t="shared" si="162"/>
        <v>4.959485612423072E-12</v>
      </c>
      <c r="R169" s="59">
        <f t="shared" si="109"/>
        <v>293.33333333333826</v>
      </c>
      <c r="S169" s="59">
        <f ca="1">AVERAGE(OFFSET($R$3,0,0,'Données projet'!$E$9+1,1))-AVERAGE(OFFSET($H$3,0,0,'Données projet'!$E$9+1,1))</f>
        <v>235.10258076192054</v>
      </c>
      <c r="T169" s="59">
        <f t="shared" si="142"/>
        <v>233.47316052603765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0.23177446394514714</v>
      </c>
      <c r="AA169" s="21">
        <f>EXP(-LN(2)/25)*AA168+(1-EXP(-LN(2)/25))/(LN(2)/25)*Calculateur!V169*Calculateur!X169*VLOOKUP('Données projet'!$B$9,Paramètres!$A$1:$I$89,3,0)*0.475*44/12</f>
        <v>0.42465598378190716</v>
      </c>
      <c r="AB169" s="21">
        <f>EXP(-LN(2)/2)*AB168+(1-EXP(-LN(2)/2))/(LN(2)/2)*V169*Y169*VLOOKUP('Données projet'!$B$9,Paramètres!$A$1:$I$89,3,0)*0.475*44/12</f>
        <v>8.1728791901841903E-20</v>
      </c>
      <c r="AC169" s="22">
        <f t="shared" si="163"/>
        <v>0.65643044772705428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-8.5265128291212022E-14</v>
      </c>
      <c r="AJ169" s="13">
        <f>AI169*VLOOKUP('Données projet'!$B$10,Paramètres!$A$1:$I$89,3,0)*VLOOKUP('Données projet'!$B$10,Paramètres!$A$1:$I$89,5,0)</f>
        <v>-7.4487616075202836E-14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191.94797389630673</v>
      </c>
      <c r="AO169" s="59">
        <f t="shared" si="144"/>
        <v>273.52540822767878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0.1741820213890802</v>
      </c>
      <c r="AV169" s="21">
        <f>EXP(-LN(2)/25)*AV168+(1-EXP(-LN(2)/25))/(LN(2)/25)*Calculateur!AQ169*Calculateur!AS169*VLOOKUP('Données projet'!$B$10,Paramètres!$A$1:$I$89,3,0)*0.475*44/12</f>
        <v>0.32360557266361428</v>
      </c>
      <c r="AW169" s="21">
        <f>EXP(-LN(2)/2)*AW168+(1-EXP(-LN(2)/2))/(LN(2)/2)*AQ169*AT169*VLOOKUP('Données projet'!$B$10,Paramètres!$A$1:$I$89,3,0)*0.475*44/12</f>
        <v>7.8615035080698085E-20</v>
      </c>
      <c r="AX169" s="21">
        <f t="shared" si="166"/>
        <v>0.49778759405269446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2.8421709430404007E-14</v>
      </c>
      <c r="BE169" s="13">
        <f>BD169*VLOOKUP('Données projet'!$B$11,Paramètres!$A$1:$I$89,3,0)*VLOOKUP('Données projet'!$B$11,Paramètres!$A$1:$I$89,5,0)</f>
        <v>2.5715962692629544E-14</v>
      </c>
      <c r="BF169" s="13">
        <f t="shared" si="167"/>
        <v>4.5248818890525812E-13</v>
      </c>
      <c r="BG169" s="20">
        <f t="shared" si="168"/>
        <v>8.3287223069965432E-13</v>
      </c>
      <c r="BH169" s="59">
        <f t="shared" si="116"/>
        <v>293.33333333333417</v>
      </c>
      <c r="BI169" s="59">
        <f ca="1">AVERAGE(OFFSET($BH$3,0,0,'Données projet'!$E$11+1,1))-AVERAGE(OFFSET($H$3,0,0,'Données projet'!$E$11+1,1))</f>
        <v>138.8931001150624</v>
      </c>
      <c r="BJ169" s="59">
        <f t="shared" si="146"/>
        <v>48.964659354096625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2.8421709430404007E-14</v>
      </c>
      <c r="BZ169" s="13">
        <f>BY169*VLOOKUP('Données projet'!$B$12,Paramètres!$A$1:$I$89,3,0)*VLOOKUP('Données projet'!$B$12,Paramètres!$A$1:$I$89,5,0)</f>
        <v>2.8819613362429664E-14</v>
      </c>
      <c r="CA169" s="13">
        <f t="shared" si="170"/>
        <v>5.0041752926933358E-13</v>
      </c>
      <c r="CB169" s="20">
        <f t="shared" si="171"/>
        <v>9.2175469008365428E-13</v>
      </c>
      <c r="CC169" s="59">
        <f t="shared" si="119"/>
        <v>293.33333333333422</v>
      </c>
      <c r="CD169" s="59">
        <f ca="1">AVERAGE(OFFSET($CC$3,0,0,'Données projet'!$E$12+1,1))-AVERAGE(OFFSET($H$3,0,0,'Données projet'!$E$12+1,1))</f>
        <v>169.2757878405003</v>
      </c>
      <c r="CE169" s="59">
        <f t="shared" si="148"/>
        <v>61.876502626609977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-8.5265128291212022E-14</v>
      </c>
      <c r="CU169" s="17">
        <f>CT169*VLOOKUP('Données projet'!$B$13,Paramètres!$A$1:$I$89,3,0)*VLOOKUP('Données projet'!$B$13,Paramètres!$A$1:$I$89,5,0)</f>
        <v>-6.7836936068488286E-14</v>
      </c>
      <c r="CV169" s="13" t="e">
        <f t="shared" si="173"/>
        <v>#NUM!</v>
      </c>
      <c r="CW169" s="20" t="e">
        <f t="shared" si="174"/>
        <v>#NUM!</v>
      </c>
      <c r="CX169" s="59" t="e">
        <f t="shared" si="122"/>
        <v>#NUM!</v>
      </c>
      <c r="CY169" s="59">
        <f ca="1">AVERAGE(OFFSET($CX$3,0,0,'Données projet'!$E$13+1,1))-AVERAGE(OFFSET($H$3,0,0,'Données projet'!$E$13+1,1))</f>
        <v>141.12810728817544</v>
      </c>
      <c r="CZ169" s="59">
        <f t="shared" si="150"/>
        <v>176.01405805137551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>
        <f>EXP(-LN(2)/35)*DF168+(1-EXP(-LN(2)/35))/(LN(2)/35)*DB169*DC169*VLOOKUP('Données projet'!$B$13,Paramètres!$A$1:$I$89,3,0)*0.475*44/12</f>
        <v>0</v>
      </c>
      <c r="DG169" s="21">
        <f>EXP(-LN(2)/25)*DG168+(1-EXP(-LN(2)/25))/(LN(2)/25)*Calculateur!DB169*Calculateur!DD169*VLOOKUP('Données projet'!$B$13,Paramètres!$A$1:$I$89,3,0)*0.475*44/12</f>
        <v>0.15485758024129453</v>
      </c>
      <c r="DH169" s="21">
        <f>EXP(-LN(2)/2)*DH168+(1-EXP(-LN(2)/2))/(LN(2)/2)*DB169*DE169*VLOOKUP('Données projet'!$B$13,Paramètres!$A$1:$I$89,3,0)*0.475*44/12</f>
        <v>2.7122645283273978E-20</v>
      </c>
      <c r="DI169" s="22">
        <f t="shared" si="175"/>
        <v>0.15485758024129453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5.6843418860808015E-14</v>
      </c>
      <c r="DP169" s="17">
        <f>DO169*VLOOKUP('Données projet'!$B$14,Paramètres!$A$1:$I$89,3,0)*VLOOKUP('Données projet'!$B$14,Paramètres!$A$1:$I$89,5,0)</f>
        <v>3.3992364478763198E-14</v>
      </c>
      <c r="DQ169" s="13">
        <f t="shared" si="176"/>
        <v>5.790027782444094E-13</v>
      </c>
      <c r="DR169" s="20">
        <f t="shared" si="177"/>
        <v>1.0676332069095257E-12</v>
      </c>
      <c r="DS169" s="59">
        <f t="shared" si="125"/>
        <v>293.33333333333439</v>
      </c>
      <c r="DT169" s="59">
        <f ca="1">AVERAGE(OFFSET($DS$3,0,0,'Données projet'!$E$14+1,1))-AVERAGE(OFFSET($H$3,0,0,'Données projet'!$E$14+1,1))</f>
        <v>165.39579887388538</v>
      </c>
      <c r="DU169" s="59">
        <f t="shared" si="152"/>
        <v>155.89639262545802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>
        <f>EXP(-LN(2)/35)*EA168+(1-EXP(-LN(2)/35))/(LN(2)/35)*DW169*DX169*VLOOKUP('Données projet'!$B$14,Paramètres!$A$1:$I$89,3,0)*0.475*44/12</f>
        <v>0</v>
      </c>
      <c r="EB169" s="21">
        <f>EXP(-LN(2)/25)*EB168+(1-EXP(-LN(2)/25))/(LN(2)/25)*Calculateur!DW169*Calculateur!DY169*VLOOKUP('Données projet'!$B$14,Paramètres!$A$1:$I$89,3,0)*0.475*44/12</f>
        <v>0.16791108993413922</v>
      </c>
      <c r="EC169" s="21">
        <f>EXP(-LN(2)/2)*EC168+(1-EXP(-LN(2)/2))/(LN(2)/2)*DW169*DZ169*VLOOKUP('Données projet'!$B$14,Paramètres!$A$1:$I$89,3,0)*0.475*44/12</f>
        <v>4.7027390307725397E-20</v>
      </c>
      <c r="ED169" s="22">
        <f t="shared" si="178"/>
        <v>0.16791108993413922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2.8421709430404007E-14</v>
      </c>
      <c r="EK169" s="17">
        <f>EJ169*VLOOKUP('Données projet'!$B$15,Paramètres!$A$1:$I$89,3,0)*VLOOKUP('Données projet'!$B$15,Paramètres!$A$1:$I$89,5,0)</f>
        <v>2.2168933355715127E-14</v>
      </c>
      <c r="EL169" s="13">
        <f t="shared" si="179"/>
        <v>3.9687356123668477E-13</v>
      </c>
      <c r="EM169" s="20">
        <f t="shared" si="180"/>
        <v>7.2983234474842979E-13</v>
      </c>
      <c r="EN169" s="59">
        <f t="shared" si="128"/>
        <v>293.33333333333405</v>
      </c>
      <c r="EO169" s="59">
        <f ca="1">AVERAGE(OFFSET($EN$3,0,0,'Données projet'!$E$15+1,1))-AVERAGE(OFFSET($H$3,0,0,'Données projet'!$E$15+1,1))</f>
        <v>104.07220236158577</v>
      </c>
      <c r="EP169" s="59">
        <f t="shared" si="154"/>
        <v>34.162068257911756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>
        <f>EXP(-LN(2)/35)*EV168+(1-EXP(-LN(2)/35))/(LN(2)/35)*ER169*ES169*VLOOKUP('Données projet'!$B$15,Paramètres!$A$1:$I$89,3,0)*0.475*44/12</f>
        <v>0</v>
      </c>
      <c r="EW169" s="21">
        <f>EXP(-LN(2)/25)*EW168+(1-EXP(-LN(2)/25))/(LN(2)/25)*Calculateur!ER169*Calculateur!ET169*VLOOKUP('Données projet'!$B$15,Paramètres!$A$1:$I$89,3,0)*0.475*44/12</f>
        <v>0</v>
      </c>
      <c r="EX169" s="21">
        <f>EXP(-LN(2)/2)*EX168+(1-EXP(-LN(2)/2))/(LN(2)/2)*ER169*EU169*VLOOKUP('Données projet'!$B$15,Paramètres!$A$1:$I$89,3,0)*0.475*44/12</f>
        <v>0</v>
      </c>
      <c r="EY169" s="22">
        <f t="shared" si="181"/>
        <v>0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5.6843418860808015E-14</v>
      </c>
      <c r="FF169" s="17">
        <f>FE169*VLOOKUP('Données projet'!$B$16,Paramètres!$A$1:$I$89,3,0)*VLOOKUP('Données projet'!$B$16,Paramètres!$A$1:$I$89,5,0)</f>
        <v>5.1431925385259088E-14</v>
      </c>
      <c r="FG169" s="13">
        <f t="shared" si="182"/>
        <v>8.3482866290946129E-13</v>
      </c>
      <c r="FH169" s="20">
        <f t="shared" si="183"/>
        <v>1.5435705246133045E-12</v>
      </c>
      <c r="FI169" s="59">
        <f t="shared" si="131"/>
        <v>293.33333333333485</v>
      </c>
      <c r="FJ169" s="59">
        <f ca="1">AVERAGE(OFFSET($FI$3,0,0,'Données projet'!$E$16+1,1))-AVERAGE(OFFSET($H$3,0,0,'Données projet'!$E$16+1,1))</f>
        <v>179.50097986986123</v>
      </c>
      <c r="FK169" s="59">
        <f t="shared" si="156"/>
        <v>287.11838730637578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>
        <f>EXP(-LN(2)/35)*FQ168+(1-EXP(-LN(2)/35))/(LN(2)/35)*FM169*FN169*VLOOKUP('Données projet'!$B$16,Paramètres!$A$1:$I$89,3,0)*0.475*44/12</f>
        <v>4.2172859743557306E-2</v>
      </c>
      <c r="FR169" s="21">
        <f>EXP(-LN(2)/25)*FR168+(1-EXP(-LN(2)/25))/(LN(2)/25)*Calculateur!FM169*Calculateur!FO169*VLOOKUP('Données projet'!$B$16,Paramètres!$A$1:$I$89,3,0)*0.475*44/12</f>
        <v>0.14497673009782922</v>
      </c>
      <c r="FS169" s="21">
        <f>EXP(-LN(2)/2)*FS168+(1-EXP(-LN(2)/2))/(LN(2)/2)*FM169*FP169*VLOOKUP('Données projet'!$B$16,Paramètres!$A$1:$I$89,3,0)*0.475*44/12</f>
        <v>1.531705272574567E-20</v>
      </c>
      <c r="FT169" s="22">
        <f t="shared" si="184"/>
        <v>0.18714958984138652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5.6843418860808015E-14</v>
      </c>
      <c r="GA169" s="17">
        <f>FZ169*VLOOKUP('Données projet'!$B$17,Paramètres!$A$1:$I$89,3,0)*VLOOKUP('Données projet'!$B$17,Paramètres!$A$1:$I$89,5,0)</f>
        <v>3.3992364478763198E-14</v>
      </c>
      <c r="GB169" s="13">
        <f t="shared" si="185"/>
        <v>5.790027782444094E-13</v>
      </c>
      <c r="GC169" s="20">
        <f t="shared" si="186"/>
        <v>1.0676332069095257E-12</v>
      </c>
      <c r="GD169" s="59">
        <f t="shared" si="134"/>
        <v>293.33333333333439</v>
      </c>
      <c r="GE169" s="59">
        <f ca="1">AVERAGE(OFFSET($GD$3,0,0,'Données projet'!$E$17+1,1))-AVERAGE(OFFSET($H$3,0,0,'Données projet'!$E$17+1,1))</f>
        <v>165.39579887388538</v>
      </c>
      <c r="GF169" s="59">
        <f t="shared" si="158"/>
        <v>155.89639262545802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>
        <f>EXP(-LN(2)/35)*GL168+(1-EXP(-LN(2)/35))/(LN(2)/35)*GH169*GI169*VLOOKUP('Données projet'!$B$17,Paramètres!$A$1:$I$89,3,0)*0.475*44/12</f>
        <v>0</v>
      </c>
      <c r="GM169" s="21">
        <f>EXP(-LN(2)/25)*GM168+(1-EXP(-LN(2)/25))/(LN(2)/25)*Calculateur!GH169*Calculateur!GJ169*VLOOKUP('Données projet'!$B$17,Paramètres!$A$1:$I$89,3,0)*0.475*44/12</f>
        <v>0.16791108993413922</v>
      </c>
      <c r="GN169" s="21">
        <f>EXP(-LN(2)/2)*GN168+(1-EXP(-LN(2)/2))/(LN(2)/2)*GH169*GK169*VLOOKUP('Données projet'!$B$17,Paramètres!$A$1:$I$89,3,0)*0.475*44/12</f>
        <v>4.7027390307725397E-20</v>
      </c>
      <c r="GO169" s="21">
        <f t="shared" si="187"/>
        <v>0.16791108993413922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3.4106051316484809E-13</v>
      </c>
      <c r="O170" s="13">
        <f>N170*VLOOKUP('Données projet'!$B$9,Paramètres!$A$1:$I$89,3,0)*VLOOKUP('Données projet'!$B$9,Paramètres!$A$1:$I$89,5,0)</f>
        <v>1.9065282685915009E-13</v>
      </c>
      <c r="P170" s="13">
        <f t="shared" si="141"/>
        <v>2.6568987209435707E-12</v>
      </c>
      <c r="Q170" s="20">
        <f t="shared" si="162"/>
        <v>4.959485612423072E-12</v>
      </c>
      <c r="R170" s="59">
        <f t="shared" si="109"/>
        <v>293.33333333333826</v>
      </c>
      <c r="S170" s="59">
        <f ca="1">AVERAGE(OFFSET($R$3,0,0,'Données projet'!$E$9+1,1))-AVERAGE(OFFSET($H$3,0,0,'Données projet'!$E$9+1,1))</f>
        <v>235.10258076192054</v>
      </c>
      <c r="T170" s="59">
        <f t="shared" si="142"/>
        <v>233.47316052603765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0.22722950807564685</v>
      </c>
      <c r="AA170" s="21">
        <f>EXP(-LN(2)/25)*AA169+(1-EXP(-LN(2)/25))/(LN(2)/25)*Calculateur!V170*Calculateur!X170*VLOOKUP('Données projet'!$B$9,Paramètres!$A$1:$I$89,3,0)*0.475*44/12</f>
        <v>0.41304374357370327</v>
      </c>
      <c r="AB170" s="21">
        <f>EXP(-LN(2)/2)*AB169+(1-EXP(-LN(2)/2))/(LN(2)/2)*V170*Y170*VLOOKUP('Données projet'!$B$9,Paramètres!$A$1:$I$89,3,0)*0.475*44/12</f>
        <v>5.7790982971976599E-20</v>
      </c>
      <c r="AC170" s="22">
        <f t="shared" si="163"/>
        <v>0.64027325164935012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-8.5265128291212022E-14</v>
      </c>
      <c r="AJ170" s="13">
        <f>AI170*VLOOKUP('Données projet'!$B$10,Paramètres!$A$1:$I$89,3,0)*VLOOKUP('Données projet'!$B$10,Paramètres!$A$1:$I$89,5,0)</f>
        <v>-7.4487616075202836E-14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191.94797389630673</v>
      </c>
      <c r="AO170" s="59">
        <f t="shared" si="144"/>
        <v>273.52540822767878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0.17076641819018301</v>
      </c>
      <c r="AV170" s="21">
        <f>EXP(-LN(2)/25)*AV169+(1-EXP(-LN(2)/25))/(LN(2)/25)*Calculateur!AQ170*Calculateur!AS170*VLOOKUP('Données projet'!$B$10,Paramètres!$A$1:$I$89,3,0)*0.475*44/12</f>
        <v>0.3147565612614503</v>
      </c>
      <c r="AW170" s="21">
        <f>EXP(-LN(2)/2)*AW169+(1-EXP(-LN(2)/2))/(LN(2)/2)*AQ170*AT170*VLOOKUP('Données projet'!$B$10,Paramètres!$A$1:$I$89,3,0)*0.475*44/12</f>
        <v>5.5589224408779937E-20</v>
      </c>
      <c r="AX170" s="21">
        <f t="shared" si="166"/>
        <v>0.48552297945163331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2.8421709430404007E-14</v>
      </c>
      <c r="BE170" s="13">
        <f>BD170*VLOOKUP('Données projet'!$B$11,Paramètres!$A$1:$I$89,3,0)*VLOOKUP('Données projet'!$B$11,Paramètres!$A$1:$I$89,5,0)</f>
        <v>2.5715962692629544E-14</v>
      </c>
      <c r="BF170" s="13">
        <f t="shared" si="167"/>
        <v>4.5248818890525812E-13</v>
      </c>
      <c r="BG170" s="20">
        <f t="shared" si="168"/>
        <v>8.3287223069965432E-13</v>
      </c>
      <c r="BH170" s="59">
        <f t="shared" si="116"/>
        <v>293.33333333333417</v>
      </c>
      <c r="BI170" s="59">
        <f ca="1">AVERAGE(OFFSET($BH$3,0,0,'Données projet'!$E$11+1,1))-AVERAGE(OFFSET($H$3,0,0,'Données projet'!$E$11+1,1))</f>
        <v>138.8931001150624</v>
      </c>
      <c r="BJ170" s="59">
        <f t="shared" si="146"/>
        <v>48.964659354096625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2.8421709430404007E-14</v>
      </c>
      <c r="BZ170" s="13">
        <f>BY170*VLOOKUP('Données projet'!$B$12,Paramètres!$A$1:$I$89,3,0)*VLOOKUP('Données projet'!$B$12,Paramètres!$A$1:$I$89,5,0)</f>
        <v>2.8819613362429664E-14</v>
      </c>
      <c r="CA170" s="13">
        <f t="shared" si="170"/>
        <v>5.0041752926933358E-13</v>
      </c>
      <c r="CB170" s="20">
        <f t="shared" si="171"/>
        <v>9.2175469008365428E-13</v>
      </c>
      <c r="CC170" s="59">
        <f t="shared" si="119"/>
        <v>293.33333333333422</v>
      </c>
      <c r="CD170" s="59">
        <f ca="1">AVERAGE(OFFSET($CC$3,0,0,'Données projet'!$E$12+1,1))-AVERAGE(OFFSET($H$3,0,0,'Données projet'!$E$12+1,1))</f>
        <v>169.2757878405003</v>
      </c>
      <c r="CE170" s="59">
        <f t="shared" si="148"/>
        <v>61.876502626609977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-8.5265128291212022E-14</v>
      </c>
      <c r="CU170" s="17">
        <f>CT170*VLOOKUP('Données projet'!$B$13,Paramètres!$A$1:$I$89,3,0)*VLOOKUP('Données projet'!$B$13,Paramètres!$A$1:$I$89,5,0)</f>
        <v>-6.7836936068488286E-14</v>
      </c>
      <c r="CV170" s="13" t="e">
        <f t="shared" si="173"/>
        <v>#NUM!</v>
      </c>
      <c r="CW170" s="20" t="e">
        <f t="shared" si="174"/>
        <v>#NUM!</v>
      </c>
      <c r="CX170" s="59" t="e">
        <f t="shared" si="122"/>
        <v>#NUM!</v>
      </c>
      <c r="CY170" s="59">
        <f ca="1">AVERAGE(OFFSET($CX$3,0,0,'Données projet'!$E$13+1,1))-AVERAGE(OFFSET($H$3,0,0,'Données projet'!$E$13+1,1))</f>
        <v>141.12810728817544</v>
      </c>
      <c r="CZ170" s="59">
        <f t="shared" si="150"/>
        <v>176.01405805137551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>
        <f>EXP(-LN(2)/35)*DF169+(1-EXP(-LN(2)/35))/(LN(2)/35)*DB170*DC170*VLOOKUP('Données projet'!$B$13,Paramètres!$A$1:$I$89,3,0)*0.475*44/12</f>
        <v>0</v>
      </c>
      <c r="DG170" s="21">
        <f>EXP(-LN(2)/25)*DG169+(1-EXP(-LN(2)/25))/(LN(2)/25)*Calculateur!DB170*Calculateur!DD170*VLOOKUP('Données projet'!$B$13,Paramètres!$A$1:$I$89,3,0)*0.475*44/12</f>
        <v>0.15062299156599013</v>
      </c>
      <c r="DH170" s="21">
        <f>EXP(-LN(2)/2)*DH169+(1-EXP(-LN(2)/2))/(LN(2)/2)*DB170*DE170*VLOOKUP('Données projet'!$B$13,Paramètres!$A$1:$I$89,3,0)*0.475*44/12</f>
        <v>1.9178606403520359E-20</v>
      </c>
      <c r="DI170" s="22">
        <f t="shared" si="175"/>
        <v>0.15062299156599013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5.6843418860808015E-14</v>
      </c>
      <c r="DP170" s="17">
        <f>DO170*VLOOKUP('Données projet'!$B$14,Paramètres!$A$1:$I$89,3,0)*VLOOKUP('Données projet'!$B$14,Paramètres!$A$1:$I$89,5,0)</f>
        <v>3.3992364478763198E-14</v>
      </c>
      <c r="DQ170" s="13">
        <f t="shared" si="176"/>
        <v>5.790027782444094E-13</v>
      </c>
      <c r="DR170" s="20">
        <f t="shared" si="177"/>
        <v>1.0676332069095257E-12</v>
      </c>
      <c r="DS170" s="59">
        <f t="shared" si="125"/>
        <v>293.33333333333439</v>
      </c>
      <c r="DT170" s="59">
        <f ca="1">AVERAGE(OFFSET($DS$3,0,0,'Données projet'!$E$14+1,1))-AVERAGE(OFFSET($H$3,0,0,'Données projet'!$E$14+1,1))</f>
        <v>165.39579887388538</v>
      </c>
      <c r="DU170" s="59">
        <f t="shared" si="152"/>
        <v>155.89639262545802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>
        <f>EXP(-LN(2)/35)*EA169+(1-EXP(-LN(2)/35))/(LN(2)/35)*DW170*DX170*VLOOKUP('Données projet'!$B$14,Paramètres!$A$1:$I$89,3,0)*0.475*44/12</f>
        <v>0</v>
      </c>
      <c r="EB170" s="21">
        <f>EXP(-LN(2)/25)*EB169+(1-EXP(-LN(2)/25))/(LN(2)/25)*Calculateur!DW170*Calculateur!DY170*VLOOKUP('Données projet'!$B$14,Paramètres!$A$1:$I$89,3,0)*0.475*44/12</f>
        <v>0.16331955234982973</v>
      </c>
      <c r="EC170" s="21">
        <f>EXP(-LN(2)/2)*EC169+(1-EXP(-LN(2)/2))/(LN(2)/2)*DW170*DZ170*VLOOKUP('Données projet'!$B$14,Paramètres!$A$1:$I$89,3,0)*0.475*44/12</f>
        <v>3.3253386588099148E-20</v>
      </c>
      <c r="ED170" s="22">
        <f t="shared" si="178"/>
        <v>0.16331955234982973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2.8421709430404007E-14</v>
      </c>
      <c r="EK170" s="17">
        <f>EJ170*VLOOKUP('Données projet'!$B$15,Paramètres!$A$1:$I$89,3,0)*VLOOKUP('Données projet'!$B$15,Paramètres!$A$1:$I$89,5,0)</f>
        <v>2.2168933355715127E-14</v>
      </c>
      <c r="EL170" s="13">
        <f t="shared" si="179"/>
        <v>3.9687356123668477E-13</v>
      </c>
      <c r="EM170" s="20">
        <f t="shared" si="180"/>
        <v>7.2983234474842979E-13</v>
      </c>
      <c r="EN170" s="59">
        <f t="shared" si="128"/>
        <v>293.33333333333405</v>
      </c>
      <c r="EO170" s="59">
        <f ca="1">AVERAGE(OFFSET($EN$3,0,0,'Données projet'!$E$15+1,1))-AVERAGE(OFFSET($H$3,0,0,'Données projet'!$E$15+1,1))</f>
        <v>104.07220236158577</v>
      </c>
      <c r="EP170" s="59">
        <f t="shared" si="154"/>
        <v>34.162068257911756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>
        <f>EXP(-LN(2)/35)*EV169+(1-EXP(-LN(2)/35))/(LN(2)/35)*ER170*ES170*VLOOKUP('Données projet'!$B$15,Paramètres!$A$1:$I$89,3,0)*0.475*44/12</f>
        <v>0</v>
      </c>
      <c r="EW170" s="21">
        <f>EXP(-LN(2)/25)*EW169+(1-EXP(-LN(2)/25))/(LN(2)/25)*Calculateur!ER170*Calculateur!ET170*VLOOKUP('Données projet'!$B$15,Paramètres!$A$1:$I$89,3,0)*0.475*44/12</f>
        <v>0</v>
      </c>
      <c r="EX170" s="21">
        <f>EXP(-LN(2)/2)*EX169+(1-EXP(-LN(2)/2))/(LN(2)/2)*ER170*EU170*VLOOKUP('Données projet'!$B$15,Paramètres!$A$1:$I$89,3,0)*0.475*44/12</f>
        <v>0</v>
      </c>
      <c r="EY170" s="22">
        <f t="shared" si="181"/>
        <v>0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5.6843418860808015E-14</v>
      </c>
      <c r="FF170" s="17">
        <f>FE170*VLOOKUP('Données projet'!$B$16,Paramètres!$A$1:$I$89,3,0)*VLOOKUP('Données projet'!$B$16,Paramètres!$A$1:$I$89,5,0)</f>
        <v>5.1431925385259088E-14</v>
      </c>
      <c r="FG170" s="13">
        <f t="shared" si="182"/>
        <v>8.3482866290946129E-13</v>
      </c>
      <c r="FH170" s="20">
        <f t="shared" si="183"/>
        <v>1.5435705246133045E-12</v>
      </c>
      <c r="FI170" s="59">
        <f t="shared" si="131"/>
        <v>293.33333333333485</v>
      </c>
      <c r="FJ170" s="59">
        <f ca="1">AVERAGE(OFFSET($FI$3,0,0,'Données projet'!$E$16+1,1))-AVERAGE(OFFSET($H$3,0,0,'Données projet'!$E$16+1,1))</f>
        <v>179.50097986986123</v>
      </c>
      <c r="FK170" s="59">
        <f t="shared" si="156"/>
        <v>287.11838730637578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>
        <f>EXP(-LN(2)/35)*FQ169+(1-EXP(-LN(2)/35))/(LN(2)/35)*FM170*FN170*VLOOKUP('Données projet'!$B$16,Paramètres!$A$1:$I$89,3,0)*0.475*44/12</f>
        <v>4.1345875686890667E-2</v>
      </c>
      <c r="FR170" s="21">
        <f>EXP(-LN(2)/25)*FR169+(1-EXP(-LN(2)/25))/(LN(2)/25)*Calculateur!FM170*Calculateur!FO170*VLOOKUP('Données projet'!$B$16,Paramètres!$A$1:$I$89,3,0)*0.475*44/12</f>
        <v>0.14101233378930919</v>
      </c>
      <c r="FS170" s="21">
        <f>EXP(-LN(2)/2)*FS169+(1-EXP(-LN(2)/2))/(LN(2)/2)*FM170*FP170*VLOOKUP('Données projet'!$B$16,Paramètres!$A$1:$I$89,3,0)*0.475*44/12</f>
        <v>1.0830791850166655E-20</v>
      </c>
      <c r="FT170" s="22">
        <f t="shared" si="184"/>
        <v>0.18235820947619985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5.6843418860808015E-14</v>
      </c>
      <c r="GA170" s="17">
        <f>FZ170*VLOOKUP('Données projet'!$B$17,Paramètres!$A$1:$I$89,3,0)*VLOOKUP('Données projet'!$B$17,Paramètres!$A$1:$I$89,5,0)</f>
        <v>3.3992364478763198E-14</v>
      </c>
      <c r="GB170" s="13">
        <f t="shared" si="185"/>
        <v>5.790027782444094E-13</v>
      </c>
      <c r="GC170" s="20">
        <f t="shared" si="186"/>
        <v>1.0676332069095257E-12</v>
      </c>
      <c r="GD170" s="59">
        <f t="shared" si="134"/>
        <v>293.33333333333439</v>
      </c>
      <c r="GE170" s="59">
        <f ca="1">AVERAGE(OFFSET($GD$3,0,0,'Données projet'!$E$17+1,1))-AVERAGE(OFFSET($H$3,0,0,'Données projet'!$E$17+1,1))</f>
        <v>165.39579887388538</v>
      </c>
      <c r="GF170" s="59">
        <f t="shared" si="158"/>
        <v>155.89639262545802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>
        <f>EXP(-LN(2)/35)*GL169+(1-EXP(-LN(2)/35))/(LN(2)/35)*GH170*GI170*VLOOKUP('Données projet'!$B$17,Paramètres!$A$1:$I$89,3,0)*0.475*44/12</f>
        <v>0</v>
      </c>
      <c r="GM170" s="21">
        <f>EXP(-LN(2)/25)*GM169+(1-EXP(-LN(2)/25))/(LN(2)/25)*Calculateur!GH170*Calculateur!GJ170*VLOOKUP('Données projet'!$B$17,Paramètres!$A$1:$I$89,3,0)*0.475*44/12</f>
        <v>0.16331955234982973</v>
      </c>
      <c r="GN170" s="21">
        <f>EXP(-LN(2)/2)*GN169+(1-EXP(-LN(2)/2))/(LN(2)/2)*GH170*GK170*VLOOKUP('Données projet'!$B$17,Paramètres!$A$1:$I$89,3,0)*0.475*44/12</f>
        <v>3.3253386588099148E-20</v>
      </c>
      <c r="GO170" s="21">
        <f t="shared" si="187"/>
        <v>0.16331955234982973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3.4106051316484809E-13</v>
      </c>
      <c r="O171" s="13">
        <f>N171*VLOOKUP('Données projet'!$B$9,Paramètres!$A$1:$I$89,3,0)*VLOOKUP('Données projet'!$B$9,Paramètres!$A$1:$I$89,5,0)</f>
        <v>1.9065282685915009E-13</v>
      </c>
      <c r="P171" s="13">
        <f t="shared" si="141"/>
        <v>2.6568987209435707E-12</v>
      </c>
      <c r="Q171" s="20">
        <f t="shared" si="162"/>
        <v>4.959485612423072E-12</v>
      </c>
      <c r="R171" s="59">
        <f t="shared" si="109"/>
        <v>293.33333333333826</v>
      </c>
      <c r="S171" s="59">
        <f ca="1">AVERAGE(OFFSET($R$3,0,0,'Données projet'!$E$9+1,1))-AVERAGE(OFFSET($H$3,0,0,'Données projet'!$E$9+1,1))</f>
        <v>235.10258076192054</v>
      </c>
      <c r="T171" s="59">
        <f t="shared" si="142"/>
        <v>233.47316052603765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0.2227736760185981</v>
      </c>
      <c r="AA171" s="21">
        <f>EXP(-LN(2)/25)*AA170+(1-EXP(-LN(2)/25))/(LN(2)/25)*Calculateur!V171*Calculateur!X171*VLOOKUP('Données projet'!$B$9,Paramètres!$A$1:$I$89,3,0)*0.475*44/12</f>
        <v>0.40174904068465389</v>
      </c>
      <c r="AB171" s="21">
        <f>EXP(-LN(2)/2)*AB170+(1-EXP(-LN(2)/2))/(LN(2)/2)*V171*Y171*VLOOKUP('Données projet'!$B$9,Paramètres!$A$1:$I$89,3,0)*0.475*44/12</f>
        <v>4.0864395950920952E-20</v>
      </c>
      <c r="AC171" s="22">
        <f t="shared" si="163"/>
        <v>0.62452271670325199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-8.5265128291212022E-14</v>
      </c>
      <c r="AJ171" s="13">
        <f>AI171*VLOOKUP('Données projet'!$B$10,Paramètres!$A$1:$I$89,3,0)*VLOOKUP('Données projet'!$B$10,Paramètres!$A$1:$I$89,5,0)</f>
        <v>-7.4487616075202836E-14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191.94797389630673</v>
      </c>
      <c r="AO171" s="59">
        <f t="shared" si="144"/>
        <v>273.52540822767878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0.16741779288670394</v>
      </c>
      <c r="AV171" s="21">
        <f>EXP(-LN(2)/25)*AV170+(1-EXP(-LN(2)/25))/(LN(2)/25)*Calculateur!AQ171*Calculateur!AS171*VLOOKUP('Données projet'!$B$10,Paramètres!$A$1:$I$89,3,0)*0.475*44/12</f>
        <v>0.30614952654142774</v>
      </c>
      <c r="AW171" s="21">
        <f>EXP(-LN(2)/2)*AW170+(1-EXP(-LN(2)/2))/(LN(2)/2)*AQ171*AT171*VLOOKUP('Données projet'!$B$10,Paramètres!$A$1:$I$89,3,0)*0.475*44/12</f>
        <v>3.9307517540349043E-20</v>
      </c>
      <c r="AX171" s="21">
        <f t="shared" si="166"/>
        <v>0.47356731942813168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2.8421709430404007E-14</v>
      </c>
      <c r="BE171" s="13">
        <f>BD171*VLOOKUP('Données projet'!$B$11,Paramètres!$A$1:$I$89,3,0)*VLOOKUP('Données projet'!$B$11,Paramètres!$A$1:$I$89,5,0)</f>
        <v>2.5715962692629544E-14</v>
      </c>
      <c r="BF171" s="13">
        <f t="shared" si="167"/>
        <v>4.5248818890525812E-13</v>
      </c>
      <c r="BG171" s="20">
        <f t="shared" si="168"/>
        <v>8.3287223069965432E-13</v>
      </c>
      <c r="BH171" s="59">
        <f t="shared" si="116"/>
        <v>293.33333333333417</v>
      </c>
      <c r="BI171" s="59">
        <f ca="1">AVERAGE(OFFSET($BH$3,0,0,'Données projet'!$E$11+1,1))-AVERAGE(OFFSET($H$3,0,0,'Données projet'!$E$11+1,1))</f>
        <v>138.8931001150624</v>
      </c>
      <c r="BJ171" s="59">
        <f t="shared" si="146"/>
        <v>48.964659354096625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2.8421709430404007E-14</v>
      </c>
      <c r="BZ171" s="13">
        <f>BY171*VLOOKUP('Données projet'!$B$12,Paramètres!$A$1:$I$89,3,0)*VLOOKUP('Données projet'!$B$12,Paramètres!$A$1:$I$89,5,0)</f>
        <v>2.8819613362429664E-14</v>
      </c>
      <c r="CA171" s="13">
        <f t="shared" si="170"/>
        <v>5.0041752926933358E-13</v>
      </c>
      <c r="CB171" s="20">
        <f t="shared" si="171"/>
        <v>9.2175469008365428E-13</v>
      </c>
      <c r="CC171" s="59">
        <f t="shared" si="119"/>
        <v>293.33333333333422</v>
      </c>
      <c r="CD171" s="59">
        <f ca="1">AVERAGE(OFFSET($CC$3,0,0,'Données projet'!$E$12+1,1))-AVERAGE(OFFSET($H$3,0,0,'Données projet'!$E$12+1,1))</f>
        <v>169.2757878405003</v>
      </c>
      <c r="CE171" s="59">
        <f t="shared" si="148"/>
        <v>61.876502626609977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-8.5265128291212022E-14</v>
      </c>
      <c r="CU171" s="17">
        <f>CT171*VLOOKUP('Données projet'!$B$13,Paramètres!$A$1:$I$89,3,0)*VLOOKUP('Données projet'!$B$13,Paramètres!$A$1:$I$89,5,0)</f>
        <v>-6.7836936068488286E-14</v>
      </c>
      <c r="CV171" s="13" t="e">
        <f t="shared" si="173"/>
        <v>#NUM!</v>
      </c>
      <c r="CW171" s="20" t="e">
        <f t="shared" si="174"/>
        <v>#NUM!</v>
      </c>
      <c r="CX171" s="59" t="e">
        <f t="shared" si="122"/>
        <v>#NUM!</v>
      </c>
      <c r="CY171" s="59">
        <f ca="1">AVERAGE(OFFSET($CX$3,0,0,'Données projet'!$E$13+1,1))-AVERAGE(OFFSET($H$3,0,0,'Données projet'!$E$13+1,1))</f>
        <v>141.12810728817544</v>
      </c>
      <c r="CZ171" s="59">
        <f t="shared" si="150"/>
        <v>176.01405805137551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>
        <f>EXP(-LN(2)/35)*DF170+(1-EXP(-LN(2)/35))/(LN(2)/35)*DB171*DC171*VLOOKUP('Données projet'!$B$13,Paramètres!$A$1:$I$89,3,0)*0.475*44/12</f>
        <v>0</v>
      </c>
      <c r="DG171" s="21">
        <f>EXP(-LN(2)/25)*DG170+(1-EXP(-LN(2)/25))/(LN(2)/25)*Calculateur!DB171*Calculateur!DD171*VLOOKUP('Données projet'!$B$13,Paramètres!$A$1:$I$89,3,0)*0.475*44/12</f>
        <v>0.14650419794069924</v>
      </c>
      <c r="DH171" s="21">
        <f>EXP(-LN(2)/2)*DH170+(1-EXP(-LN(2)/2))/(LN(2)/2)*DB171*DE171*VLOOKUP('Données projet'!$B$13,Paramètres!$A$1:$I$89,3,0)*0.475*44/12</f>
        <v>1.3561322641636989E-20</v>
      </c>
      <c r="DI171" s="22">
        <f t="shared" si="175"/>
        <v>0.14650419794069924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5.6843418860808015E-14</v>
      </c>
      <c r="DP171" s="17">
        <f>DO171*VLOOKUP('Données projet'!$B$14,Paramètres!$A$1:$I$89,3,0)*VLOOKUP('Données projet'!$B$14,Paramètres!$A$1:$I$89,5,0)</f>
        <v>3.3992364478763198E-14</v>
      </c>
      <c r="DQ171" s="13">
        <f t="shared" si="176"/>
        <v>5.790027782444094E-13</v>
      </c>
      <c r="DR171" s="20">
        <f t="shared" si="177"/>
        <v>1.0676332069095257E-12</v>
      </c>
      <c r="DS171" s="59">
        <f t="shared" si="125"/>
        <v>293.33333333333439</v>
      </c>
      <c r="DT171" s="59">
        <f ca="1">AVERAGE(OFFSET($DS$3,0,0,'Données projet'!$E$14+1,1))-AVERAGE(OFFSET($H$3,0,0,'Données projet'!$E$14+1,1))</f>
        <v>165.39579887388538</v>
      </c>
      <c r="DU171" s="59">
        <f t="shared" si="152"/>
        <v>155.89639262545802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>
        <f>EXP(-LN(2)/35)*EA170+(1-EXP(-LN(2)/35))/(LN(2)/35)*DW171*DX171*VLOOKUP('Données projet'!$B$14,Paramètres!$A$1:$I$89,3,0)*0.475*44/12</f>
        <v>0</v>
      </c>
      <c r="EB171" s="21">
        <f>EXP(-LN(2)/25)*EB170+(1-EXP(-LN(2)/25))/(LN(2)/25)*Calculateur!DW171*Calculateur!DY171*VLOOKUP('Données projet'!$B$14,Paramètres!$A$1:$I$89,3,0)*0.475*44/12</f>
        <v>0.15885357060222166</v>
      </c>
      <c r="EC171" s="21">
        <f>EXP(-LN(2)/2)*EC170+(1-EXP(-LN(2)/2))/(LN(2)/2)*DW171*DZ171*VLOOKUP('Données projet'!$B$14,Paramètres!$A$1:$I$89,3,0)*0.475*44/12</f>
        <v>2.3513695153862699E-20</v>
      </c>
      <c r="ED171" s="22">
        <f t="shared" si="178"/>
        <v>0.15885357060222166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2.8421709430404007E-14</v>
      </c>
      <c r="EK171" s="17">
        <f>EJ171*VLOOKUP('Données projet'!$B$15,Paramètres!$A$1:$I$89,3,0)*VLOOKUP('Données projet'!$B$15,Paramètres!$A$1:$I$89,5,0)</f>
        <v>2.2168933355715127E-14</v>
      </c>
      <c r="EL171" s="13">
        <f t="shared" si="179"/>
        <v>3.9687356123668477E-13</v>
      </c>
      <c r="EM171" s="20">
        <f t="shared" si="180"/>
        <v>7.2983234474842979E-13</v>
      </c>
      <c r="EN171" s="59">
        <f t="shared" si="128"/>
        <v>293.33333333333405</v>
      </c>
      <c r="EO171" s="59">
        <f ca="1">AVERAGE(OFFSET($EN$3,0,0,'Données projet'!$E$15+1,1))-AVERAGE(OFFSET($H$3,0,0,'Données projet'!$E$15+1,1))</f>
        <v>104.07220236158577</v>
      </c>
      <c r="EP171" s="59">
        <f t="shared" si="154"/>
        <v>34.162068257911756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>
        <f>EXP(-LN(2)/35)*EV170+(1-EXP(-LN(2)/35))/(LN(2)/35)*ER171*ES171*VLOOKUP('Données projet'!$B$15,Paramètres!$A$1:$I$89,3,0)*0.475*44/12</f>
        <v>0</v>
      </c>
      <c r="EW171" s="21">
        <f>EXP(-LN(2)/25)*EW170+(1-EXP(-LN(2)/25))/(LN(2)/25)*Calculateur!ER171*Calculateur!ET171*VLOOKUP('Données projet'!$B$15,Paramètres!$A$1:$I$89,3,0)*0.475*44/12</f>
        <v>0</v>
      </c>
      <c r="EX171" s="21">
        <f>EXP(-LN(2)/2)*EX170+(1-EXP(-LN(2)/2))/(LN(2)/2)*ER171*EU171*VLOOKUP('Données projet'!$B$15,Paramètres!$A$1:$I$89,3,0)*0.475*44/12</f>
        <v>0</v>
      </c>
      <c r="EY171" s="22">
        <f t="shared" si="181"/>
        <v>0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5.6843418860808015E-14</v>
      </c>
      <c r="FF171" s="17">
        <f>FE171*VLOOKUP('Données projet'!$B$16,Paramètres!$A$1:$I$89,3,0)*VLOOKUP('Données projet'!$B$16,Paramètres!$A$1:$I$89,5,0)</f>
        <v>5.1431925385259088E-14</v>
      </c>
      <c r="FG171" s="13">
        <f t="shared" si="182"/>
        <v>8.3482866290946129E-13</v>
      </c>
      <c r="FH171" s="20">
        <f t="shared" si="183"/>
        <v>1.5435705246133045E-12</v>
      </c>
      <c r="FI171" s="59">
        <f t="shared" si="131"/>
        <v>293.33333333333485</v>
      </c>
      <c r="FJ171" s="59">
        <f ca="1">AVERAGE(OFFSET($FI$3,0,0,'Données projet'!$E$16+1,1))-AVERAGE(OFFSET($H$3,0,0,'Données projet'!$E$16+1,1))</f>
        <v>179.50097986986123</v>
      </c>
      <c r="FK171" s="59">
        <f t="shared" si="156"/>
        <v>287.11838730637578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>
        <f>EXP(-LN(2)/35)*FQ170+(1-EXP(-LN(2)/35))/(LN(2)/35)*FM171*FN171*VLOOKUP('Données projet'!$B$16,Paramètres!$A$1:$I$89,3,0)*0.475*44/12</f>
        <v>4.053510828316479E-2</v>
      </c>
      <c r="FR171" s="21">
        <f>EXP(-LN(2)/25)*FR170+(1-EXP(-LN(2)/25))/(LN(2)/25)*Calculateur!FM171*Calculateur!FO171*VLOOKUP('Données projet'!$B$16,Paramètres!$A$1:$I$89,3,0)*0.475*44/12</f>
        <v>0.13715634410632419</v>
      </c>
      <c r="FS171" s="21">
        <f>EXP(-LN(2)/2)*FS170+(1-EXP(-LN(2)/2))/(LN(2)/2)*FM171*FP171*VLOOKUP('Données projet'!$B$16,Paramètres!$A$1:$I$89,3,0)*0.475*44/12</f>
        <v>7.6585263628728351E-21</v>
      </c>
      <c r="FT171" s="22">
        <f t="shared" si="184"/>
        <v>0.17769145238948897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5.6843418860808015E-14</v>
      </c>
      <c r="GA171" s="17">
        <f>FZ171*VLOOKUP('Données projet'!$B$17,Paramètres!$A$1:$I$89,3,0)*VLOOKUP('Données projet'!$B$17,Paramètres!$A$1:$I$89,5,0)</f>
        <v>3.3992364478763198E-14</v>
      </c>
      <c r="GB171" s="13">
        <f t="shared" si="185"/>
        <v>5.790027782444094E-13</v>
      </c>
      <c r="GC171" s="20">
        <f t="shared" si="186"/>
        <v>1.0676332069095257E-12</v>
      </c>
      <c r="GD171" s="59">
        <f t="shared" si="134"/>
        <v>293.33333333333439</v>
      </c>
      <c r="GE171" s="59">
        <f ca="1">AVERAGE(OFFSET($GD$3,0,0,'Données projet'!$E$17+1,1))-AVERAGE(OFFSET($H$3,0,0,'Données projet'!$E$17+1,1))</f>
        <v>165.39579887388538</v>
      </c>
      <c r="GF171" s="59">
        <f t="shared" si="158"/>
        <v>155.89639262545802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>
        <f>EXP(-LN(2)/35)*GL170+(1-EXP(-LN(2)/35))/(LN(2)/35)*GH171*GI171*VLOOKUP('Données projet'!$B$17,Paramètres!$A$1:$I$89,3,0)*0.475*44/12</f>
        <v>0</v>
      </c>
      <c r="GM171" s="21">
        <f>EXP(-LN(2)/25)*GM170+(1-EXP(-LN(2)/25))/(LN(2)/25)*Calculateur!GH171*Calculateur!GJ171*VLOOKUP('Données projet'!$B$17,Paramètres!$A$1:$I$89,3,0)*0.475*44/12</f>
        <v>0.15885357060222166</v>
      </c>
      <c r="GN171" s="21">
        <f>EXP(-LN(2)/2)*GN170+(1-EXP(-LN(2)/2))/(LN(2)/2)*GH171*GK171*VLOOKUP('Données projet'!$B$17,Paramètres!$A$1:$I$89,3,0)*0.475*44/12</f>
        <v>2.3513695153862699E-20</v>
      </c>
      <c r="GO171" s="21">
        <f t="shared" si="187"/>
        <v>0.15885357060222166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3.4106051316484809E-13</v>
      </c>
      <c r="O172" s="13">
        <f>N172*VLOOKUP('Données projet'!$B$9,Paramètres!$A$1:$I$89,3,0)*VLOOKUP('Données projet'!$B$9,Paramètres!$A$1:$I$89,5,0)</f>
        <v>1.9065282685915009E-13</v>
      </c>
      <c r="P172" s="13">
        <f t="shared" si="141"/>
        <v>2.6568987209435707E-12</v>
      </c>
      <c r="Q172" s="20">
        <f t="shared" si="162"/>
        <v>4.959485612423072E-12</v>
      </c>
      <c r="R172" s="59">
        <f t="shared" si="109"/>
        <v>293.33333333333826</v>
      </c>
      <c r="S172" s="59">
        <f ca="1">AVERAGE(OFFSET($R$3,0,0,'Données projet'!$E$9+1,1))-AVERAGE(OFFSET($H$3,0,0,'Données projet'!$E$9+1,1))</f>
        <v>235.10258076192054</v>
      </c>
      <c r="T172" s="59">
        <f t="shared" si="142"/>
        <v>233.47316052603765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0.21840522011039887</v>
      </c>
      <c r="AA172" s="21">
        <f>EXP(-LN(2)/25)*AA171+(1-EXP(-LN(2)/25))/(LN(2)/25)*Calculateur!V172*Calculateur!X172*VLOOKUP('Données projet'!$B$9,Paramètres!$A$1:$I$89,3,0)*0.475*44/12</f>
        <v>0.39076319204006821</v>
      </c>
      <c r="AB172" s="21">
        <f>EXP(-LN(2)/2)*AB171+(1-EXP(-LN(2)/2))/(LN(2)/2)*V172*Y172*VLOOKUP('Données projet'!$B$9,Paramètres!$A$1:$I$89,3,0)*0.475*44/12</f>
        <v>2.88954914859883E-20</v>
      </c>
      <c r="AC172" s="22">
        <f t="shared" si="163"/>
        <v>0.60916841215046702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-8.5265128291212022E-14</v>
      </c>
      <c r="AJ172" s="13">
        <f>AI172*VLOOKUP('Données projet'!$B$10,Paramètres!$A$1:$I$89,3,0)*VLOOKUP('Données projet'!$B$10,Paramètres!$A$1:$I$89,5,0)</f>
        <v>-7.4487616075202836E-14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191.94797389630673</v>
      </c>
      <c r="AO172" s="59">
        <f t="shared" si="144"/>
        <v>273.52540822767878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0.16413483208296634</v>
      </c>
      <c r="AV172" s="21">
        <f>EXP(-LN(2)/25)*AV171+(1-EXP(-LN(2)/25))/(LN(2)/25)*Calculateur!AQ172*Calculateur!AS172*VLOOKUP('Données projet'!$B$10,Paramètres!$A$1:$I$89,3,0)*0.475*44/12</f>
        <v>0.2977778516384485</v>
      </c>
      <c r="AW172" s="21">
        <f>EXP(-LN(2)/2)*AW171+(1-EXP(-LN(2)/2))/(LN(2)/2)*AQ172*AT172*VLOOKUP('Données projet'!$B$10,Paramètres!$A$1:$I$89,3,0)*0.475*44/12</f>
        <v>2.7794612204389968E-20</v>
      </c>
      <c r="AX172" s="21">
        <f t="shared" si="166"/>
        <v>0.46191268372141481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2.8421709430404007E-14</v>
      </c>
      <c r="BE172" s="13">
        <f>BD172*VLOOKUP('Données projet'!$B$11,Paramètres!$A$1:$I$89,3,0)*VLOOKUP('Données projet'!$B$11,Paramètres!$A$1:$I$89,5,0)</f>
        <v>2.5715962692629544E-14</v>
      </c>
      <c r="BF172" s="13">
        <f t="shared" si="167"/>
        <v>4.5248818890525812E-13</v>
      </c>
      <c r="BG172" s="20">
        <f t="shared" si="168"/>
        <v>8.3287223069965432E-13</v>
      </c>
      <c r="BH172" s="59">
        <f t="shared" si="116"/>
        <v>293.33333333333417</v>
      </c>
      <c r="BI172" s="59">
        <f ca="1">AVERAGE(OFFSET($BH$3,0,0,'Données projet'!$E$11+1,1))-AVERAGE(OFFSET($H$3,0,0,'Données projet'!$E$11+1,1))</f>
        <v>138.8931001150624</v>
      </c>
      <c r="BJ172" s="59">
        <f t="shared" si="146"/>
        <v>48.964659354096625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2.8421709430404007E-14</v>
      </c>
      <c r="BZ172" s="13">
        <f>BY172*VLOOKUP('Données projet'!$B$12,Paramètres!$A$1:$I$89,3,0)*VLOOKUP('Données projet'!$B$12,Paramètres!$A$1:$I$89,5,0)</f>
        <v>2.8819613362429664E-14</v>
      </c>
      <c r="CA172" s="13">
        <f t="shared" si="170"/>
        <v>5.0041752926933358E-13</v>
      </c>
      <c r="CB172" s="20">
        <f t="shared" si="171"/>
        <v>9.2175469008365428E-13</v>
      </c>
      <c r="CC172" s="59">
        <f t="shared" si="119"/>
        <v>293.33333333333422</v>
      </c>
      <c r="CD172" s="59">
        <f ca="1">AVERAGE(OFFSET($CC$3,0,0,'Données projet'!$E$12+1,1))-AVERAGE(OFFSET($H$3,0,0,'Données projet'!$E$12+1,1))</f>
        <v>169.2757878405003</v>
      </c>
      <c r="CE172" s="59">
        <f t="shared" si="148"/>
        <v>61.876502626609977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-8.5265128291212022E-14</v>
      </c>
      <c r="CU172" s="17">
        <f>CT172*VLOOKUP('Données projet'!$B$13,Paramètres!$A$1:$I$89,3,0)*VLOOKUP('Données projet'!$B$13,Paramètres!$A$1:$I$89,5,0)</f>
        <v>-6.7836936068488286E-14</v>
      </c>
      <c r="CV172" s="13" t="e">
        <f t="shared" si="173"/>
        <v>#NUM!</v>
      </c>
      <c r="CW172" s="20" t="e">
        <f t="shared" si="174"/>
        <v>#NUM!</v>
      </c>
      <c r="CX172" s="59" t="e">
        <f t="shared" si="122"/>
        <v>#NUM!</v>
      </c>
      <c r="CY172" s="59">
        <f ca="1">AVERAGE(OFFSET($CX$3,0,0,'Données projet'!$E$13+1,1))-AVERAGE(OFFSET($H$3,0,0,'Données projet'!$E$13+1,1))</f>
        <v>141.12810728817544</v>
      </c>
      <c r="CZ172" s="59">
        <f t="shared" si="150"/>
        <v>176.01405805137551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>
        <f>EXP(-LN(2)/35)*DF171+(1-EXP(-LN(2)/35))/(LN(2)/35)*DB172*DC172*VLOOKUP('Données projet'!$B$13,Paramètres!$A$1:$I$89,3,0)*0.475*44/12</f>
        <v>0</v>
      </c>
      <c r="DG172" s="21">
        <f>EXP(-LN(2)/25)*DG171+(1-EXP(-LN(2)/25))/(LN(2)/25)*Calculateur!DB172*Calculateur!DD172*VLOOKUP('Données projet'!$B$13,Paramètres!$A$1:$I$89,3,0)*0.475*44/12</f>
        <v>0.1424980329436899</v>
      </c>
      <c r="DH172" s="21">
        <f>EXP(-LN(2)/2)*DH171+(1-EXP(-LN(2)/2))/(LN(2)/2)*DB172*DE172*VLOOKUP('Données projet'!$B$13,Paramètres!$A$1:$I$89,3,0)*0.475*44/12</f>
        <v>9.5893032017601794E-21</v>
      </c>
      <c r="DI172" s="22">
        <f t="shared" si="175"/>
        <v>0.1424980329436899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5.6843418860808015E-14</v>
      </c>
      <c r="DP172" s="17">
        <f>DO172*VLOOKUP('Données projet'!$B$14,Paramètres!$A$1:$I$89,3,0)*VLOOKUP('Données projet'!$B$14,Paramètres!$A$1:$I$89,5,0)</f>
        <v>3.3992364478763198E-14</v>
      </c>
      <c r="DQ172" s="13">
        <f t="shared" si="176"/>
        <v>5.790027782444094E-13</v>
      </c>
      <c r="DR172" s="20">
        <f t="shared" si="177"/>
        <v>1.0676332069095257E-12</v>
      </c>
      <c r="DS172" s="59">
        <f t="shared" si="125"/>
        <v>293.33333333333439</v>
      </c>
      <c r="DT172" s="59">
        <f ca="1">AVERAGE(OFFSET($DS$3,0,0,'Données projet'!$E$14+1,1))-AVERAGE(OFFSET($H$3,0,0,'Données projet'!$E$14+1,1))</f>
        <v>165.39579887388538</v>
      </c>
      <c r="DU172" s="59">
        <f t="shared" si="152"/>
        <v>155.89639262545802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>
        <f>EXP(-LN(2)/35)*EA171+(1-EXP(-LN(2)/35))/(LN(2)/35)*DW172*DX172*VLOOKUP('Données projet'!$B$14,Paramètres!$A$1:$I$89,3,0)*0.475*44/12</f>
        <v>0</v>
      </c>
      <c r="EB172" s="21">
        <f>EXP(-LN(2)/25)*EB171+(1-EXP(-LN(2)/25))/(LN(2)/25)*Calculateur!DW172*Calculateur!DY172*VLOOKUP('Données projet'!$B$14,Paramètres!$A$1:$I$89,3,0)*0.475*44/12</f>
        <v>0.15450971136035771</v>
      </c>
      <c r="EC172" s="21">
        <f>EXP(-LN(2)/2)*EC171+(1-EXP(-LN(2)/2))/(LN(2)/2)*DW172*DZ172*VLOOKUP('Données projet'!$B$14,Paramètres!$A$1:$I$89,3,0)*0.475*44/12</f>
        <v>1.6626693294049574E-20</v>
      </c>
      <c r="ED172" s="22">
        <f t="shared" si="178"/>
        <v>0.15450971136035771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2.8421709430404007E-14</v>
      </c>
      <c r="EK172" s="17">
        <f>EJ172*VLOOKUP('Données projet'!$B$15,Paramètres!$A$1:$I$89,3,0)*VLOOKUP('Données projet'!$B$15,Paramètres!$A$1:$I$89,5,0)</f>
        <v>2.2168933355715127E-14</v>
      </c>
      <c r="EL172" s="13">
        <f t="shared" si="179"/>
        <v>3.9687356123668477E-13</v>
      </c>
      <c r="EM172" s="20">
        <f t="shared" si="180"/>
        <v>7.2983234474842979E-13</v>
      </c>
      <c r="EN172" s="59">
        <f t="shared" si="128"/>
        <v>293.33333333333405</v>
      </c>
      <c r="EO172" s="59">
        <f ca="1">AVERAGE(OFFSET($EN$3,0,0,'Données projet'!$E$15+1,1))-AVERAGE(OFFSET($H$3,0,0,'Données projet'!$E$15+1,1))</f>
        <v>104.07220236158577</v>
      </c>
      <c r="EP172" s="59">
        <f t="shared" si="154"/>
        <v>34.162068257911756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>
        <f>EXP(-LN(2)/35)*EV171+(1-EXP(-LN(2)/35))/(LN(2)/35)*ER172*ES172*VLOOKUP('Données projet'!$B$15,Paramètres!$A$1:$I$89,3,0)*0.475*44/12</f>
        <v>0</v>
      </c>
      <c r="EW172" s="21">
        <f>EXP(-LN(2)/25)*EW171+(1-EXP(-LN(2)/25))/(LN(2)/25)*Calculateur!ER172*Calculateur!ET172*VLOOKUP('Données projet'!$B$15,Paramètres!$A$1:$I$89,3,0)*0.475*44/12</f>
        <v>0</v>
      </c>
      <c r="EX172" s="21">
        <f>EXP(-LN(2)/2)*EX171+(1-EXP(-LN(2)/2))/(LN(2)/2)*ER172*EU172*VLOOKUP('Données projet'!$B$15,Paramètres!$A$1:$I$89,3,0)*0.475*44/12</f>
        <v>0</v>
      </c>
      <c r="EY172" s="22">
        <f t="shared" si="181"/>
        <v>0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5.6843418860808015E-14</v>
      </c>
      <c r="FF172" s="17">
        <f>FE172*VLOOKUP('Données projet'!$B$16,Paramètres!$A$1:$I$89,3,0)*VLOOKUP('Données projet'!$B$16,Paramètres!$A$1:$I$89,5,0)</f>
        <v>5.1431925385259088E-14</v>
      </c>
      <c r="FG172" s="13">
        <f t="shared" si="182"/>
        <v>8.3482866290946129E-13</v>
      </c>
      <c r="FH172" s="20">
        <f t="shared" si="183"/>
        <v>1.5435705246133045E-12</v>
      </c>
      <c r="FI172" s="59">
        <f t="shared" si="131"/>
        <v>293.33333333333485</v>
      </c>
      <c r="FJ172" s="59">
        <f ca="1">AVERAGE(OFFSET($FI$3,0,0,'Données projet'!$E$16+1,1))-AVERAGE(OFFSET($H$3,0,0,'Données projet'!$E$16+1,1))</f>
        <v>179.50097986986123</v>
      </c>
      <c r="FK172" s="59">
        <f t="shared" si="156"/>
        <v>287.11838730637578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>
        <f>EXP(-LN(2)/35)*FQ171+(1-EXP(-LN(2)/35))/(LN(2)/35)*FM172*FN172*VLOOKUP('Données projet'!$B$16,Paramètres!$A$1:$I$89,3,0)*0.475*44/12</f>
        <v>3.9740239533706694E-2</v>
      </c>
      <c r="FR172" s="21">
        <f>EXP(-LN(2)/25)*FR171+(1-EXP(-LN(2)/25))/(LN(2)/25)*Calculateur!FM172*Calculateur!FO172*VLOOKUP('Données projet'!$B$16,Paramètres!$A$1:$I$89,3,0)*0.475*44/12</f>
        <v>0.1334057966639981</v>
      </c>
      <c r="FS172" s="21">
        <f>EXP(-LN(2)/2)*FS171+(1-EXP(-LN(2)/2))/(LN(2)/2)*FM172*FP172*VLOOKUP('Données projet'!$B$16,Paramètres!$A$1:$I$89,3,0)*0.475*44/12</f>
        <v>5.4153959250833276E-21</v>
      </c>
      <c r="FT172" s="22">
        <f t="shared" si="184"/>
        <v>0.1731460361977048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5.6843418860808015E-14</v>
      </c>
      <c r="GA172" s="17">
        <f>FZ172*VLOOKUP('Données projet'!$B$17,Paramètres!$A$1:$I$89,3,0)*VLOOKUP('Données projet'!$B$17,Paramètres!$A$1:$I$89,5,0)</f>
        <v>3.3992364478763198E-14</v>
      </c>
      <c r="GB172" s="13">
        <f t="shared" si="185"/>
        <v>5.790027782444094E-13</v>
      </c>
      <c r="GC172" s="20">
        <f t="shared" si="186"/>
        <v>1.0676332069095257E-12</v>
      </c>
      <c r="GD172" s="59">
        <f t="shared" si="134"/>
        <v>293.33333333333439</v>
      </c>
      <c r="GE172" s="59">
        <f ca="1">AVERAGE(OFFSET($GD$3,0,0,'Données projet'!$E$17+1,1))-AVERAGE(OFFSET($H$3,0,0,'Données projet'!$E$17+1,1))</f>
        <v>165.39579887388538</v>
      </c>
      <c r="GF172" s="59">
        <f t="shared" si="158"/>
        <v>155.89639262545802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>
        <f>EXP(-LN(2)/35)*GL171+(1-EXP(-LN(2)/35))/(LN(2)/35)*GH172*GI172*VLOOKUP('Données projet'!$B$17,Paramètres!$A$1:$I$89,3,0)*0.475*44/12</f>
        <v>0</v>
      </c>
      <c r="GM172" s="21">
        <f>EXP(-LN(2)/25)*GM171+(1-EXP(-LN(2)/25))/(LN(2)/25)*Calculateur!GH172*Calculateur!GJ172*VLOOKUP('Données projet'!$B$17,Paramètres!$A$1:$I$89,3,0)*0.475*44/12</f>
        <v>0.15450971136035771</v>
      </c>
      <c r="GN172" s="21">
        <f>EXP(-LN(2)/2)*GN171+(1-EXP(-LN(2)/2))/(LN(2)/2)*GH172*GK172*VLOOKUP('Données projet'!$B$17,Paramètres!$A$1:$I$89,3,0)*0.475*44/12</f>
        <v>1.6626693294049574E-20</v>
      </c>
      <c r="GO172" s="21">
        <f t="shared" si="187"/>
        <v>0.15450971136035771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3.4106051316484809E-13</v>
      </c>
      <c r="O173" s="13">
        <f>N173*VLOOKUP('Données projet'!$B$9,Paramètres!$A$1:$I$89,3,0)*VLOOKUP('Données projet'!$B$9,Paramètres!$A$1:$I$89,5,0)</f>
        <v>1.9065282685915009E-13</v>
      </c>
      <c r="P173" s="13">
        <f t="shared" si="141"/>
        <v>2.6568987209435707E-12</v>
      </c>
      <c r="Q173" s="20">
        <f t="shared" si="162"/>
        <v>4.959485612423072E-12</v>
      </c>
      <c r="R173" s="59">
        <f t="shared" si="109"/>
        <v>293.33333333333826</v>
      </c>
      <c r="S173" s="59">
        <f ca="1">AVERAGE(OFFSET($R$3,0,0,'Données projet'!$E$9+1,1))-AVERAGE(OFFSET($H$3,0,0,'Données projet'!$E$9+1,1))</f>
        <v>235.10258076192054</v>
      </c>
      <c r="T173" s="59">
        <f t="shared" si="142"/>
        <v>233.47316052603765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0.21412242695806441</v>
      </c>
      <c r="AA173" s="21">
        <f>EXP(-LN(2)/25)*AA172+(1-EXP(-LN(2)/25))/(LN(2)/25)*Calculateur!V173*Calculateur!X173*VLOOKUP('Données projet'!$B$9,Paramètres!$A$1:$I$89,3,0)*0.475*44/12</f>
        <v>0.38007775200438937</v>
      </c>
      <c r="AB173" s="21">
        <f>EXP(-LN(2)/2)*AB172+(1-EXP(-LN(2)/2))/(LN(2)/2)*V173*Y173*VLOOKUP('Données projet'!$B$9,Paramètres!$A$1:$I$89,3,0)*0.475*44/12</f>
        <v>2.0432197975460476E-20</v>
      </c>
      <c r="AC173" s="22">
        <f t="shared" si="163"/>
        <v>0.59420017896245381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-8.5265128291212022E-14</v>
      </c>
      <c r="AJ173" s="13">
        <f>AI173*VLOOKUP('Données projet'!$B$10,Paramètres!$A$1:$I$89,3,0)*VLOOKUP('Données projet'!$B$10,Paramètres!$A$1:$I$89,5,0)</f>
        <v>-7.4487616075202836E-14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191.94797389630673</v>
      </c>
      <c r="AO173" s="59">
        <f t="shared" si="144"/>
        <v>273.52540822767878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0.16091624813818167</v>
      </c>
      <c r="AV173" s="21">
        <f>EXP(-LN(2)/25)*AV172+(1-EXP(-LN(2)/25))/(LN(2)/25)*Calculateur!AQ173*Calculateur!AS173*VLOOKUP('Données projet'!$B$10,Paramètres!$A$1:$I$89,3,0)*0.475*44/12</f>
        <v>0.2896351006259385</v>
      </c>
      <c r="AW173" s="21">
        <f>EXP(-LN(2)/2)*AW172+(1-EXP(-LN(2)/2))/(LN(2)/2)*AQ173*AT173*VLOOKUP('Données projet'!$B$10,Paramètres!$A$1:$I$89,3,0)*0.475*44/12</f>
        <v>1.9653758770174521E-20</v>
      </c>
      <c r="AX173" s="21">
        <f t="shared" si="166"/>
        <v>0.45055134876412017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2.8421709430404007E-14</v>
      </c>
      <c r="BE173" s="13">
        <f>BD173*VLOOKUP('Données projet'!$B$11,Paramètres!$A$1:$I$89,3,0)*VLOOKUP('Données projet'!$B$11,Paramètres!$A$1:$I$89,5,0)</f>
        <v>2.5715962692629544E-14</v>
      </c>
      <c r="BF173" s="13">
        <f t="shared" si="167"/>
        <v>4.5248818890525812E-13</v>
      </c>
      <c r="BG173" s="20">
        <f t="shared" si="168"/>
        <v>8.3287223069965432E-13</v>
      </c>
      <c r="BH173" s="59">
        <f t="shared" si="116"/>
        <v>293.33333333333417</v>
      </c>
      <c r="BI173" s="59">
        <f ca="1">AVERAGE(OFFSET($BH$3,0,0,'Données projet'!$E$11+1,1))-AVERAGE(OFFSET($H$3,0,0,'Données projet'!$E$11+1,1))</f>
        <v>138.8931001150624</v>
      </c>
      <c r="BJ173" s="59">
        <f t="shared" si="146"/>
        <v>48.964659354096625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2.8421709430404007E-14</v>
      </c>
      <c r="BZ173" s="13">
        <f>BY173*VLOOKUP('Données projet'!$B$12,Paramètres!$A$1:$I$89,3,0)*VLOOKUP('Données projet'!$B$12,Paramètres!$A$1:$I$89,5,0)</f>
        <v>2.8819613362429664E-14</v>
      </c>
      <c r="CA173" s="13">
        <f t="shared" si="170"/>
        <v>5.0041752926933358E-13</v>
      </c>
      <c r="CB173" s="20">
        <f t="shared" si="171"/>
        <v>9.2175469008365428E-13</v>
      </c>
      <c r="CC173" s="59">
        <f t="shared" si="119"/>
        <v>293.33333333333422</v>
      </c>
      <c r="CD173" s="59">
        <f ca="1">AVERAGE(OFFSET($CC$3,0,0,'Données projet'!$E$12+1,1))-AVERAGE(OFFSET($H$3,0,0,'Données projet'!$E$12+1,1))</f>
        <v>169.2757878405003</v>
      </c>
      <c r="CE173" s="59">
        <f t="shared" si="148"/>
        <v>61.876502626609977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-8.5265128291212022E-14</v>
      </c>
      <c r="CU173" s="17">
        <f>CT173*VLOOKUP('Données projet'!$B$13,Paramètres!$A$1:$I$89,3,0)*VLOOKUP('Données projet'!$B$13,Paramètres!$A$1:$I$89,5,0)</f>
        <v>-6.7836936068488286E-14</v>
      </c>
      <c r="CV173" s="13" t="e">
        <f t="shared" si="173"/>
        <v>#NUM!</v>
      </c>
      <c r="CW173" s="20" t="e">
        <f t="shared" si="174"/>
        <v>#NUM!</v>
      </c>
      <c r="CX173" s="59" t="e">
        <f t="shared" si="122"/>
        <v>#NUM!</v>
      </c>
      <c r="CY173" s="59">
        <f ca="1">AVERAGE(OFFSET($CX$3,0,0,'Données projet'!$E$13+1,1))-AVERAGE(OFFSET($H$3,0,0,'Données projet'!$E$13+1,1))</f>
        <v>141.12810728817544</v>
      </c>
      <c r="CZ173" s="59">
        <f t="shared" si="150"/>
        <v>176.01405805137551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>
        <f>EXP(-LN(2)/35)*DF172+(1-EXP(-LN(2)/35))/(LN(2)/35)*DB173*DC173*VLOOKUP('Données projet'!$B$13,Paramètres!$A$1:$I$89,3,0)*0.475*44/12</f>
        <v>0</v>
      </c>
      <c r="DG173" s="21">
        <f>EXP(-LN(2)/25)*DG172+(1-EXP(-LN(2)/25))/(LN(2)/25)*Calculateur!DB173*Calculateur!DD173*VLOOKUP('Données projet'!$B$13,Paramètres!$A$1:$I$89,3,0)*0.475*44/12</f>
        <v>0.13860141673919882</v>
      </c>
      <c r="DH173" s="21">
        <f>EXP(-LN(2)/2)*DH172+(1-EXP(-LN(2)/2))/(LN(2)/2)*DB173*DE173*VLOOKUP('Données projet'!$B$13,Paramètres!$A$1:$I$89,3,0)*0.475*44/12</f>
        <v>6.7806613208184946E-21</v>
      </c>
      <c r="DI173" s="22">
        <f t="shared" si="175"/>
        <v>0.13860141673919882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5.6843418860808015E-14</v>
      </c>
      <c r="DP173" s="17">
        <f>DO173*VLOOKUP('Données projet'!$B$14,Paramètres!$A$1:$I$89,3,0)*VLOOKUP('Données projet'!$B$14,Paramètres!$A$1:$I$89,5,0)</f>
        <v>3.3992364478763198E-14</v>
      </c>
      <c r="DQ173" s="13">
        <f t="shared" si="176"/>
        <v>5.790027782444094E-13</v>
      </c>
      <c r="DR173" s="20">
        <f t="shared" si="177"/>
        <v>1.0676332069095257E-12</v>
      </c>
      <c r="DS173" s="59">
        <f t="shared" si="125"/>
        <v>293.33333333333439</v>
      </c>
      <c r="DT173" s="59">
        <f ca="1">AVERAGE(OFFSET($DS$3,0,0,'Données projet'!$E$14+1,1))-AVERAGE(OFFSET($H$3,0,0,'Données projet'!$E$14+1,1))</f>
        <v>165.39579887388538</v>
      </c>
      <c r="DU173" s="59">
        <f t="shared" si="152"/>
        <v>155.89639262545802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>
        <f>EXP(-LN(2)/35)*EA172+(1-EXP(-LN(2)/35))/(LN(2)/35)*DW173*DX173*VLOOKUP('Données projet'!$B$14,Paramètres!$A$1:$I$89,3,0)*0.475*44/12</f>
        <v>0</v>
      </c>
      <c r="EB173" s="21">
        <f>EXP(-LN(2)/25)*EB172+(1-EXP(-LN(2)/25))/(LN(2)/25)*Calculateur!DW173*Calculateur!DY173*VLOOKUP('Données projet'!$B$14,Paramètres!$A$1:$I$89,3,0)*0.475*44/12</f>
        <v>0.15028463517789614</v>
      </c>
      <c r="EC173" s="21">
        <f>EXP(-LN(2)/2)*EC172+(1-EXP(-LN(2)/2))/(LN(2)/2)*DW173*DZ173*VLOOKUP('Données projet'!$B$14,Paramètres!$A$1:$I$89,3,0)*0.475*44/12</f>
        <v>1.1756847576931349E-20</v>
      </c>
      <c r="ED173" s="22">
        <f t="shared" si="178"/>
        <v>0.15028463517789614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2.8421709430404007E-14</v>
      </c>
      <c r="EK173" s="17">
        <f>EJ173*VLOOKUP('Données projet'!$B$15,Paramètres!$A$1:$I$89,3,0)*VLOOKUP('Données projet'!$B$15,Paramètres!$A$1:$I$89,5,0)</f>
        <v>2.2168933355715127E-14</v>
      </c>
      <c r="EL173" s="13">
        <f t="shared" si="179"/>
        <v>3.9687356123668477E-13</v>
      </c>
      <c r="EM173" s="20">
        <f t="shared" si="180"/>
        <v>7.2983234474842979E-13</v>
      </c>
      <c r="EN173" s="59">
        <f t="shared" si="128"/>
        <v>293.33333333333405</v>
      </c>
      <c r="EO173" s="59">
        <f ca="1">AVERAGE(OFFSET($EN$3,0,0,'Données projet'!$E$15+1,1))-AVERAGE(OFFSET($H$3,0,0,'Données projet'!$E$15+1,1))</f>
        <v>104.07220236158577</v>
      </c>
      <c r="EP173" s="59">
        <f t="shared" si="154"/>
        <v>34.162068257911756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>
        <f>EXP(-LN(2)/35)*EV172+(1-EXP(-LN(2)/35))/(LN(2)/35)*ER173*ES173*VLOOKUP('Données projet'!$B$15,Paramètres!$A$1:$I$89,3,0)*0.475*44/12</f>
        <v>0</v>
      </c>
      <c r="EW173" s="21">
        <f>EXP(-LN(2)/25)*EW172+(1-EXP(-LN(2)/25))/(LN(2)/25)*Calculateur!ER173*Calculateur!ET173*VLOOKUP('Données projet'!$B$15,Paramètres!$A$1:$I$89,3,0)*0.475*44/12</f>
        <v>0</v>
      </c>
      <c r="EX173" s="21">
        <f>EXP(-LN(2)/2)*EX172+(1-EXP(-LN(2)/2))/(LN(2)/2)*ER173*EU173*VLOOKUP('Données projet'!$B$15,Paramètres!$A$1:$I$89,3,0)*0.475*44/12</f>
        <v>0</v>
      </c>
      <c r="EY173" s="22">
        <f t="shared" si="181"/>
        <v>0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5.6843418860808015E-14</v>
      </c>
      <c r="FF173" s="17">
        <f>FE173*VLOOKUP('Données projet'!$B$16,Paramètres!$A$1:$I$89,3,0)*VLOOKUP('Données projet'!$B$16,Paramètres!$A$1:$I$89,5,0)</f>
        <v>5.1431925385259088E-14</v>
      </c>
      <c r="FG173" s="13">
        <f t="shared" si="182"/>
        <v>8.3482866290946129E-13</v>
      </c>
      <c r="FH173" s="20">
        <f t="shared" si="183"/>
        <v>1.5435705246133045E-12</v>
      </c>
      <c r="FI173" s="59">
        <f t="shared" si="131"/>
        <v>293.33333333333485</v>
      </c>
      <c r="FJ173" s="59">
        <f ca="1">AVERAGE(OFFSET($FI$3,0,0,'Données projet'!$E$16+1,1))-AVERAGE(OFFSET($H$3,0,0,'Données projet'!$E$16+1,1))</f>
        <v>179.50097986986123</v>
      </c>
      <c r="FK173" s="59">
        <f t="shared" si="156"/>
        <v>287.11838730637578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>
        <f>EXP(-LN(2)/35)*FQ172+(1-EXP(-LN(2)/35))/(LN(2)/35)*FM173*FN173*VLOOKUP('Données projet'!$B$16,Paramètres!$A$1:$I$89,3,0)*0.475*44/12</f>
        <v>3.8960957675603404E-2</v>
      </c>
      <c r="FR173" s="21">
        <f>EXP(-LN(2)/25)*FR172+(1-EXP(-LN(2)/25))/(LN(2)/25)*Calculateur!FM173*Calculateur!FO173*VLOOKUP('Données projet'!$B$16,Paramètres!$A$1:$I$89,3,0)*0.475*44/12</f>
        <v>0.12975780813871512</v>
      </c>
      <c r="FS173" s="21">
        <f>EXP(-LN(2)/2)*FS172+(1-EXP(-LN(2)/2))/(LN(2)/2)*FM173*FP173*VLOOKUP('Données projet'!$B$16,Paramètres!$A$1:$I$89,3,0)*0.475*44/12</f>
        <v>3.8292631814364176E-21</v>
      </c>
      <c r="FT173" s="22">
        <f t="shared" si="184"/>
        <v>0.16871876581431852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5.6843418860808015E-14</v>
      </c>
      <c r="GA173" s="17">
        <f>FZ173*VLOOKUP('Données projet'!$B$17,Paramètres!$A$1:$I$89,3,0)*VLOOKUP('Données projet'!$B$17,Paramètres!$A$1:$I$89,5,0)</f>
        <v>3.3992364478763198E-14</v>
      </c>
      <c r="GB173" s="13">
        <f t="shared" si="185"/>
        <v>5.790027782444094E-13</v>
      </c>
      <c r="GC173" s="20">
        <f t="shared" si="186"/>
        <v>1.0676332069095257E-12</v>
      </c>
      <c r="GD173" s="59">
        <f t="shared" si="134"/>
        <v>293.33333333333439</v>
      </c>
      <c r="GE173" s="59">
        <f ca="1">AVERAGE(OFFSET($GD$3,0,0,'Données projet'!$E$17+1,1))-AVERAGE(OFFSET($H$3,0,0,'Données projet'!$E$17+1,1))</f>
        <v>165.39579887388538</v>
      </c>
      <c r="GF173" s="59">
        <f t="shared" si="158"/>
        <v>155.89639262545802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>
        <f>EXP(-LN(2)/35)*GL172+(1-EXP(-LN(2)/35))/(LN(2)/35)*GH173*GI173*VLOOKUP('Données projet'!$B$17,Paramètres!$A$1:$I$89,3,0)*0.475*44/12</f>
        <v>0</v>
      </c>
      <c r="GM173" s="21">
        <f>EXP(-LN(2)/25)*GM172+(1-EXP(-LN(2)/25))/(LN(2)/25)*Calculateur!GH173*Calculateur!GJ173*VLOOKUP('Données projet'!$B$17,Paramètres!$A$1:$I$89,3,0)*0.475*44/12</f>
        <v>0.15028463517789614</v>
      </c>
      <c r="GN173" s="21">
        <f>EXP(-LN(2)/2)*GN172+(1-EXP(-LN(2)/2))/(LN(2)/2)*GH173*GK173*VLOOKUP('Données projet'!$B$17,Paramètres!$A$1:$I$89,3,0)*0.475*44/12</f>
        <v>1.1756847576931349E-20</v>
      </c>
      <c r="GO173" s="21">
        <f t="shared" si="187"/>
        <v>0.15028463517789614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3.4106051316484809E-13</v>
      </c>
      <c r="O174" s="13">
        <f>N174*VLOOKUP('Données projet'!$B$9,Paramètres!$A$1:$I$89,3,0)*VLOOKUP('Données projet'!$B$9,Paramètres!$A$1:$I$89,5,0)</f>
        <v>1.9065282685915009E-13</v>
      </c>
      <c r="P174" s="13">
        <f t="shared" si="141"/>
        <v>2.6568987209435707E-12</v>
      </c>
      <c r="Q174" s="20">
        <f t="shared" si="162"/>
        <v>4.959485612423072E-12</v>
      </c>
      <c r="R174" s="59">
        <f t="shared" si="109"/>
        <v>293.33333333333826</v>
      </c>
      <c r="S174" s="59">
        <f ca="1">AVERAGE(OFFSET($R$3,0,0,'Données projet'!$E$9+1,1))-AVERAGE(OFFSET($H$3,0,0,'Données projet'!$E$9+1,1))</f>
        <v>235.10258076192054</v>
      </c>
      <c r="T174" s="59">
        <f t="shared" si="142"/>
        <v>233.47316052603765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0.20992361676720137</v>
      </c>
      <c r="AA174" s="21">
        <f>EXP(-LN(2)/25)*AA173+(1-EXP(-LN(2)/25))/(LN(2)/25)*Calculateur!V174*Calculateur!X174*VLOOKUP('Données projet'!$B$9,Paramètres!$A$1:$I$89,3,0)*0.475*44/12</f>
        <v>0.36968450588840907</v>
      </c>
      <c r="AB174" s="21">
        <f>EXP(-LN(2)/2)*AB173+(1-EXP(-LN(2)/2))/(LN(2)/2)*V174*Y174*VLOOKUP('Données projet'!$B$9,Paramètres!$A$1:$I$89,3,0)*0.475*44/12</f>
        <v>1.444774574299415E-20</v>
      </c>
      <c r="AC174" s="22">
        <f t="shared" si="163"/>
        <v>0.57960812265561046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-8.5265128291212022E-14</v>
      </c>
      <c r="AJ174" s="13">
        <f>AI174*VLOOKUP('Données projet'!$B$10,Paramètres!$A$1:$I$89,3,0)*VLOOKUP('Données projet'!$B$10,Paramètres!$A$1:$I$89,5,0)</f>
        <v>-7.4487616075202836E-14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191.94797389630673</v>
      </c>
      <c r="AO174" s="59">
        <f t="shared" si="144"/>
        <v>273.52540822767878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0.15776077866141186</v>
      </c>
      <c r="AV174" s="21">
        <f>EXP(-LN(2)/25)*AV173+(1-EXP(-LN(2)/25))/(LN(2)/25)*Calculateur!AQ174*Calculateur!AS174*VLOOKUP('Données projet'!$B$10,Paramètres!$A$1:$I$89,3,0)*0.475*44/12</f>
        <v>0.28171501356807427</v>
      </c>
      <c r="AW174" s="21">
        <f>EXP(-LN(2)/2)*AW173+(1-EXP(-LN(2)/2))/(LN(2)/2)*AQ174*AT174*VLOOKUP('Données projet'!$B$10,Paramètres!$A$1:$I$89,3,0)*0.475*44/12</f>
        <v>1.3897306102194984E-20</v>
      </c>
      <c r="AX174" s="21">
        <f t="shared" si="166"/>
        <v>0.43947579222948613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2.8421709430404007E-14</v>
      </c>
      <c r="BE174" s="13">
        <f>BD174*VLOOKUP('Données projet'!$B$11,Paramètres!$A$1:$I$89,3,0)*VLOOKUP('Données projet'!$B$11,Paramètres!$A$1:$I$89,5,0)</f>
        <v>2.5715962692629544E-14</v>
      </c>
      <c r="BF174" s="13">
        <f t="shared" si="167"/>
        <v>4.5248818890525812E-13</v>
      </c>
      <c r="BG174" s="20">
        <f t="shared" si="168"/>
        <v>8.3287223069965432E-13</v>
      </c>
      <c r="BH174" s="59">
        <f t="shared" si="116"/>
        <v>293.33333333333417</v>
      </c>
      <c r="BI174" s="59">
        <f ca="1">AVERAGE(OFFSET($BH$3,0,0,'Données projet'!$E$11+1,1))-AVERAGE(OFFSET($H$3,0,0,'Données projet'!$E$11+1,1))</f>
        <v>138.8931001150624</v>
      </c>
      <c r="BJ174" s="59">
        <f t="shared" si="146"/>
        <v>48.964659354096625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2.8421709430404007E-14</v>
      </c>
      <c r="BZ174" s="13">
        <f>BY174*VLOOKUP('Données projet'!$B$12,Paramètres!$A$1:$I$89,3,0)*VLOOKUP('Données projet'!$B$12,Paramètres!$A$1:$I$89,5,0)</f>
        <v>2.8819613362429664E-14</v>
      </c>
      <c r="CA174" s="13">
        <f t="shared" si="170"/>
        <v>5.0041752926933358E-13</v>
      </c>
      <c r="CB174" s="20">
        <f t="shared" si="171"/>
        <v>9.2175469008365428E-13</v>
      </c>
      <c r="CC174" s="59">
        <f t="shared" si="119"/>
        <v>293.33333333333422</v>
      </c>
      <c r="CD174" s="59">
        <f ca="1">AVERAGE(OFFSET($CC$3,0,0,'Données projet'!$E$12+1,1))-AVERAGE(OFFSET($H$3,0,0,'Données projet'!$E$12+1,1))</f>
        <v>169.2757878405003</v>
      </c>
      <c r="CE174" s="59">
        <f t="shared" si="148"/>
        <v>61.876502626609977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-8.5265128291212022E-14</v>
      </c>
      <c r="CU174" s="17">
        <f>CT174*VLOOKUP('Données projet'!$B$13,Paramètres!$A$1:$I$89,3,0)*VLOOKUP('Données projet'!$B$13,Paramètres!$A$1:$I$89,5,0)</f>
        <v>-6.7836936068488286E-14</v>
      </c>
      <c r="CV174" s="13" t="e">
        <f t="shared" si="173"/>
        <v>#NUM!</v>
      </c>
      <c r="CW174" s="20" t="e">
        <f t="shared" si="174"/>
        <v>#NUM!</v>
      </c>
      <c r="CX174" s="59" t="e">
        <f t="shared" si="122"/>
        <v>#NUM!</v>
      </c>
      <c r="CY174" s="59">
        <f ca="1">AVERAGE(OFFSET($CX$3,0,0,'Données projet'!$E$13+1,1))-AVERAGE(OFFSET($H$3,0,0,'Données projet'!$E$13+1,1))</f>
        <v>141.12810728817544</v>
      </c>
      <c r="CZ174" s="59">
        <f t="shared" si="150"/>
        <v>176.01405805137551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>
        <f>EXP(-LN(2)/35)*DF173+(1-EXP(-LN(2)/35))/(LN(2)/35)*DB174*DC174*VLOOKUP('Données projet'!$B$13,Paramètres!$A$1:$I$89,3,0)*0.475*44/12</f>
        <v>0</v>
      </c>
      <c r="DG174" s="21">
        <f>EXP(-LN(2)/25)*DG173+(1-EXP(-LN(2)/25))/(LN(2)/25)*Calculateur!DB174*Calculateur!DD174*VLOOKUP('Données projet'!$B$13,Paramètres!$A$1:$I$89,3,0)*0.475*44/12</f>
        <v>0.13481135370973371</v>
      </c>
      <c r="DH174" s="21">
        <f>EXP(-LN(2)/2)*DH173+(1-EXP(-LN(2)/2))/(LN(2)/2)*DB174*DE174*VLOOKUP('Données projet'!$B$13,Paramètres!$A$1:$I$89,3,0)*0.475*44/12</f>
        <v>4.7946516008800897E-21</v>
      </c>
      <c r="DI174" s="22">
        <f t="shared" si="175"/>
        <v>0.13481135370973371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5.6843418860808015E-14</v>
      </c>
      <c r="DP174" s="17">
        <f>DO174*VLOOKUP('Données projet'!$B$14,Paramètres!$A$1:$I$89,3,0)*VLOOKUP('Données projet'!$B$14,Paramètres!$A$1:$I$89,5,0)</f>
        <v>3.3992364478763198E-14</v>
      </c>
      <c r="DQ174" s="13">
        <f t="shared" si="176"/>
        <v>5.790027782444094E-13</v>
      </c>
      <c r="DR174" s="20">
        <f t="shared" si="177"/>
        <v>1.0676332069095257E-12</v>
      </c>
      <c r="DS174" s="59">
        <f t="shared" si="125"/>
        <v>293.33333333333439</v>
      </c>
      <c r="DT174" s="59">
        <f ca="1">AVERAGE(OFFSET($DS$3,0,0,'Données projet'!$E$14+1,1))-AVERAGE(OFFSET($H$3,0,0,'Données projet'!$E$14+1,1))</f>
        <v>165.39579887388538</v>
      </c>
      <c r="DU174" s="59">
        <f t="shared" si="152"/>
        <v>155.89639262545802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>
        <f>EXP(-LN(2)/35)*EA173+(1-EXP(-LN(2)/35))/(LN(2)/35)*DW174*DX174*VLOOKUP('Données projet'!$B$14,Paramètres!$A$1:$I$89,3,0)*0.475*44/12</f>
        <v>0</v>
      </c>
      <c r="EB174" s="21">
        <f>EXP(-LN(2)/25)*EB173+(1-EXP(-LN(2)/25))/(LN(2)/25)*Calculateur!DW174*Calculateur!DY174*VLOOKUP('Données projet'!$B$14,Paramètres!$A$1:$I$89,3,0)*0.475*44/12</f>
        <v>0.14617509392583108</v>
      </c>
      <c r="EC174" s="21">
        <f>EXP(-LN(2)/2)*EC173+(1-EXP(-LN(2)/2))/(LN(2)/2)*DW174*DZ174*VLOOKUP('Données projet'!$B$14,Paramètres!$A$1:$I$89,3,0)*0.475*44/12</f>
        <v>8.3133466470247869E-21</v>
      </c>
      <c r="ED174" s="22">
        <f t="shared" si="178"/>
        <v>0.14617509392583108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2.8421709430404007E-14</v>
      </c>
      <c r="EK174" s="17">
        <f>EJ174*VLOOKUP('Données projet'!$B$15,Paramètres!$A$1:$I$89,3,0)*VLOOKUP('Données projet'!$B$15,Paramètres!$A$1:$I$89,5,0)</f>
        <v>2.2168933355715127E-14</v>
      </c>
      <c r="EL174" s="13">
        <f t="shared" si="179"/>
        <v>3.9687356123668477E-13</v>
      </c>
      <c r="EM174" s="20">
        <f t="shared" si="180"/>
        <v>7.2983234474842979E-13</v>
      </c>
      <c r="EN174" s="59">
        <f t="shared" si="128"/>
        <v>293.33333333333405</v>
      </c>
      <c r="EO174" s="59">
        <f ca="1">AVERAGE(OFFSET($EN$3,0,0,'Données projet'!$E$15+1,1))-AVERAGE(OFFSET($H$3,0,0,'Données projet'!$E$15+1,1))</f>
        <v>104.07220236158577</v>
      </c>
      <c r="EP174" s="59">
        <f t="shared" si="154"/>
        <v>34.162068257911756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>
        <f>EXP(-LN(2)/35)*EV173+(1-EXP(-LN(2)/35))/(LN(2)/35)*ER174*ES174*VLOOKUP('Données projet'!$B$15,Paramètres!$A$1:$I$89,3,0)*0.475*44/12</f>
        <v>0</v>
      </c>
      <c r="EW174" s="21">
        <f>EXP(-LN(2)/25)*EW173+(1-EXP(-LN(2)/25))/(LN(2)/25)*Calculateur!ER174*Calculateur!ET174*VLOOKUP('Données projet'!$B$15,Paramètres!$A$1:$I$89,3,0)*0.475*44/12</f>
        <v>0</v>
      </c>
      <c r="EX174" s="21">
        <f>EXP(-LN(2)/2)*EX173+(1-EXP(-LN(2)/2))/(LN(2)/2)*ER174*EU174*VLOOKUP('Données projet'!$B$15,Paramètres!$A$1:$I$89,3,0)*0.475*44/12</f>
        <v>0</v>
      </c>
      <c r="EY174" s="22">
        <f t="shared" si="181"/>
        <v>0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5.6843418860808015E-14</v>
      </c>
      <c r="FF174" s="17">
        <f>FE174*VLOOKUP('Données projet'!$B$16,Paramètres!$A$1:$I$89,3,0)*VLOOKUP('Données projet'!$B$16,Paramètres!$A$1:$I$89,5,0)</f>
        <v>5.1431925385259088E-14</v>
      </c>
      <c r="FG174" s="13">
        <f t="shared" si="182"/>
        <v>8.3482866290946129E-13</v>
      </c>
      <c r="FH174" s="20">
        <f t="shared" si="183"/>
        <v>1.5435705246133045E-12</v>
      </c>
      <c r="FI174" s="59">
        <f t="shared" si="131"/>
        <v>293.33333333333485</v>
      </c>
      <c r="FJ174" s="59">
        <f ca="1">AVERAGE(OFFSET($FI$3,0,0,'Données projet'!$E$16+1,1))-AVERAGE(OFFSET($H$3,0,0,'Données projet'!$E$16+1,1))</f>
        <v>179.50097986986123</v>
      </c>
      <c r="FK174" s="59">
        <f t="shared" si="156"/>
        <v>287.11838730637578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>
        <f>EXP(-LN(2)/35)*FQ173+(1-EXP(-LN(2)/35))/(LN(2)/35)*FM174*FN174*VLOOKUP('Données projet'!$B$16,Paramètres!$A$1:$I$89,3,0)*0.475*44/12</f>
        <v>3.8196957059422519E-2</v>
      </c>
      <c r="FR174" s="21">
        <f>EXP(-LN(2)/25)*FR173+(1-EXP(-LN(2)/25))/(LN(2)/25)*Calculateur!FM174*Calculateur!FO174*VLOOKUP('Données projet'!$B$16,Paramètres!$A$1:$I$89,3,0)*0.475*44/12</f>
        <v>0.12620957405149538</v>
      </c>
      <c r="FS174" s="21">
        <f>EXP(-LN(2)/2)*FS173+(1-EXP(-LN(2)/2))/(LN(2)/2)*FM174*FP174*VLOOKUP('Données projet'!$B$16,Paramètres!$A$1:$I$89,3,0)*0.475*44/12</f>
        <v>2.7076979625416638E-21</v>
      </c>
      <c r="FT174" s="22">
        <f t="shared" si="184"/>
        <v>0.16440653111091791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5.6843418860808015E-14</v>
      </c>
      <c r="GA174" s="17">
        <f>FZ174*VLOOKUP('Données projet'!$B$17,Paramètres!$A$1:$I$89,3,0)*VLOOKUP('Données projet'!$B$17,Paramètres!$A$1:$I$89,5,0)</f>
        <v>3.3992364478763198E-14</v>
      </c>
      <c r="GB174" s="13">
        <f t="shared" si="185"/>
        <v>5.790027782444094E-13</v>
      </c>
      <c r="GC174" s="20">
        <f t="shared" si="186"/>
        <v>1.0676332069095257E-12</v>
      </c>
      <c r="GD174" s="59">
        <f t="shared" si="134"/>
        <v>293.33333333333439</v>
      </c>
      <c r="GE174" s="59">
        <f ca="1">AVERAGE(OFFSET($GD$3,0,0,'Données projet'!$E$17+1,1))-AVERAGE(OFFSET($H$3,0,0,'Données projet'!$E$17+1,1))</f>
        <v>165.39579887388538</v>
      </c>
      <c r="GF174" s="59">
        <f t="shared" si="158"/>
        <v>155.89639262545802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>
        <f>EXP(-LN(2)/35)*GL173+(1-EXP(-LN(2)/35))/(LN(2)/35)*GH174*GI174*VLOOKUP('Données projet'!$B$17,Paramètres!$A$1:$I$89,3,0)*0.475*44/12</f>
        <v>0</v>
      </c>
      <c r="GM174" s="21">
        <f>EXP(-LN(2)/25)*GM173+(1-EXP(-LN(2)/25))/(LN(2)/25)*Calculateur!GH174*Calculateur!GJ174*VLOOKUP('Données projet'!$B$17,Paramètres!$A$1:$I$89,3,0)*0.475*44/12</f>
        <v>0.14617509392583108</v>
      </c>
      <c r="GN174" s="21">
        <f>EXP(-LN(2)/2)*GN173+(1-EXP(-LN(2)/2))/(LN(2)/2)*GH174*GK174*VLOOKUP('Données projet'!$B$17,Paramètres!$A$1:$I$89,3,0)*0.475*44/12</f>
        <v>8.3133466470247869E-21</v>
      </c>
      <c r="GO174" s="21">
        <f t="shared" si="187"/>
        <v>0.14617509392583108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3.4106051316484809E-13</v>
      </c>
      <c r="O175" s="13">
        <f>N175*VLOOKUP('Données projet'!$B$9,Paramètres!$A$1:$I$89,3,0)*VLOOKUP('Données projet'!$B$9,Paramètres!$A$1:$I$89,5,0)</f>
        <v>1.9065282685915009E-13</v>
      </c>
      <c r="P175" s="13">
        <f t="shared" si="141"/>
        <v>2.6568987209435707E-12</v>
      </c>
      <c r="Q175" s="20">
        <f t="shared" si="162"/>
        <v>4.959485612423072E-12</v>
      </c>
      <c r="R175" s="59">
        <f t="shared" si="109"/>
        <v>293.33333333333826</v>
      </c>
      <c r="S175" s="59">
        <f ca="1">AVERAGE(OFFSET($R$3,0,0,'Données projet'!$E$9+1,1))-AVERAGE(OFFSET($H$3,0,0,'Données projet'!$E$9+1,1))</f>
        <v>235.10258076192054</v>
      </c>
      <c r="T175" s="59">
        <f t="shared" si="142"/>
        <v>233.47316052603765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0.2058071426831598</v>
      </c>
      <c r="AA175" s="21">
        <f>EXP(-LN(2)/25)*AA174+(1-EXP(-LN(2)/25))/(LN(2)/25)*Calculateur!V175*Calculateur!X175*VLOOKUP('Données projet'!$B$9,Paramètres!$A$1:$I$89,3,0)*0.475*44/12</f>
        <v>0.35957546363402726</v>
      </c>
      <c r="AB175" s="21">
        <f>EXP(-LN(2)/2)*AB174+(1-EXP(-LN(2)/2))/(LN(2)/2)*V175*Y175*VLOOKUP('Données projet'!$B$9,Paramètres!$A$1:$I$89,3,0)*0.475*44/12</f>
        <v>1.0216098987730238E-20</v>
      </c>
      <c r="AC175" s="22">
        <f t="shared" si="163"/>
        <v>0.56538260631718706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-8.5265128291212022E-14</v>
      </c>
      <c r="AJ175" s="13">
        <f>AI175*VLOOKUP('Données projet'!$B$10,Paramètres!$A$1:$I$89,3,0)*VLOOKUP('Données projet'!$B$10,Paramètres!$A$1:$I$89,5,0)</f>
        <v>-7.4487616075202836E-14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191.94797389630673</v>
      </c>
      <c r="AO175" s="59">
        <f t="shared" si="144"/>
        <v>273.52540822767878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0.15466718601643517</v>
      </c>
      <c r="AV175" s="21">
        <f>EXP(-LN(2)/25)*AV174+(1-EXP(-LN(2)/25))/(LN(2)/25)*Calculateur!AQ175*Calculateur!AS175*VLOOKUP('Données projet'!$B$10,Paramètres!$A$1:$I$89,3,0)*0.475*44/12</f>
        <v>0.27401150170730659</v>
      </c>
      <c r="AW175" s="21">
        <f>EXP(-LN(2)/2)*AW174+(1-EXP(-LN(2)/2))/(LN(2)/2)*AQ175*AT175*VLOOKUP('Données projet'!$B$10,Paramètres!$A$1:$I$89,3,0)*0.475*44/12</f>
        <v>9.8268793850872607E-21</v>
      </c>
      <c r="AX175" s="21">
        <f t="shared" si="166"/>
        <v>0.42867868772374174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2.8421709430404007E-14</v>
      </c>
      <c r="BE175" s="13">
        <f>BD175*VLOOKUP('Données projet'!$B$11,Paramètres!$A$1:$I$89,3,0)*VLOOKUP('Données projet'!$B$11,Paramètres!$A$1:$I$89,5,0)</f>
        <v>2.5715962692629544E-14</v>
      </c>
      <c r="BF175" s="13">
        <f t="shared" si="167"/>
        <v>4.5248818890525812E-13</v>
      </c>
      <c r="BG175" s="20">
        <f t="shared" si="168"/>
        <v>8.3287223069965432E-13</v>
      </c>
      <c r="BH175" s="59">
        <f t="shared" si="116"/>
        <v>293.33333333333417</v>
      </c>
      <c r="BI175" s="59">
        <f ca="1">AVERAGE(OFFSET($BH$3,0,0,'Données projet'!$E$11+1,1))-AVERAGE(OFFSET($H$3,0,0,'Données projet'!$E$11+1,1))</f>
        <v>138.8931001150624</v>
      </c>
      <c r="BJ175" s="59">
        <f t="shared" si="146"/>
        <v>48.964659354096625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2.8421709430404007E-14</v>
      </c>
      <c r="BZ175" s="13">
        <f>BY175*VLOOKUP('Données projet'!$B$12,Paramètres!$A$1:$I$89,3,0)*VLOOKUP('Données projet'!$B$12,Paramètres!$A$1:$I$89,5,0)</f>
        <v>2.8819613362429664E-14</v>
      </c>
      <c r="CA175" s="13">
        <f t="shared" si="170"/>
        <v>5.0041752926933358E-13</v>
      </c>
      <c r="CB175" s="20">
        <f t="shared" si="171"/>
        <v>9.2175469008365428E-13</v>
      </c>
      <c r="CC175" s="59">
        <f t="shared" si="119"/>
        <v>293.33333333333422</v>
      </c>
      <c r="CD175" s="59">
        <f ca="1">AVERAGE(OFFSET($CC$3,0,0,'Données projet'!$E$12+1,1))-AVERAGE(OFFSET($H$3,0,0,'Données projet'!$E$12+1,1))</f>
        <v>169.2757878405003</v>
      </c>
      <c r="CE175" s="59">
        <f t="shared" si="148"/>
        <v>61.876502626609977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-8.5265128291212022E-14</v>
      </c>
      <c r="CU175" s="17">
        <f>CT175*VLOOKUP('Données projet'!$B$13,Paramètres!$A$1:$I$89,3,0)*VLOOKUP('Données projet'!$B$13,Paramètres!$A$1:$I$89,5,0)</f>
        <v>-6.7836936068488286E-14</v>
      </c>
      <c r="CV175" s="13" t="e">
        <f t="shared" si="173"/>
        <v>#NUM!</v>
      </c>
      <c r="CW175" s="20" t="e">
        <f t="shared" si="174"/>
        <v>#NUM!</v>
      </c>
      <c r="CX175" s="59" t="e">
        <f t="shared" si="122"/>
        <v>#NUM!</v>
      </c>
      <c r="CY175" s="59">
        <f ca="1">AVERAGE(OFFSET($CX$3,0,0,'Données projet'!$E$13+1,1))-AVERAGE(OFFSET($H$3,0,0,'Données projet'!$E$13+1,1))</f>
        <v>141.12810728817544</v>
      </c>
      <c r="CZ175" s="59">
        <f t="shared" si="150"/>
        <v>176.01405805137551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>
        <f>EXP(-LN(2)/35)*DF174+(1-EXP(-LN(2)/35))/(LN(2)/35)*DB175*DC175*VLOOKUP('Données projet'!$B$13,Paramètres!$A$1:$I$89,3,0)*0.475*44/12</f>
        <v>0</v>
      </c>
      <c r="DG175" s="21">
        <f>EXP(-LN(2)/25)*DG174+(1-EXP(-LN(2)/25))/(LN(2)/25)*Calculateur!DB175*Calculateur!DD175*VLOOKUP('Données projet'!$B$13,Paramètres!$A$1:$I$89,3,0)*0.475*44/12</f>
        <v>0.13112493015312007</v>
      </c>
      <c r="DH175" s="21">
        <f>EXP(-LN(2)/2)*DH174+(1-EXP(-LN(2)/2))/(LN(2)/2)*DB175*DE175*VLOOKUP('Données projet'!$B$13,Paramètres!$A$1:$I$89,3,0)*0.475*44/12</f>
        <v>3.3903306604092473E-21</v>
      </c>
      <c r="DI175" s="22">
        <f t="shared" si="175"/>
        <v>0.13112493015312007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5.6843418860808015E-14</v>
      </c>
      <c r="DP175" s="17">
        <f>DO175*VLOOKUP('Données projet'!$B$14,Paramètres!$A$1:$I$89,3,0)*VLOOKUP('Données projet'!$B$14,Paramètres!$A$1:$I$89,5,0)</f>
        <v>3.3992364478763198E-14</v>
      </c>
      <c r="DQ175" s="13">
        <f t="shared" si="176"/>
        <v>5.790027782444094E-13</v>
      </c>
      <c r="DR175" s="20">
        <f t="shared" si="177"/>
        <v>1.0676332069095257E-12</v>
      </c>
      <c r="DS175" s="59">
        <f t="shared" si="125"/>
        <v>293.33333333333439</v>
      </c>
      <c r="DT175" s="59">
        <f ca="1">AVERAGE(OFFSET($DS$3,0,0,'Données projet'!$E$14+1,1))-AVERAGE(OFFSET($H$3,0,0,'Données projet'!$E$14+1,1))</f>
        <v>165.39579887388538</v>
      </c>
      <c r="DU175" s="59">
        <f t="shared" si="152"/>
        <v>155.89639262545802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>
        <f>EXP(-LN(2)/35)*EA174+(1-EXP(-LN(2)/35))/(LN(2)/35)*DW175*DX175*VLOOKUP('Données projet'!$B$14,Paramètres!$A$1:$I$89,3,0)*0.475*44/12</f>
        <v>0</v>
      </c>
      <c r="EB175" s="21">
        <f>EXP(-LN(2)/25)*EB174+(1-EXP(-LN(2)/25))/(LN(2)/25)*Calculateur!DW175*Calculateur!DY175*VLOOKUP('Données projet'!$B$14,Paramètres!$A$1:$I$89,3,0)*0.475*44/12</f>
        <v>0.14217792829541512</v>
      </c>
      <c r="EC175" s="21">
        <f>EXP(-LN(2)/2)*EC174+(1-EXP(-LN(2)/2))/(LN(2)/2)*DW175*DZ175*VLOOKUP('Données projet'!$B$14,Paramètres!$A$1:$I$89,3,0)*0.475*44/12</f>
        <v>5.8784237884656747E-21</v>
      </c>
      <c r="ED175" s="22">
        <f t="shared" si="178"/>
        <v>0.14217792829541512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2.8421709430404007E-14</v>
      </c>
      <c r="EK175" s="17">
        <f>EJ175*VLOOKUP('Données projet'!$B$15,Paramètres!$A$1:$I$89,3,0)*VLOOKUP('Données projet'!$B$15,Paramètres!$A$1:$I$89,5,0)</f>
        <v>2.2168933355715127E-14</v>
      </c>
      <c r="EL175" s="13">
        <f t="shared" si="179"/>
        <v>3.9687356123668477E-13</v>
      </c>
      <c r="EM175" s="20">
        <f t="shared" si="180"/>
        <v>7.2983234474842979E-13</v>
      </c>
      <c r="EN175" s="59">
        <f t="shared" si="128"/>
        <v>293.33333333333405</v>
      </c>
      <c r="EO175" s="59">
        <f ca="1">AVERAGE(OFFSET($EN$3,0,0,'Données projet'!$E$15+1,1))-AVERAGE(OFFSET($H$3,0,0,'Données projet'!$E$15+1,1))</f>
        <v>104.07220236158577</v>
      </c>
      <c r="EP175" s="59">
        <f t="shared" si="154"/>
        <v>34.162068257911756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>
        <f>EXP(-LN(2)/35)*EV174+(1-EXP(-LN(2)/35))/(LN(2)/35)*ER175*ES175*VLOOKUP('Données projet'!$B$15,Paramètres!$A$1:$I$89,3,0)*0.475*44/12</f>
        <v>0</v>
      </c>
      <c r="EW175" s="21">
        <f>EXP(-LN(2)/25)*EW174+(1-EXP(-LN(2)/25))/(LN(2)/25)*Calculateur!ER175*Calculateur!ET175*VLOOKUP('Données projet'!$B$15,Paramètres!$A$1:$I$89,3,0)*0.475*44/12</f>
        <v>0</v>
      </c>
      <c r="EX175" s="21">
        <f>EXP(-LN(2)/2)*EX174+(1-EXP(-LN(2)/2))/(LN(2)/2)*ER175*EU175*VLOOKUP('Données projet'!$B$15,Paramètres!$A$1:$I$89,3,0)*0.475*44/12</f>
        <v>0</v>
      </c>
      <c r="EY175" s="22">
        <f t="shared" si="181"/>
        <v>0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5.6843418860808015E-14</v>
      </c>
      <c r="FF175" s="17">
        <f>FE175*VLOOKUP('Données projet'!$B$16,Paramètres!$A$1:$I$89,3,0)*VLOOKUP('Données projet'!$B$16,Paramètres!$A$1:$I$89,5,0)</f>
        <v>5.1431925385259088E-14</v>
      </c>
      <c r="FG175" s="13">
        <f t="shared" si="182"/>
        <v>8.3482866290946129E-13</v>
      </c>
      <c r="FH175" s="20">
        <f t="shared" si="183"/>
        <v>1.5435705246133045E-12</v>
      </c>
      <c r="FI175" s="59">
        <f t="shared" si="131"/>
        <v>293.33333333333485</v>
      </c>
      <c r="FJ175" s="59">
        <f ca="1">AVERAGE(OFFSET($FI$3,0,0,'Données projet'!$E$16+1,1))-AVERAGE(OFFSET($H$3,0,0,'Données projet'!$E$16+1,1))</f>
        <v>179.50097986986123</v>
      </c>
      <c r="FK175" s="59">
        <f t="shared" si="156"/>
        <v>287.11838730637578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>
        <f>EXP(-LN(2)/35)*FQ174+(1-EXP(-LN(2)/35))/(LN(2)/35)*FM175*FN175*VLOOKUP('Données projet'!$B$16,Paramètres!$A$1:$I$89,3,0)*0.475*44/12</f>
        <v>3.744793802933058E-2</v>
      </c>
      <c r="FR175" s="21">
        <f>EXP(-LN(2)/25)*FR174+(1-EXP(-LN(2)/25))/(LN(2)/25)*Calculateur!FM175*Calculateur!FO175*VLOOKUP('Données projet'!$B$16,Paramètres!$A$1:$I$89,3,0)*0.475*44/12</f>
        <v>0.12275836661198419</v>
      </c>
      <c r="FS175" s="21">
        <f>EXP(-LN(2)/2)*FS174+(1-EXP(-LN(2)/2))/(LN(2)/2)*FM175*FP175*VLOOKUP('Données projet'!$B$16,Paramètres!$A$1:$I$89,3,0)*0.475*44/12</f>
        <v>1.9146315907182088E-21</v>
      </c>
      <c r="FT175" s="22">
        <f t="shared" si="184"/>
        <v>0.16020630464131477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5.6843418860808015E-14</v>
      </c>
      <c r="GA175" s="17">
        <f>FZ175*VLOOKUP('Données projet'!$B$17,Paramètres!$A$1:$I$89,3,0)*VLOOKUP('Données projet'!$B$17,Paramètres!$A$1:$I$89,5,0)</f>
        <v>3.3992364478763198E-14</v>
      </c>
      <c r="GB175" s="13">
        <f t="shared" si="185"/>
        <v>5.790027782444094E-13</v>
      </c>
      <c r="GC175" s="20">
        <f t="shared" si="186"/>
        <v>1.0676332069095257E-12</v>
      </c>
      <c r="GD175" s="59">
        <f t="shared" si="134"/>
        <v>293.33333333333439</v>
      </c>
      <c r="GE175" s="59">
        <f ca="1">AVERAGE(OFFSET($GD$3,0,0,'Données projet'!$E$17+1,1))-AVERAGE(OFFSET($H$3,0,0,'Données projet'!$E$17+1,1))</f>
        <v>165.39579887388538</v>
      </c>
      <c r="GF175" s="59">
        <f t="shared" si="158"/>
        <v>155.89639262545802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>
        <f>EXP(-LN(2)/35)*GL174+(1-EXP(-LN(2)/35))/(LN(2)/35)*GH175*GI175*VLOOKUP('Données projet'!$B$17,Paramètres!$A$1:$I$89,3,0)*0.475*44/12</f>
        <v>0</v>
      </c>
      <c r="GM175" s="21">
        <f>EXP(-LN(2)/25)*GM174+(1-EXP(-LN(2)/25))/(LN(2)/25)*Calculateur!GH175*Calculateur!GJ175*VLOOKUP('Données projet'!$B$17,Paramètres!$A$1:$I$89,3,0)*0.475*44/12</f>
        <v>0.14217792829541512</v>
      </c>
      <c r="GN175" s="21">
        <f>EXP(-LN(2)/2)*GN174+(1-EXP(-LN(2)/2))/(LN(2)/2)*GH175*GK175*VLOOKUP('Données projet'!$B$17,Paramètres!$A$1:$I$89,3,0)*0.475*44/12</f>
        <v>5.8784237884656747E-21</v>
      </c>
      <c r="GO175" s="21">
        <f t="shared" si="187"/>
        <v>0.14217792829541512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3.4106051316484809E-13</v>
      </c>
      <c r="O176" s="13">
        <f>N176*VLOOKUP('Données projet'!$B$9,Paramètres!$A$1:$I$89,3,0)*VLOOKUP('Données projet'!$B$9,Paramètres!$A$1:$I$89,5,0)</f>
        <v>1.9065282685915009E-13</v>
      </c>
      <c r="P176" s="13">
        <f t="shared" si="141"/>
        <v>2.6568987209435707E-12</v>
      </c>
      <c r="Q176" s="20">
        <f t="shared" si="162"/>
        <v>4.959485612423072E-12</v>
      </c>
      <c r="R176" s="59">
        <f t="shared" si="109"/>
        <v>293.33333333333826</v>
      </c>
      <c r="S176" s="59">
        <f ca="1">AVERAGE(OFFSET($R$3,0,0,'Données projet'!$E$9+1,1))-AVERAGE(OFFSET($H$3,0,0,'Données projet'!$E$9+1,1))</f>
        <v>235.10258076192054</v>
      </c>
      <c r="T176" s="59">
        <f t="shared" si="142"/>
        <v>233.47316052603765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0.20177139014510503</v>
      </c>
      <c r="AA176" s="21">
        <f>EXP(-LN(2)/25)*AA175+(1-EXP(-LN(2)/25))/(LN(2)/25)*Calculateur!V176*Calculateur!X176*VLOOKUP('Données projet'!$B$9,Paramètres!$A$1:$I$89,3,0)*0.475*44/12</f>
        <v>0.34974285367170299</v>
      </c>
      <c r="AB176" s="21">
        <f>EXP(-LN(2)/2)*AB175+(1-EXP(-LN(2)/2))/(LN(2)/2)*V176*Y176*VLOOKUP('Données projet'!$B$9,Paramètres!$A$1:$I$89,3,0)*0.475*44/12</f>
        <v>7.2238728714970749E-21</v>
      </c>
      <c r="AC176" s="22">
        <f t="shared" si="163"/>
        <v>0.55151424381680803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-8.5265128291212022E-14</v>
      </c>
      <c r="AJ176" s="13">
        <f>AI176*VLOOKUP('Données projet'!$B$10,Paramètres!$A$1:$I$89,3,0)*VLOOKUP('Données projet'!$B$10,Paramètres!$A$1:$I$89,5,0)</f>
        <v>-7.4487616075202836E-14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191.94797389630673</v>
      </c>
      <c r="AO176" s="59">
        <f t="shared" si="144"/>
        <v>273.52540822767878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0.15163425683632129</v>
      </c>
      <c r="AV176" s="21">
        <f>EXP(-LN(2)/25)*AV175+(1-EXP(-LN(2)/25))/(LN(2)/25)*Calculateur!AQ176*Calculateur!AS176*VLOOKUP('Données projet'!$B$10,Paramètres!$A$1:$I$89,3,0)*0.475*44/12</f>
        <v>0.2665186427834817</v>
      </c>
      <c r="AW176" s="21">
        <f>EXP(-LN(2)/2)*AW175+(1-EXP(-LN(2)/2))/(LN(2)/2)*AQ176*AT176*VLOOKUP('Données projet'!$B$10,Paramètres!$A$1:$I$89,3,0)*0.475*44/12</f>
        <v>6.9486530510974921E-21</v>
      </c>
      <c r="AX176" s="21">
        <f t="shared" si="166"/>
        <v>0.41815289961980295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2.8421709430404007E-14</v>
      </c>
      <c r="BE176" s="13">
        <f>BD176*VLOOKUP('Données projet'!$B$11,Paramètres!$A$1:$I$89,3,0)*VLOOKUP('Données projet'!$B$11,Paramètres!$A$1:$I$89,5,0)</f>
        <v>2.5715962692629544E-14</v>
      </c>
      <c r="BF176" s="13">
        <f t="shared" si="167"/>
        <v>4.5248818890525812E-13</v>
      </c>
      <c r="BG176" s="20">
        <f t="shared" si="168"/>
        <v>8.3287223069965432E-13</v>
      </c>
      <c r="BH176" s="59">
        <f t="shared" si="116"/>
        <v>293.33333333333417</v>
      </c>
      <c r="BI176" s="59">
        <f ca="1">AVERAGE(OFFSET($BH$3,0,0,'Données projet'!$E$11+1,1))-AVERAGE(OFFSET($H$3,0,0,'Données projet'!$E$11+1,1))</f>
        <v>138.8931001150624</v>
      </c>
      <c r="BJ176" s="59">
        <f t="shared" si="146"/>
        <v>48.964659354096625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2.8421709430404007E-14</v>
      </c>
      <c r="BZ176" s="13">
        <f>BY176*VLOOKUP('Données projet'!$B$12,Paramètres!$A$1:$I$89,3,0)*VLOOKUP('Données projet'!$B$12,Paramètres!$A$1:$I$89,5,0)</f>
        <v>2.8819613362429664E-14</v>
      </c>
      <c r="CA176" s="13">
        <f t="shared" si="170"/>
        <v>5.0041752926933358E-13</v>
      </c>
      <c r="CB176" s="20">
        <f t="shared" si="171"/>
        <v>9.2175469008365428E-13</v>
      </c>
      <c r="CC176" s="59">
        <f t="shared" si="119"/>
        <v>293.33333333333422</v>
      </c>
      <c r="CD176" s="59">
        <f ca="1">AVERAGE(OFFSET($CC$3,0,0,'Données projet'!$E$12+1,1))-AVERAGE(OFFSET($H$3,0,0,'Données projet'!$E$12+1,1))</f>
        <v>169.2757878405003</v>
      </c>
      <c r="CE176" s="59">
        <f t="shared" si="148"/>
        <v>61.876502626609977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-8.5265128291212022E-14</v>
      </c>
      <c r="CU176" s="17">
        <f>CT176*VLOOKUP('Données projet'!$B$13,Paramètres!$A$1:$I$89,3,0)*VLOOKUP('Données projet'!$B$13,Paramètres!$A$1:$I$89,5,0)</f>
        <v>-6.7836936068488286E-14</v>
      </c>
      <c r="CV176" s="13" t="e">
        <f t="shared" si="173"/>
        <v>#NUM!</v>
      </c>
      <c r="CW176" s="20" t="e">
        <f t="shared" si="174"/>
        <v>#NUM!</v>
      </c>
      <c r="CX176" s="59" t="e">
        <f t="shared" si="122"/>
        <v>#NUM!</v>
      </c>
      <c r="CY176" s="59">
        <f ca="1">AVERAGE(OFFSET($CX$3,0,0,'Données projet'!$E$13+1,1))-AVERAGE(OFFSET($H$3,0,0,'Données projet'!$E$13+1,1))</f>
        <v>141.12810728817544</v>
      </c>
      <c r="CZ176" s="59">
        <f t="shared" si="150"/>
        <v>176.01405805137551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>
        <f>EXP(-LN(2)/35)*DF175+(1-EXP(-LN(2)/35))/(LN(2)/35)*DB176*DC176*VLOOKUP('Données projet'!$B$13,Paramètres!$A$1:$I$89,3,0)*0.475*44/12</f>
        <v>0</v>
      </c>
      <c r="DG176" s="21">
        <f>EXP(-LN(2)/25)*DG175+(1-EXP(-LN(2)/25))/(LN(2)/25)*Calculateur!DB176*Calculateur!DD176*VLOOKUP('Données projet'!$B$13,Paramètres!$A$1:$I$89,3,0)*0.475*44/12</f>
        <v>0.12753931204252261</v>
      </c>
      <c r="DH176" s="21">
        <f>EXP(-LN(2)/2)*DH175+(1-EXP(-LN(2)/2))/(LN(2)/2)*DB176*DE176*VLOOKUP('Données projet'!$B$13,Paramètres!$A$1:$I$89,3,0)*0.475*44/12</f>
        <v>2.3973258004400448E-21</v>
      </c>
      <c r="DI176" s="22">
        <f t="shared" si="175"/>
        <v>0.12753931204252261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5.6843418860808015E-14</v>
      </c>
      <c r="DP176" s="17">
        <f>DO176*VLOOKUP('Données projet'!$B$14,Paramètres!$A$1:$I$89,3,0)*VLOOKUP('Données projet'!$B$14,Paramètres!$A$1:$I$89,5,0)</f>
        <v>3.3992364478763198E-14</v>
      </c>
      <c r="DQ176" s="13">
        <f t="shared" si="176"/>
        <v>5.790027782444094E-13</v>
      </c>
      <c r="DR176" s="20">
        <f t="shared" si="177"/>
        <v>1.0676332069095257E-12</v>
      </c>
      <c r="DS176" s="59">
        <f t="shared" si="125"/>
        <v>293.33333333333439</v>
      </c>
      <c r="DT176" s="59">
        <f ca="1">AVERAGE(OFFSET($DS$3,0,0,'Données projet'!$E$14+1,1))-AVERAGE(OFFSET($H$3,0,0,'Données projet'!$E$14+1,1))</f>
        <v>165.39579887388538</v>
      </c>
      <c r="DU176" s="59">
        <f t="shared" si="152"/>
        <v>155.89639262545802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>
        <f>EXP(-LN(2)/35)*EA175+(1-EXP(-LN(2)/35))/(LN(2)/35)*DW176*DX176*VLOOKUP('Données projet'!$B$14,Paramètres!$A$1:$I$89,3,0)*0.475*44/12</f>
        <v>0</v>
      </c>
      <c r="EB176" s="21">
        <f>EXP(-LN(2)/25)*EB175+(1-EXP(-LN(2)/25))/(LN(2)/25)*Calculateur!DW176*Calculateur!DY176*VLOOKUP('Données projet'!$B$14,Paramètres!$A$1:$I$89,3,0)*0.475*44/12</f>
        <v>0.1382900653693647</v>
      </c>
      <c r="EC176" s="21">
        <f>EXP(-LN(2)/2)*EC175+(1-EXP(-LN(2)/2))/(LN(2)/2)*DW176*DZ176*VLOOKUP('Données projet'!$B$14,Paramètres!$A$1:$I$89,3,0)*0.475*44/12</f>
        <v>4.1566733235123935E-21</v>
      </c>
      <c r="ED176" s="22">
        <f t="shared" si="178"/>
        <v>0.1382900653693647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2.8421709430404007E-14</v>
      </c>
      <c r="EK176" s="17">
        <f>EJ176*VLOOKUP('Données projet'!$B$15,Paramètres!$A$1:$I$89,3,0)*VLOOKUP('Données projet'!$B$15,Paramètres!$A$1:$I$89,5,0)</f>
        <v>2.2168933355715127E-14</v>
      </c>
      <c r="EL176" s="13">
        <f t="shared" si="179"/>
        <v>3.9687356123668477E-13</v>
      </c>
      <c r="EM176" s="20">
        <f t="shared" si="180"/>
        <v>7.2983234474842979E-13</v>
      </c>
      <c r="EN176" s="59">
        <f t="shared" si="128"/>
        <v>293.33333333333405</v>
      </c>
      <c r="EO176" s="59">
        <f ca="1">AVERAGE(OFFSET($EN$3,0,0,'Données projet'!$E$15+1,1))-AVERAGE(OFFSET($H$3,0,0,'Données projet'!$E$15+1,1))</f>
        <v>104.07220236158577</v>
      </c>
      <c r="EP176" s="59">
        <f t="shared" si="154"/>
        <v>34.162068257911756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>
        <f>EXP(-LN(2)/35)*EV175+(1-EXP(-LN(2)/35))/(LN(2)/35)*ER176*ES176*VLOOKUP('Données projet'!$B$15,Paramètres!$A$1:$I$89,3,0)*0.475*44/12</f>
        <v>0</v>
      </c>
      <c r="EW176" s="21">
        <f>EXP(-LN(2)/25)*EW175+(1-EXP(-LN(2)/25))/(LN(2)/25)*Calculateur!ER176*Calculateur!ET176*VLOOKUP('Données projet'!$B$15,Paramètres!$A$1:$I$89,3,0)*0.475*44/12</f>
        <v>0</v>
      </c>
      <c r="EX176" s="21">
        <f>EXP(-LN(2)/2)*EX175+(1-EXP(-LN(2)/2))/(LN(2)/2)*ER176*EU176*VLOOKUP('Données projet'!$B$15,Paramètres!$A$1:$I$89,3,0)*0.475*44/12</f>
        <v>0</v>
      </c>
      <c r="EY176" s="22">
        <f t="shared" si="181"/>
        <v>0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5.6843418860808015E-14</v>
      </c>
      <c r="FF176" s="17">
        <f>FE176*VLOOKUP('Données projet'!$B$16,Paramètres!$A$1:$I$89,3,0)*VLOOKUP('Données projet'!$B$16,Paramètres!$A$1:$I$89,5,0)</f>
        <v>5.1431925385259088E-14</v>
      </c>
      <c r="FG176" s="13">
        <f t="shared" si="182"/>
        <v>8.3482866290946129E-13</v>
      </c>
      <c r="FH176" s="20">
        <f t="shared" si="183"/>
        <v>1.5435705246133045E-12</v>
      </c>
      <c r="FI176" s="59">
        <f t="shared" si="131"/>
        <v>293.33333333333485</v>
      </c>
      <c r="FJ176" s="59">
        <f ca="1">AVERAGE(OFFSET($FI$3,0,0,'Données projet'!$E$16+1,1))-AVERAGE(OFFSET($H$3,0,0,'Données projet'!$E$16+1,1))</f>
        <v>179.50097986986123</v>
      </c>
      <c r="FK176" s="59">
        <f t="shared" si="156"/>
        <v>287.11838730637578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>
        <f>EXP(-LN(2)/35)*FQ175+(1-EXP(-LN(2)/35))/(LN(2)/35)*FM176*FN176*VLOOKUP('Données projet'!$B$16,Paramètres!$A$1:$I$89,3,0)*0.475*44/12</f>
        <v>3.6713606805562245E-2</v>
      </c>
      <c r="FR176" s="21">
        <f>EXP(-LN(2)/25)*FR175+(1-EXP(-LN(2)/25))/(LN(2)/25)*Calculateur!FM176*Calculateur!FO176*VLOOKUP('Données projet'!$B$16,Paramètres!$A$1:$I$89,3,0)*0.475*44/12</f>
        <v>0.11940153262139755</v>
      </c>
      <c r="FS176" s="21">
        <f>EXP(-LN(2)/2)*FS175+(1-EXP(-LN(2)/2))/(LN(2)/2)*FM176*FP176*VLOOKUP('Données projet'!$B$16,Paramètres!$A$1:$I$89,3,0)*0.475*44/12</f>
        <v>1.3538489812708319E-21</v>
      </c>
      <c r="FT176" s="22">
        <f t="shared" si="184"/>
        <v>0.15611513942695979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5.6843418860808015E-14</v>
      </c>
      <c r="GA176" s="17">
        <f>FZ176*VLOOKUP('Données projet'!$B$17,Paramètres!$A$1:$I$89,3,0)*VLOOKUP('Données projet'!$B$17,Paramètres!$A$1:$I$89,5,0)</f>
        <v>3.3992364478763198E-14</v>
      </c>
      <c r="GB176" s="13">
        <f t="shared" si="185"/>
        <v>5.790027782444094E-13</v>
      </c>
      <c r="GC176" s="20">
        <f t="shared" si="186"/>
        <v>1.0676332069095257E-12</v>
      </c>
      <c r="GD176" s="59">
        <f t="shared" si="134"/>
        <v>293.33333333333439</v>
      </c>
      <c r="GE176" s="59">
        <f ca="1">AVERAGE(OFFSET($GD$3,0,0,'Données projet'!$E$17+1,1))-AVERAGE(OFFSET($H$3,0,0,'Données projet'!$E$17+1,1))</f>
        <v>165.39579887388538</v>
      </c>
      <c r="GF176" s="59">
        <f t="shared" si="158"/>
        <v>155.89639262545802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>
        <f>EXP(-LN(2)/35)*GL175+(1-EXP(-LN(2)/35))/(LN(2)/35)*GH176*GI176*VLOOKUP('Données projet'!$B$17,Paramètres!$A$1:$I$89,3,0)*0.475*44/12</f>
        <v>0</v>
      </c>
      <c r="GM176" s="21">
        <f>EXP(-LN(2)/25)*GM175+(1-EXP(-LN(2)/25))/(LN(2)/25)*Calculateur!GH176*Calculateur!GJ176*VLOOKUP('Données projet'!$B$17,Paramètres!$A$1:$I$89,3,0)*0.475*44/12</f>
        <v>0.1382900653693647</v>
      </c>
      <c r="GN176" s="21">
        <f>EXP(-LN(2)/2)*GN175+(1-EXP(-LN(2)/2))/(LN(2)/2)*GH176*GK176*VLOOKUP('Données projet'!$B$17,Paramètres!$A$1:$I$89,3,0)*0.475*44/12</f>
        <v>4.1566733235123935E-21</v>
      </c>
      <c r="GO176" s="21">
        <f t="shared" si="187"/>
        <v>0.1382900653693647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3.4106051316484809E-13</v>
      </c>
      <c r="O177" s="13">
        <f>N177*VLOOKUP('Données projet'!$B$9,Paramètres!$A$1:$I$89,3,0)*VLOOKUP('Données projet'!$B$9,Paramètres!$A$1:$I$89,5,0)</f>
        <v>1.9065282685915009E-13</v>
      </c>
      <c r="P177" s="13">
        <f t="shared" si="141"/>
        <v>2.6568987209435707E-12</v>
      </c>
      <c r="Q177" s="20">
        <f t="shared" si="162"/>
        <v>4.959485612423072E-12</v>
      </c>
      <c r="R177" s="59">
        <f t="shared" si="109"/>
        <v>293.33333333333826</v>
      </c>
      <c r="S177" s="59">
        <f ca="1">AVERAGE(OFFSET($R$3,0,0,'Données projet'!$E$9+1,1))-AVERAGE(OFFSET($H$3,0,0,'Données projet'!$E$9+1,1))</f>
        <v>235.10258076192054</v>
      </c>
      <c r="T177" s="59">
        <f t="shared" si="142"/>
        <v>233.47316052603765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0.19781477625275551</v>
      </c>
      <c r="AA177" s="21">
        <f>EXP(-LN(2)/25)*AA176+(1-EXP(-LN(2)/25))/(LN(2)/25)*Calculateur!V177*Calculateur!X177*VLOOKUP('Données projet'!$B$9,Paramètres!$A$1:$I$89,3,0)*0.475*44/12</f>
        <v>0.34017911694587294</v>
      </c>
      <c r="AB177" s="21">
        <f>EXP(-LN(2)/2)*AB176+(1-EXP(-LN(2)/2))/(LN(2)/2)*V177*Y177*VLOOKUP('Données projet'!$B$9,Paramètres!$A$1:$I$89,3,0)*0.475*44/12</f>
        <v>5.108049493865119E-21</v>
      </c>
      <c r="AC177" s="22">
        <f t="shared" si="163"/>
        <v>0.53799389319862845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-8.5265128291212022E-14</v>
      </c>
      <c r="AJ177" s="13">
        <f>AI177*VLOOKUP('Données projet'!$B$10,Paramètres!$A$1:$I$89,3,0)*VLOOKUP('Données projet'!$B$10,Paramètres!$A$1:$I$89,5,0)</f>
        <v>-7.4487616075202836E-14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191.94797389630673</v>
      </c>
      <c r="AO177" s="59">
        <f t="shared" si="144"/>
        <v>273.52540822767878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0.14866080154752528</v>
      </c>
      <c r="AV177" s="21">
        <f>EXP(-LN(2)/25)*AV176+(1-EXP(-LN(2)/25))/(LN(2)/25)*Calculateur!AQ177*Calculateur!AS177*VLOOKUP('Données projet'!$B$10,Paramètres!$A$1:$I$89,3,0)*0.475*44/12</f>
        <v>0.2592306764809611</v>
      </c>
      <c r="AW177" s="21">
        <f>EXP(-LN(2)/2)*AW176+(1-EXP(-LN(2)/2))/(LN(2)/2)*AQ177*AT177*VLOOKUP('Données projet'!$B$10,Paramètres!$A$1:$I$89,3,0)*0.475*44/12</f>
        <v>4.9134396925436303E-21</v>
      </c>
      <c r="AX177" s="21">
        <f t="shared" si="166"/>
        <v>0.40789147802848635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2.8421709430404007E-14</v>
      </c>
      <c r="BE177" s="13">
        <f>BD177*VLOOKUP('Données projet'!$B$11,Paramètres!$A$1:$I$89,3,0)*VLOOKUP('Données projet'!$B$11,Paramètres!$A$1:$I$89,5,0)</f>
        <v>2.5715962692629544E-14</v>
      </c>
      <c r="BF177" s="13">
        <f t="shared" si="167"/>
        <v>4.5248818890525812E-13</v>
      </c>
      <c r="BG177" s="20">
        <f t="shared" si="168"/>
        <v>8.3287223069965432E-13</v>
      </c>
      <c r="BH177" s="59">
        <f t="shared" si="116"/>
        <v>293.33333333333417</v>
      </c>
      <c r="BI177" s="59">
        <f ca="1">AVERAGE(OFFSET($BH$3,0,0,'Données projet'!$E$11+1,1))-AVERAGE(OFFSET($H$3,0,0,'Données projet'!$E$11+1,1))</f>
        <v>138.8931001150624</v>
      </c>
      <c r="BJ177" s="59">
        <f t="shared" si="146"/>
        <v>48.964659354096625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2.8421709430404007E-14</v>
      </c>
      <c r="BZ177" s="13">
        <f>BY177*VLOOKUP('Données projet'!$B$12,Paramètres!$A$1:$I$89,3,0)*VLOOKUP('Données projet'!$B$12,Paramètres!$A$1:$I$89,5,0)</f>
        <v>2.8819613362429664E-14</v>
      </c>
      <c r="CA177" s="13">
        <f t="shared" si="170"/>
        <v>5.0041752926933358E-13</v>
      </c>
      <c r="CB177" s="20">
        <f t="shared" si="171"/>
        <v>9.2175469008365428E-13</v>
      </c>
      <c r="CC177" s="59">
        <f t="shared" si="119"/>
        <v>293.33333333333422</v>
      </c>
      <c r="CD177" s="59">
        <f ca="1">AVERAGE(OFFSET($CC$3,0,0,'Données projet'!$E$12+1,1))-AVERAGE(OFFSET($H$3,0,0,'Données projet'!$E$12+1,1))</f>
        <v>169.2757878405003</v>
      </c>
      <c r="CE177" s="59">
        <f t="shared" si="148"/>
        <v>61.876502626609977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-8.5265128291212022E-14</v>
      </c>
      <c r="CU177" s="17">
        <f>CT177*VLOOKUP('Données projet'!$B$13,Paramètres!$A$1:$I$89,3,0)*VLOOKUP('Données projet'!$B$13,Paramètres!$A$1:$I$89,5,0)</f>
        <v>-6.7836936068488286E-14</v>
      </c>
      <c r="CV177" s="13" t="e">
        <f t="shared" si="173"/>
        <v>#NUM!</v>
      </c>
      <c r="CW177" s="20" t="e">
        <f t="shared" si="174"/>
        <v>#NUM!</v>
      </c>
      <c r="CX177" s="59" t="e">
        <f t="shared" si="122"/>
        <v>#NUM!</v>
      </c>
      <c r="CY177" s="59">
        <f ca="1">AVERAGE(OFFSET($CX$3,0,0,'Données projet'!$E$13+1,1))-AVERAGE(OFFSET($H$3,0,0,'Données projet'!$E$13+1,1))</f>
        <v>141.12810728817544</v>
      </c>
      <c r="CZ177" s="59">
        <f t="shared" si="150"/>
        <v>176.01405805137551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>
        <f>EXP(-LN(2)/35)*DF176+(1-EXP(-LN(2)/35))/(LN(2)/35)*DB177*DC177*VLOOKUP('Données projet'!$B$13,Paramètres!$A$1:$I$89,3,0)*0.475*44/12</f>
        <v>0</v>
      </c>
      <c r="DG177" s="21">
        <f>EXP(-LN(2)/25)*DG176+(1-EXP(-LN(2)/25))/(LN(2)/25)*Calculateur!DB177*Calculateur!DD177*VLOOKUP('Données projet'!$B$13,Paramètres!$A$1:$I$89,3,0)*0.475*44/12</f>
        <v>0.1240517428477189</v>
      </c>
      <c r="DH177" s="21">
        <f>EXP(-LN(2)/2)*DH176+(1-EXP(-LN(2)/2))/(LN(2)/2)*DB177*DE177*VLOOKUP('Données projet'!$B$13,Paramètres!$A$1:$I$89,3,0)*0.475*44/12</f>
        <v>1.6951653302046236E-21</v>
      </c>
      <c r="DI177" s="22">
        <f t="shared" si="175"/>
        <v>0.1240517428477189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5.6843418860808015E-14</v>
      </c>
      <c r="DP177" s="17">
        <f>DO177*VLOOKUP('Données projet'!$B$14,Paramètres!$A$1:$I$89,3,0)*VLOOKUP('Données projet'!$B$14,Paramètres!$A$1:$I$89,5,0)</f>
        <v>3.3992364478763198E-14</v>
      </c>
      <c r="DQ177" s="13">
        <f t="shared" si="176"/>
        <v>5.790027782444094E-13</v>
      </c>
      <c r="DR177" s="20">
        <f t="shared" si="177"/>
        <v>1.0676332069095257E-12</v>
      </c>
      <c r="DS177" s="59">
        <f t="shared" si="125"/>
        <v>293.33333333333439</v>
      </c>
      <c r="DT177" s="59">
        <f ca="1">AVERAGE(OFFSET($DS$3,0,0,'Données projet'!$E$14+1,1))-AVERAGE(OFFSET($H$3,0,0,'Données projet'!$E$14+1,1))</f>
        <v>165.39579887388538</v>
      </c>
      <c r="DU177" s="59">
        <f t="shared" si="152"/>
        <v>155.89639262545802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>
        <f>EXP(-LN(2)/35)*EA176+(1-EXP(-LN(2)/35))/(LN(2)/35)*DW177*DX177*VLOOKUP('Données projet'!$B$14,Paramètres!$A$1:$I$89,3,0)*0.475*44/12</f>
        <v>0</v>
      </c>
      <c r="EB177" s="21">
        <f>EXP(-LN(2)/25)*EB176+(1-EXP(-LN(2)/25))/(LN(2)/25)*Calculateur!DW177*Calculateur!DY177*VLOOKUP('Données projet'!$B$14,Paramètres!$A$1:$I$89,3,0)*0.475*44/12</f>
        <v>0.13450851625948096</v>
      </c>
      <c r="EC177" s="21">
        <f>EXP(-LN(2)/2)*EC176+(1-EXP(-LN(2)/2))/(LN(2)/2)*DW177*DZ177*VLOOKUP('Données projet'!$B$14,Paramètres!$A$1:$I$89,3,0)*0.475*44/12</f>
        <v>2.9392118942328373E-21</v>
      </c>
      <c r="ED177" s="22">
        <f t="shared" si="178"/>
        <v>0.13450851625948096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2.8421709430404007E-14</v>
      </c>
      <c r="EK177" s="17">
        <f>EJ177*VLOOKUP('Données projet'!$B$15,Paramètres!$A$1:$I$89,3,0)*VLOOKUP('Données projet'!$B$15,Paramètres!$A$1:$I$89,5,0)</f>
        <v>2.2168933355715127E-14</v>
      </c>
      <c r="EL177" s="13">
        <f t="shared" si="179"/>
        <v>3.9687356123668477E-13</v>
      </c>
      <c r="EM177" s="20">
        <f t="shared" si="180"/>
        <v>7.2983234474842979E-13</v>
      </c>
      <c r="EN177" s="59">
        <f t="shared" si="128"/>
        <v>293.33333333333405</v>
      </c>
      <c r="EO177" s="59">
        <f ca="1">AVERAGE(OFFSET($EN$3,0,0,'Données projet'!$E$15+1,1))-AVERAGE(OFFSET($H$3,0,0,'Données projet'!$E$15+1,1))</f>
        <v>104.07220236158577</v>
      </c>
      <c r="EP177" s="59">
        <f t="shared" si="154"/>
        <v>34.162068257911756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>
        <f>EXP(-LN(2)/35)*EV176+(1-EXP(-LN(2)/35))/(LN(2)/35)*ER177*ES177*VLOOKUP('Données projet'!$B$15,Paramètres!$A$1:$I$89,3,0)*0.475*44/12</f>
        <v>0</v>
      </c>
      <c r="EW177" s="21">
        <f>EXP(-LN(2)/25)*EW176+(1-EXP(-LN(2)/25))/(LN(2)/25)*Calculateur!ER177*Calculateur!ET177*VLOOKUP('Données projet'!$B$15,Paramètres!$A$1:$I$89,3,0)*0.475*44/12</f>
        <v>0</v>
      </c>
      <c r="EX177" s="21">
        <f>EXP(-LN(2)/2)*EX176+(1-EXP(-LN(2)/2))/(LN(2)/2)*ER177*EU177*VLOOKUP('Données projet'!$B$15,Paramètres!$A$1:$I$89,3,0)*0.475*44/12</f>
        <v>0</v>
      </c>
      <c r="EY177" s="22">
        <f t="shared" si="181"/>
        <v>0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5.6843418860808015E-14</v>
      </c>
      <c r="FF177" s="17">
        <f>FE177*VLOOKUP('Données projet'!$B$16,Paramètres!$A$1:$I$89,3,0)*VLOOKUP('Données projet'!$B$16,Paramètres!$A$1:$I$89,5,0)</f>
        <v>5.1431925385259088E-14</v>
      </c>
      <c r="FG177" s="13">
        <f t="shared" si="182"/>
        <v>8.3482866290946129E-13</v>
      </c>
      <c r="FH177" s="20">
        <f t="shared" si="183"/>
        <v>1.5435705246133045E-12</v>
      </c>
      <c r="FI177" s="59">
        <f t="shared" si="131"/>
        <v>293.33333333333485</v>
      </c>
      <c r="FJ177" s="59">
        <f ca="1">AVERAGE(OFFSET($FI$3,0,0,'Données projet'!$E$16+1,1))-AVERAGE(OFFSET($H$3,0,0,'Données projet'!$E$16+1,1))</f>
        <v>179.50097986986123</v>
      </c>
      <c r="FK177" s="59">
        <f t="shared" si="156"/>
        <v>287.11838730637578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>
        <f>EXP(-LN(2)/35)*FQ176+(1-EXP(-LN(2)/35))/(LN(2)/35)*FM177*FN177*VLOOKUP('Données projet'!$B$16,Paramètres!$A$1:$I$89,3,0)*0.475*44/12</f>
        <v>3.5993675369194185E-2</v>
      </c>
      <c r="FR177" s="21">
        <f>EXP(-LN(2)/25)*FR176+(1-EXP(-LN(2)/25))/(LN(2)/25)*Calculateur!FM177*Calculateur!FO177*VLOOKUP('Données projet'!$B$16,Paramètres!$A$1:$I$89,3,0)*0.475*44/12</f>
        <v>0.11613649143281173</v>
      </c>
      <c r="FS177" s="21">
        <f>EXP(-LN(2)/2)*FS176+(1-EXP(-LN(2)/2))/(LN(2)/2)*FM177*FP177*VLOOKUP('Données projet'!$B$16,Paramètres!$A$1:$I$89,3,0)*0.475*44/12</f>
        <v>9.5731579535910439E-22</v>
      </c>
      <c r="FT177" s="22">
        <f t="shared" si="184"/>
        <v>0.15213016680200592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5.6843418860808015E-14</v>
      </c>
      <c r="GA177" s="17">
        <f>FZ177*VLOOKUP('Données projet'!$B$17,Paramètres!$A$1:$I$89,3,0)*VLOOKUP('Données projet'!$B$17,Paramètres!$A$1:$I$89,5,0)</f>
        <v>3.3992364478763198E-14</v>
      </c>
      <c r="GB177" s="13">
        <f t="shared" si="185"/>
        <v>5.790027782444094E-13</v>
      </c>
      <c r="GC177" s="20">
        <f t="shared" si="186"/>
        <v>1.0676332069095257E-12</v>
      </c>
      <c r="GD177" s="59">
        <f t="shared" si="134"/>
        <v>293.33333333333439</v>
      </c>
      <c r="GE177" s="59">
        <f ca="1">AVERAGE(OFFSET($GD$3,0,0,'Données projet'!$E$17+1,1))-AVERAGE(OFFSET($H$3,0,0,'Données projet'!$E$17+1,1))</f>
        <v>165.39579887388538</v>
      </c>
      <c r="GF177" s="59">
        <f t="shared" si="158"/>
        <v>155.89639262545802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>
        <f>EXP(-LN(2)/35)*GL176+(1-EXP(-LN(2)/35))/(LN(2)/35)*GH177*GI177*VLOOKUP('Données projet'!$B$17,Paramètres!$A$1:$I$89,3,0)*0.475*44/12</f>
        <v>0</v>
      </c>
      <c r="GM177" s="21">
        <f>EXP(-LN(2)/25)*GM176+(1-EXP(-LN(2)/25))/(LN(2)/25)*Calculateur!GH177*Calculateur!GJ177*VLOOKUP('Données projet'!$B$17,Paramètres!$A$1:$I$89,3,0)*0.475*44/12</f>
        <v>0.13450851625948096</v>
      </c>
      <c r="GN177" s="21">
        <f>EXP(-LN(2)/2)*GN176+(1-EXP(-LN(2)/2))/(LN(2)/2)*GH177*GK177*VLOOKUP('Données projet'!$B$17,Paramètres!$A$1:$I$89,3,0)*0.475*44/12</f>
        <v>2.9392118942328373E-21</v>
      </c>
      <c r="GO177" s="21">
        <f t="shared" si="187"/>
        <v>0.13450851625948096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3.4106051316484809E-13</v>
      </c>
      <c r="O178" s="13">
        <f>N178*VLOOKUP('Données projet'!$B$9,Paramètres!$A$1:$I$89,3,0)*VLOOKUP('Données projet'!$B$9,Paramètres!$A$1:$I$89,5,0)</f>
        <v>1.9065282685915009E-13</v>
      </c>
      <c r="P178" s="13">
        <f t="shared" si="141"/>
        <v>2.6568987209435707E-12</v>
      </c>
      <c r="Q178" s="20">
        <f t="shared" si="162"/>
        <v>4.959485612423072E-12</v>
      </c>
      <c r="R178" s="59">
        <f t="shared" si="109"/>
        <v>293.33333333333826</v>
      </c>
      <c r="S178" s="59">
        <f ca="1">AVERAGE(OFFSET($R$3,0,0,'Données projet'!$E$9+1,1))-AVERAGE(OFFSET($H$3,0,0,'Données projet'!$E$9+1,1))</f>
        <v>235.10258076192054</v>
      </c>
      <c r="T178" s="59">
        <f t="shared" si="142"/>
        <v>233.47316052603765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0.19393574914553879</v>
      </c>
      <c r="AA178" s="21">
        <f>EXP(-LN(2)/25)*AA177+(1-EXP(-LN(2)/25))/(LN(2)/25)*Calculateur!V178*Calculateur!X178*VLOOKUP('Données projet'!$B$9,Paramètres!$A$1:$I$89,3,0)*0.475*44/12</f>
        <v>0.33087690110374579</v>
      </c>
      <c r="AB178" s="21">
        <f>EXP(-LN(2)/2)*AB177+(1-EXP(-LN(2)/2))/(LN(2)/2)*V178*Y178*VLOOKUP('Données projet'!$B$9,Paramètres!$A$1:$I$89,3,0)*0.475*44/12</f>
        <v>3.6119364357485375E-21</v>
      </c>
      <c r="AC178" s="22">
        <f t="shared" si="163"/>
        <v>0.52481265024928458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-8.5265128291212022E-14</v>
      </c>
      <c r="AJ178" s="13">
        <f>AI178*VLOOKUP('Données projet'!$B$10,Paramètres!$A$1:$I$89,3,0)*VLOOKUP('Données projet'!$B$10,Paramètres!$A$1:$I$89,5,0)</f>
        <v>-7.4487616075202836E-14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191.94797389630673</v>
      </c>
      <c r="AO178" s="59">
        <f t="shared" si="144"/>
        <v>273.52540822767878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0.14574565390331393</v>
      </c>
      <c r="AV178" s="21">
        <f>EXP(-LN(2)/25)*AV177+(1-EXP(-LN(2)/25))/(LN(2)/25)*Calculateur!AQ178*Calculateur!AS178*VLOOKUP('Données projet'!$B$10,Paramètres!$A$1:$I$89,3,0)*0.475*44/12</f>
        <v>0.2521420000002404</v>
      </c>
      <c r="AW178" s="21">
        <f>EXP(-LN(2)/2)*AW177+(1-EXP(-LN(2)/2))/(LN(2)/2)*AQ178*AT178*VLOOKUP('Données projet'!$B$10,Paramètres!$A$1:$I$89,3,0)*0.475*44/12</f>
        <v>3.474326525548746E-21</v>
      </c>
      <c r="AX178" s="21">
        <f t="shared" si="166"/>
        <v>0.39788765390355429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2.8421709430404007E-14</v>
      </c>
      <c r="BE178" s="13">
        <f>BD178*VLOOKUP('Données projet'!$B$11,Paramètres!$A$1:$I$89,3,0)*VLOOKUP('Données projet'!$B$11,Paramètres!$A$1:$I$89,5,0)</f>
        <v>2.5715962692629544E-14</v>
      </c>
      <c r="BF178" s="13">
        <f t="shared" si="167"/>
        <v>4.5248818890525812E-13</v>
      </c>
      <c r="BG178" s="20">
        <f t="shared" si="168"/>
        <v>8.3287223069965432E-13</v>
      </c>
      <c r="BH178" s="59">
        <f t="shared" si="116"/>
        <v>293.33333333333417</v>
      </c>
      <c r="BI178" s="59">
        <f ca="1">AVERAGE(OFFSET($BH$3,0,0,'Données projet'!$E$11+1,1))-AVERAGE(OFFSET($H$3,0,0,'Données projet'!$E$11+1,1))</f>
        <v>138.8931001150624</v>
      </c>
      <c r="BJ178" s="59">
        <f t="shared" si="146"/>
        <v>48.964659354096625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2.8421709430404007E-14</v>
      </c>
      <c r="BZ178" s="13">
        <f>BY178*VLOOKUP('Données projet'!$B$12,Paramètres!$A$1:$I$89,3,0)*VLOOKUP('Données projet'!$B$12,Paramètres!$A$1:$I$89,5,0)</f>
        <v>2.8819613362429664E-14</v>
      </c>
      <c r="CA178" s="13">
        <f t="shared" si="170"/>
        <v>5.0041752926933358E-13</v>
      </c>
      <c r="CB178" s="20">
        <f t="shared" si="171"/>
        <v>9.2175469008365428E-13</v>
      </c>
      <c r="CC178" s="59">
        <f t="shared" si="119"/>
        <v>293.33333333333422</v>
      </c>
      <c r="CD178" s="59">
        <f ca="1">AVERAGE(OFFSET($CC$3,0,0,'Données projet'!$E$12+1,1))-AVERAGE(OFFSET($H$3,0,0,'Données projet'!$E$12+1,1))</f>
        <v>169.2757878405003</v>
      </c>
      <c r="CE178" s="59">
        <f t="shared" si="148"/>
        <v>61.876502626609977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-8.5265128291212022E-14</v>
      </c>
      <c r="CU178" s="17">
        <f>CT178*VLOOKUP('Données projet'!$B$13,Paramètres!$A$1:$I$89,3,0)*VLOOKUP('Données projet'!$B$13,Paramètres!$A$1:$I$89,5,0)</f>
        <v>-6.7836936068488286E-14</v>
      </c>
      <c r="CV178" s="13" t="e">
        <f t="shared" si="173"/>
        <v>#NUM!</v>
      </c>
      <c r="CW178" s="20" t="e">
        <f t="shared" si="174"/>
        <v>#NUM!</v>
      </c>
      <c r="CX178" s="59" t="e">
        <f t="shared" si="122"/>
        <v>#NUM!</v>
      </c>
      <c r="CY178" s="59">
        <f ca="1">AVERAGE(OFFSET($CX$3,0,0,'Données projet'!$E$13+1,1))-AVERAGE(OFFSET($H$3,0,0,'Données projet'!$E$13+1,1))</f>
        <v>141.12810728817544</v>
      </c>
      <c r="CZ178" s="59">
        <f t="shared" si="150"/>
        <v>176.01405805137551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>
        <f>EXP(-LN(2)/35)*DF177+(1-EXP(-LN(2)/35))/(LN(2)/35)*DB178*DC178*VLOOKUP('Données projet'!$B$13,Paramètres!$A$1:$I$89,3,0)*0.475*44/12</f>
        <v>0</v>
      </c>
      <c r="DG178" s="21">
        <f>EXP(-LN(2)/25)*DG177+(1-EXP(-LN(2)/25))/(LN(2)/25)*Calculateur!DB178*Calculateur!DD178*VLOOKUP('Données projet'!$B$13,Paramètres!$A$1:$I$89,3,0)*0.475*44/12</f>
        <v>0.12065954141595039</v>
      </c>
      <c r="DH178" s="21">
        <f>EXP(-LN(2)/2)*DH177+(1-EXP(-LN(2)/2))/(LN(2)/2)*DB178*DE178*VLOOKUP('Données projet'!$B$13,Paramètres!$A$1:$I$89,3,0)*0.475*44/12</f>
        <v>1.1986629002200224E-21</v>
      </c>
      <c r="DI178" s="22">
        <f t="shared" si="175"/>
        <v>0.12065954141595039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5.6843418860808015E-14</v>
      </c>
      <c r="DP178" s="17">
        <f>DO178*VLOOKUP('Données projet'!$B$14,Paramètres!$A$1:$I$89,3,0)*VLOOKUP('Données projet'!$B$14,Paramètres!$A$1:$I$89,5,0)</f>
        <v>3.3992364478763198E-14</v>
      </c>
      <c r="DQ178" s="13">
        <f t="shared" si="176"/>
        <v>5.790027782444094E-13</v>
      </c>
      <c r="DR178" s="20">
        <f t="shared" si="177"/>
        <v>1.0676332069095257E-12</v>
      </c>
      <c r="DS178" s="59">
        <f t="shared" si="125"/>
        <v>293.33333333333439</v>
      </c>
      <c r="DT178" s="59">
        <f ca="1">AVERAGE(OFFSET($DS$3,0,0,'Données projet'!$E$14+1,1))-AVERAGE(OFFSET($H$3,0,0,'Données projet'!$E$14+1,1))</f>
        <v>165.39579887388538</v>
      </c>
      <c r="DU178" s="59">
        <f t="shared" si="152"/>
        <v>155.89639262545802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>
        <f>EXP(-LN(2)/35)*EA177+(1-EXP(-LN(2)/35))/(LN(2)/35)*DW178*DX178*VLOOKUP('Données projet'!$B$14,Paramètres!$A$1:$I$89,3,0)*0.475*44/12</f>
        <v>0</v>
      </c>
      <c r="EB178" s="21">
        <f>EXP(-LN(2)/25)*EB177+(1-EXP(-LN(2)/25))/(LN(2)/25)*Calculateur!DW178*Calculateur!DY178*VLOOKUP('Données projet'!$B$14,Paramètres!$A$1:$I$89,3,0)*0.475*44/12</f>
        <v>0.13083037380887</v>
      </c>
      <c r="EC178" s="21">
        <f>EXP(-LN(2)/2)*EC177+(1-EXP(-LN(2)/2))/(LN(2)/2)*DW178*DZ178*VLOOKUP('Données projet'!$B$14,Paramètres!$A$1:$I$89,3,0)*0.475*44/12</f>
        <v>2.0783366617561967E-21</v>
      </c>
      <c r="ED178" s="22">
        <f t="shared" si="178"/>
        <v>0.13083037380887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2.8421709430404007E-14</v>
      </c>
      <c r="EK178" s="17">
        <f>EJ178*VLOOKUP('Données projet'!$B$15,Paramètres!$A$1:$I$89,3,0)*VLOOKUP('Données projet'!$B$15,Paramètres!$A$1:$I$89,5,0)</f>
        <v>2.2168933355715127E-14</v>
      </c>
      <c r="EL178" s="13">
        <f t="shared" si="179"/>
        <v>3.9687356123668477E-13</v>
      </c>
      <c r="EM178" s="20">
        <f t="shared" si="180"/>
        <v>7.2983234474842979E-13</v>
      </c>
      <c r="EN178" s="59">
        <f t="shared" si="128"/>
        <v>293.33333333333405</v>
      </c>
      <c r="EO178" s="59">
        <f ca="1">AVERAGE(OFFSET($EN$3,0,0,'Données projet'!$E$15+1,1))-AVERAGE(OFFSET($H$3,0,0,'Données projet'!$E$15+1,1))</f>
        <v>104.07220236158577</v>
      </c>
      <c r="EP178" s="59">
        <f t="shared" si="154"/>
        <v>34.162068257911756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>
        <f>EXP(-LN(2)/35)*EV177+(1-EXP(-LN(2)/35))/(LN(2)/35)*ER178*ES178*VLOOKUP('Données projet'!$B$15,Paramètres!$A$1:$I$89,3,0)*0.475*44/12</f>
        <v>0</v>
      </c>
      <c r="EW178" s="21">
        <f>EXP(-LN(2)/25)*EW177+(1-EXP(-LN(2)/25))/(LN(2)/25)*Calculateur!ER178*Calculateur!ET178*VLOOKUP('Données projet'!$B$15,Paramètres!$A$1:$I$89,3,0)*0.475*44/12</f>
        <v>0</v>
      </c>
      <c r="EX178" s="21">
        <f>EXP(-LN(2)/2)*EX177+(1-EXP(-LN(2)/2))/(LN(2)/2)*ER178*EU178*VLOOKUP('Données projet'!$B$15,Paramètres!$A$1:$I$89,3,0)*0.475*44/12</f>
        <v>0</v>
      </c>
      <c r="EY178" s="22">
        <f t="shared" si="181"/>
        <v>0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5.6843418860808015E-14</v>
      </c>
      <c r="FF178" s="17">
        <f>FE178*VLOOKUP('Données projet'!$B$16,Paramètres!$A$1:$I$89,3,0)*VLOOKUP('Données projet'!$B$16,Paramètres!$A$1:$I$89,5,0)</f>
        <v>5.1431925385259088E-14</v>
      </c>
      <c r="FG178" s="13">
        <f t="shared" si="182"/>
        <v>8.3482866290946129E-13</v>
      </c>
      <c r="FH178" s="20">
        <f t="shared" si="183"/>
        <v>1.5435705246133045E-12</v>
      </c>
      <c r="FI178" s="59">
        <f t="shared" si="131"/>
        <v>293.33333333333485</v>
      </c>
      <c r="FJ178" s="59">
        <f ca="1">AVERAGE(OFFSET($FI$3,0,0,'Données projet'!$E$16+1,1))-AVERAGE(OFFSET($H$3,0,0,'Données projet'!$E$16+1,1))</f>
        <v>179.50097986986123</v>
      </c>
      <c r="FK178" s="59">
        <f t="shared" si="156"/>
        <v>287.11838730637578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>
        <f>EXP(-LN(2)/35)*FQ177+(1-EXP(-LN(2)/35))/(LN(2)/35)*FM178*FN178*VLOOKUP('Données projet'!$B$16,Paramètres!$A$1:$I$89,3,0)*0.475*44/12</f>
        <v>3.5287861349178488E-2</v>
      </c>
      <c r="FR178" s="21">
        <f>EXP(-LN(2)/25)*FR177+(1-EXP(-LN(2)/25))/(LN(2)/25)*Calculateur!FM178*Calculateur!FO178*VLOOKUP('Données projet'!$B$16,Paramètres!$A$1:$I$89,3,0)*0.475*44/12</f>
        <v>0.11296073296722883</v>
      </c>
      <c r="FS178" s="21">
        <f>EXP(-LN(2)/2)*FS177+(1-EXP(-LN(2)/2))/(LN(2)/2)*FM178*FP178*VLOOKUP('Données projet'!$B$16,Paramètres!$A$1:$I$89,3,0)*0.475*44/12</f>
        <v>6.7692449063541595E-22</v>
      </c>
      <c r="FT178" s="22">
        <f t="shared" si="184"/>
        <v>0.14824859431640733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5.6843418860808015E-14</v>
      </c>
      <c r="GA178" s="17">
        <f>FZ178*VLOOKUP('Données projet'!$B$17,Paramètres!$A$1:$I$89,3,0)*VLOOKUP('Données projet'!$B$17,Paramètres!$A$1:$I$89,5,0)</f>
        <v>3.3992364478763198E-14</v>
      </c>
      <c r="GB178" s="13">
        <f t="shared" si="185"/>
        <v>5.790027782444094E-13</v>
      </c>
      <c r="GC178" s="20">
        <f t="shared" si="186"/>
        <v>1.0676332069095257E-12</v>
      </c>
      <c r="GD178" s="59">
        <f t="shared" si="134"/>
        <v>293.33333333333439</v>
      </c>
      <c r="GE178" s="59">
        <f ca="1">AVERAGE(OFFSET($GD$3,0,0,'Données projet'!$E$17+1,1))-AVERAGE(OFFSET($H$3,0,0,'Données projet'!$E$17+1,1))</f>
        <v>165.39579887388538</v>
      </c>
      <c r="GF178" s="59">
        <f t="shared" si="158"/>
        <v>155.89639262545802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>
        <f>EXP(-LN(2)/35)*GL177+(1-EXP(-LN(2)/35))/(LN(2)/35)*GH178*GI178*VLOOKUP('Données projet'!$B$17,Paramètres!$A$1:$I$89,3,0)*0.475*44/12</f>
        <v>0</v>
      </c>
      <c r="GM178" s="21">
        <f>EXP(-LN(2)/25)*GM177+(1-EXP(-LN(2)/25))/(LN(2)/25)*Calculateur!GH178*Calculateur!GJ178*VLOOKUP('Données projet'!$B$17,Paramètres!$A$1:$I$89,3,0)*0.475*44/12</f>
        <v>0.13083037380887</v>
      </c>
      <c r="GN178" s="21">
        <f>EXP(-LN(2)/2)*GN177+(1-EXP(-LN(2)/2))/(LN(2)/2)*GH178*GK178*VLOOKUP('Données projet'!$B$17,Paramètres!$A$1:$I$89,3,0)*0.475*44/12</f>
        <v>2.0783366617561967E-21</v>
      </c>
      <c r="GO178" s="21">
        <f t="shared" si="187"/>
        <v>0.13083037380887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3.4106051316484809E-13</v>
      </c>
      <c r="O179" s="13">
        <f>N179*VLOOKUP('Données projet'!$B$9,Paramètres!$A$1:$I$89,3,0)*VLOOKUP('Données projet'!$B$9,Paramètres!$A$1:$I$89,5,0)</f>
        <v>1.9065282685915009E-13</v>
      </c>
      <c r="P179" s="13">
        <f t="shared" si="141"/>
        <v>2.6568987209435707E-12</v>
      </c>
      <c r="Q179" s="20">
        <f t="shared" si="162"/>
        <v>4.959485612423072E-12</v>
      </c>
      <c r="R179" s="59">
        <f t="shared" si="109"/>
        <v>293.33333333333826</v>
      </c>
      <c r="S179" s="59">
        <f ca="1">AVERAGE(OFFSET($R$3,0,0,'Données projet'!$E$9+1,1))-AVERAGE(OFFSET($H$3,0,0,'Données projet'!$E$9+1,1))</f>
        <v>235.10258076192054</v>
      </c>
      <c r="T179" s="59">
        <f t="shared" si="142"/>
        <v>233.47316052603765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0.19013278739392167</v>
      </c>
      <c r="AA179" s="21">
        <f>EXP(-LN(2)/25)*AA178+(1-EXP(-LN(2)/25))/(LN(2)/25)*Calculateur!V179*Calculateur!X179*VLOOKUP('Données projet'!$B$9,Paramètres!$A$1:$I$89,3,0)*0.475*44/12</f>
        <v>0.32182905484300384</v>
      </c>
      <c r="AB179" s="21">
        <f>EXP(-LN(2)/2)*AB178+(1-EXP(-LN(2)/2))/(LN(2)/2)*V179*Y179*VLOOKUP('Données projet'!$B$9,Paramètres!$A$1:$I$89,3,0)*0.475*44/12</f>
        <v>2.5540247469325595E-21</v>
      </c>
      <c r="AC179" s="22">
        <f t="shared" si="163"/>
        <v>0.51196184223692554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-8.5265128291212022E-14</v>
      </c>
      <c r="AJ179" s="13">
        <f>AI179*VLOOKUP('Données projet'!$B$10,Paramètres!$A$1:$I$89,3,0)*VLOOKUP('Données projet'!$B$10,Paramètres!$A$1:$I$89,5,0)</f>
        <v>-7.4487616075202836E-14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191.94797389630673</v>
      </c>
      <c r="AO179" s="59">
        <f t="shared" si="144"/>
        <v>273.52540822767878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0.14288767052634108</v>
      </c>
      <c r="AV179" s="21">
        <f>EXP(-LN(2)/25)*AV178+(1-EXP(-LN(2)/25))/(LN(2)/25)*Calculateur!AQ179*Calculateur!AS179*VLOOKUP('Données projet'!$B$10,Paramètres!$A$1:$I$89,3,0)*0.475*44/12</f>
        <v>0.24524716375066233</v>
      </c>
      <c r="AW179" s="21">
        <f>EXP(-LN(2)/2)*AW178+(1-EXP(-LN(2)/2))/(LN(2)/2)*AQ179*AT179*VLOOKUP('Données projet'!$B$10,Paramètres!$A$1:$I$89,3,0)*0.475*44/12</f>
        <v>2.4567198462718152E-21</v>
      </c>
      <c r="AX179" s="21">
        <f t="shared" si="166"/>
        <v>0.3881348342770034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2.8421709430404007E-14</v>
      </c>
      <c r="BE179" s="13">
        <f>BD179*VLOOKUP('Données projet'!$B$11,Paramètres!$A$1:$I$89,3,0)*VLOOKUP('Données projet'!$B$11,Paramètres!$A$1:$I$89,5,0)</f>
        <v>2.5715962692629544E-14</v>
      </c>
      <c r="BF179" s="13">
        <f t="shared" si="167"/>
        <v>4.5248818890525812E-13</v>
      </c>
      <c r="BG179" s="20">
        <f t="shared" si="168"/>
        <v>8.3287223069965432E-13</v>
      </c>
      <c r="BH179" s="59">
        <f t="shared" si="116"/>
        <v>293.33333333333417</v>
      </c>
      <c r="BI179" s="59">
        <f ca="1">AVERAGE(OFFSET($BH$3,0,0,'Données projet'!$E$11+1,1))-AVERAGE(OFFSET($H$3,0,0,'Données projet'!$E$11+1,1))</f>
        <v>138.8931001150624</v>
      </c>
      <c r="BJ179" s="59">
        <f t="shared" si="146"/>
        <v>48.964659354096625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2.8421709430404007E-14</v>
      </c>
      <c r="BZ179" s="13">
        <f>BY179*VLOOKUP('Données projet'!$B$12,Paramètres!$A$1:$I$89,3,0)*VLOOKUP('Données projet'!$B$12,Paramètres!$A$1:$I$89,5,0)</f>
        <v>2.8819613362429664E-14</v>
      </c>
      <c r="CA179" s="13">
        <f t="shared" si="170"/>
        <v>5.0041752926933358E-13</v>
      </c>
      <c r="CB179" s="20">
        <f t="shared" si="171"/>
        <v>9.2175469008365428E-13</v>
      </c>
      <c r="CC179" s="59">
        <f t="shared" si="119"/>
        <v>293.33333333333422</v>
      </c>
      <c r="CD179" s="59">
        <f ca="1">AVERAGE(OFFSET($CC$3,0,0,'Données projet'!$E$12+1,1))-AVERAGE(OFFSET($H$3,0,0,'Données projet'!$E$12+1,1))</f>
        <v>169.2757878405003</v>
      </c>
      <c r="CE179" s="59">
        <f t="shared" si="148"/>
        <v>61.876502626609977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-8.5265128291212022E-14</v>
      </c>
      <c r="CU179" s="17">
        <f>CT179*VLOOKUP('Données projet'!$B$13,Paramètres!$A$1:$I$89,3,0)*VLOOKUP('Données projet'!$B$13,Paramètres!$A$1:$I$89,5,0)</f>
        <v>-6.7836936068488286E-14</v>
      </c>
      <c r="CV179" s="13" t="e">
        <f t="shared" si="173"/>
        <v>#NUM!</v>
      </c>
      <c r="CW179" s="20" t="e">
        <f t="shared" si="174"/>
        <v>#NUM!</v>
      </c>
      <c r="CX179" s="59" t="e">
        <f t="shared" si="122"/>
        <v>#NUM!</v>
      </c>
      <c r="CY179" s="59">
        <f ca="1">AVERAGE(OFFSET($CX$3,0,0,'Données projet'!$E$13+1,1))-AVERAGE(OFFSET($H$3,0,0,'Données projet'!$E$13+1,1))</f>
        <v>141.12810728817544</v>
      </c>
      <c r="CZ179" s="59">
        <f t="shared" si="150"/>
        <v>176.01405805137551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>
        <f>EXP(-LN(2)/35)*DF178+(1-EXP(-LN(2)/35))/(LN(2)/35)*DB179*DC179*VLOOKUP('Données projet'!$B$13,Paramètres!$A$1:$I$89,3,0)*0.475*44/12</f>
        <v>0</v>
      </c>
      <c r="DG179" s="21">
        <f>EXP(-LN(2)/25)*DG178+(1-EXP(-LN(2)/25))/(LN(2)/25)*Calculateur!DB179*Calculateur!DD179*VLOOKUP('Données projet'!$B$13,Paramètres!$A$1:$I$89,3,0)*0.475*44/12</f>
        <v>0.11736009991072172</v>
      </c>
      <c r="DH179" s="21">
        <f>EXP(-LN(2)/2)*DH178+(1-EXP(-LN(2)/2))/(LN(2)/2)*DB179*DE179*VLOOKUP('Données projet'!$B$13,Paramètres!$A$1:$I$89,3,0)*0.475*44/12</f>
        <v>8.4758266510231182E-22</v>
      </c>
      <c r="DI179" s="22">
        <f t="shared" si="175"/>
        <v>0.11736009991072172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5.6843418860808015E-14</v>
      </c>
      <c r="DP179" s="17">
        <f>DO179*VLOOKUP('Données projet'!$B$14,Paramètres!$A$1:$I$89,3,0)*VLOOKUP('Données projet'!$B$14,Paramètres!$A$1:$I$89,5,0)</f>
        <v>3.3992364478763198E-14</v>
      </c>
      <c r="DQ179" s="13">
        <f t="shared" si="176"/>
        <v>5.790027782444094E-13</v>
      </c>
      <c r="DR179" s="20">
        <f t="shared" si="177"/>
        <v>1.0676332069095257E-12</v>
      </c>
      <c r="DS179" s="59">
        <f t="shared" si="125"/>
        <v>293.33333333333439</v>
      </c>
      <c r="DT179" s="59">
        <f ca="1">AVERAGE(OFFSET($DS$3,0,0,'Données projet'!$E$14+1,1))-AVERAGE(OFFSET($H$3,0,0,'Données projet'!$E$14+1,1))</f>
        <v>165.39579887388538</v>
      </c>
      <c r="DU179" s="59">
        <f t="shared" si="152"/>
        <v>155.89639262545802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>
        <f>EXP(-LN(2)/35)*EA178+(1-EXP(-LN(2)/35))/(LN(2)/35)*DW179*DX179*VLOOKUP('Données projet'!$B$14,Paramètres!$A$1:$I$89,3,0)*0.475*44/12</f>
        <v>0</v>
      </c>
      <c r="EB179" s="21">
        <f>EXP(-LN(2)/25)*EB178+(1-EXP(-LN(2)/25))/(LN(2)/25)*Calculateur!DW179*Calculateur!DY179*VLOOKUP('Données projet'!$B$14,Paramètres!$A$1:$I$89,3,0)*0.475*44/12</f>
        <v>0.12725281035699609</v>
      </c>
      <c r="EC179" s="21">
        <f>EXP(-LN(2)/2)*EC178+(1-EXP(-LN(2)/2))/(LN(2)/2)*DW179*DZ179*VLOOKUP('Données projet'!$B$14,Paramètres!$A$1:$I$89,3,0)*0.475*44/12</f>
        <v>1.4696059471164187E-21</v>
      </c>
      <c r="ED179" s="22">
        <f t="shared" si="178"/>
        <v>0.12725281035699609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2.8421709430404007E-14</v>
      </c>
      <c r="EK179" s="17">
        <f>EJ179*VLOOKUP('Données projet'!$B$15,Paramètres!$A$1:$I$89,3,0)*VLOOKUP('Données projet'!$B$15,Paramètres!$A$1:$I$89,5,0)</f>
        <v>2.2168933355715127E-14</v>
      </c>
      <c r="EL179" s="13">
        <f t="shared" si="179"/>
        <v>3.9687356123668477E-13</v>
      </c>
      <c r="EM179" s="20">
        <f t="shared" si="180"/>
        <v>7.2983234474842979E-13</v>
      </c>
      <c r="EN179" s="59">
        <f t="shared" si="128"/>
        <v>293.33333333333405</v>
      </c>
      <c r="EO179" s="59">
        <f ca="1">AVERAGE(OFFSET($EN$3,0,0,'Données projet'!$E$15+1,1))-AVERAGE(OFFSET($H$3,0,0,'Données projet'!$E$15+1,1))</f>
        <v>104.07220236158577</v>
      </c>
      <c r="EP179" s="59">
        <f t="shared" si="154"/>
        <v>34.162068257911756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>
        <f>EXP(-LN(2)/35)*EV178+(1-EXP(-LN(2)/35))/(LN(2)/35)*ER179*ES179*VLOOKUP('Données projet'!$B$15,Paramètres!$A$1:$I$89,3,0)*0.475*44/12</f>
        <v>0</v>
      </c>
      <c r="EW179" s="21">
        <f>EXP(-LN(2)/25)*EW178+(1-EXP(-LN(2)/25))/(LN(2)/25)*Calculateur!ER179*Calculateur!ET179*VLOOKUP('Données projet'!$B$15,Paramètres!$A$1:$I$89,3,0)*0.475*44/12</f>
        <v>0</v>
      </c>
      <c r="EX179" s="21">
        <f>EXP(-LN(2)/2)*EX178+(1-EXP(-LN(2)/2))/(LN(2)/2)*ER179*EU179*VLOOKUP('Données projet'!$B$15,Paramètres!$A$1:$I$89,3,0)*0.475*44/12</f>
        <v>0</v>
      </c>
      <c r="EY179" s="22">
        <f t="shared" si="181"/>
        <v>0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5.6843418860808015E-14</v>
      </c>
      <c r="FF179" s="17">
        <f>FE179*VLOOKUP('Données projet'!$B$16,Paramètres!$A$1:$I$89,3,0)*VLOOKUP('Données projet'!$B$16,Paramètres!$A$1:$I$89,5,0)</f>
        <v>5.1431925385259088E-14</v>
      </c>
      <c r="FG179" s="13">
        <f t="shared" si="182"/>
        <v>8.3482866290946129E-13</v>
      </c>
      <c r="FH179" s="20">
        <f t="shared" si="183"/>
        <v>1.5435705246133045E-12</v>
      </c>
      <c r="FI179" s="59">
        <f t="shared" si="131"/>
        <v>293.33333333333485</v>
      </c>
      <c r="FJ179" s="59">
        <f ca="1">AVERAGE(OFFSET($FI$3,0,0,'Données projet'!$E$16+1,1))-AVERAGE(OFFSET($H$3,0,0,'Données projet'!$E$16+1,1))</f>
        <v>179.50097986986123</v>
      </c>
      <c r="FK179" s="59">
        <f t="shared" si="156"/>
        <v>287.11838730637578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>
        <f>EXP(-LN(2)/35)*FQ178+(1-EXP(-LN(2)/35))/(LN(2)/35)*FM179*FN179*VLOOKUP('Données projet'!$B$16,Paramètres!$A$1:$I$89,3,0)*0.475*44/12</f>
        <v>3.4595887911591253E-2</v>
      </c>
      <c r="FR179" s="21">
        <f>EXP(-LN(2)/25)*FR178+(1-EXP(-LN(2)/25))/(LN(2)/25)*Calculateur!FM179*Calculateur!FO179*VLOOKUP('Données projet'!$B$16,Paramètres!$A$1:$I$89,3,0)*0.475*44/12</f>
        <v>0.10987181578389318</v>
      </c>
      <c r="FS179" s="21">
        <f>EXP(-LN(2)/2)*FS178+(1-EXP(-LN(2)/2))/(LN(2)/2)*FM179*FP179*VLOOKUP('Données projet'!$B$16,Paramètres!$A$1:$I$89,3,0)*0.475*44/12</f>
        <v>4.786578976795522E-22</v>
      </c>
      <c r="FT179" s="22">
        <f t="shared" si="184"/>
        <v>0.14446770369548445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5.6843418860808015E-14</v>
      </c>
      <c r="GA179" s="17">
        <f>FZ179*VLOOKUP('Données projet'!$B$17,Paramètres!$A$1:$I$89,3,0)*VLOOKUP('Données projet'!$B$17,Paramètres!$A$1:$I$89,5,0)</f>
        <v>3.3992364478763198E-14</v>
      </c>
      <c r="GB179" s="13">
        <f t="shared" si="185"/>
        <v>5.790027782444094E-13</v>
      </c>
      <c r="GC179" s="20">
        <f t="shared" si="186"/>
        <v>1.0676332069095257E-12</v>
      </c>
      <c r="GD179" s="59">
        <f t="shared" si="134"/>
        <v>293.33333333333439</v>
      </c>
      <c r="GE179" s="59">
        <f ca="1">AVERAGE(OFFSET($GD$3,0,0,'Données projet'!$E$17+1,1))-AVERAGE(OFFSET($H$3,0,0,'Données projet'!$E$17+1,1))</f>
        <v>165.39579887388538</v>
      </c>
      <c r="GF179" s="59">
        <f t="shared" si="158"/>
        <v>155.89639262545802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>
        <f>EXP(-LN(2)/35)*GL178+(1-EXP(-LN(2)/35))/(LN(2)/35)*GH179*GI179*VLOOKUP('Données projet'!$B$17,Paramètres!$A$1:$I$89,3,0)*0.475*44/12</f>
        <v>0</v>
      </c>
      <c r="GM179" s="21">
        <f>EXP(-LN(2)/25)*GM178+(1-EXP(-LN(2)/25))/(LN(2)/25)*Calculateur!GH179*Calculateur!GJ179*VLOOKUP('Données projet'!$B$17,Paramètres!$A$1:$I$89,3,0)*0.475*44/12</f>
        <v>0.12725281035699609</v>
      </c>
      <c r="GN179" s="21">
        <f>EXP(-LN(2)/2)*GN178+(1-EXP(-LN(2)/2))/(LN(2)/2)*GH179*GK179*VLOOKUP('Données projet'!$B$17,Paramètres!$A$1:$I$89,3,0)*0.475*44/12</f>
        <v>1.4696059471164187E-21</v>
      </c>
      <c r="GO179" s="21">
        <f t="shared" si="187"/>
        <v>0.12725281035699609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3.4106051316484809E-13</v>
      </c>
      <c r="O180" s="13">
        <f>N180*VLOOKUP('Données projet'!$B$9,Paramètres!$A$1:$I$89,3,0)*VLOOKUP('Données projet'!$B$9,Paramètres!$A$1:$I$89,5,0)</f>
        <v>1.9065282685915009E-13</v>
      </c>
      <c r="P180" s="13">
        <f t="shared" si="141"/>
        <v>2.6568987209435707E-12</v>
      </c>
      <c r="Q180" s="20">
        <f t="shared" si="162"/>
        <v>4.959485612423072E-12</v>
      </c>
      <c r="R180" s="59">
        <f t="shared" si="109"/>
        <v>293.33333333333826</v>
      </c>
      <c r="S180" s="59">
        <f ca="1">AVERAGE(OFFSET($R$3,0,0,'Données projet'!$E$9+1,1))-AVERAGE(OFFSET($H$3,0,0,'Données projet'!$E$9+1,1))</f>
        <v>235.10258076192054</v>
      </c>
      <c r="T180" s="59">
        <f t="shared" si="142"/>
        <v>233.47316052603765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0.18640439940267614</v>
      </c>
      <c r="AA180" s="21">
        <f>EXP(-LN(2)/25)*AA179+(1-EXP(-LN(2)/25))/(LN(2)/25)*Calculateur!V180*Calculateur!X180*VLOOKUP('Données projet'!$B$9,Paramètres!$A$1:$I$89,3,0)*0.475*44/12</f>
        <v>0.31302862241406743</v>
      </c>
      <c r="AB180" s="21">
        <f>EXP(-LN(2)/2)*AB179+(1-EXP(-LN(2)/2))/(LN(2)/2)*V180*Y180*VLOOKUP('Données projet'!$B$9,Paramètres!$A$1:$I$89,3,0)*0.475*44/12</f>
        <v>1.8059682178742687E-21</v>
      </c>
      <c r="AC180" s="22">
        <f t="shared" si="163"/>
        <v>0.49943302181674354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-8.5265128291212022E-14</v>
      </c>
      <c r="AJ180" s="13">
        <f>AI180*VLOOKUP('Données projet'!$B$10,Paramètres!$A$1:$I$89,3,0)*VLOOKUP('Données projet'!$B$10,Paramètres!$A$1:$I$89,5,0)</f>
        <v>-7.4487616075202836E-14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191.94797389630673</v>
      </c>
      <c r="AO180" s="59">
        <f t="shared" si="144"/>
        <v>273.52540822767878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0.14008573046019293</v>
      </c>
      <c r="AV180" s="21">
        <f>EXP(-LN(2)/25)*AV179+(1-EXP(-LN(2)/25))/(LN(2)/25)*Calculateur!AQ180*Calculateur!AS180*VLOOKUP('Données projet'!$B$10,Paramètres!$A$1:$I$89,3,0)*0.475*44/12</f>
        <v>0.23854086716091263</v>
      </c>
      <c r="AW180" s="21">
        <f>EXP(-LN(2)/2)*AW179+(1-EXP(-LN(2)/2))/(LN(2)/2)*AQ180*AT180*VLOOKUP('Données projet'!$B$10,Paramètres!$A$1:$I$89,3,0)*0.475*44/12</f>
        <v>1.737163262774373E-21</v>
      </c>
      <c r="AX180" s="21">
        <f t="shared" si="166"/>
        <v>0.37862659762110557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2.8421709430404007E-14</v>
      </c>
      <c r="BE180" s="13">
        <f>BD180*VLOOKUP('Données projet'!$B$11,Paramètres!$A$1:$I$89,3,0)*VLOOKUP('Données projet'!$B$11,Paramètres!$A$1:$I$89,5,0)</f>
        <v>2.5715962692629544E-14</v>
      </c>
      <c r="BF180" s="13">
        <f t="shared" si="167"/>
        <v>4.5248818890525812E-13</v>
      </c>
      <c r="BG180" s="20">
        <f t="shared" si="168"/>
        <v>8.3287223069965432E-13</v>
      </c>
      <c r="BH180" s="59">
        <f t="shared" si="116"/>
        <v>293.33333333333417</v>
      </c>
      <c r="BI180" s="59">
        <f ca="1">AVERAGE(OFFSET($BH$3,0,0,'Données projet'!$E$11+1,1))-AVERAGE(OFFSET($H$3,0,0,'Données projet'!$E$11+1,1))</f>
        <v>138.8931001150624</v>
      </c>
      <c r="BJ180" s="59">
        <f t="shared" si="146"/>
        <v>48.964659354096625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2.8421709430404007E-14</v>
      </c>
      <c r="BZ180" s="13">
        <f>BY180*VLOOKUP('Données projet'!$B$12,Paramètres!$A$1:$I$89,3,0)*VLOOKUP('Données projet'!$B$12,Paramètres!$A$1:$I$89,5,0)</f>
        <v>2.8819613362429664E-14</v>
      </c>
      <c r="CA180" s="13">
        <f t="shared" si="170"/>
        <v>5.0041752926933358E-13</v>
      </c>
      <c r="CB180" s="20">
        <f t="shared" si="171"/>
        <v>9.2175469008365428E-13</v>
      </c>
      <c r="CC180" s="59">
        <f t="shared" si="119"/>
        <v>293.33333333333422</v>
      </c>
      <c r="CD180" s="59">
        <f ca="1">AVERAGE(OFFSET($CC$3,0,0,'Données projet'!$E$12+1,1))-AVERAGE(OFFSET($H$3,0,0,'Données projet'!$E$12+1,1))</f>
        <v>169.2757878405003</v>
      </c>
      <c r="CE180" s="59">
        <f t="shared" si="148"/>
        <v>61.876502626609977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-8.5265128291212022E-14</v>
      </c>
      <c r="CU180" s="17">
        <f>CT180*VLOOKUP('Données projet'!$B$13,Paramètres!$A$1:$I$89,3,0)*VLOOKUP('Données projet'!$B$13,Paramètres!$A$1:$I$89,5,0)</f>
        <v>-6.7836936068488286E-14</v>
      </c>
      <c r="CV180" s="13" t="e">
        <f t="shared" si="173"/>
        <v>#NUM!</v>
      </c>
      <c r="CW180" s="20" t="e">
        <f t="shared" si="174"/>
        <v>#NUM!</v>
      </c>
      <c r="CX180" s="59" t="e">
        <f t="shared" si="122"/>
        <v>#NUM!</v>
      </c>
      <c r="CY180" s="59">
        <f ca="1">AVERAGE(OFFSET($CX$3,0,0,'Données projet'!$E$13+1,1))-AVERAGE(OFFSET($H$3,0,0,'Données projet'!$E$13+1,1))</f>
        <v>141.12810728817544</v>
      </c>
      <c r="CZ180" s="59">
        <f t="shared" si="150"/>
        <v>176.01405805137551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>
        <f>EXP(-LN(2)/35)*DF179+(1-EXP(-LN(2)/35))/(LN(2)/35)*DB180*DC180*VLOOKUP('Données projet'!$B$13,Paramètres!$A$1:$I$89,3,0)*0.475*44/12</f>
        <v>0</v>
      </c>
      <c r="DG180" s="21">
        <f>EXP(-LN(2)/25)*DG179+(1-EXP(-LN(2)/25))/(LN(2)/25)*Calculateur!DB180*Calculateur!DD180*VLOOKUP('Données projet'!$B$13,Paramètres!$A$1:$I$89,3,0)*0.475*44/12</f>
        <v>0.1141508818069636</v>
      </c>
      <c r="DH180" s="21">
        <f>EXP(-LN(2)/2)*DH179+(1-EXP(-LN(2)/2))/(LN(2)/2)*DB180*DE180*VLOOKUP('Données projet'!$B$13,Paramètres!$A$1:$I$89,3,0)*0.475*44/12</f>
        <v>5.9933145011001121E-22</v>
      </c>
      <c r="DI180" s="22">
        <f t="shared" si="175"/>
        <v>0.1141508818069636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5.6843418860808015E-14</v>
      </c>
      <c r="DP180" s="17">
        <f>DO180*VLOOKUP('Données projet'!$B$14,Paramètres!$A$1:$I$89,3,0)*VLOOKUP('Données projet'!$B$14,Paramètres!$A$1:$I$89,5,0)</f>
        <v>3.3992364478763198E-14</v>
      </c>
      <c r="DQ180" s="13">
        <f t="shared" si="176"/>
        <v>5.790027782444094E-13</v>
      </c>
      <c r="DR180" s="20">
        <f t="shared" si="177"/>
        <v>1.0676332069095257E-12</v>
      </c>
      <c r="DS180" s="59">
        <f t="shared" si="125"/>
        <v>293.33333333333439</v>
      </c>
      <c r="DT180" s="59">
        <f ca="1">AVERAGE(OFFSET($DS$3,0,0,'Données projet'!$E$14+1,1))-AVERAGE(OFFSET($H$3,0,0,'Données projet'!$E$14+1,1))</f>
        <v>165.39579887388538</v>
      </c>
      <c r="DU180" s="59">
        <f t="shared" si="152"/>
        <v>155.89639262545802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>
        <f>EXP(-LN(2)/35)*EA179+(1-EXP(-LN(2)/35))/(LN(2)/35)*DW180*DX180*VLOOKUP('Données projet'!$B$14,Paramètres!$A$1:$I$89,3,0)*0.475*44/12</f>
        <v>0</v>
      </c>
      <c r="EB180" s="21">
        <f>EXP(-LN(2)/25)*EB179+(1-EXP(-LN(2)/25))/(LN(2)/25)*Calculateur!DW180*Calculateur!DY180*VLOOKUP('Données projet'!$B$14,Paramètres!$A$1:$I$89,3,0)*0.475*44/12</f>
        <v>0.12377307556584957</v>
      </c>
      <c r="EC180" s="21">
        <f>EXP(-LN(2)/2)*EC179+(1-EXP(-LN(2)/2))/(LN(2)/2)*DW180*DZ180*VLOOKUP('Données projet'!$B$14,Paramètres!$A$1:$I$89,3,0)*0.475*44/12</f>
        <v>1.0391683308780984E-21</v>
      </c>
      <c r="ED180" s="22">
        <f t="shared" si="178"/>
        <v>0.12377307556584957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2.8421709430404007E-14</v>
      </c>
      <c r="EK180" s="17">
        <f>EJ180*VLOOKUP('Données projet'!$B$15,Paramètres!$A$1:$I$89,3,0)*VLOOKUP('Données projet'!$B$15,Paramètres!$A$1:$I$89,5,0)</f>
        <v>2.2168933355715127E-14</v>
      </c>
      <c r="EL180" s="13">
        <f t="shared" si="179"/>
        <v>3.9687356123668477E-13</v>
      </c>
      <c r="EM180" s="20">
        <f t="shared" si="180"/>
        <v>7.2983234474842979E-13</v>
      </c>
      <c r="EN180" s="59">
        <f t="shared" si="128"/>
        <v>293.33333333333405</v>
      </c>
      <c r="EO180" s="59">
        <f ca="1">AVERAGE(OFFSET($EN$3,0,0,'Données projet'!$E$15+1,1))-AVERAGE(OFFSET($H$3,0,0,'Données projet'!$E$15+1,1))</f>
        <v>104.07220236158577</v>
      </c>
      <c r="EP180" s="59">
        <f t="shared" si="154"/>
        <v>34.162068257911756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>
        <f>EXP(-LN(2)/35)*EV179+(1-EXP(-LN(2)/35))/(LN(2)/35)*ER180*ES180*VLOOKUP('Données projet'!$B$15,Paramètres!$A$1:$I$89,3,0)*0.475*44/12</f>
        <v>0</v>
      </c>
      <c r="EW180" s="21">
        <f>EXP(-LN(2)/25)*EW179+(1-EXP(-LN(2)/25))/(LN(2)/25)*Calculateur!ER180*Calculateur!ET180*VLOOKUP('Données projet'!$B$15,Paramètres!$A$1:$I$89,3,0)*0.475*44/12</f>
        <v>0</v>
      </c>
      <c r="EX180" s="21">
        <f>EXP(-LN(2)/2)*EX179+(1-EXP(-LN(2)/2))/(LN(2)/2)*ER180*EU180*VLOOKUP('Données projet'!$B$15,Paramètres!$A$1:$I$89,3,0)*0.475*44/12</f>
        <v>0</v>
      </c>
      <c r="EY180" s="22">
        <f t="shared" si="181"/>
        <v>0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5.6843418860808015E-14</v>
      </c>
      <c r="FF180" s="17">
        <f>FE180*VLOOKUP('Données projet'!$B$16,Paramètres!$A$1:$I$89,3,0)*VLOOKUP('Données projet'!$B$16,Paramètres!$A$1:$I$89,5,0)</f>
        <v>5.1431925385259088E-14</v>
      </c>
      <c r="FG180" s="13">
        <f t="shared" si="182"/>
        <v>8.3482866290946129E-13</v>
      </c>
      <c r="FH180" s="20">
        <f t="shared" si="183"/>
        <v>1.5435705246133045E-12</v>
      </c>
      <c r="FI180" s="59">
        <f t="shared" si="131"/>
        <v>293.33333333333485</v>
      </c>
      <c r="FJ180" s="59">
        <f ca="1">AVERAGE(OFFSET($FI$3,0,0,'Données projet'!$E$16+1,1))-AVERAGE(OFFSET($H$3,0,0,'Données projet'!$E$16+1,1))</f>
        <v>179.50097986986123</v>
      </c>
      <c r="FK180" s="59">
        <f t="shared" si="156"/>
        <v>287.11838730637578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>
        <f>EXP(-LN(2)/35)*FQ179+(1-EXP(-LN(2)/35))/(LN(2)/35)*FM180*FN180*VLOOKUP('Données projet'!$B$16,Paramètres!$A$1:$I$89,3,0)*0.475*44/12</f>
        <v>3.3917483651052981E-2</v>
      </c>
      <c r="FR180" s="21">
        <f>EXP(-LN(2)/25)*FR179+(1-EXP(-LN(2)/25))/(LN(2)/25)*Calculateur!FM180*Calculateur!FO180*VLOOKUP('Données projet'!$B$16,Paramètres!$A$1:$I$89,3,0)*0.475*44/12</f>
        <v>0.10686736520337495</v>
      </c>
      <c r="FS180" s="21">
        <f>EXP(-LN(2)/2)*FS179+(1-EXP(-LN(2)/2))/(LN(2)/2)*FM180*FP180*VLOOKUP('Données projet'!$B$16,Paramètres!$A$1:$I$89,3,0)*0.475*44/12</f>
        <v>3.3846224531770798E-22</v>
      </c>
      <c r="FT180" s="22">
        <f t="shared" si="184"/>
        <v>0.14078484885442794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5.6843418860808015E-14</v>
      </c>
      <c r="GA180" s="17">
        <f>FZ180*VLOOKUP('Données projet'!$B$17,Paramètres!$A$1:$I$89,3,0)*VLOOKUP('Données projet'!$B$17,Paramètres!$A$1:$I$89,5,0)</f>
        <v>3.3992364478763198E-14</v>
      </c>
      <c r="GB180" s="13">
        <f t="shared" si="185"/>
        <v>5.790027782444094E-13</v>
      </c>
      <c r="GC180" s="20">
        <f t="shared" si="186"/>
        <v>1.0676332069095257E-12</v>
      </c>
      <c r="GD180" s="59">
        <f t="shared" si="134"/>
        <v>293.33333333333439</v>
      </c>
      <c r="GE180" s="59">
        <f ca="1">AVERAGE(OFFSET($GD$3,0,0,'Données projet'!$E$17+1,1))-AVERAGE(OFFSET($H$3,0,0,'Données projet'!$E$17+1,1))</f>
        <v>165.39579887388538</v>
      </c>
      <c r="GF180" s="59">
        <f t="shared" si="158"/>
        <v>155.89639262545802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>
        <f>EXP(-LN(2)/35)*GL179+(1-EXP(-LN(2)/35))/(LN(2)/35)*GH180*GI180*VLOOKUP('Données projet'!$B$17,Paramètres!$A$1:$I$89,3,0)*0.475*44/12</f>
        <v>0</v>
      </c>
      <c r="GM180" s="21">
        <f>EXP(-LN(2)/25)*GM179+(1-EXP(-LN(2)/25))/(LN(2)/25)*Calculateur!GH180*Calculateur!GJ180*VLOOKUP('Données projet'!$B$17,Paramètres!$A$1:$I$89,3,0)*0.475*44/12</f>
        <v>0.12377307556584957</v>
      </c>
      <c r="GN180" s="21">
        <f>EXP(-LN(2)/2)*GN179+(1-EXP(-LN(2)/2))/(LN(2)/2)*GH180*GK180*VLOOKUP('Données projet'!$B$17,Paramètres!$A$1:$I$89,3,0)*0.475*44/12</f>
        <v>1.0391683308780984E-21</v>
      </c>
      <c r="GO180" s="21">
        <f t="shared" si="187"/>
        <v>0.12377307556584957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3.4106051316484809E-13</v>
      </c>
      <c r="O181" s="13">
        <f>N181*VLOOKUP('Données projet'!$B$9,Paramètres!$A$1:$I$89,3,0)*VLOOKUP('Données projet'!$B$9,Paramètres!$A$1:$I$89,5,0)</f>
        <v>1.9065282685915009E-13</v>
      </c>
      <c r="P181" s="13">
        <f t="shared" si="141"/>
        <v>2.6568987209435707E-12</v>
      </c>
      <c r="Q181" s="20">
        <f t="shared" si="162"/>
        <v>4.959485612423072E-12</v>
      </c>
      <c r="R181" s="59">
        <f t="shared" si="109"/>
        <v>293.33333333333826</v>
      </c>
      <c r="S181" s="59">
        <f ca="1">AVERAGE(OFFSET($R$3,0,0,'Données projet'!$E$9+1,1))-AVERAGE(OFFSET($H$3,0,0,'Données projet'!$E$9+1,1))</f>
        <v>235.10258076192054</v>
      </c>
      <c r="T181" s="59">
        <f t="shared" si="142"/>
        <v>233.47316052603765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0.18274912282584679</v>
      </c>
      <c r="AA181" s="21">
        <f>EXP(-LN(2)/25)*AA180+(1-EXP(-LN(2)/25))/(LN(2)/25)*Calculateur!V181*Calculateur!X181*VLOOKUP('Données projet'!$B$9,Paramètres!$A$1:$I$89,3,0)*0.475*44/12</f>
        <v>0.30446883827269494</v>
      </c>
      <c r="AB181" s="21">
        <f>EXP(-LN(2)/2)*AB180+(1-EXP(-LN(2)/2))/(LN(2)/2)*V181*Y181*VLOOKUP('Données projet'!$B$9,Paramètres!$A$1:$I$89,3,0)*0.475*44/12</f>
        <v>1.2770123734662797E-21</v>
      </c>
      <c r="AC181" s="22">
        <f t="shared" si="163"/>
        <v>0.48721796109854176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-8.5265128291212022E-14</v>
      </c>
      <c r="AJ181" s="13">
        <f>AI181*VLOOKUP('Données projet'!$B$10,Paramètres!$A$1:$I$89,3,0)*VLOOKUP('Données projet'!$B$10,Paramètres!$A$1:$I$89,5,0)</f>
        <v>-7.4487616075202836E-14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191.94797389630673</v>
      </c>
      <c r="AO181" s="59">
        <f t="shared" si="144"/>
        <v>273.52540822767878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0.13733873472972724</v>
      </c>
      <c r="AV181" s="21">
        <f>EXP(-LN(2)/25)*AV180+(1-EXP(-LN(2)/25))/(LN(2)/25)*Calculateur!AQ181*Calculateur!AS181*VLOOKUP('Données projet'!$B$10,Paramètres!$A$1:$I$89,3,0)*0.475*44/12</f>
        <v>0.23201795460407848</v>
      </c>
      <c r="AW181" s="21">
        <f>EXP(-LN(2)/2)*AW180+(1-EXP(-LN(2)/2))/(LN(2)/2)*AQ181*AT181*VLOOKUP('Données projet'!$B$10,Paramètres!$A$1:$I$89,3,0)*0.475*44/12</f>
        <v>1.2283599231359076E-21</v>
      </c>
      <c r="AX181" s="21">
        <f t="shared" si="166"/>
        <v>0.36935668933380572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2.8421709430404007E-14</v>
      </c>
      <c r="BE181" s="13">
        <f>BD181*VLOOKUP('Données projet'!$B$11,Paramètres!$A$1:$I$89,3,0)*VLOOKUP('Données projet'!$B$11,Paramètres!$A$1:$I$89,5,0)</f>
        <v>2.5715962692629544E-14</v>
      </c>
      <c r="BF181" s="13">
        <f t="shared" si="167"/>
        <v>4.5248818890525812E-13</v>
      </c>
      <c r="BG181" s="20">
        <f t="shared" si="168"/>
        <v>8.3287223069965432E-13</v>
      </c>
      <c r="BH181" s="59">
        <f t="shared" si="116"/>
        <v>293.33333333333417</v>
      </c>
      <c r="BI181" s="59">
        <f ca="1">AVERAGE(OFFSET($BH$3,0,0,'Données projet'!$E$11+1,1))-AVERAGE(OFFSET($H$3,0,0,'Données projet'!$E$11+1,1))</f>
        <v>138.8931001150624</v>
      </c>
      <c r="BJ181" s="59">
        <f t="shared" si="146"/>
        <v>48.964659354096625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2.8421709430404007E-14</v>
      </c>
      <c r="BZ181" s="13">
        <f>BY181*VLOOKUP('Données projet'!$B$12,Paramètres!$A$1:$I$89,3,0)*VLOOKUP('Données projet'!$B$12,Paramètres!$A$1:$I$89,5,0)</f>
        <v>2.8819613362429664E-14</v>
      </c>
      <c r="CA181" s="13">
        <f t="shared" si="170"/>
        <v>5.0041752926933358E-13</v>
      </c>
      <c r="CB181" s="20">
        <f t="shared" si="171"/>
        <v>9.2175469008365428E-13</v>
      </c>
      <c r="CC181" s="59">
        <f t="shared" si="119"/>
        <v>293.33333333333422</v>
      </c>
      <c r="CD181" s="59">
        <f ca="1">AVERAGE(OFFSET($CC$3,0,0,'Données projet'!$E$12+1,1))-AVERAGE(OFFSET($H$3,0,0,'Données projet'!$E$12+1,1))</f>
        <v>169.2757878405003</v>
      </c>
      <c r="CE181" s="59">
        <f t="shared" si="148"/>
        <v>61.876502626609977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-8.5265128291212022E-14</v>
      </c>
      <c r="CU181" s="17">
        <f>CT181*VLOOKUP('Données projet'!$B$13,Paramètres!$A$1:$I$89,3,0)*VLOOKUP('Données projet'!$B$13,Paramètres!$A$1:$I$89,5,0)</f>
        <v>-6.7836936068488286E-14</v>
      </c>
      <c r="CV181" s="13" t="e">
        <f t="shared" si="173"/>
        <v>#NUM!</v>
      </c>
      <c r="CW181" s="20" t="e">
        <f t="shared" si="174"/>
        <v>#NUM!</v>
      </c>
      <c r="CX181" s="59" t="e">
        <f t="shared" si="122"/>
        <v>#NUM!</v>
      </c>
      <c r="CY181" s="59">
        <f ca="1">AVERAGE(OFFSET($CX$3,0,0,'Données projet'!$E$13+1,1))-AVERAGE(OFFSET($H$3,0,0,'Données projet'!$E$13+1,1))</f>
        <v>141.12810728817544</v>
      </c>
      <c r="CZ181" s="59">
        <f t="shared" si="150"/>
        <v>176.01405805137551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>
        <f>EXP(-LN(2)/35)*DF180+(1-EXP(-LN(2)/35))/(LN(2)/35)*DB181*DC181*VLOOKUP('Données projet'!$B$13,Paramètres!$A$1:$I$89,3,0)*0.475*44/12</f>
        <v>0</v>
      </c>
      <c r="DG181" s="21">
        <f>EXP(-LN(2)/25)*DG180+(1-EXP(-LN(2)/25))/(LN(2)/25)*Calculateur!DB181*Calculateur!DD181*VLOOKUP('Données projet'!$B$13,Paramètres!$A$1:$I$89,3,0)*0.475*44/12</f>
        <v>0.1110294199410182</v>
      </c>
      <c r="DH181" s="21">
        <f>EXP(-LN(2)/2)*DH180+(1-EXP(-LN(2)/2))/(LN(2)/2)*DB181*DE181*VLOOKUP('Données projet'!$B$13,Paramètres!$A$1:$I$89,3,0)*0.475*44/12</f>
        <v>4.2379133255115591E-22</v>
      </c>
      <c r="DI181" s="22">
        <f t="shared" si="175"/>
        <v>0.1110294199410182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5.6843418860808015E-14</v>
      </c>
      <c r="DP181" s="17">
        <f>DO181*VLOOKUP('Données projet'!$B$14,Paramètres!$A$1:$I$89,3,0)*VLOOKUP('Données projet'!$B$14,Paramètres!$A$1:$I$89,5,0)</f>
        <v>3.3992364478763198E-14</v>
      </c>
      <c r="DQ181" s="13">
        <f t="shared" si="176"/>
        <v>5.790027782444094E-13</v>
      </c>
      <c r="DR181" s="20">
        <f t="shared" si="177"/>
        <v>1.0676332069095257E-12</v>
      </c>
      <c r="DS181" s="59">
        <f t="shared" si="125"/>
        <v>293.33333333333439</v>
      </c>
      <c r="DT181" s="59">
        <f ca="1">AVERAGE(OFFSET($DS$3,0,0,'Données projet'!$E$14+1,1))-AVERAGE(OFFSET($H$3,0,0,'Données projet'!$E$14+1,1))</f>
        <v>165.39579887388538</v>
      </c>
      <c r="DU181" s="59">
        <f t="shared" si="152"/>
        <v>155.89639262545802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>
        <f>EXP(-LN(2)/35)*EA180+(1-EXP(-LN(2)/35))/(LN(2)/35)*DW181*DX181*VLOOKUP('Données projet'!$B$14,Paramètres!$A$1:$I$89,3,0)*0.475*44/12</f>
        <v>0</v>
      </c>
      <c r="EB181" s="21">
        <f>EXP(-LN(2)/25)*EB180+(1-EXP(-LN(2)/25))/(LN(2)/25)*Calculateur!DW181*Calculateur!DY181*VLOOKUP('Données projet'!$B$14,Paramètres!$A$1:$I$89,3,0)*0.475*44/12</f>
        <v>0.12038849430555826</v>
      </c>
      <c r="EC181" s="21">
        <f>EXP(-LN(2)/2)*EC180+(1-EXP(-LN(2)/2))/(LN(2)/2)*DW181*DZ181*VLOOKUP('Données projet'!$B$14,Paramètres!$A$1:$I$89,3,0)*0.475*44/12</f>
        <v>7.3480297355820933E-22</v>
      </c>
      <c r="ED181" s="22">
        <f t="shared" si="178"/>
        <v>0.12038849430555826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2.8421709430404007E-14</v>
      </c>
      <c r="EK181" s="17">
        <f>EJ181*VLOOKUP('Données projet'!$B$15,Paramètres!$A$1:$I$89,3,0)*VLOOKUP('Données projet'!$B$15,Paramètres!$A$1:$I$89,5,0)</f>
        <v>2.2168933355715127E-14</v>
      </c>
      <c r="EL181" s="13">
        <f t="shared" si="179"/>
        <v>3.9687356123668477E-13</v>
      </c>
      <c r="EM181" s="20">
        <f t="shared" si="180"/>
        <v>7.2983234474842979E-13</v>
      </c>
      <c r="EN181" s="59">
        <f t="shared" si="128"/>
        <v>293.33333333333405</v>
      </c>
      <c r="EO181" s="59">
        <f ca="1">AVERAGE(OFFSET($EN$3,0,0,'Données projet'!$E$15+1,1))-AVERAGE(OFFSET($H$3,0,0,'Données projet'!$E$15+1,1))</f>
        <v>104.07220236158577</v>
      </c>
      <c r="EP181" s="59">
        <f t="shared" si="154"/>
        <v>34.162068257911756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>
        <f>EXP(-LN(2)/35)*EV180+(1-EXP(-LN(2)/35))/(LN(2)/35)*ER181*ES181*VLOOKUP('Données projet'!$B$15,Paramètres!$A$1:$I$89,3,0)*0.475*44/12</f>
        <v>0</v>
      </c>
      <c r="EW181" s="21">
        <f>EXP(-LN(2)/25)*EW180+(1-EXP(-LN(2)/25))/(LN(2)/25)*Calculateur!ER181*Calculateur!ET181*VLOOKUP('Données projet'!$B$15,Paramètres!$A$1:$I$89,3,0)*0.475*44/12</f>
        <v>0</v>
      </c>
      <c r="EX181" s="21">
        <f>EXP(-LN(2)/2)*EX180+(1-EXP(-LN(2)/2))/(LN(2)/2)*ER181*EU181*VLOOKUP('Données projet'!$B$15,Paramètres!$A$1:$I$89,3,0)*0.475*44/12</f>
        <v>0</v>
      </c>
      <c r="EY181" s="22">
        <f t="shared" si="181"/>
        <v>0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5.6843418860808015E-14</v>
      </c>
      <c r="FF181" s="17">
        <f>FE181*VLOOKUP('Données projet'!$B$16,Paramètres!$A$1:$I$89,3,0)*VLOOKUP('Données projet'!$B$16,Paramètres!$A$1:$I$89,5,0)</f>
        <v>5.1431925385259088E-14</v>
      </c>
      <c r="FG181" s="13">
        <f t="shared" si="182"/>
        <v>8.3482866290946129E-13</v>
      </c>
      <c r="FH181" s="20">
        <f t="shared" si="183"/>
        <v>1.5435705246133045E-12</v>
      </c>
      <c r="FI181" s="59">
        <f t="shared" si="131"/>
        <v>293.33333333333485</v>
      </c>
      <c r="FJ181" s="59">
        <f ca="1">AVERAGE(OFFSET($FI$3,0,0,'Données projet'!$E$16+1,1))-AVERAGE(OFFSET($H$3,0,0,'Données projet'!$E$16+1,1))</f>
        <v>179.50097986986123</v>
      </c>
      <c r="FK181" s="59">
        <f t="shared" si="156"/>
        <v>287.11838730637578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>
        <f>EXP(-LN(2)/35)*FQ180+(1-EXP(-LN(2)/35))/(LN(2)/35)*FM181*FN181*VLOOKUP('Données projet'!$B$16,Paramètres!$A$1:$I$89,3,0)*0.475*44/12</f>
        <v>3.3252382484278128E-2</v>
      </c>
      <c r="FR181" s="21">
        <f>EXP(-LN(2)/25)*FR180+(1-EXP(-LN(2)/25))/(LN(2)/25)*Calculateur!FM181*Calculateur!FO181*VLOOKUP('Données projet'!$B$16,Paramètres!$A$1:$I$89,3,0)*0.475*44/12</f>
        <v>0.10394507148197817</v>
      </c>
      <c r="FS181" s="21">
        <f>EXP(-LN(2)/2)*FS180+(1-EXP(-LN(2)/2))/(LN(2)/2)*FM181*FP181*VLOOKUP('Données projet'!$B$16,Paramètres!$A$1:$I$89,3,0)*0.475*44/12</f>
        <v>2.393289488397761E-22</v>
      </c>
      <c r="FT181" s="22">
        <f t="shared" si="184"/>
        <v>0.13719745396625629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5.6843418860808015E-14</v>
      </c>
      <c r="GA181" s="17">
        <f>FZ181*VLOOKUP('Données projet'!$B$17,Paramètres!$A$1:$I$89,3,0)*VLOOKUP('Données projet'!$B$17,Paramètres!$A$1:$I$89,5,0)</f>
        <v>3.3992364478763198E-14</v>
      </c>
      <c r="GB181" s="13">
        <f t="shared" si="185"/>
        <v>5.790027782444094E-13</v>
      </c>
      <c r="GC181" s="20">
        <f t="shared" si="186"/>
        <v>1.0676332069095257E-12</v>
      </c>
      <c r="GD181" s="59">
        <f t="shared" si="134"/>
        <v>293.33333333333439</v>
      </c>
      <c r="GE181" s="59">
        <f ca="1">AVERAGE(OFFSET($GD$3,0,0,'Données projet'!$E$17+1,1))-AVERAGE(OFFSET($H$3,0,0,'Données projet'!$E$17+1,1))</f>
        <v>165.39579887388538</v>
      </c>
      <c r="GF181" s="59">
        <f t="shared" si="158"/>
        <v>155.89639262545802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>
        <f>EXP(-LN(2)/35)*GL180+(1-EXP(-LN(2)/35))/(LN(2)/35)*GH181*GI181*VLOOKUP('Données projet'!$B$17,Paramètres!$A$1:$I$89,3,0)*0.475*44/12</f>
        <v>0</v>
      </c>
      <c r="GM181" s="21">
        <f>EXP(-LN(2)/25)*GM180+(1-EXP(-LN(2)/25))/(LN(2)/25)*Calculateur!GH181*Calculateur!GJ181*VLOOKUP('Données projet'!$B$17,Paramètres!$A$1:$I$89,3,0)*0.475*44/12</f>
        <v>0.12038849430555826</v>
      </c>
      <c r="GN181" s="21">
        <f>EXP(-LN(2)/2)*GN180+(1-EXP(-LN(2)/2))/(LN(2)/2)*GH181*GK181*VLOOKUP('Données projet'!$B$17,Paramètres!$A$1:$I$89,3,0)*0.475*44/12</f>
        <v>7.3480297355820933E-22</v>
      </c>
      <c r="GO181" s="21">
        <f t="shared" si="187"/>
        <v>0.12038849430555826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3.4106051316484809E-13</v>
      </c>
      <c r="O182" s="13">
        <f>N182*VLOOKUP('Données projet'!$B$9,Paramètres!$A$1:$I$89,3,0)*VLOOKUP('Données projet'!$B$9,Paramètres!$A$1:$I$89,5,0)</f>
        <v>1.9065282685915009E-13</v>
      </c>
      <c r="P182" s="13">
        <f t="shared" si="141"/>
        <v>2.6568987209435707E-12</v>
      </c>
      <c r="Q182" s="20">
        <f t="shared" si="162"/>
        <v>4.959485612423072E-12</v>
      </c>
      <c r="R182" s="59">
        <f t="shared" si="109"/>
        <v>293.33333333333826</v>
      </c>
      <c r="S182" s="59">
        <f ca="1">AVERAGE(OFFSET($R$3,0,0,'Données projet'!$E$9+1,1))-AVERAGE(OFFSET($H$3,0,0,'Données projet'!$E$9+1,1))</f>
        <v>235.10258076192054</v>
      </c>
      <c r="T182" s="59">
        <f t="shared" si="142"/>
        <v>233.47316052603765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0.17916552399319052</v>
      </c>
      <c r="AA182" s="21">
        <f>EXP(-LN(2)/25)*AA181+(1-EXP(-LN(2)/25))/(LN(2)/25)*Calculateur!V182*Calculateur!X182*VLOOKUP('Données projet'!$B$9,Paramètres!$A$1:$I$89,3,0)*0.475*44/12</f>
        <v>0.29614312187880776</v>
      </c>
      <c r="AB182" s="21">
        <f>EXP(-LN(2)/2)*AB181+(1-EXP(-LN(2)/2))/(LN(2)/2)*V182*Y182*VLOOKUP('Données projet'!$B$9,Paramètres!$A$1:$I$89,3,0)*0.475*44/12</f>
        <v>9.0298410893713436E-22</v>
      </c>
      <c r="AC182" s="22">
        <f t="shared" si="163"/>
        <v>0.47530864587199828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-8.5265128291212022E-14</v>
      </c>
      <c r="AJ182" s="13">
        <f>AI182*VLOOKUP('Données projet'!$B$10,Paramètres!$A$1:$I$89,3,0)*VLOOKUP('Données projet'!$B$10,Paramètres!$A$1:$I$89,5,0)</f>
        <v>-7.4487616075202836E-14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191.94797389630673</v>
      </c>
      <c r="AO182" s="59">
        <f t="shared" si="144"/>
        <v>273.52540822767878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0.13464560591003405</v>
      </c>
      <c r="AV182" s="21">
        <f>EXP(-LN(2)/25)*AV181+(1-EXP(-LN(2)/25))/(LN(2)/25)*Calculateur!AQ182*Calculateur!AS182*VLOOKUP('Données projet'!$B$10,Paramètres!$A$1:$I$89,3,0)*0.475*44/12</f>
        <v>0.225673411434136</v>
      </c>
      <c r="AW182" s="21">
        <f>EXP(-LN(2)/2)*AW181+(1-EXP(-LN(2)/2))/(LN(2)/2)*AQ182*AT182*VLOOKUP('Données projet'!$B$10,Paramètres!$A$1:$I$89,3,0)*0.475*44/12</f>
        <v>8.6858163138718651E-22</v>
      </c>
      <c r="AX182" s="21">
        <f t="shared" si="166"/>
        <v>0.36031901734417005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2.8421709430404007E-14</v>
      </c>
      <c r="BE182" s="13">
        <f>BD182*VLOOKUP('Données projet'!$B$11,Paramètres!$A$1:$I$89,3,0)*VLOOKUP('Données projet'!$B$11,Paramètres!$A$1:$I$89,5,0)</f>
        <v>2.5715962692629544E-14</v>
      </c>
      <c r="BF182" s="13">
        <f t="shared" si="167"/>
        <v>4.5248818890525812E-13</v>
      </c>
      <c r="BG182" s="20">
        <f t="shared" si="168"/>
        <v>8.3287223069965432E-13</v>
      </c>
      <c r="BH182" s="59">
        <f t="shared" si="116"/>
        <v>293.33333333333417</v>
      </c>
      <c r="BI182" s="59">
        <f ca="1">AVERAGE(OFFSET($BH$3,0,0,'Données projet'!$E$11+1,1))-AVERAGE(OFFSET($H$3,0,0,'Données projet'!$E$11+1,1))</f>
        <v>138.8931001150624</v>
      </c>
      <c r="BJ182" s="59">
        <f t="shared" si="146"/>
        <v>48.964659354096625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2.8421709430404007E-14</v>
      </c>
      <c r="BZ182" s="13">
        <f>BY182*VLOOKUP('Données projet'!$B$12,Paramètres!$A$1:$I$89,3,0)*VLOOKUP('Données projet'!$B$12,Paramètres!$A$1:$I$89,5,0)</f>
        <v>2.8819613362429664E-14</v>
      </c>
      <c r="CA182" s="13">
        <f t="shared" si="170"/>
        <v>5.0041752926933358E-13</v>
      </c>
      <c r="CB182" s="20">
        <f t="shared" si="171"/>
        <v>9.2175469008365428E-13</v>
      </c>
      <c r="CC182" s="59">
        <f t="shared" si="119"/>
        <v>293.33333333333422</v>
      </c>
      <c r="CD182" s="59">
        <f ca="1">AVERAGE(OFFSET($CC$3,0,0,'Données projet'!$E$12+1,1))-AVERAGE(OFFSET($H$3,0,0,'Données projet'!$E$12+1,1))</f>
        <v>169.2757878405003</v>
      </c>
      <c r="CE182" s="59">
        <f t="shared" si="148"/>
        <v>61.876502626609977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-8.5265128291212022E-14</v>
      </c>
      <c r="CU182" s="17">
        <f>CT182*VLOOKUP('Données projet'!$B$13,Paramètres!$A$1:$I$89,3,0)*VLOOKUP('Données projet'!$B$13,Paramètres!$A$1:$I$89,5,0)</f>
        <v>-6.7836936068488286E-14</v>
      </c>
      <c r="CV182" s="13" t="e">
        <f t="shared" si="173"/>
        <v>#NUM!</v>
      </c>
      <c r="CW182" s="20" t="e">
        <f t="shared" si="174"/>
        <v>#NUM!</v>
      </c>
      <c r="CX182" s="59" t="e">
        <f t="shared" si="122"/>
        <v>#NUM!</v>
      </c>
      <c r="CY182" s="59">
        <f ca="1">AVERAGE(OFFSET($CX$3,0,0,'Données projet'!$E$13+1,1))-AVERAGE(OFFSET($H$3,0,0,'Données projet'!$E$13+1,1))</f>
        <v>141.12810728817544</v>
      </c>
      <c r="CZ182" s="59">
        <f t="shared" si="150"/>
        <v>176.01405805137551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>
        <f>EXP(-LN(2)/35)*DF181+(1-EXP(-LN(2)/35))/(LN(2)/35)*DB182*DC182*VLOOKUP('Données projet'!$B$13,Paramètres!$A$1:$I$89,3,0)*0.475*44/12</f>
        <v>0</v>
      </c>
      <c r="DG182" s="21">
        <f>EXP(-LN(2)/25)*DG181+(1-EXP(-LN(2)/25))/(LN(2)/25)*Calculateur!DB182*Calculateur!DD182*VLOOKUP('Données projet'!$B$13,Paramètres!$A$1:$I$89,3,0)*0.475*44/12</f>
        <v>0.10799331461394762</v>
      </c>
      <c r="DH182" s="21">
        <f>EXP(-LN(2)/2)*DH181+(1-EXP(-LN(2)/2))/(LN(2)/2)*DB182*DE182*VLOOKUP('Données projet'!$B$13,Paramètres!$A$1:$I$89,3,0)*0.475*44/12</f>
        <v>2.9966572505500561E-22</v>
      </c>
      <c r="DI182" s="22">
        <f t="shared" si="175"/>
        <v>0.10799331461394762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5.6843418860808015E-14</v>
      </c>
      <c r="DP182" s="17">
        <f>DO182*VLOOKUP('Données projet'!$B$14,Paramètres!$A$1:$I$89,3,0)*VLOOKUP('Données projet'!$B$14,Paramètres!$A$1:$I$89,5,0)</f>
        <v>3.3992364478763198E-14</v>
      </c>
      <c r="DQ182" s="13">
        <f t="shared" si="176"/>
        <v>5.790027782444094E-13</v>
      </c>
      <c r="DR182" s="20">
        <f t="shared" si="177"/>
        <v>1.0676332069095257E-12</v>
      </c>
      <c r="DS182" s="59">
        <f t="shared" si="125"/>
        <v>293.33333333333439</v>
      </c>
      <c r="DT182" s="59">
        <f ca="1">AVERAGE(OFFSET($DS$3,0,0,'Données projet'!$E$14+1,1))-AVERAGE(OFFSET($H$3,0,0,'Données projet'!$E$14+1,1))</f>
        <v>165.39579887388538</v>
      </c>
      <c r="DU182" s="59">
        <f t="shared" si="152"/>
        <v>155.89639262545802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>
        <f>EXP(-LN(2)/35)*EA181+(1-EXP(-LN(2)/35))/(LN(2)/35)*DW182*DX182*VLOOKUP('Données projet'!$B$14,Paramètres!$A$1:$I$89,3,0)*0.475*44/12</f>
        <v>0</v>
      </c>
      <c r="EB182" s="21">
        <f>EXP(-LN(2)/25)*EB181+(1-EXP(-LN(2)/25))/(LN(2)/25)*Calculateur!DW182*Calculateur!DY182*VLOOKUP('Données projet'!$B$14,Paramètres!$A$1:$I$89,3,0)*0.475*44/12</f>
        <v>0.117096464597817</v>
      </c>
      <c r="EC182" s="21">
        <f>EXP(-LN(2)/2)*EC181+(1-EXP(-LN(2)/2))/(LN(2)/2)*DW182*DZ182*VLOOKUP('Données projet'!$B$14,Paramètres!$A$1:$I$89,3,0)*0.475*44/12</f>
        <v>5.1958416543904918E-22</v>
      </c>
      <c r="ED182" s="22">
        <f t="shared" si="178"/>
        <v>0.117096464597817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2.8421709430404007E-14</v>
      </c>
      <c r="EK182" s="17">
        <f>EJ182*VLOOKUP('Données projet'!$B$15,Paramètres!$A$1:$I$89,3,0)*VLOOKUP('Données projet'!$B$15,Paramètres!$A$1:$I$89,5,0)</f>
        <v>2.2168933355715127E-14</v>
      </c>
      <c r="EL182" s="13">
        <f t="shared" si="179"/>
        <v>3.9687356123668477E-13</v>
      </c>
      <c r="EM182" s="20">
        <f t="shared" si="180"/>
        <v>7.2983234474842979E-13</v>
      </c>
      <c r="EN182" s="59">
        <f t="shared" si="128"/>
        <v>293.33333333333405</v>
      </c>
      <c r="EO182" s="59">
        <f ca="1">AVERAGE(OFFSET($EN$3,0,0,'Données projet'!$E$15+1,1))-AVERAGE(OFFSET($H$3,0,0,'Données projet'!$E$15+1,1))</f>
        <v>104.07220236158577</v>
      </c>
      <c r="EP182" s="59">
        <f t="shared" si="154"/>
        <v>34.162068257911756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>
        <f>EXP(-LN(2)/35)*EV181+(1-EXP(-LN(2)/35))/(LN(2)/35)*ER182*ES182*VLOOKUP('Données projet'!$B$15,Paramètres!$A$1:$I$89,3,0)*0.475*44/12</f>
        <v>0</v>
      </c>
      <c r="EW182" s="21">
        <f>EXP(-LN(2)/25)*EW181+(1-EXP(-LN(2)/25))/(LN(2)/25)*Calculateur!ER182*Calculateur!ET182*VLOOKUP('Données projet'!$B$15,Paramètres!$A$1:$I$89,3,0)*0.475*44/12</f>
        <v>0</v>
      </c>
      <c r="EX182" s="21">
        <f>EXP(-LN(2)/2)*EX181+(1-EXP(-LN(2)/2))/(LN(2)/2)*ER182*EU182*VLOOKUP('Données projet'!$B$15,Paramètres!$A$1:$I$89,3,0)*0.475*44/12</f>
        <v>0</v>
      </c>
      <c r="EY182" s="22">
        <f t="shared" si="181"/>
        <v>0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5.6843418860808015E-14</v>
      </c>
      <c r="FF182" s="17">
        <f>FE182*VLOOKUP('Données projet'!$B$16,Paramètres!$A$1:$I$89,3,0)*VLOOKUP('Données projet'!$B$16,Paramètres!$A$1:$I$89,5,0)</f>
        <v>5.1431925385259088E-14</v>
      </c>
      <c r="FG182" s="13">
        <f t="shared" si="182"/>
        <v>8.3482866290946129E-13</v>
      </c>
      <c r="FH182" s="20">
        <f t="shared" si="183"/>
        <v>1.5435705246133045E-12</v>
      </c>
      <c r="FI182" s="59">
        <f t="shared" si="131"/>
        <v>293.33333333333485</v>
      </c>
      <c r="FJ182" s="59">
        <f ca="1">AVERAGE(OFFSET($FI$3,0,0,'Données projet'!$E$16+1,1))-AVERAGE(OFFSET($H$3,0,0,'Données projet'!$E$16+1,1))</f>
        <v>179.50097986986123</v>
      </c>
      <c r="FK182" s="59">
        <f t="shared" si="156"/>
        <v>287.11838730637578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>
        <f>EXP(-LN(2)/35)*FQ181+(1-EXP(-LN(2)/35))/(LN(2)/35)*FM182*FN182*VLOOKUP('Données projet'!$B$16,Paramètres!$A$1:$I$89,3,0)*0.475*44/12</f>
        <v>3.2600323545712073E-2</v>
      </c>
      <c r="FR182" s="21">
        <f>EXP(-LN(2)/25)*FR181+(1-EXP(-LN(2)/25))/(LN(2)/25)*Calculateur!FM182*Calculateur!FO182*VLOOKUP('Données projet'!$B$16,Paramètres!$A$1:$I$89,3,0)*0.475*44/12</f>
        <v>0.10110268803606973</v>
      </c>
      <c r="FS182" s="21">
        <f>EXP(-LN(2)/2)*FS181+(1-EXP(-LN(2)/2))/(LN(2)/2)*FM182*FP182*VLOOKUP('Données projet'!$B$16,Paramètres!$A$1:$I$89,3,0)*0.475*44/12</f>
        <v>1.6923112265885399E-22</v>
      </c>
      <c r="FT182" s="22">
        <f t="shared" si="184"/>
        <v>0.1337030115817818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5.6843418860808015E-14</v>
      </c>
      <c r="GA182" s="17">
        <f>FZ182*VLOOKUP('Données projet'!$B$17,Paramètres!$A$1:$I$89,3,0)*VLOOKUP('Données projet'!$B$17,Paramètres!$A$1:$I$89,5,0)</f>
        <v>3.3992364478763198E-14</v>
      </c>
      <c r="GB182" s="13">
        <f t="shared" si="185"/>
        <v>5.790027782444094E-13</v>
      </c>
      <c r="GC182" s="20">
        <f t="shared" si="186"/>
        <v>1.0676332069095257E-12</v>
      </c>
      <c r="GD182" s="59">
        <f t="shared" si="134"/>
        <v>293.33333333333439</v>
      </c>
      <c r="GE182" s="59">
        <f ca="1">AVERAGE(OFFSET($GD$3,0,0,'Données projet'!$E$17+1,1))-AVERAGE(OFFSET($H$3,0,0,'Données projet'!$E$17+1,1))</f>
        <v>165.39579887388538</v>
      </c>
      <c r="GF182" s="59">
        <f t="shared" si="158"/>
        <v>155.89639262545802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>
        <f>EXP(-LN(2)/35)*GL181+(1-EXP(-LN(2)/35))/(LN(2)/35)*GH182*GI182*VLOOKUP('Données projet'!$B$17,Paramètres!$A$1:$I$89,3,0)*0.475*44/12</f>
        <v>0</v>
      </c>
      <c r="GM182" s="21">
        <f>EXP(-LN(2)/25)*GM181+(1-EXP(-LN(2)/25))/(LN(2)/25)*Calculateur!GH182*Calculateur!GJ182*VLOOKUP('Données projet'!$B$17,Paramètres!$A$1:$I$89,3,0)*0.475*44/12</f>
        <v>0.117096464597817</v>
      </c>
      <c r="GN182" s="21">
        <f>EXP(-LN(2)/2)*GN181+(1-EXP(-LN(2)/2))/(LN(2)/2)*GH182*GK182*VLOOKUP('Données projet'!$B$17,Paramètres!$A$1:$I$89,3,0)*0.475*44/12</f>
        <v>5.1958416543904918E-22</v>
      </c>
      <c r="GO182" s="21">
        <f t="shared" si="187"/>
        <v>0.117096464597817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3.4106051316484809E-13</v>
      </c>
      <c r="O183" s="13">
        <f>N183*VLOOKUP('Données projet'!$B$9,Paramètres!$A$1:$I$89,3,0)*VLOOKUP('Données projet'!$B$9,Paramètres!$A$1:$I$89,5,0)</f>
        <v>1.9065282685915009E-13</v>
      </c>
      <c r="P183" s="13">
        <f t="shared" si="141"/>
        <v>2.6568987209435707E-12</v>
      </c>
      <c r="Q183" s="20">
        <f t="shared" si="162"/>
        <v>4.959485612423072E-12</v>
      </c>
      <c r="R183" s="59">
        <f t="shared" si="109"/>
        <v>293.33333333333826</v>
      </c>
      <c r="S183" s="59">
        <f ca="1">AVERAGE(OFFSET($R$3,0,0,'Données projet'!$E$9+1,1))-AVERAGE(OFFSET($H$3,0,0,'Données projet'!$E$9+1,1))</f>
        <v>235.10258076192054</v>
      </c>
      <c r="T183" s="59">
        <f t="shared" si="142"/>
        <v>233.47316052603765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0.17565219734786316</v>
      </c>
      <c r="AA183" s="21">
        <f>EXP(-LN(2)/25)*AA182+(1-EXP(-LN(2)/25))/(LN(2)/25)*Calculateur!V183*Calculateur!X183*VLOOKUP('Données projet'!$B$9,Paramètres!$A$1:$I$89,3,0)*0.475*44/12</f>
        <v>0.28804507263754181</v>
      </c>
      <c r="AB183" s="21">
        <f>EXP(-LN(2)/2)*AB182+(1-EXP(-LN(2)/2))/(LN(2)/2)*V183*Y183*VLOOKUP('Données projet'!$B$9,Paramètres!$A$1:$I$89,3,0)*0.475*44/12</f>
        <v>6.3850618673313987E-22</v>
      </c>
      <c r="AC183" s="22">
        <f t="shared" si="163"/>
        <v>0.46369726998540495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-8.5265128291212022E-14</v>
      </c>
      <c r="AJ183" s="13">
        <f>AI183*VLOOKUP('Données projet'!$B$10,Paramètres!$A$1:$I$89,3,0)*VLOOKUP('Données projet'!$B$10,Paramètres!$A$1:$I$89,5,0)</f>
        <v>-7.4487616075202836E-14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191.94797389630673</v>
      </c>
      <c r="AO183" s="59">
        <f t="shared" si="144"/>
        <v>273.52540822767878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0.13200528770384864</v>
      </c>
      <c r="AV183" s="21">
        <f>EXP(-LN(2)/25)*AV182+(1-EXP(-LN(2)/25))/(LN(2)/25)*Calculateur!AQ183*Calculateur!AS183*VLOOKUP('Données projet'!$B$10,Paramètres!$A$1:$I$89,3,0)*0.475*44/12</f>
        <v>0.21950236013082061</v>
      </c>
      <c r="AW183" s="21">
        <f>EXP(-LN(2)/2)*AW182+(1-EXP(-LN(2)/2))/(LN(2)/2)*AQ183*AT183*VLOOKUP('Données projet'!$B$10,Paramètres!$A$1:$I$89,3,0)*0.475*44/12</f>
        <v>6.1417996156795379E-22</v>
      </c>
      <c r="AX183" s="21">
        <f t="shared" si="166"/>
        <v>0.35150764783466926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2.8421709430404007E-14</v>
      </c>
      <c r="BE183" s="13">
        <f>BD183*VLOOKUP('Données projet'!$B$11,Paramètres!$A$1:$I$89,3,0)*VLOOKUP('Données projet'!$B$11,Paramètres!$A$1:$I$89,5,0)</f>
        <v>2.5715962692629544E-14</v>
      </c>
      <c r="BF183" s="13">
        <f t="shared" si="167"/>
        <v>4.5248818890525812E-13</v>
      </c>
      <c r="BG183" s="20">
        <f t="shared" si="168"/>
        <v>8.3287223069965432E-13</v>
      </c>
      <c r="BH183" s="59">
        <f t="shared" si="116"/>
        <v>293.33333333333417</v>
      </c>
      <c r="BI183" s="59">
        <f ca="1">AVERAGE(OFFSET($BH$3,0,0,'Données projet'!$E$11+1,1))-AVERAGE(OFFSET($H$3,0,0,'Données projet'!$E$11+1,1))</f>
        <v>138.8931001150624</v>
      </c>
      <c r="BJ183" s="59">
        <f t="shared" si="146"/>
        <v>48.964659354096625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2.8421709430404007E-14</v>
      </c>
      <c r="BZ183" s="13">
        <f>BY183*VLOOKUP('Données projet'!$B$12,Paramètres!$A$1:$I$89,3,0)*VLOOKUP('Données projet'!$B$12,Paramètres!$A$1:$I$89,5,0)</f>
        <v>2.8819613362429664E-14</v>
      </c>
      <c r="CA183" s="13">
        <f t="shared" si="170"/>
        <v>5.0041752926933358E-13</v>
      </c>
      <c r="CB183" s="20">
        <f t="shared" si="171"/>
        <v>9.2175469008365428E-13</v>
      </c>
      <c r="CC183" s="59">
        <f t="shared" si="119"/>
        <v>293.33333333333422</v>
      </c>
      <c r="CD183" s="59">
        <f ca="1">AVERAGE(OFFSET($CC$3,0,0,'Données projet'!$E$12+1,1))-AVERAGE(OFFSET($H$3,0,0,'Données projet'!$E$12+1,1))</f>
        <v>169.2757878405003</v>
      </c>
      <c r="CE183" s="59">
        <f t="shared" si="148"/>
        <v>61.876502626609977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-8.5265128291212022E-14</v>
      </c>
      <c r="CU183" s="17">
        <f>CT183*VLOOKUP('Données projet'!$B$13,Paramètres!$A$1:$I$89,3,0)*VLOOKUP('Données projet'!$B$13,Paramètres!$A$1:$I$89,5,0)</f>
        <v>-6.7836936068488286E-14</v>
      </c>
      <c r="CV183" s="13" t="e">
        <f t="shared" si="173"/>
        <v>#NUM!</v>
      </c>
      <c r="CW183" s="20" t="e">
        <f t="shared" si="174"/>
        <v>#NUM!</v>
      </c>
      <c r="CX183" s="59" t="e">
        <f t="shared" si="122"/>
        <v>#NUM!</v>
      </c>
      <c r="CY183" s="59">
        <f ca="1">AVERAGE(OFFSET($CX$3,0,0,'Données projet'!$E$13+1,1))-AVERAGE(OFFSET($H$3,0,0,'Données projet'!$E$13+1,1))</f>
        <v>141.12810728817544</v>
      </c>
      <c r="CZ183" s="59">
        <f t="shared" si="150"/>
        <v>176.01405805137551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>
        <f>EXP(-LN(2)/35)*DF182+(1-EXP(-LN(2)/35))/(LN(2)/35)*DB183*DC183*VLOOKUP('Données projet'!$B$13,Paramètres!$A$1:$I$89,3,0)*0.475*44/12</f>
        <v>0</v>
      </c>
      <c r="DG183" s="21">
        <f>EXP(-LN(2)/25)*DG182+(1-EXP(-LN(2)/25))/(LN(2)/25)*Calculateur!DB183*Calculateur!DD183*VLOOKUP('Données projet'!$B$13,Paramètres!$A$1:$I$89,3,0)*0.475*44/12</f>
        <v>0.10504023174670762</v>
      </c>
      <c r="DH183" s="21">
        <f>EXP(-LN(2)/2)*DH182+(1-EXP(-LN(2)/2))/(LN(2)/2)*DB183*DE183*VLOOKUP('Données projet'!$B$13,Paramètres!$A$1:$I$89,3,0)*0.475*44/12</f>
        <v>2.1189566627557796E-22</v>
      </c>
      <c r="DI183" s="22">
        <f t="shared" si="175"/>
        <v>0.10504023174670762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5.6843418860808015E-14</v>
      </c>
      <c r="DP183" s="17">
        <f>DO183*VLOOKUP('Données projet'!$B$14,Paramètres!$A$1:$I$89,3,0)*VLOOKUP('Données projet'!$B$14,Paramètres!$A$1:$I$89,5,0)</f>
        <v>3.3992364478763198E-14</v>
      </c>
      <c r="DQ183" s="13">
        <f t="shared" si="176"/>
        <v>5.790027782444094E-13</v>
      </c>
      <c r="DR183" s="20">
        <f t="shared" si="177"/>
        <v>1.0676332069095257E-12</v>
      </c>
      <c r="DS183" s="59">
        <f t="shared" si="125"/>
        <v>293.33333333333439</v>
      </c>
      <c r="DT183" s="59">
        <f ca="1">AVERAGE(OFFSET($DS$3,0,0,'Données projet'!$E$14+1,1))-AVERAGE(OFFSET($H$3,0,0,'Données projet'!$E$14+1,1))</f>
        <v>165.39579887388538</v>
      </c>
      <c r="DU183" s="59">
        <f t="shared" si="152"/>
        <v>155.89639262545802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>
        <f>EXP(-LN(2)/35)*EA182+(1-EXP(-LN(2)/35))/(LN(2)/35)*DW183*DX183*VLOOKUP('Données projet'!$B$14,Paramètres!$A$1:$I$89,3,0)*0.475*44/12</f>
        <v>0</v>
      </c>
      <c r="EB183" s="21">
        <f>EXP(-LN(2)/25)*EB182+(1-EXP(-LN(2)/25))/(LN(2)/25)*Calculateur!DW183*Calculateur!DY183*VLOOKUP('Données projet'!$B$14,Paramètres!$A$1:$I$89,3,0)*0.475*44/12</f>
        <v>0.11389445561555425</v>
      </c>
      <c r="EC183" s="21">
        <f>EXP(-LN(2)/2)*EC182+(1-EXP(-LN(2)/2))/(LN(2)/2)*DW183*DZ183*VLOOKUP('Données projet'!$B$14,Paramètres!$A$1:$I$89,3,0)*0.475*44/12</f>
        <v>3.6740148677910467E-22</v>
      </c>
      <c r="ED183" s="22">
        <f t="shared" si="178"/>
        <v>0.11389445561555425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2.8421709430404007E-14</v>
      </c>
      <c r="EK183" s="17">
        <f>EJ183*VLOOKUP('Données projet'!$B$15,Paramètres!$A$1:$I$89,3,0)*VLOOKUP('Données projet'!$B$15,Paramètres!$A$1:$I$89,5,0)</f>
        <v>2.2168933355715127E-14</v>
      </c>
      <c r="EL183" s="13">
        <f t="shared" si="179"/>
        <v>3.9687356123668477E-13</v>
      </c>
      <c r="EM183" s="20">
        <f t="shared" si="180"/>
        <v>7.2983234474842979E-13</v>
      </c>
      <c r="EN183" s="59">
        <f t="shared" si="128"/>
        <v>293.33333333333405</v>
      </c>
      <c r="EO183" s="59">
        <f ca="1">AVERAGE(OFFSET($EN$3,0,0,'Données projet'!$E$15+1,1))-AVERAGE(OFFSET($H$3,0,0,'Données projet'!$E$15+1,1))</f>
        <v>104.07220236158577</v>
      </c>
      <c r="EP183" s="59">
        <f t="shared" si="154"/>
        <v>34.162068257911756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>
        <f>EXP(-LN(2)/35)*EV182+(1-EXP(-LN(2)/35))/(LN(2)/35)*ER183*ES183*VLOOKUP('Données projet'!$B$15,Paramètres!$A$1:$I$89,3,0)*0.475*44/12</f>
        <v>0</v>
      </c>
      <c r="EW183" s="21">
        <f>EXP(-LN(2)/25)*EW182+(1-EXP(-LN(2)/25))/(LN(2)/25)*Calculateur!ER183*Calculateur!ET183*VLOOKUP('Données projet'!$B$15,Paramètres!$A$1:$I$89,3,0)*0.475*44/12</f>
        <v>0</v>
      </c>
      <c r="EX183" s="21">
        <f>EXP(-LN(2)/2)*EX182+(1-EXP(-LN(2)/2))/(LN(2)/2)*ER183*EU183*VLOOKUP('Données projet'!$B$15,Paramètres!$A$1:$I$89,3,0)*0.475*44/12</f>
        <v>0</v>
      </c>
      <c r="EY183" s="22">
        <f t="shared" si="181"/>
        <v>0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5.6843418860808015E-14</v>
      </c>
      <c r="FF183" s="17">
        <f>FE183*VLOOKUP('Données projet'!$B$16,Paramètres!$A$1:$I$89,3,0)*VLOOKUP('Données projet'!$B$16,Paramètres!$A$1:$I$89,5,0)</f>
        <v>5.1431925385259088E-14</v>
      </c>
      <c r="FG183" s="13">
        <f t="shared" si="182"/>
        <v>8.3482866290946129E-13</v>
      </c>
      <c r="FH183" s="20">
        <f t="shared" si="183"/>
        <v>1.5435705246133045E-12</v>
      </c>
      <c r="FI183" s="59">
        <f t="shared" si="131"/>
        <v>293.33333333333485</v>
      </c>
      <c r="FJ183" s="59">
        <f ca="1">AVERAGE(OFFSET($FI$3,0,0,'Données projet'!$E$16+1,1))-AVERAGE(OFFSET($H$3,0,0,'Données projet'!$E$16+1,1))</f>
        <v>179.50097986986123</v>
      </c>
      <c r="FK183" s="59">
        <f t="shared" si="156"/>
        <v>287.11838730637578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>
        <f>EXP(-LN(2)/35)*FQ182+(1-EXP(-LN(2)/35))/(LN(2)/35)*FM183*FN183*VLOOKUP('Données projet'!$B$16,Paramètres!$A$1:$I$89,3,0)*0.475*44/12</f>
        <v>3.1961051085214617E-2</v>
      </c>
      <c r="FR183" s="21">
        <f>EXP(-LN(2)/25)*FR182+(1-EXP(-LN(2)/25))/(LN(2)/25)*Calculateur!FM183*Calculateur!FO183*VLOOKUP('Données projet'!$B$16,Paramètres!$A$1:$I$89,3,0)*0.475*44/12</f>
        <v>9.8338029714964109E-2</v>
      </c>
      <c r="FS183" s="21">
        <f>EXP(-LN(2)/2)*FS182+(1-EXP(-LN(2)/2))/(LN(2)/2)*FM183*FP183*VLOOKUP('Données projet'!$B$16,Paramètres!$A$1:$I$89,3,0)*0.475*44/12</f>
        <v>1.1966447441988805E-22</v>
      </c>
      <c r="FT183" s="22">
        <f t="shared" si="184"/>
        <v>0.13029908080017871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5.6843418860808015E-14</v>
      </c>
      <c r="GA183" s="17">
        <f>FZ183*VLOOKUP('Données projet'!$B$17,Paramètres!$A$1:$I$89,3,0)*VLOOKUP('Données projet'!$B$17,Paramètres!$A$1:$I$89,5,0)</f>
        <v>3.3992364478763198E-14</v>
      </c>
      <c r="GB183" s="13">
        <f t="shared" si="185"/>
        <v>5.790027782444094E-13</v>
      </c>
      <c r="GC183" s="20">
        <f t="shared" si="186"/>
        <v>1.0676332069095257E-12</v>
      </c>
      <c r="GD183" s="59">
        <f t="shared" si="134"/>
        <v>293.33333333333439</v>
      </c>
      <c r="GE183" s="59">
        <f ca="1">AVERAGE(OFFSET($GD$3,0,0,'Données projet'!$E$17+1,1))-AVERAGE(OFFSET($H$3,0,0,'Données projet'!$E$17+1,1))</f>
        <v>165.39579887388538</v>
      </c>
      <c r="GF183" s="59">
        <f t="shared" si="158"/>
        <v>155.89639262545802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>
        <f>EXP(-LN(2)/35)*GL182+(1-EXP(-LN(2)/35))/(LN(2)/35)*GH183*GI183*VLOOKUP('Données projet'!$B$17,Paramètres!$A$1:$I$89,3,0)*0.475*44/12</f>
        <v>0</v>
      </c>
      <c r="GM183" s="21">
        <f>EXP(-LN(2)/25)*GM182+(1-EXP(-LN(2)/25))/(LN(2)/25)*Calculateur!GH183*Calculateur!GJ183*VLOOKUP('Données projet'!$B$17,Paramètres!$A$1:$I$89,3,0)*0.475*44/12</f>
        <v>0.11389445561555425</v>
      </c>
      <c r="GN183" s="21">
        <f>EXP(-LN(2)/2)*GN182+(1-EXP(-LN(2)/2))/(LN(2)/2)*GH183*GK183*VLOOKUP('Données projet'!$B$17,Paramètres!$A$1:$I$89,3,0)*0.475*44/12</f>
        <v>3.6740148677910467E-22</v>
      </c>
      <c r="GO183" s="21">
        <f t="shared" si="187"/>
        <v>0.11389445561555425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3.4106051316484809E-13</v>
      </c>
      <c r="O184" s="13">
        <f>N184*VLOOKUP('Données projet'!$B$9,Paramètres!$A$1:$I$89,3,0)*VLOOKUP('Données projet'!$B$9,Paramètres!$A$1:$I$89,5,0)</f>
        <v>1.9065282685915009E-13</v>
      </c>
      <c r="P184" s="13">
        <f t="shared" si="141"/>
        <v>2.6568987209435707E-12</v>
      </c>
      <c r="Q184" s="20">
        <f t="shared" si="162"/>
        <v>4.959485612423072E-12</v>
      </c>
      <c r="R184" s="59">
        <f t="shared" si="109"/>
        <v>293.33333333333826</v>
      </c>
      <c r="S184" s="59">
        <f ca="1">AVERAGE(OFFSET($R$3,0,0,'Données projet'!$E$9+1,1))-AVERAGE(OFFSET($H$3,0,0,'Données projet'!$E$9+1,1))</f>
        <v>235.10258076192054</v>
      </c>
      <c r="T184" s="59">
        <f t="shared" si="142"/>
        <v>233.47316052603765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0.17220776489513304</v>
      </c>
      <c r="AA184" s="21">
        <f>EXP(-LN(2)/25)*AA183+(1-EXP(-LN(2)/25))/(LN(2)/25)*Calculateur!V184*Calculateur!X184*VLOOKUP('Données projet'!$B$9,Paramètres!$A$1:$I$89,3,0)*0.475*44/12</f>
        <v>0.28016846497863618</v>
      </c>
      <c r="AB184" s="21">
        <f>EXP(-LN(2)/2)*AB183+(1-EXP(-LN(2)/2))/(LN(2)/2)*V184*Y184*VLOOKUP('Données projet'!$B$9,Paramètres!$A$1:$I$89,3,0)*0.475*44/12</f>
        <v>4.5149205446856718E-22</v>
      </c>
      <c r="AC184" s="22">
        <f t="shared" si="163"/>
        <v>0.45237622987376924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-8.5265128291212022E-14</v>
      </c>
      <c r="AJ184" s="13">
        <f>AI184*VLOOKUP('Données projet'!$B$10,Paramètres!$A$1:$I$89,3,0)*VLOOKUP('Données projet'!$B$10,Paramètres!$A$1:$I$89,5,0)</f>
        <v>-7.4487616075202836E-14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191.94797389630673</v>
      </c>
      <c r="AO184" s="59">
        <f t="shared" si="144"/>
        <v>273.52540822767878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0.12941674452725144</v>
      </c>
      <c r="AV184" s="21">
        <f>EXP(-LN(2)/25)*AV183+(1-EXP(-LN(2)/25))/(LN(2)/25)*Calculateur!AQ184*Calculateur!AS184*VLOOKUP('Données projet'!$B$10,Paramètres!$A$1:$I$89,3,0)*0.475*44/12</f>
        <v>0.21350005654991588</v>
      </c>
      <c r="AW184" s="21">
        <f>EXP(-LN(2)/2)*AW183+(1-EXP(-LN(2)/2))/(LN(2)/2)*AQ184*AT184*VLOOKUP('Données projet'!$B$10,Paramètres!$A$1:$I$89,3,0)*0.475*44/12</f>
        <v>4.3429081569359325E-22</v>
      </c>
      <c r="AX184" s="21">
        <f t="shared" si="166"/>
        <v>0.34291680107716732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2.8421709430404007E-14</v>
      </c>
      <c r="BE184" s="13">
        <f>BD184*VLOOKUP('Données projet'!$B$11,Paramètres!$A$1:$I$89,3,0)*VLOOKUP('Données projet'!$B$11,Paramètres!$A$1:$I$89,5,0)</f>
        <v>2.5715962692629544E-14</v>
      </c>
      <c r="BF184" s="13">
        <f t="shared" si="167"/>
        <v>4.5248818890525812E-13</v>
      </c>
      <c r="BG184" s="20">
        <f t="shared" si="168"/>
        <v>8.3287223069965432E-13</v>
      </c>
      <c r="BH184" s="59">
        <f t="shared" si="116"/>
        <v>293.33333333333417</v>
      </c>
      <c r="BI184" s="59">
        <f ca="1">AVERAGE(OFFSET($BH$3,0,0,'Données projet'!$E$11+1,1))-AVERAGE(OFFSET($H$3,0,0,'Données projet'!$E$11+1,1))</f>
        <v>138.8931001150624</v>
      </c>
      <c r="BJ184" s="59">
        <f t="shared" si="146"/>
        <v>48.964659354096625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2.8421709430404007E-14</v>
      </c>
      <c r="BZ184" s="13">
        <f>BY184*VLOOKUP('Données projet'!$B$12,Paramètres!$A$1:$I$89,3,0)*VLOOKUP('Données projet'!$B$12,Paramètres!$A$1:$I$89,5,0)</f>
        <v>2.8819613362429664E-14</v>
      </c>
      <c r="CA184" s="13">
        <f t="shared" si="170"/>
        <v>5.0041752926933358E-13</v>
      </c>
      <c r="CB184" s="20">
        <f t="shared" si="171"/>
        <v>9.2175469008365428E-13</v>
      </c>
      <c r="CC184" s="59">
        <f t="shared" si="119"/>
        <v>293.33333333333422</v>
      </c>
      <c r="CD184" s="59">
        <f ca="1">AVERAGE(OFFSET($CC$3,0,0,'Données projet'!$E$12+1,1))-AVERAGE(OFFSET($H$3,0,0,'Données projet'!$E$12+1,1))</f>
        <v>169.2757878405003</v>
      </c>
      <c r="CE184" s="59">
        <f t="shared" si="148"/>
        <v>61.876502626609977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-8.5265128291212022E-14</v>
      </c>
      <c r="CU184" s="17">
        <f>CT184*VLOOKUP('Données projet'!$B$13,Paramètres!$A$1:$I$89,3,0)*VLOOKUP('Données projet'!$B$13,Paramètres!$A$1:$I$89,5,0)</f>
        <v>-6.7836936068488286E-14</v>
      </c>
      <c r="CV184" s="13" t="e">
        <f t="shared" si="173"/>
        <v>#NUM!</v>
      </c>
      <c r="CW184" s="20" t="e">
        <f t="shared" si="174"/>
        <v>#NUM!</v>
      </c>
      <c r="CX184" s="59" t="e">
        <f t="shared" si="122"/>
        <v>#NUM!</v>
      </c>
      <c r="CY184" s="59">
        <f ca="1">AVERAGE(OFFSET($CX$3,0,0,'Données projet'!$E$13+1,1))-AVERAGE(OFFSET($H$3,0,0,'Données projet'!$E$13+1,1))</f>
        <v>141.12810728817544</v>
      </c>
      <c r="CZ184" s="59">
        <f t="shared" si="150"/>
        <v>176.01405805137551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>
        <f>EXP(-LN(2)/35)*DF183+(1-EXP(-LN(2)/35))/(LN(2)/35)*DB184*DC184*VLOOKUP('Données projet'!$B$13,Paramètres!$A$1:$I$89,3,0)*0.475*44/12</f>
        <v>0</v>
      </c>
      <c r="DG184" s="21">
        <f>EXP(-LN(2)/25)*DG183+(1-EXP(-LN(2)/25))/(LN(2)/25)*Calculateur!DB184*Calculateur!DD184*VLOOKUP('Données projet'!$B$13,Paramètres!$A$1:$I$89,3,0)*0.475*44/12</f>
        <v>0.10216790108576819</v>
      </c>
      <c r="DH184" s="21">
        <f>EXP(-LN(2)/2)*DH183+(1-EXP(-LN(2)/2))/(LN(2)/2)*DB184*DE184*VLOOKUP('Données projet'!$B$13,Paramètres!$A$1:$I$89,3,0)*0.475*44/12</f>
        <v>1.498328625275028E-22</v>
      </c>
      <c r="DI184" s="22">
        <f t="shared" si="175"/>
        <v>0.10216790108576819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5.6843418860808015E-14</v>
      </c>
      <c r="DP184" s="17">
        <f>DO184*VLOOKUP('Données projet'!$B$14,Paramètres!$A$1:$I$89,3,0)*VLOOKUP('Données projet'!$B$14,Paramètres!$A$1:$I$89,5,0)</f>
        <v>3.3992364478763198E-14</v>
      </c>
      <c r="DQ184" s="13">
        <f t="shared" si="176"/>
        <v>5.790027782444094E-13</v>
      </c>
      <c r="DR184" s="20">
        <f t="shared" si="177"/>
        <v>1.0676332069095257E-12</v>
      </c>
      <c r="DS184" s="59">
        <f t="shared" si="125"/>
        <v>293.33333333333439</v>
      </c>
      <c r="DT184" s="59">
        <f ca="1">AVERAGE(OFFSET($DS$3,0,0,'Données projet'!$E$14+1,1))-AVERAGE(OFFSET($H$3,0,0,'Données projet'!$E$14+1,1))</f>
        <v>165.39579887388538</v>
      </c>
      <c r="DU184" s="59">
        <f t="shared" si="152"/>
        <v>155.89639262545802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>
        <f>EXP(-LN(2)/35)*EA183+(1-EXP(-LN(2)/35))/(LN(2)/35)*DW184*DX184*VLOOKUP('Données projet'!$B$14,Paramètres!$A$1:$I$89,3,0)*0.475*44/12</f>
        <v>0</v>
      </c>
      <c r="EB184" s="21">
        <f>EXP(-LN(2)/25)*EB183+(1-EXP(-LN(2)/25))/(LN(2)/25)*Calculateur!DW184*Calculateur!DY184*VLOOKUP('Données projet'!$B$14,Paramètres!$A$1:$I$89,3,0)*0.475*44/12</f>
        <v>0.11078000573729781</v>
      </c>
      <c r="EC184" s="21">
        <f>EXP(-LN(2)/2)*EC183+(1-EXP(-LN(2)/2))/(LN(2)/2)*DW184*DZ184*VLOOKUP('Données projet'!$B$14,Paramètres!$A$1:$I$89,3,0)*0.475*44/12</f>
        <v>2.5979208271952459E-22</v>
      </c>
      <c r="ED184" s="22">
        <f t="shared" si="178"/>
        <v>0.11078000573729781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2.8421709430404007E-14</v>
      </c>
      <c r="EK184" s="17">
        <f>EJ184*VLOOKUP('Données projet'!$B$15,Paramètres!$A$1:$I$89,3,0)*VLOOKUP('Données projet'!$B$15,Paramètres!$A$1:$I$89,5,0)</f>
        <v>2.2168933355715127E-14</v>
      </c>
      <c r="EL184" s="13">
        <f t="shared" si="179"/>
        <v>3.9687356123668477E-13</v>
      </c>
      <c r="EM184" s="20">
        <f t="shared" si="180"/>
        <v>7.2983234474842979E-13</v>
      </c>
      <c r="EN184" s="59">
        <f t="shared" si="128"/>
        <v>293.33333333333405</v>
      </c>
      <c r="EO184" s="59">
        <f ca="1">AVERAGE(OFFSET($EN$3,0,0,'Données projet'!$E$15+1,1))-AVERAGE(OFFSET($H$3,0,0,'Données projet'!$E$15+1,1))</f>
        <v>104.07220236158577</v>
      </c>
      <c r="EP184" s="59">
        <f t="shared" si="154"/>
        <v>34.162068257911756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>
        <f>EXP(-LN(2)/35)*EV183+(1-EXP(-LN(2)/35))/(LN(2)/35)*ER184*ES184*VLOOKUP('Données projet'!$B$15,Paramètres!$A$1:$I$89,3,0)*0.475*44/12</f>
        <v>0</v>
      </c>
      <c r="EW184" s="21">
        <f>EXP(-LN(2)/25)*EW183+(1-EXP(-LN(2)/25))/(LN(2)/25)*Calculateur!ER184*Calculateur!ET184*VLOOKUP('Données projet'!$B$15,Paramètres!$A$1:$I$89,3,0)*0.475*44/12</f>
        <v>0</v>
      </c>
      <c r="EX184" s="21">
        <f>EXP(-LN(2)/2)*EX183+(1-EXP(-LN(2)/2))/(LN(2)/2)*ER184*EU184*VLOOKUP('Données projet'!$B$15,Paramètres!$A$1:$I$89,3,0)*0.475*44/12</f>
        <v>0</v>
      </c>
      <c r="EY184" s="22">
        <f t="shared" si="181"/>
        <v>0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5.6843418860808015E-14</v>
      </c>
      <c r="FF184" s="17">
        <f>FE184*VLOOKUP('Données projet'!$B$16,Paramètres!$A$1:$I$89,3,0)*VLOOKUP('Données projet'!$B$16,Paramètres!$A$1:$I$89,5,0)</f>
        <v>5.1431925385259088E-14</v>
      </c>
      <c r="FG184" s="13">
        <f t="shared" si="182"/>
        <v>8.3482866290946129E-13</v>
      </c>
      <c r="FH184" s="20">
        <f t="shared" si="183"/>
        <v>1.5435705246133045E-12</v>
      </c>
      <c r="FI184" s="59">
        <f t="shared" si="131"/>
        <v>293.33333333333485</v>
      </c>
      <c r="FJ184" s="59">
        <f ca="1">AVERAGE(OFFSET($FI$3,0,0,'Données projet'!$E$16+1,1))-AVERAGE(OFFSET($H$3,0,0,'Données projet'!$E$16+1,1))</f>
        <v>179.50097986986123</v>
      </c>
      <c r="FK184" s="59">
        <f t="shared" si="156"/>
        <v>287.11838730637578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>
        <f>EXP(-LN(2)/35)*FQ183+(1-EXP(-LN(2)/35))/(LN(2)/35)*FM184*FN184*VLOOKUP('Données projet'!$B$16,Paramètres!$A$1:$I$89,3,0)*0.475*44/12</f>
        <v>3.1334314367749819E-2</v>
      </c>
      <c r="FR184" s="21">
        <f>EXP(-LN(2)/25)*FR183+(1-EXP(-LN(2)/25))/(LN(2)/25)*Calculateur!FM184*Calculateur!FO184*VLOOKUP('Données projet'!$B$16,Paramètres!$A$1:$I$89,3,0)*0.475*44/12</f>
        <v>9.5648971121036194E-2</v>
      </c>
      <c r="FS184" s="21">
        <f>EXP(-LN(2)/2)*FS183+(1-EXP(-LN(2)/2))/(LN(2)/2)*FM184*FP184*VLOOKUP('Données projet'!$B$16,Paramètres!$A$1:$I$89,3,0)*0.475*44/12</f>
        <v>8.4615561329426994E-23</v>
      </c>
      <c r="FT184" s="22">
        <f t="shared" si="184"/>
        <v>0.12698328548878601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5.6843418860808015E-14</v>
      </c>
      <c r="GA184" s="17">
        <f>FZ184*VLOOKUP('Données projet'!$B$17,Paramètres!$A$1:$I$89,3,0)*VLOOKUP('Données projet'!$B$17,Paramètres!$A$1:$I$89,5,0)</f>
        <v>3.3992364478763198E-14</v>
      </c>
      <c r="GB184" s="13">
        <f t="shared" si="185"/>
        <v>5.790027782444094E-13</v>
      </c>
      <c r="GC184" s="20">
        <f t="shared" si="186"/>
        <v>1.0676332069095257E-12</v>
      </c>
      <c r="GD184" s="59">
        <f t="shared" si="134"/>
        <v>293.33333333333439</v>
      </c>
      <c r="GE184" s="59">
        <f ca="1">AVERAGE(OFFSET($GD$3,0,0,'Données projet'!$E$17+1,1))-AVERAGE(OFFSET($H$3,0,0,'Données projet'!$E$17+1,1))</f>
        <v>165.39579887388538</v>
      </c>
      <c r="GF184" s="59">
        <f t="shared" si="158"/>
        <v>155.89639262545802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>
        <f>EXP(-LN(2)/35)*GL183+(1-EXP(-LN(2)/35))/(LN(2)/35)*GH184*GI184*VLOOKUP('Données projet'!$B$17,Paramètres!$A$1:$I$89,3,0)*0.475*44/12</f>
        <v>0</v>
      </c>
      <c r="GM184" s="21">
        <f>EXP(-LN(2)/25)*GM183+(1-EXP(-LN(2)/25))/(LN(2)/25)*Calculateur!GH184*Calculateur!GJ184*VLOOKUP('Données projet'!$B$17,Paramètres!$A$1:$I$89,3,0)*0.475*44/12</f>
        <v>0.11078000573729781</v>
      </c>
      <c r="GN184" s="21">
        <f>EXP(-LN(2)/2)*GN183+(1-EXP(-LN(2)/2))/(LN(2)/2)*GH184*GK184*VLOOKUP('Données projet'!$B$17,Paramètres!$A$1:$I$89,3,0)*0.475*44/12</f>
        <v>2.5979208271952459E-22</v>
      </c>
      <c r="GO184" s="21">
        <f t="shared" si="187"/>
        <v>0.11078000573729781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3.4106051316484809E-13</v>
      </c>
      <c r="O185" s="13">
        <f>N185*VLOOKUP('Données projet'!$B$9,Paramètres!$A$1:$I$89,3,0)*VLOOKUP('Données projet'!$B$9,Paramètres!$A$1:$I$89,5,0)</f>
        <v>1.9065282685915009E-13</v>
      </c>
      <c r="P185" s="13">
        <f t="shared" si="141"/>
        <v>2.6568987209435707E-12</v>
      </c>
      <c r="Q185" s="20">
        <f t="shared" si="162"/>
        <v>4.959485612423072E-12</v>
      </c>
      <c r="R185" s="59">
        <f t="shared" si="109"/>
        <v>293.33333333333826</v>
      </c>
      <c r="S185" s="59">
        <f ca="1">AVERAGE(OFFSET($R$3,0,0,'Données projet'!$E$9+1,1))-AVERAGE(OFFSET($H$3,0,0,'Données projet'!$E$9+1,1))</f>
        <v>235.10258076192054</v>
      </c>
      <c r="T185" s="59">
        <f t="shared" si="142"/>
        <v>233.47316052603765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0.16883087566190458</v>
      </c>
      <c r="AA185" s="21">
        <f>EXP(-LN(2)/25)*AA184+(1-EXP(-LN(2)/25))/(LN(2)/25)*Calculateur!V185*Calculateur!X185*VLOOKUP('Données projet'!$B$9,Paramètres!$A$1:$I$89,3,0)*0.475*44/12</f>
        <v>0.27250724357037615</v>
      </c>
      <c r="AB185" s="21">
        <f>EXP(-LN(2)/2)*AB184+(1-EXP(-LN(2)/2))/(LN(2)/2)*V185*Y185*VLOOKUP('Données projet'!$B$9,Paramètres!$A$1:$I$89,3,0)*0.475*44/12</f>
        <v>3.1925309336656993E-22</v>
      </c>
      <c r="AC185" s="22">
        <f t="shared" si="163"/>
        <v>0.44133811923228072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-8.5265128291212022E-14</v>
      </c>
      <c r="AJ185" s="13">
        <f>AI185*VLOOKUP('Données projet'!$B$10,Paramètres!$A$1:$I$89,3,0)*VLOOKUP('Données projet'!$B$10,Paramètres!$A$1:$I$89,5,0)</f>
        <v>-7.4487616075202836E-14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191.94797389630673</v>
      </c>
      <c r="AO185" s="59">
        <f t="shared" si="144"/>
        <v>273.52540822767878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0.12687896110349187</v>
      </c>
      <c r="AV185" s="21">
        <f>EXP(-LN(2)/25)*AV184+(1-EXP(-LN(2)/25))/(LN(2)/25)*Calculateur!AQ185*Calculateur!AS185*VLOOKUP('Données projet'!$B$10,Paramètres!$A$1:$I$89,3,0)*0.475*44/12</f>
        <v>0.20766188627607843</v>
      </c>
      <c r="AW185" s="21">
        <f>EXP(-LN(2)/2)*AW184+(1-EXP(-LN(2)/2))/(LN(2)/2)*AQ185*AT185*VLOOKUP('Données projet'!$B$10,Paramètres!$A$1:$I$89,3,0)*0.475*44/12</f>
        <v>3.070899807839769E-22</v>
      </c>
      <c r="AX185" s="21">
        <f t="shared" si="166"/>
        <v>0.33454084737957029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2.8421709430404007E-14</v>
      </c>
      <c r="BE185" s="13">
        <f>BD185*VLOOKUP('Données projet'!$B$11,Paramètres!$A$1:$I$89,3,0)*VLOOKUP('Données projet'!$B$11,Paramètres!$A$1:$I$89,5,0)</f>
        <v>2.5715962692629544E-14</v>
      </c>
      <c r="BF185" s="13">
        <f t="shared" si="167"/>
        <v>4.5248818890525812E-13</v>
      </c>
      <c r="BG185" s="20">
        <f t="shared" si="168"/>
        <v>8.3287223069965432E-13</v>
      </c>
      <c r="BH185" s="59">
        <f t="shared" si="116"/>
        <v>293.33333333333417</v>
      </c>
      <c r="BI185" s="59">
        <f ca="1">AVERAGE(OFFSET($BH$3,0,0,'Données projet'!$E$11+1,1))-AVERAGE(OFFSET($H$3,0,0,'Données projet'!$E$11+1,1))</f>
        <v>138.8931001150624</v>
      </c>
      <c r="BJ185" s="59">
        <f t="shared" si="146"/>
        <v>48.964659354096625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2.8421709430404007E-14</v>
      </c>
      <c r="BZ185" s="13">
        <f>BY185*VLOOKUP('Données projet'!$B$12,Paramètres!$A$1:$I$89,3,0)*VLOOKUP('Données projet'!$B$12,Paramètres!$A$1:$I$89,5,0)</f>
        <v>2.8819613362429664E-14</v>
      </c>
      <c r="CA185" s="13">
        <f t="shared" si="170"/>
        <v>5.0041752926933358E-13</v>
      </c>
      <c r="CB185" s="20">
        <f t="shared" si="171"/>
        <v>9.2175469008365428E-13</v>
      </c>
      <c r="CC185" s="59">
        <f t="shared" si="119"/>
        <v>293.33333333333422</v>
      </c>
      <c r="CD185" s="59">
        <f ca="1">AVERAGE(OFFSET($CC$3,0,0,'Données projet'!$E$12+1,1))-AVERAGE(OFFSET($H$3,0,0,'Données projet'!$E$12+1,1))</f>
        <v>169.2757878405003</v>
      </c>
      <c r="CE185" s="59">
        <f t="shared" si="148"/>
        <v>61.876502626609977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-8.5265128291212022E-14</v>
      </c>
      <c r="CU185" s="17">
        <f>CT185*VLOOKUP('Données projet'!$B$13,Paramètres!$A$1:$I$89,3,0)*VLOOKUP('Données projet'!$B$13,Paramètres!$A$1:$I$89,5,0)</f>
        <v>-6.7836936068488286E-14</v>
      </c>
      <c r="CV185" s="13" t="e">
        <f t="shared" si="173"/>
        <v>#NUM!</v>
      </c>
      <c r="CW185" s="20" t="e">
        <f t="shared" si="174"/>
        <v>#NUM!</v>
      </c>
      <c r="CX185" s="59" t="e">
        <f t="shared" si="122"/>
        <v>#NUM!</v>
      </c>
      <c r="CY185" s="59">
        <f ca="1">AVERAGE(OFFSET($CX$3,0,0,'Données projet'!$E$13+1,1))-AVERAGE(OFFSET($H$3,0,0,'Données projet'!$E$13+1,1))</f>
        <v>141.12810728817544</v>
      </c>
      <c r="CZ185" s="59">
        <f t="shared" si="150"/>
        <v>176.01405805137551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>
        <f>EXP(-LN(2)/35)*DF184+(1-EXP(-LN(2)/35))/(LN(2)/35)*DB185*DC185*VLOOKUP('Données projet'!$B$13,Paramètres!$A$1:$I$89,3,0)*0.475*44/12</f>
        <v>0</v>
      </c>
      <c r="DG185" s="21">
        <f>EXP(-LN(2)/25)*DG184+(1-EXP(-LN(2)/25))/(LN(2)/25)*Calculateur!DB185*Calculateur!DD185*VLOOKUP('Données projet'!$B$13,Paramètres!$A$1:$I$89,3,0)*0.475*44/12</f>
        <v>9.9374114457801449E-2</v>
      </c>
      <c r="DH185" s="21">
        <f>EXP(-LN(2)/2)*DH184+(1-EXP(-LN(2)/2))/(LN(2)/2)*DB185*DE185*VLOOKUP('Données projet'!$B$13,Paramètres!$A$1:$I$89,3,0)*0.475*44/12</f>
        <v>1.0594783313778898E-22</v>
      </c>
      <c r="DI185" s="22">
        <f t="shared" si="175"/>
        <v>9.9374114457801449E-2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5.6843418860808015E-14</v>
      </c>
      <c r="DP185" s="17">
        <f>DO185*VLOOKUP('Données projet'!$B$14,Paramètres!$A$1:$I$89,3,0)*VLOOKUP('Données projet'!$B$14,Paramètres!$A$1:$I$89,5,0)</f>
        <v>3.3992364478763198E-14</v>
      </c>
      <c r="DQ185" s="13">
        <f t="shared" si="176"/>
        <v>5.790027782444094E-13</v>
      </c>
      <c r="DR185" s="20">
        <f t="shared" si="177"/>
        <v>1.0676332069095257E-12</v>
      </c>
      <c r="DS185" s="59">
        <f t="shared" si="125"/>
        <v>293.33333333333439</v>
      </c>
      <c r="DT185" s="59">
        <f ca="1">AVERAGE(OFFSET($DS$3,0,0,'Données projet'!$E$14+1,1))-AVERAGE(OFFSET($H$3,0,0,'Données projet'!$E$14+1,1))</f>
        <v>165.39579887388538</v>
      </c>
      <c r="DU185" s="59">
        <f t="shared" si="152"/>
        <v>155.89639262545802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>
        <f>EXP(-LN(2)/35)*EA184+(1-EXP(-LN(2)/35))/(LN(2)/35)*DW185*DX185*VLOOKUP('Données projet'!$B$14,Paramètres!$A$1:$I$89,3,0)*0.475*44/12</f>
        <v>0</v>
      </c>
      <c r="EB185" s="21">
        <f>EXP(-LN(2)/25)*EB184+(1-EXP(-LN(2)/25))/(LN(2)/25)*Calculateur!DW185*Calculateur!DY185*VLOOKUP('Données projet'!$B$14,Paramètres!$A$1:$I$89,3,0)*0.475*44/12</f>
        <v>0.10775072065474409</v>
      </c>
      <c r="EC185" s="21">
        <f>EXP(-LN(2)/2)*EC184+(1-EXP(-LN(2)/2))/(LN(2)/2)*DW185*DZ185*VLOOKUP('Données projet'!$B$14,Paramètres!$A$1:$I$89,3,0)*0.475*44/12</f>
        <v>1.8370074338955233E-22</v>
      </c>
      <c r="ED185" s="22">
        <f t="shared" si="178"/>
        <v>0.10775072065474409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2.8421709430404007E-14</v>
      </c>
      <c r="EK185" s="17">
        <f>EJ185*VLOOKUP('Données projet'!$B$15,Paramètres!$A$1:$I$89,3,0)*VLOOKUP('Données projet'!$B$15,Paramètres!$A$1:$I$89,5,0)</f>
        <v>2.2168933355715127E-14</v>
      </c>
      <c r="EL185" s="13">
        <f t="shared" si="179"/>
        <v>3.9687356123668477E-13</v>
      </c>
      <c r="EM185" s="20">
        <f t="shared" si="180"/>
        <v>7.2983234474842979E-13</v>
      </c>
      <c r="EN185" s="59">
        <f t="shared" si="128"/>
        <v>293.33333333333405</v>
      </c>
      <c r="EO185" s="59">
        <f ca="1">AVERAGE(OFFSET($EN$3,0,0,'Données projet'!$E$15+1,1))-AVERAGE(OFFSET($H$3,0,0,'Données projet'!$E$15+1,1))</f>
        <v>104.07220236158577</v>
      </c>
      <c r="EP185" s="59">
        <f t="shared" si="154"/>
        <v>34.162068257911756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>
        <f>EXP(-LN(2)/35)*EV184+(1-EXP(-LN(2)/35))/(LN(2)/35)*ER185*ES185*VLOOKUP('Données projet'!$B$15,Paramètres!$A$1:$I$89,3,0)*0.475*44/12</f>
        <v>0</v>
      </c>
      <c r="EW185" s="21">
        <f>EXP(-LN(2)/25)*EW184+(1-EXP(-LN(2)/25))/(LN(2)/25)*Calculateur!ER185*Calculateur!ET185*VLOOKUP('Données projet'!$B$15,Paramètres!$A$1:$I$89,3,0)*0.475*44/12</f>
        <v>0</v>
      </c>
      <c r="EX185" s="21">
        <f>EXP(-LN(2)/2)*EX184+(1-EXP(-LN(2)/2))/(LN(2)/2)*ER185*EU185*VLOOKUP('Données projet'!$B$15,Paramètres!$A$1:$I$89,3,0)*0.475*44/12</f>
        <v>0</v>
      </c>
      <c r="EY185" s="22">
        <f t="shared" si="181"/>
        <v>0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5.6843418860808015E-14</v>
      </c>
      <c r="FF185" s="17">
        <f>FE185*VLOOKUP('Données projet'!$B$16,Paramètres!$A$1:$I$89,3,0)*VLOOKUP('Données projet'!$B$16,Paramètres!$A$1:$I$89,5,0)</f>
        <v>5.1431925385259088E-14</v>
      </c>
      <c r="FG185" s="13">
        <f t="shared" si="182"/>
        <v>8.3482866290946129E-13</v>
      </c>
      <c r="FH185" s="20">
        <f t="shared" si="183"/>
        <v>1.5435705246133045E-12</v>
      </c>
      <c r="FI185" s="59">
        <f t="shared" si="131"/>
        <v>293.33333333333485</v>
      </c>
      <c r="FJ185" s="59">
        <f ca="1">AVERAGE(OFFSET($FI$3,0,0,'Données projet'!$E$16+1,1))-AVERAGE(OFFSET($H$3,0,0,'Données projet'!$E$16+1,1))</f>
        <v>179.50097986986123</v>
      </c>
      <c r="FK185" s="59">
        <f t="shared" si="156"/>
        <v>287.11838730637578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>
        <f>EXP(-LN(2)/35)*FQ184+(1-EXP(-LN(2)/35))/(LN(2)/35)*FM185*FN185*VLOOKUP('Données projet'!$B$16,Paramètres!$A$1:$I$89,3,0)*0.475*44/12</f>
        <v>3.0719867575042852E-2</v>
      </c>
      <c r="FR185" s="21">
        <f>EXP(-LN(2)/25)*FR184+(1-EXP(-LN(2)/25))/(LN(2)/25)*Calculateur!FM185*Calculateur!FO185*VLOOKUP('Données projet'!$B$16,Paramètres!$A$1:$I$89,3,0)*0.475*44/12</f>
        <v>9.3033444975770679E-2</v>
      </c>
      <c r="FS185" s="21">
        <f>EXP(-LN(2)/2)*FS184+(1-EXP(-LN(2)/2))/(LN(2)/2)*FM185*FP185*VLOOKUP('Données projet'!$B$16,Paramètres!$A$1:$I$89,3,0)*0.475*44/12</f>
        <v>5.9832237209944025E-23</v>
      </c>
      <c r="FT185" s="22">
        <f t="shared" si="184"/>
        <v>0.12375331255081354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5.6843418860808015E-14</v>
      </c>
      <c r="GA185" s="17">
        <f>FZ185*VLOOKUP('Données projet'!$B$17,Paramètres!$A$1:$I$89,3,0)*VLOOKUP('Données projet'!$B$17,Paramètres!$A$1:$I$89,5,0)</f>
        <v>3.3992364478763198E-14</v>
      </c>
      <c r="GB185" s="13">
        <f t="shared" si="185"/>
        <v>5.790027782444094E-13</v>
      </c>
      <c r="GC185" s="20">
        <f t="shared" si="186"/>
        <v>1.0676332069095257E-12</v>
      </c>
      <c r="GD185" s="59">
        <f t="shared" si="134"/>
        <v>293.33333333333439</v>
      </c>
      <c r="GE185" s="59">
        <f ca="1">AVERAGE(OFFSET($GD$3,0,0,'Données projet'!$E$17+1,1))-AVERAGE(OFFSET($H$3,0,0,'Données projet'!$E$17+1,1))</f>
        <v>165.39579887388538</v>
      </c>
      <c r="GF185" s="59">
        <f t="shared" si="158"/>
        <v>155.89639262545802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>
        <f>EXP(-LN(2)/35)*GL184+(1-EXP(-LN(2)/35))/(LN(2)/35)*GH185*GI185*VLOOKUP('Données projet'!$B$17,Paramètres!$A$1:$I$89,3,0)*0.475*44/12</f>
        <v>0</v>
      </c>
      <c r="GM185" s="21">
        <f>EXP(-LN(2)/25)*GM184+(1-EXP(-LN(2)/25))/(LN(2)/25)*Calculateur!GH185*Calculateur!GJ185*VLOOKUP('Données projet'!$B$17,Paramètres!$A$1:$I$89,3,0)*0.475*44/12</f>
        <v>0.10775072065474409</v>
      </c>
      <c r="GN185" s="21">
        <f>EXP(-LN(2)/2)*GN184+(1-EXP(-LN(2)/2))/(LN(2)/2)*GH185*GK185*VLOOKUP('Données projet'!$B$17,Paramètres!$A$1:$I$89,3,0)*0.475*44/12</f>
        <v>1.8370074338955233E-22</v>
      </c>
      <c r="GO185" s="21">
        <f t="shared" si="187"/>
        <v>0.10775072065474409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3.4106051316484809E-13</v>
      </c>
      <c r="O186" s="13">
        <f>N186*VLOOKUP('Données projet'!$B$9,Paramètres!$A$1:$I$89,3,0)*VLOOKUP('Données projet'!$B$9,Paramètres!$A$1:$I$89,5,0)</f>
        <v>1.9065282685915009E-13</v>
      </c>
      <c r="P186" s="13">
        <f t="shared" si="141"/>
        <v>2.6568987209435707E-12</v>
      </c>
      <c r="Q186" s="20">
        <f t="shared" si="162"/>
        <v>4.959485612423072E-12</v>
      </c>
      <c r="R186" s="59">
        <f t="shared" si="109"/>
        <v>293.33333333333826</v>
      </c>
      <c r="S186" s="59">
        <f ca="1">AVERAGE(OFFSET($R$3,0,0,'Données projet'!$E$9+1,1))-AVERAGE(OFFSET($H$3,0,0,'Données projet'!$E$9+1,1))</f>
        <v>235.10258076192054</v>
      </c>
      <c r="T186" s="59">
        <f t="shared" si="142"/>
        <v>233.47316052603765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0.16552020516684068</v>
      </c>
      <c r="AA186" s="21">
        <f>EXP(-LN(2)/25)*AA185+(1-EXP(-LN(2)/25))/(LN(2)/25)*Calculateur!V186*Calculateur!X186*VLOOKUP('Données projet'!$B$9,Paramètres!$A$1:$I$89,3,0)*0.475*44/12</f>
        <v>0.26505551866441107</v>
      </c>
      <c r="AB186" s="21">
        <f>EXP(-LN(2)/2)*AB185+(1-EXP(-LN(2)/2))/(LN(2)/2)*V186*Y186*VLOOKUP('Données projet'!$B$9,Paramètres!$A$1:$I$89,3,0)*0.475*44/12</f>
        <v>2.2574602723428359E-22</v>
      </c>
      <c r="AC186" s="22">
        <f t="shared" si="163"/>
        <v>0.43057572383125176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-8.5265128291212022E-14</v>
      </c>
      <c r="AJ186" s="13">
        <f>AI186*VLOOKUP('Données projet'!$B$10,Paramètres!$A$1:$I$89,3,0)*VLOOKUP('Données projet'!$B$10,Paramètres!$A$1:$I$89,5,0)</f>
        <v>-7.4487616075202836E-14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191.94797389630673</v>
      </c>
      <c r="AO186" s="59">
        <f t="shared" si="144"/>
        <v>273.52540822767878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0.12439094206477719</v>
      </c>
      <c r="AV186" s="21">
        <f>EXP(-LN(2)/25)*AV185+(1-EXP(-LN(2)/25))/(LN(2)/25)*Calculateur!AQ186*Calculateur!AS186*VLOOKUP('Données projet'!$B$10,Paramètres!$A$1:$I$89,3,0)*0.475*44/12</f>
        <v>0.20198336107539508</v>
      </c>
      <c r="AW186" s="21">
        <f>EXP(-LN(2)/2)*AW185+(1-EXP(-LN(2)/2))/(LN(2)/2)*AQ186*AT186*VLOOKUP('Données projet'!$B$10,Paramètres!$A$1:$I$89,3,0)*0.475*44/12</f>
        <v>2.1714540784679663E-22</v>
      </c>
      <c r="AX186" s="21">
        <f t="shared" si="166"/>
        <v>0.32637430314017224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2.8421709430404007E-14</v>
      </c>
      <c r="BE186" s="13">
        <f>BD186*VLOOKUP('Données projet'!$B$11,Paramètres!$A$1:$I$89,3,0)*VLOOKUP('Données projet'!$B$11,Paramètres!$A$1:$I$89,5,0)</f>
        <v>2.5715962692629544E-14</v>
      </c>
      <c r="BF186" s="13">
        <f t="shared" si="167"/>
        <v>4.5248818890525812E-13</v>
      </c>
      <c r="BG186" s="20">
        <f t="shared" si="168"/>
        <v>8.3287223069965432E-13</v>
      </c>
      <c r="BH186" s="59">
        <f t="shared" si="116"/>
        <v>293.33333333333417</v>
      </c>
      <c r="BI186" s="59">
        <f ca="1">AVERAGE(OFFSET($BH$3,0,0,'Données projet'!$E$11+1,1))-AVERAGE(OFFSET($H$3,0,0,'Données projet'!$E$11+1,1))</f>
        <v>138.8931001150624</v>
      </c>
      <c r="BJ186" s="59">
        <f t="shared" si="146"/>
        <v>48.964659354096625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2.8421709430404007E-14</v>
      </c>
      <c r="BZ186" s="13">
        <f>BY186*VLOOKUP('Données projet'!$B$12,Paramètres!$A$1:$I$89,3,0)*VLOOKUP('Données projet'!$B$12,Paramètres!$A$1:$I$89,5,0)</f>
        <v>2.8819613362429664E-14</v>
      </c>
      <c r="CA186" s="13">
        <f t="shared" si="170"/>
        <v>5.0041752926933358E-13</v>
      </c>
      <c r="CB186" s="20">
        <f t="shared" si="171"/>
        <v>9.2175469008365428E-13</v>
      </c>
      <c r="CC186" s="59">
        <f t="shared" si="119"/>
        <v>293.33333333333422</v>
      </c>
      <c r="CD186" s="59">
        <f ca="1">AVERAGE(OFFSET($CC$3,0,0,'Données projet'!$E$12+1,1))-AVERAGE(OFFSET($H$3,0,0,'Données projet'!$E$12+1,1))</f>
        <v>169.2757878405003</v>
      </c>
      <c r="CE186" s="59">
        <f t="shared" si="148"/>
        <v>61.876502626609977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-8.5265128291212022E-14</v>
      </c>
      <c r="CU186" s="17">
        <f>CT186*VLOOKUP('Données projet'!$B$13,Paramètres!$A$1:$I$89,3,0)*VLOOKUP('Données projet'!$B$13,Paramètres!$A$1:$I$89,5,0)</f>
        <v>-6.7836936068488286E-14</v>
      </c>
      <c r="CV186" s="13" t="e">
        <f t="shared" si="173"/>
        <v>#NUM!</v>
      </c>
      <c r="CW186" s="20" t="e">
        <f t="shared" si="174"/>
        <v>#NUM!</v>
      </c>
      <c r="CX186" s="59" t="e">
        <f t="shared" si="122"/>
        <v>#NUM!</v>
      </c>
      <c r="CY186" s="59">
        <f ca="1">AVERAGE(OFFSET($CX$3,0,0,'Données projet'!$E$13+1,1))-AVERAGE(OFFSET($H$3,0,0,'Données projet'!$E$13+1,1))</f>
        <v>141.12810728817544</v>
      </c>
      <c r="CZ186" s="59">
        <f t="shared" si="150"/>
        <v>176.01405805137551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>
        <f>EXP(-LN(2)/35)*DF185+(1-EXP(-LN(2)/35))/(LN(2)/35)*DB186*DC186*VLOOKUP('Données projet'!$B$13,Paramètres!$A$1:$I$89,3,0)*0.475*44/12</f>
        <v>0</v>
      </c>
      <c r="DG186" s="21">
        <f>EXP(-LN(2)/25)*DG185+(1-EXP(-LN(2)/25))/(LN(2)/25)*Calculateur!DB186*Calculateur!DD186*VLOOKUP('Données projet'!$B$13,Paramètres!$A$1:$I$89,3,0)*0.475*44/12</f>
        <v>9.6656724072095315E-2</v>
      </c>
      <c r="DH186" s="21">
        <f>EXP(-LN(2)/2)*DH185+(1-EXP(-LN(2)/2))/(LN(2)/2)*DB186*DE186*VLOOKUP('Données projet'!$B$13,Paramètres!$A$1:$I$89,3,0)*0.475*44/12</f>
        <v>7.4916431263751401E-23</v>
      </c>
      <c r="DI186" s="22">
        <f t="shared" si="175"/>
        <v>9.6656724072095315E-2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5.6843418860808015E-14</v>
      </c>
      <c r="DP186" s="17">
        <f>DO186*VLOOKUP('Données projet'!$B$14,Paramètres!$A$1:$I$89,3,0)*VLOOKUP('Données projet'!$B$14,Paramètres!$A$1:$I$89,5,0)</f>
        <v>3.3992364478763198E-14</v>
      </c>
      <c r="DQ186" s="13">
        <f t="shared" si="176"/>
        <v>5.790027782444094E-13</v>
      </c>
      <c r="DR186" s="20">
        <f t="shared" si="177"/>
        <v>1.0676332069095257E-12</v>
      </c>
      <c r="DS186" s="59">
        <f t="shared" si="125"/>
        <v>293.33333333333439</v>
      </c>
      <c r="DT186" s="59">
        <f ca="1">AVERAGE(OFFSET($DS$3,0,0,'Données projet'!$E$14+1,1))-AVERAGE(OFFSET($H$3,0,0,'Données projet'!$E$14+1,1))</f>
        <v>165.39579887388538</v>
      </c>
      <c r="DU186" s="59">
        <f t="shared" si="152"/>
        <v>155.89639262545802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>
        <f>EXP(-LN(2)/35)*EA185+(1-EXP(-LN(2)/35))/(LN(2)/35)*DW186*DX186*VLOOKUP('Données projet'!$B$14,Paramètres!$A$1:$I$89,3,0)*0.475*44/12</f>
        <v>0</v>
      </c>
      <c r="EB186" s="21">
        <f>EXP(-LN(2)/25)*EB185+(1-EXP(-LN(2)/25))/(LN(2)/25)*Calculateur!DW186*Calculateur!DY186*VLOOKUP('Données projet'!$B$14,Paramètres!$A$1:$I$89,3,0)*0.475*44/12</f>
        <v>0.10480427153207597</v>
      </c>
      <c r="EC186" s="21">
        <f>EXP(-LN(2)/2)*EC185+(1-EXP(-LN(2)/2))/(LN(2)/2)*DW186*DZ186*VLOOKUP('Données projet'!$B$14,Paramètres!$A$1:$I$89,3,0)*0.475*44/12</f>
        <v>1.298960413597623E-22</v>
      </c>
      <c r="ED186" s="22">
        <f t="shared" si="178"/>
        <v>0.10480427153207597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2.8421709430404007E-14</v>
      </c>
      <c r="EK186" s="17">
        <f>EJ186*VLOOKUP('Données projet'!$B$15,Paramètres!$A$1:$I$89,3,0)*VLOOKUP('Données projet'!$B$15,Paramètres!$A$1:$I$89,5,0)</f>
        <v>2.2168933355715127E-14</v>
      </c>
      <c r="EL186" s="13">
        <f t="shared" si="179"/>
        <v>3.9687356123668477E-13</v>
      </c>
      <c r="EM186" s="20">
        <f t="shared" si="180"/>
        <v>7.2983234474842979E-13</v>
      </c>
      <c r="EN186" s="59">
        <f t="shared" si="128"/>
        <v>293.33333333333405</v>
      </c>
      <c r="EO186" s="59">
        <f ca="1">AVERAGE(OFFSET($EN$3,0,0,'Données projet'!$E$15+1,1))-AVERAGE(OFFSET($H$3,0,0,'Données projet'!$E$15+1,1))</f>
        <v>104.07220236158577</v>
      </c>
      <c r="EP186" s="59">
        <f t="shared" si="154"/>
        <v>34.162068257911756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>
        <f>EXP(-LN(2)/35)*EV185+(1-EXP(-LN(2)/35))/(LN(2)/35)*ER186*ES186*VLOOKUP('Données projet'!$B$15,Paramètres!$A$1:$I$89,3,0)*0.475*44/12</f>
        <v>0</v>
      </c>
      <c r="EW186" s="21">
        <f>EXP(-LN(2)/25)*EW185+(1-EXP(-LN(2)/25))/(LN(2)/25)*Calculateur!ER186*Calculateur!ET186*VLOOKUP('Données projet'!$B$15,Paramètres!$A$1:$I$89,3,0)*0.475*44/12</f>
        <v>0</v>
      </c>
      <c r="EX186" s="21">
        <f>EXP(-LN(2)/2)*EX185+(1-EXP(-LN(2)/2))/(LN(2)/2)*ER186*EU186*VLOOKUP('Données projet'!$B$15,Paramètres!$A$1:$I$89,3,0)*0.475*44/12</f>
        <v>0</v>
      </c>
      <c r="EY186" s="22">
        <f t="shared" si="181"/>
        <v>0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5.6843418860808015E-14</v>
      </c>
      <c r="FF186" s="17">
        <f>FE186*VLOOKUP('Données projet'!$B$16,Paramètres!$A$1:$I$89,3,0)*VLOOKUP('Données projet'!$B$16,Paramètres!$A$1:$I$89,5,0)</f>
        <v>5.1431925385259088E-14</v>
      </c>
      <c r="FG186" s="13">
        <f t="shared" si="182"/>
        <v>8.3482866290946129E-13</v>
      </c>
      <c r="FH186" s="20">
        <f t="shared" si="183"/>
        <v>1.5435705246133045E-12</v>
      </c>
      <c r="FI186" s="59">
        <f t="shared" si="131"/>
        <v>293.33333333333485</v>
      </c>
      <c r="FJ186" s="59">
        <f ca="1">AVERAGE(OFFSET($FI$3,0,0,'Données projet'!$E$16+1,1))-AVERAGE(OFFSET($H$3,0,0,'Données projet'!$E$16+1,1))</f>
        <v>179.50097986986123</v>
      </c>
      <c r="FK186" s="59">
        <f t="shared" si="156"/>
        <v>287.11838730637578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>
        <f>EXP(-LN(2)/35)*FQ185+(1-EXP(-LN(2)/35))/(LN(2)/35)*FM186*FN186*VLOOKUP('Données projet'!$B$16,Paramètres!$A$1:$I$89,3,0)*0.475*44/12</f>
        <v>3.0117469709165332E-2</v>
      </c>
      <c r="FR186" s="21">
        <f>EXP(-LN(2)/25)*FR185+(1-EXP(-LN(2)/25))/(LN(2)/25)*Calculateur!FM186*Calculateur!FO186*VLOOKUP('Données projet'!$B$16,Paramètres!$A$1:$I$89,3,0)*0.475*44/12</f>
        <v>9.0489440530491988E-2</v>
      </c>
      <c r="FS186" s="21">
        <f>EXP(-LN(2)/2)*FS185+(1-EXP(-LN(2)/2))/(LN(2)/2)*FM186*FP186*VLOOKUP('Données projet'!$B$16,Paramètres!$A$1:$I$89,3,0)*0.475*44/12</f>
        <v>4.2307780664713497E-23</v>
      </c>
      <c r="FT186" s="22">
        <f t="shared" si="184"/>
        <v>0.12060691023965732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5.6843418860808015E-14</v>
      </c>
      <c r="GA186" s="17">
        <f>FZ186*VLOOKUP('Données projet'!$B$17,Paramètres!$A$1:$I$89,3,0)*VLOOKUP('Données projet'!$B$17,Paramètres!$A$1:$I$89,5,0)</f>
        <v>3.3992364478763198E-14</v>
      </c>
      <c r="GB186" s="13">
        <f t="shared" si="185"/>
        <v>5.790027782444094E-13</v>
      </c>
      <c r="GC186" s="20">
        <f t="shared" si="186"/>
        <v>1.0676332069095257E-12</v>
      </c>
      <c r="GD186" s="59">
        <f t="shared" si="134"/>
        <v>293.33333333333439</v>
      </c>
      <c r="GE186" s="59">
        <f ca="1">AVERAGE(OFFSET($GD$3,0,0,'Données projet'!$E$17+1,1))-AVERAGE(OFFSET($H$3,0,0,'Données projet'!$E$17+1,1))</f>
        <v>165.39579887388538</v>
      </c>
      <c r="GF186" s="59">
        <f t="shared" si="158"/>
        <v>155.89639262545802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>
        <f>EXP(-LN(2)/35)*GL185+(1-EXP(-LN(2)/35))/(LN(2)/35)*GH186*GI186*VLOOKUP('Données projet'!$B$17,Paramètres!$A$1:$I$89,3,0)*0.475*44/12</f>
        <v>0</v>
      </c>
      <c r="GM186" s="21">
        <f>EXP(-LN(2)/25)*GM185+(1-EXP(-LN(2)/25))/(LN(2)/25)*Calculateur!GH186*Calculateur!GJ186*VLOOKUP('Données projet'!$B$17,Paramètres!$A$1:$I$89,3,0)*0.475*44/12</f>
        <v>0.10480427153207597</v>
      </c>
      <c r="GN186" s="21">
        <f>EXP(-LN(2)/2)*GN185+(1-EXP(-LN(2)/2))/(LN(2)/2)*GH186*GK186*VLOOKUP('Données projet'!$B$17,Paramètres!$A$1:$I$89,3,0)*0.475*44/12</f>
        <v>1.298960413597623E-22</v>
      </c>
      <c r="GO186" s="21">
        <f t="shared" si="187"/>
        <v>0.10480427153207597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3.4106051316484809E-13</v>
      </c>
      <c r="O187" s="13">
        <f>N187*VLOOKUP('Données projet'!$B$9,Paramètres!$A$1:$I$89,3,0)*VLOOKUP('Données projet'!$B$9,Paramètres!$A$1:$I$89,5,0)</f>
        <v>1.9065282685915009E-13</v>
      </c>
      <c r="P187" s="13">
        <f t="shared" si="141"/>
        <v>2.6568987209435707E-12</v>
      </c>
      <c r="Q187" s="20">
        <f t="shared" si="162"/>
        <v>4.959485612423072E-12</v>
      </c>
      <c r="R187" s="59">
        <f t="shared" si="109"/>
        <v>293.33333333333826</v>
      </c>
      <c r="S187" s="59">
        <f ca="1">AVERAGE(OFFSET($R$3,0,0,'Données projet'!$E$9+1,1))-AVERAGE(OFFSET($H$3,0,0,'Données projet'!$E$9+1,1))</f>
        <v>235.10258076192054</v>
      </c>
      <c r="T187" s="59">
        <f t="shared" si="142"/>
        <v>233.47316052603765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0.16227445490087539</v>
      </c>
      <c r="AA187" s="21">
        <f>EXP(-LN(2)/25)*AA186+(1-EXP(-LN(2)/25))/(LN(2)/25)*Calculateur!V187*Calculateur!X187*VLOOKUP('Données projet'!$B$9,Paramètres!$A$1:$I$89,3,0)*0.475*44/12</f>
        <v>0.25780756156786883</v>
      </c>
      <c r="AB187" s="21">
        <f>EXP(-LN(2)/2)*AB186+(1-EXP(-LN(2)/2))/(LN(2)/2)*V187*Y187*VLOOKUP('Données projet'!$B$9,Paramètres!$A$1:$I$89,3,0)*0.475*44/12</f>
        <v>1.5962654668328497E-22</v>
      </c>
      <c r="AC187" s="22">
        <f t="shared" si="163"/>
        <v>0.42008201646874421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-8.5265128291212022E-14</v>
      </c>
      <c r="AJ187" s="13">
        <f>AI187*VLOOKUP('Données projet'!$B$10,Paramètres!$A$1:$I$89,3,0)*VLOOKUP('Données projet'!$B$10,Paramètres!$A$1:$I$89,5,0)</f>
        <v>-7.4487616075202836E-14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191.94797389630673</v>
      </c>
      <c r="AO187" s="59">
        <f t="shared" si="144"/>
        <v>273.52540822767878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0.12195171156186993</v>
      </c>
      <c r="AV187" s="21">
        <f>EXP(-LN(2)/25)*AV186+(1-EXP(-LN(2)/25))/(LN(2)/25)*Calculateur!AQ187*Calculateur!AS187*VLOOKUP('Données projet'!$B$10,Paramètres!$A$1:$I$89,3,0)*0.475*44/12</f>
        <v>0.19646011544494507</v>
      </c>
      <c r="AW187" s="21">
        <f>EXP(-LN(2)/2)*AW186+(1-EXP(-LN(2)/2))/(LN(2)/2)*AQ187*AT187*VLOOKUP('Données projet'!$B$10,Paramètres!$A$1:$I$89,3,0)*0.475*44/12</f>
        <v>1.5354499039198845E-22</v>
      </c>
      <c r="AX187" s="21">
        <f t="shared" si="166"/>
        <v>0.31841182700681503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2.8421709430404007E-14</v>
      </c>
      <c r="BE187" s="13">
        <f>BD187*VLOOKUP('Données projet'!$B$11,Paramètres!$A$1:$I$89,3,0)*VLOOKUP('Données projet'!$B$11,Paramètres!$A$1:$I$89,5,0)</f>
        <v>2.5715962692629544E-14</v>
      </c>
      <c r="BF187" s="13">
        <f t="shared" si="167"/>
        <v>4.5248818890525812E-13</v>
      </c>
      <c r="BG187" s="20">
        <f t="shared" si="168"/>
        <v>8.3287223069965432E-13</v>
      </c>
      <c r="BH187" s="59">
        <f t="shared" si="116"/>
        <v>293.33333333333417</v>
      </c>
      <c r="BI187" s="59">
        <f ca="1">AVERAGE(OFFSET($BH$3,0,0,'Données projet'!$E$11+1,1))-AVERAGE(OFFSET($H$3,0,0,'Données projet'!$E$11+1,1))</f>
        <v>138.8931001150624</v>
      </c>
      <c r="BJ187" s="59">
        <f t="shared" si="146"/>
        <v>48.964659354096625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2.8421709430404007E-14</v>
      </c>
      <c r="BZ187" s="13">
        <f>BY187*VLOOKUP('Données projet'!$B$12,Paramètres!$A$1:$I$89,3,0)*VLOOKUP('Données projet'!$B$12,Paramètres!$A$1:$I$89,5,0)</f>
        <v>2.8819613362429664E-14</v>
      </c>
      <c r="CA187" s="13">
        <f t="shared" si="170"/>
        <v>5.0041752926933358E-13</v>
      </c>
      <c r="CB187" s="20">
        <f t="shared" si="171"/>
        <v>9.2175469008365428E-13</v>
      </c>
      <c r="CC187" s="59">
        <f t="shared" si="119"/>
        <v>293.33333333333422</v>
      </c>
      <c r="CD187" s="59">
        <f ca="1">AVERAGE(OFFSET($CC$3,0,0,'Données projet'!$E$12+1,1))-AVERAGE(OFFSET($H$3,0,0,'Données projet'!$E$12+1,1))</f>
        <v>169.2757878405003</v>
      </c>
      <c r="CE187" s="59">
        <f t="shared" si="148"/>
        <v>61.876502626609977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-8.5265128291212022E-14</v>
      </c>
      <c r="CU187" s="17">
        <f>CT187*VLOOKUP('Données projet'!$B$13,Paramètres!$A$1:$I$89,3,0)*VLOOKUP('Données projet'!$B$13,Paramètres!$A$1:$I$89,5,0)</f>
        <v>-6.7836936068488286E-14</v>
      </c>
      <c r="CV187" s="13" t="e">
        <f t="shared" si="173"/>
        <v>#NUM!</v>
      </c>
      <c r="CW187" s="20" t="e">
        <f t="shared" si="174"/>
        <v>#NUM!</v>
      </c>
      <c r="CX187" s="59" t="e">
        <f t="shared" si="122"/>
        <v>#NUM!</v>
      </c>
      <c r="CY187" s="59">
        <f ca="1">AVERAGE(OFFSET($CX$3,0,0,'Données projet'!$E$13+1,1))-AVERAGE(OFFSET($H$3,0,0,'Données projet'!$E$13+1,1))</f>
        <v>141.12810728817544</v>
      </c>
      <c r="CZ187" s="59">
        <f t="shared" si="150"/>
        <v>176.01405805137551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>
        <f>EXP(-LN(2)/35)*DF186+(1-EXP(-LN(2)/35))/(LN(2)/35)*DB187*DC187*VLOOKUP('Données projet'!$B$13,Paramètres!$A$1:$I$89,3,0)*0.475*44/12</f>
        <v>0</v>
      </c>
      <c r="DG187" s="21">
        <f>EXP(-LN(2)/25)*DG186+(1-EXP(-LN(2)/25))/(LN(2)/25)*Calculateur!DB187*Calculateur!DD187*VLOOKUP('Données projet'!$B$13,Paramètres!$A$1:$I$89,3,0)*0.475*44/12</f>
        <v>9.4013640869387669E-2</v>
      </c>
      <c r="DH187" s="21">
        <f>EXP(-LN(2)/2)*DH186+(1-EXP(-LN(2)/2))/(LN(2)/2)*DB187*DE187*VLOOKUP('Données projet'!$B$13,Paramètres!$A$1:$I$89,3,0)*0.475*44/12</f>
        <v>5.2973916568894489E-23</v>
      </c>
      <c r="DI187" s="22">
        <f t="shared" si="175"/>
        <v>9.4013640869387669E-2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5.6843418860808015E-14</v>
      </c>
      <c r="DP187" s="17">
        <f>DO187*VLOOKUP('Données projet'!$B$14,Paramètres!$A$1:$I$89,3,0)*VLOOKUP('Données projet'!$B$14,Paramètres!$A$1:$I$89,5,0)</f>
        <v>3.3992364478763198E-14</v>
      </c>
      <c r="DQ187" s="13">
        <f t="shared" si="176"/>
        <v>5.790027782444094E-13</v>
      </c>
      <c r="DR187" s="20">
        <f t="shared" si="177"/>
        <v>1.0676332069095257E-12</v>
      </c>
      <c r="DS187" s="59">
        <f t="shared" si="125"/>
        <v>293.33333333333439</v>
      </c>
      <c r="DT187" s="59">
        <f ca="1">AVERAGE(OFFSET($DS$3,0,0,'Données projet'!$E$14+1,1))-AVERAGE(OFFSET($H$3,0,0,'Données projet'!$E$14+1,1))</f>
        <v>165.39579887388538</v>
      </c>
      <c r="DU187" s="59">
        <f t="shared" si="152"/>
        <v>155.89639262545802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>
        <f>EXP(-LN(2)/35)*EA186+(1-EXP(-LN(2)/35))/(LN(2)/35)*DW187*DX187*VLOOKUP('Données projet'!$B$14,Paramètres!$A$1:$I$89,3,0)*0.475*44/12</f>
        <v>0</v>
      </c>
      <c r="EB187" s="21">
        <f>EXP(-LN(2)/25)*EB186+(1-EXP(-LN(2)/25))/(LN(2)/25)*Calculateur!DW187*Calculateur!DY187*VLOOKUP('Données projet'!$B$14,Paramètres!$A$1:$I$89,3,0)*0.475*44/12</f>
        <v>0.10193839321561425</v>
      </c>
      <c r="EC187" s="21">
        <f>EXP(-LN(2)/2)*EC186+(1-EXP(-LN(2)/2))/(LN(2)/2)*DW187*DZ187*VLOOKUP('Données projet'!$B$14,Paramètres!$A$1:$I$89,3,0)*0.475*44/12</f>
        <v>9.1850371694776167E-23</v>
      </c>
      <c r="ED187" s="22">
        <f t="shared" si="178"/>
        <v>0.10193839321561425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2.8421709430404007E-14</v>
      </c>
      <c r="EK187" s="17">
        <f>EJ187*VLOOKUP('Données projet'!$B$15,Paramètres!$A$1:$I$89,3,0)*VLOOKUP('Données projet'!$B$15,Paramètres!$A$1:$I$89,5,0)</f>
        <v>2.2168933355715127E-14</v>
      </c>
      <c r="EL187" s="13">
        <f t="shared" si="179"/>
        <v>3.9687356123668477E-13</v>
      </c>
      <c r="EM187" s="20">
        <f t="shared" si="180"/>
        <v>7.2983234474842979E-13</v>
      </c>
      <c r="EN187" s="59">
        <f t="shared" si="128"/>
        <v>293.33333333333405</v>
      </c>
      <c r="EO187" s="59">
        <f ca="1">AVERAGE(OFFSET($EN$3,0,0,'Données projet'!$E$15+1,1))-AVERAGE(OFFSET($H$3,0,0,'Données projet'!$E$15+1,1))</f>
        <v>104.07220236158577</v>
      </c>
      <c r="EP187" s="59">
        <f t="shared" si="154"/>
        <v>34.162068257911756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>
        <f>EXP(-LN(2)/35)*EV186+(1-EXP(-LN(2)/35))/(LN(2)/35)*ER187*ES187*VLOOKUP('Données projet'!$B$15,Paramètres!$A$1:$I$89,3,0)*0.475*44/12</f>
        <v>0</v>
      </c>
      <c r="EW187" s="21">
        <f>EXP(-LN(2)/25)*EW186+(1-EXP(-LN(2)/25))/(LN(2)/25)*Calculateur!ER187*Calculateur!ET187*VLOOKUP('Données projet'!$B$15,Paramètres!$A$1:$I$89,3,0)*0.475*44/12</f>
        <v>0</v>
      </c>
      <c r="EX187" s="21">
        <f>EXP(-LN(2)/2)*EX186+(1-EXP(-LN(2)/2))/(LN(2)/2)*ER187*EU187*VLOOKUP('Données projet'!$B$15,Paramètres!$A$1:$I$89,3,0)*0.475*44/12</f>
        <v>0</v>
      </c>
      <c r="EY187" s="22">
        <f t="shared" si="181"/>
        <v>0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5.6843418860808015E-14</v>
      </c>
      <c r="FF187" s="17">
        <f>FE187*VLOOKUP('Données projet'!$B$16,Paramètres!$A$1:$I$89,3,0)*VLOOKUP('Données projet'!$B$16,Paramètres!$A$1:$I$89,5,0)</f>
        <v>5.1431925385259088E-14</v>
      </c>
      <c r="FG187" s="13">
        <f t="shared" si="182"/>
        <v>8.3482866290946129E-13</v>
      </c>
      <c r="FH187" s="20">
        <f t="shared" si="183"/>
        <v>1.5435705246133045E-12</v>
      </c>
      <c r="FI187" s="59">
        <f t="shared" si="131"/>
        <v>293.33333333333485</v>
      </c>
      <c r="FJ187" s="59">
        <f ca="1">AVERAGE(OFFSET($FI$3,0,0,'Données projet'!$E$16+1,1))-AVERAGE(OFFSET($H$3,0,0,'Données projet'!$E$16+1,1))</f>
        <v>179.50097986986123</v>
      </c>
      <c r="FK187" s="59">
        <f t="shared" si="156"/>
        <v>287.11838730637578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>
        <f>EXP(-LN(2)/35)*FQ186+(1-EXP(-LN(2)/35))/(LN(2)/35)*FM187*FN187*VLOOKUP('Données projet'!$B$16,Paramètres!$A$1:$I$89,3,0)*0.475*44/12</f>
        <v>2.952688449801125E-2</v>
      </c>
      <c r="FR187" s="21">
        <f>EXP(-LN(2)/25)*FR186+(1-EXP(-LN(2)/25))/(LN(2)/25)*Calculateur!FM187*Calculateur!FO187*VLOOKUP('Données projet'!$B$16,Paramètres!$A$1:$I$89,3,0)*0.475*44/12</f>
        <v>8.8015002020552818E-2</v>
      </c>
      <c r="FS187" s="21">
        <f>EXP(-LN(2)/2)*FS186+(1-EXP(-LN(2)/2))/(LN(2)/2)*FM187*FP187*VLOOKUP('Données projet'!$B$16,Paramètres!$A$1:$I$89,3,0)*0.475*44/12</f>
        <v>2.9916118604972012E-23</v>
      </c>
      <c r="FT187" s="22">
        <f t="shared" si="184"/>
        <v>0.11754188651856406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5.6843418860808015E-14</v>
      </c>
      <c r="GA187" s="17">
        <f>FZ187*VLOOKUP('Données projet'!$B$17,Paramètres!$A$1:$I$89,3,0)*VLOOKUP('Données projet'!$B$17,Paramètres!$A$1:$I$89,5,0)</f>
        <v>3.3992364478763198E-14</v>
      </c>
      <c r="GB187" s="13">
        <f t="shared" si="185"/>
        <v>5.790027782444094E-13</v>
      </c>
      <c r="GC187" s="20">
        <f t="shared" si="186"/>
        <v>1.0676332069095257E-12</v>
      </c>
      <c r="GD187" s="59">
        <f t="shared" si="134"/>
        <v>293.33333333333439</v>
      </c>
      <c r="GE187" s="59">
        <f ca="1">AVERAGE(OFFSET($GD$3,0,0,'Données projet'!$E$17+1,1))-AVERAGE(OFFSET($H$3,0,0,'Données projet'!$E$17+1,1))</f>
        <v>165.39579887388538</v>
      </c>
      <c r="GF187" s="59">
        <f t="shared" si="158"/>
        <v>155.89639262545802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>
        <f>EXP(-LN(2)/35)*GL186+(1-EXP(-LN(2)/35))/(LN(2)/35)*GH187*GI187*VLOOKUP('Données projet'!$B$17,Paramètres!$A$1:$I$89,3,0)*0.475*44/12</f>
        <v>0</v>
      </c>
      <c r="GM187" s="21">
        <f>EXP(-LN(2)/25)*GM186+(1-EXP(-LN(2)/25))/(LN(2)/25)*Calculateur!GH187*Calculateur!GJ187*VLOOKUP('Données projet'!$B$17,Paramètres!$A$1:$I$89,3,0)*0.475*44/12</f>
        <v>0.10193839321561425</v>
      </c>
      <c r="GN187" s="21">
        <f>EXP(-LN(2)/2)*GN186+(1-EXP(-LN(2)/2))/(LN(2)/2)*GH187*GK187*VLOOKUP('Données projet'!$B$17,Paramètres!$A$1:$I$89,3,0)*0.475*44/12</f>
        <v>9.1850371694776167E-23</v>
      </c>
      <c r="GO187" s="21">
        <f t="shared" si="187"/>
        <v>0.10193839321561425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3.4106051316484809E-13</v>
      </c>
      <c r="O188" s="13">
        <f>N188*VLOOKUP('Données projet'!$B$9,Paramètres!$A$1:$I$89,3,0)*VLOOKUP('Données projet'!$B$9,Paramètres!$A$1:$I$89,5,0)</f>
        <v>1.9065282685915009E-13</v>
      </c>
      <c r="P188" s="13">
        <f t="shared" si="141"/>
        <v>2.6568987209435707E-12</v>
      </c>
      <c r="Q188" s="20">
        <f t="shared" si="162"/>
        <v>4.959485612423072E-12</v>
      </c>
      <c r="R188" s="59">
        <f t="shared" si="109"/>
        <v>293.33333333333826</v>
      </c>
      <c r="S188" s="59">
        <f ca="1">AVERAGE(OFFSET($R$3,0,0,'Données projet'!$E$9+1,1))-AVERAGE(OFFSET($H$3,0,0,'Données projet'!$E$9+1,1))</f>
        <v>235.10258076192054</v>
      </c>
      <c r="T188" s="59">
        <f t="shared" si="142"/>
        <v>233.47316052603765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0.15909235181791348</v>
      </c>
      <c r="AA188" s="21">
        <f>EXP(-LN(2)/25)*AA187+(1-EXP(-LN(2)/25))/(LN(2)/25)*Calculateur!V188*Calculateur!X188*VLOOKUP('Données projet'!$B$9,Paramètres!$A$1:$I$89,3,0)*0.475*44/12</f>
        <v>0.25075780023928501</v>
      </c>
      <c r="AB188" s="21">
        <f>EXP(-LN(2)/2)*AB187+(1-EXP(-LN(2)/2))/(LN(2)/2)*V188*Y188*VLOOKUP('Données projet'!$B$9,Paramètres!$A$1:$I$89,3,0)*0.475*44/12</f>
        <v>1.128730136171418E-22</v>
      </c>
      <c r="AC188" s="22">
        <f t="shared" si="163"/>
        <v>0.40985015205719849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-8.5265128291212022E-14</v>
      </c>
      <c r="AJ188" s="13">
        <f>AI188*VLOOKUP('Données projet'!$B$10,Paramètres!$A$1:$I$89,3,0)*VLOOKUP('Données projet'!$B$10,Paramètres!$A$1:$I$89,5,0)</f>
        <v>-7.4487616075202836E-14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191.94797389630673</v>
      </c>
      <c r="AO188" s="59">
        <f t="shared" si="144"/>
        <v>273.52540822767878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0.11956031288134099</v>
      </c>
      <c r="AV188" s="21">
        <f>EXP(-LN(2)/25)*AV187+(1-EXP(-LN(2)/25))/(LN(2)/25)*Calculateur!AQ188*Calculateur!AS188*VLOOKUP('Données projet'!$B$10,Paramètres!$A$1:$I$89,3,0)*0.475*44/12</f>
        <v>0.1910879032567146</v>
      </c>
      <c r="AW188" s="21">
        <f>EXP(-LN(2)/2)*AW187+(1-EXP(-LN(2)/2))/(LN(2)/2)*AQ188*AT188*VLOOKUP('Données projet'!$B$10,Paramètres!$A$1:$I$89,3,0)*0.475*44/12</f>
        <v>1.0857270392339831E-22</v>
      </c>
      <c r="AX188" s="21">
        <f t="shared" si="166"/>
        <v>0.3106482161380556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2.8421709430404007E-14</v>
      </c>
      <c r="BE188" s="13">
        <f>BD188*VLOOKUP('Données projet'!$B$11,Paramètres!$A$1:$I$89,3,0)*VLOOKUP('Données projet'!$B$11,Paramètres!$A$1:$I$89,5,0)</f>
        <v>2.5715962692629544E-14</v>
      </c>
      <c r="BF188" s="13">
        <f t="shared" si="167"/>
        <v>4.5248818890525812E-13</v>
      </c>
      <c r="BG188" s="20">
        <f t="shared" si="168"/>
        <v>8.3287223069965432E-13</v>
      </c>
      <c r="BH188" s="59">
        <f t="shared" si="116"/>
        <v>293.33333333333417</v>
      </c>
      <c r="BI188" s="59">
        <f ca="1">AVERAGE(OFFSET($BH$3,0,0,'Données projet'!$E$11+1,1))-AVERAGE(OFFSET($H$3,0,0,'Données projet'!$E$11+1,1))</f>
        <v>138.8931001150624</v>
      </c>
      <c r="BJ188" s="59">
        <f t="shared" si="146"/>
        <v>48.964659354096625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2.8421709430404007E-14</v>
      </c>
      <c r="BZ188" s="13">
        <f>BY188*VLOOKUP('Données projet'!$B$12,Paramètres!$A$1:$I$89,3,0)*VLOOKUP('Données projet'!$B$12,Paramètres!$A$1:$I$89,5,0)</f>
        <v>2.8819613362429664E-14</v>
      </c>
      <c r="CA188" s="13">
        <f t="shared" si="170"/>
        <v>5.0041752926933358E-13</v>
      </c>
      <c r="CB188" s="20">
        <f t="shared" si="171"/>
        <v>9.2175469008365428E-13</v>
      </c>
      <c r="CC188" s="59">
        <f t="shared" si="119"/>
        <v>293.33333333333422</v>
      </c>
      <c r="CD188" s="59">
        <f ca="1">AVERAGE(OFFSET($CC$3,0,0,'Données projet'!$E$12+1,1))-AVERAGE(OFFSET($H$3,0,0,'Données projet'!$E$12+1,1))</f>
        <v>169.2757878405003</v>
      </c>
      <c r="CE188" s="59">
        <f t="shared" si="148"/>
        <v>61.876502626609977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-8.5265128291212022E-14</v>
      </c>
      <c r="CU188" s="17">
        <f>CT188*VLOOKUP('Données projet'!$B$13,Paramètres!$A$1:$I$89,3,0)*VLOOKUP('Données projet'!$B$13,Paramètres!$A$1:$I$89,5,0)</f>
        <v>-6.7836936068488286E-14</v>
      </c>
      <c r="CV188" s="13" t="e">
        <f t="shared" si="173"/>
        <v>#NUM!</v>
      </c>
      <c r="CW188" s="20" t="e">
        <f t="shared" si="174"/>
        <v>#NUM!</v>
      </c>
      <c r="CX188" s="59" t="e">
        <f t="shared" si="122"/>
        <v>#NUM!</v>
      </c>
      <c r="CY188" s="59">
        <f ca="1">AVERAGE(OFFSET($CX$3,0,0,'Données projet'!$E$13+1,1))-AVERAGE(OFFSET($H$3,0,0,'Données projet'!$E$13+1,1))</f>
        <v>141.12810728817544</v>
      </c>
      <c r="CZ188" s="59">
        <f t="shared" si="150"/>
        <v>176.01405805137551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>
        <f>EXP(-LN(2)/35)*DF187+(1-EXP(-LN(2)/35))/(LN(2)/35)*DB188*DC188*VLOOKUP('Données projet'!$B$13,Paramètres!$A$1:$I$89,3,0)*0.475*44/12</f>
        <v>0</v>
      </c>
      <c r="DG188" s="21">
        <f>EXP(-LN(2)/25)*DG187+(1-EXP(-LN(2)/25))/(LN(2)/25)*Calculateur!DB188*Calculateur!DD188*VLOOKUP('Données projet'!$B$13,Paramètres!$A$1:$I$89,3,0)*0.475*44/12</f>
        <v>9.1442832915851757E-2</v>
      </c>
      <c r="DH188" s="21">
        <f>EXP(-LN(2)/2)*DH187+(1-EXP(-LN(2)/2))/(LN(2)/2)*DB188*DE188*VLOOKUP('Données projet'!$B$13,Paramètres!$A$1:$I$89,3,0)*0.475*44/12</f>
        <v>3.7458215631875701E-23</v>
      </c>
      <c r="DI188" s="22">
        <f t="shared" si="175"/>
        <v>9.1442832915851757E-2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5.6843418860808015E-14</v>
      </c>
      <c r="DP188" s="17">
        <f>DO188*VLOOKUP('Données projet'!$B$14,Paramètres!$A$1:$I$89,3,0)*VLOOKUP('Données projet'!$B$14,Paramètres!$A$1:$I$89,5,0)</f>
        <v>3.3992364478763198E-14</v>
      </c>
      <c r="DQ188" s="13">
        <f t="shared" si="176"/>
        <v>5.790027782444094E-13</v>
      </c>
      <c r="DR188" s="20">
        <f t="shared" si="177"/>
        <v>1.0676332069095257E-12</v>
      </c>
      <c r="DS188" s="59">
        <f t="shared" si="125"/>
        <v>293.33333333333439</v>
      </c>
      <c r="DT188" s="59">
        <f ca="1">AVERAGE(OFFSET($DS$3,0,0,'Données projet'!$E$14+1,1))-AVERAGE(OFFSET($H$3,0,0,'Données projet'!$E$14+1,1))</f>
        <v>165.39579887388538</v>
      </c>
      <c r="DU188" s="59">
        <f t="shared" si="152"/>
        <v>155.89639262545802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>
        <f>EXP(-LN(2)/35)*EA187+(1-EXP(-LN(2)/35))/(LN(2)/35)*DW188*DX188*VLOOKUP('Données projet'!$B$14,Paramètres!$A$1:$I$89,3,0)*0.475*44/12</f>
        <v>0</v>
      </c>
      <c r="EB188" s="21">
        <f>EXP(-LN(2)/25)*EB187+(1-EXP(-LN(2)/25))/(LN(2)/25)*Calculateur!DW188*Calculateur!DY188*VLOOKUP('Données projet'!$B$14,Paramètres!$A$1:$I$89,3,0)*0.475*44/12</f>
        <v>9.9150882492426165E-2</v>
      </c>
      <c r="EC188" s="21">
        <f>EXP(-LN(2)/2)*EC187+(1-EXP(-LN(2)/2))/(LN(2)/2)*DW188*DZ188*VLOOKUP('Données projet'!$B$14,Paramètres!$A$1:$I$89,3,0)*0.475*44/12</f>
        <v>6.4948020679881148E-23</v>
      </c>
      <c r="ED188" s="22">
        <f t="shared" si="178"/>
        <v>9.9150882492426165E-2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2.8421709430404007E-14</v>
      </c>
      <c r="EK188" s="17">
        <f>EJ188*VLOOKUP('Données projet'!$B$15,Paramètres!$A$1:$I$89,3,0)*VLOOKUP('Données projet'!$B$15,Paramètres!$A$1:$I$89,5,0)</f>
        <v>2.2168933355715127E-14</v>
      </c>
      <c r="EL188" s="13">
        <f t="shared" si="179"/>
        <v>3.9687356123668477E-13</v>
      </c>
      <c r="EM188" s="20">
        <f t="shared" si="180"/>
        <v>7.2983234474842979E-13</v>
      </c>
      <c r="EN188" s="59">
        <f t="shared" si="128"/>
        <v>293.33333333333405</v>
      </c>
      <c r="EO188" s="59">
        <f ca="1">AVERAGE(OFFSET($EN$3,0,0,'Données projet'!$E$15+1,1))-AVERAGE(OFFSET($H$3,0,0,'Données projet'!$E$15+1,1))</f>
        <v>104.07220236158577</v>
      </c>
      <c r="EP188" s="59">
        <f t="shared" si="154"/>
        <v>34.162068257911756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>
        <f>EXP(-LN(2)/35)*EV187+(1-EXP(-LN(2)/35))/(LN(2)/35)*ER188*ES188*VLOOKUP('Données projet'!$B$15,Paramètres!$A$1:$I$89,3,0)*0.475*44/12</f>
        <v>0</v>
      </c>
      <c r="EW188" s="21">
        <f>EXP(-LN(2)/25)*EW187+(1-EXP(-LN(2)/25))/(LN(2)/25)*Calculateur!ER188*Calculateur!ET188*VLOOKUP('Données projet'!$B$15,Paramètres!$A$1:$I$89,3,0)*0.475*44/12</f>
        <v>0</v>
      </c>
      <c r="EX188" s="21">
        <f>EXP(-LN(2)/2)*EX187+(1-EXP(-LN(2)/2))/(LN(2)/2)*ER188*EU188*VLOOKUP('Données projet'!$B$15,Paramètres!$A$1:$I$89,3,0)*0.475*44/12</f>
        <v>0</v>
      </c>
      <c r="EY188" s="22">
        <f t="shared" si="181"/>
        <v>0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5.6843418860808015E-14</v>
      </c>
      <c r="FF188" s="17">
        <f>FE188*VLOOKUP('Données projet'!$B$16,Paramètres!$A$1:$I$89,3,0)*VLOOKUP('Données projet'!$B$16,Paramètres!$A$1:$I$89,5,0)</f>
        <v>5.1431925385259088E-14</v>
      </c>
      <c r="FG188" s="13">
        <f t="shared" si="182"/>
        <v>8.3482866290946129E-13</v>
      </c>
      <c r="FH188" s="20">
        <f t="shared" si="183"/>
        <v>1.5435705246133045E-12</v>
      </c>
      <c r="FI188" s="59">
        <f t="shared" si="131"/>
        <v>293.33333333333485</v>
      </c>
      <c r="FJ188" s="59">
        <f ca="1">AVERAGE(OFFSET($FI$3,0,0,'Données projet'!$E$16+1,1))-AVERAGE(OFFSET($H$3,0,0,'Données projet'!$E$16+1,1))</f>
        <v>179.50097986986123</v>
      </c>
      <c r="FK188" s="59">
        <f t="shared" si="156"/>
        <v>287.11838730637578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>
        <f>EXP(-LN(2)/35)*FQ187+(1-EXP(-LN(2)/35))/(LN(2)/35)*FM188*FN188*VLOOKUP('Données projet'!$B$16,Paramètres!$A$1:$I$89,3,0)*0.475*44/12</f>
        <v>2.8947880302626492E-2</v>
      </c>
      <c r="FR188" s="21">
        <f>EXP(-LN(2)/25)*FR187+(1-EXP(-LN(2)/25))/(LN(2)/25)*Calculateur!FM188*Calculateur!FO188*VLOOKUP('Données projet'!$B$16,Paramètres!$A$1:$I$89,3,0)*0.475*44/12</f>
        <v>8.5608227161793005E-2</v>
      </c>
      <c r="FS188" s="21">
        <f>EXP(-LN(2)/2)*FS187+(1-EXP(-LN(2)/2))/(LN(2)/2)*FM188*FP188*VLOOKUP('Données projet'!$B$16,Paramètres!$A$1:$I$89,3,0)*0.475*44/12</f>
        <v>2.1153890332356749E-23</v>
      </c>
      <c r="FT188" s="22">
        <f t="shared" si="184"/>
        <v>0.11455610746441949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5.6843418860808015E-14</v>
      </c>
      <c r="GA188" s="17">
        <f>FZ188*VLOOKUP('Données projet'!$B$17,Paramètres!$A$1:$I$89,3,0)*VLOOKUP('Données projet'!$B$17,Paramètres!$A$1:$I$89,5,0)</f>
        <v>3.3992364478763198E-14</v>
      </c>
      <c r="GB188" s="13">
        <f t="shared" si="185"/>
        <v>5.790027782444094E-13</v>
      </c>
      <c r="GC188" s="20">
        <f t="shared" si="186"/>
        <v>1.0676332069095257E-12</v>
      </c>
      <c r="GD188" s="59">
        <f t="shared" si="134"/>
        <v>293.33333333333439</v>
      </c>
      <c r="GE188" s="59">
        <f ca="1">AVERAGE(OFFSET($GD$3,0,0,'Données projet'!$E$17+1,1))-AVERAGE(OFFSET($H$3,0,0,'Données projet'!$E$17+1,1))</f>
        <v>165.39579887388538</v>
      </c>
      <c r="GF188" s="59">
        <f t="shared" si="158"/>
        <v>155.89639262545802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>
        <f>EXP(-LN(2)/35)*GL187+(1-EXP(-LN(2)/35))/(LN(2)/35)*GH188*GI188*VLOOKUP('Données projet'!$B$17,Paramètres!$A$1:$I$89,3,0)*0.475*44/12</f>
        <v>0</v>
      </c>
      <c r="GM188" s="21">
        <f>EXP(-LN(2)/25)*GM187+(1-EXP(-LN(2)/25))/(LN(2)/25)*Calculateur!GH188*Calculateur!GJ188*VLOOKUP('Données projet'!$B$17,Paramètres!$A$1:$I$89,3,0)*0.475*44/12</f>
        <v>9.9150882492426165E-2</v>
      </c>
      <c r="GN188" s="21">
        <f>EXP(-LN(2)/2)*GN187+(1-EXP(-LN(2)/2))/(LN(2)/2)*GH188*GK188*VLOOKUP('Données projet'!$B$17,Paramètres!$A$1:$I$89,3,0)*0.475*44/12</f>
        <v>6.4948020679881148E-23</v>
      </c>
      <c r="GO188" s="21">
        <f t="shared" si="187"/>
        <v>9.9150882492426165E-2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3.4106051316484809E-13</v>
      </c>
      <c r="O189" s="13">
        <f>N189*VLOOKUP('Données projet'!$B$9,Paramètres!$A$1:$I$89,3,0)*VLOOKUP('Données projet'!$B$9,Paramètres!$A$1:$I$89,5,0)</f>
        <v>1.9065282685915009E-13</v>
      </c>
      <c r="P189" s="13">
        <f t="shared" si="141"/>
        <v>2.6568987209435707E-12</v>
      </c>
      <c r="Q189" s="20">
        <f t="shared" si="162"/>
        <v>4.959485612423072E-12</v>
      </c>
      <c r="R189" s="59">
        <f t="shared" si="109"/>
        <v>293.33333333333826</v>
      </c>
      <c r="S189" s="59">
        <f ca="1">AVERAGE(OFFSET($R$3,0,0,'Données projet'!$E$9+1,1))-AVERAGE(OFFSET($H$3,0,0,'Données projet'!$E$9+1,1))</f>
        <v>235.10258076192054</v>
      </c>
      <c r="T189" s="59">
        <f t="shared" si="142"/>
        <v>233.47316052603765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0.15597264783551723</v>
      </c>
      <c r="AA189" s="21">
        <f>EXP(-LN(2)/25)*AA188+(1-EXP(-LN(2)/25))/(LN(2)/25)*Calculateur!V189*Calculateur!X189*VLOOKUP('Données projet'!$B$9,Paramètres!$A$1:$I$89,3,0)*0.475*44/12</f>
        <v>0.24390081500496216</v>
      </c>
      <c r="AB189" s="21">
        <f>EXP(-LN(2)/2)*AB188+(1-EXP(-LN(2)/2))/(LN(2)/2)*V189*Y189*VLOOKUP('Données projet'!$B$9,Paramètres!$A$1:$I$89,3,0)*0.475*44/12</f>
        <v>7.9813273341642484E-23</v>
      </c>
      <c r="AC189" s="22">
        <f t="shared" si="163"/>
        <v>0.39987346284047942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-8.5265128291212022E-14</v>
      </c>
      <c r="AJ189" s="13">
        <f>AI189*VLOOKUP('Données projet'!$B$10,Paramètres!$A$1:$I$89,3,0)*VLOOKUP('Données projet'!$B$10,Paramètres!$A$1:$I$89,5,0)</f>
        <v>-7.4487616075202836E-14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191.94797389630673</v>
      </c>
      <c r="AO189" s="59">
        <f t="shared" si="144"/>
        <v>273.52540822767878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0.11721580807032804</v>
      </c>
      <c r="AV189" s="21">
        <f>EXP(-LN(2)/25)*AV188+(1-EXP(-LN(2)/25))/(LN(2)/25)*Calculateur!AQ189*Calculateur!AS189*VLOOKUP('Données projet'!$B$10,Paramètres!$A$1:$I$89,3,0)*0.475*44/12</f>
        <v>0.18586259449328363</v>
      </c>
      <c r="AW189" s="21">
        <f>EXP(-LN(2)/2)*AW188+(1-EXP(-LN(2)/2))/(LN(2)/2)*AQ189*AT189*VLOOKUP('Données projet'!$B$10,Paramètres!$A$1:$I$89,3,0)*0.475*44/12</f>
        <v>7.6772495195994224E-23</v>
      </c>
      <c r="AX189" s="21">
        <f t="shared" si="166"/>
        <v>0.30307840256361168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2.8421709430404007E-14</v>
      </c>
      <c r="BE189" s="13">
        <f>BD189*VLOOKUP('Données projet'!$B$11,Paramètres!$A$1:$I$89,3,0)*VLOOKUP('Données projet'!$B$11,Paramètres!$A$1:$I$89,5,0)</f>
        <v>2.5715962692629544E-14</v>
      </c>
      <c r="BF189" s="13">
        <f t="shared" si="167"/>
        <v>4.5248818890525812E-13</v>
      </c>
      <c r="BG189" s="20">
        <f t="shared" si="168"/>
        <v>8.3287223069965432E-13</v>
      </c>
      <c r="BH189" s="59">
        <f t="shared" si="116"/>
        <v>293.33333333333417</v>
      </c>
      <c r="BI189" s="59">
        <f ca="1">AVERAGE(OFFSET($BH$3,0,0,'Données projet'!$E$11+1,1))-AVERAGE(OFFSET($H$3,0,0,'Données projet'!$E$11+1,1))</f>
        <v>138.8931001150624</v>
      </c>
      <c r="BJ189" s="59">
        <f t="shared" si="146"/>
        <v>48.964659354096625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2.8421709430404007E-14</v>
      </c>
      <c r="BZ189" s="13">
        <f>BY189*VLOOKUP('Données projet'!$B$12,Paramètres!$A$1:$I$89,3,0)*VLOOKUP('Données projet'!$B$12,Paramètres!$A$1:$I$89,5,0)</f>
        <v>2.8819613362429664E-14</v>
      </c>
      <c r="CA189" s="13">
        <f t="shared" si="170"/>
        <v>5.0041752926933358E-13</v>
      </c>
      <c r="CB189" s="20">
        <f t="shared" si="171"/>
        <v>9.2175469008365428E-13</v>
      </c>
      <c r="CC189" s="59">
        <f t="shared" si="119"/>
        <v>293.33333333333422</v>
      </c>
      <c r="CD189" s="59">
        <f ca="1">AVERAGE(OFFSET($CC$3,0,0,'Données projet'!$E$12+1,1))-AVERAGE(OFFSET($H$3,0,0,'Données projet'!$E$12+1,1))</f>
        <v>169.2757878405003</v>
      </c>
      <c r="CE189" s="59">
        <f t="shared" si="148"/>
        <v>61.876502626609977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-8.5265128291212022E-14</v>
      </c>
      <c r="CU189" s="17">
        <f>CT189*VLOOKUP('Données projet'!$B$13,Paramètres!$A$1:$I$89,3,0)*VLOOKUP('Données projet'!$B$13,Paramètres!$A$1:$I$89,5,0)</f>
        <v>-6.7836936068488286E-14</v>
      </c>
      <c r="CV189" s="13" t="e">
        <f t="shared" si="173"/>
        <v>#NUM!</v>
      </c>
      <c r="CW189" s="20" t="e">
        <f t="shared" si="174"/>
        <v>#NUM!</v>
      </c>
      <c r="CX189" s="59" t="e">
        <f t="shared" si="122"/>
        <v>#NUM!</v>
      </c>
      <c r="CY189" s="59">
        <f ca="1">AVERAGE(OFFSET($CX$3,0,0,'Données projet'!$E$13+1,1))-AVERAGE(OFFSET($H$3,0,0,'Données projet'!$E$13+1,1))</f>
        <v>141.12810728817544</v>
      </c>
      <c r="CZ189" s="59">
        <f t="shared" si="150"/>
        <v>176.01405805137551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>
        <f>EXP(-LN(2)/35)*DF188+(1-EXP(-LN(2)/35))/(LN(2)/35)*DB189*DC189*VLOOKUP('Données projet'!$B$13,Paramètres!$A$1:$I$89,3,0)*0.475*44/12</f>
        <v>0</v>
      </c>
      <c r="DG189" s="21">
        <f>EXP(-LN(2)/25)*DG188+(1-EXP(-LN(2)/25))/(LN(2)/25)*Calculateur!DB189*Calculateur!DD189*VLOOKUP('Données projet'!$B$13,Paramètres!$A$1:$I$89,3,0)*0.475*44/12</f>
        <v>8.8942323840998205E-2</v>
      </c>
      <c r="DH189" s="21">
        <f>EXP(-LN(2)/2)*DH188+(1-EXP(-LN(2)/2))/(LN(2)/2)*DB189*DE189*VLOOKUP('Données projet'!$B$13,Paramètres!$A$1:$I$89,3,0)*0.475*44/12</f>
        <v>2.6486958284447244E-23</v>
      </c>
      <c r="DI189" s="22">
        <f t="shared" si="175"/>
        <v>8.8942323840998205E-2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5.6843418860808015E-14</v>
      </c>
      <c r="DP189" s="17">
        <f>DO189*VLOOKUP('Données projet'!$B$14,Paramètres!$A$1:$I$89,3,0)*VLOOKUP('Données projet'!$B$14,Paramètres!$A$1:$I$89,5,0)</f>
        <v>3.3992364478763198E-14</v>
      </c>
      <c r="DQ189" s="13">
        <f t="shared" si="176"/>
        <v>5.790027782444094E-13</v>
      </c>
      <c r="DR189" s="20">
        <f t="shared" si="177"/>
        <v>1.0676332069095257E-12</v>
      </c>
      <c r="DS189" s="59">
        <f t="shared" si="125"/>
        <v>293.33333333333439</v>
      </c>
      <c r="DT189" s="59">
        <f ca="1">AVERAGE(OFFSET($DS$3,0,0,'Données projet'!$E$14+1,1))-AVERAGE(OFFSET($H$3,0,0,'Données projet'!$E$14+1,1))</f>
        <v>165.39579887388538</v>
      </c>
      <c r="DU189" s="59">
        <f t="shared" si="152"/>
        <v>155.89639262545802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>
        <f>EXP(-LN(2)/35)*EA188+(1-EXP(-LN(2)/35))/(LN(2)/35)*DW189*DX189*VLOOKUP('Données projet'!$B$14,Paramètres!$A$1:$I$89,3,0)*0.475*44/12</f>
        <v>0</v>
      </c>
      <c r="EB189" s="21">
        <f>EXP(-LN(2)/25)*EB188+(1-EXP(-LN(2)/25))/(LN(2)/25)*Calculateur!DW189*Calculateur!DY189*VLOOKUP('Données projet'!$B$14,Paramètres!$A$1:$I$89,3,0)*0.475*44/12</f>
        <v>9.6439596396552474E-2</v>
      </c>
      <c r="EC189" s="21">
        <f>EXP(-LN(2)/2)*EC188+(1-EXP(-LN(2)/2))/(LN(2)/2)*DW189*DZ189*VLOOKUP('Données projet'!$B$14,Paramètres!$A$1:$I$89,3,0)*0.475*44/12</f>
        <v>4.5925185847388083E-23</v>
      </c>
      <c r="ED189" s="22">
        <f t="shared" si="178"/>
        <v>9.6439596396552474E-2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2.8421709430404007E-14</v>
      </c>
      <c r="EK189" s="17">
        <f>EJ189*VLOOKUP('Données projet'!$B$15,Paramètres!$A$1:$I$89,3,0)*VLOOKUP('Données projet'!$B$15,Paramètres!$A$1:$I$89,5,0)</f>
        <v>2.2168933355715127E-14</v>
      </c>
      <c r="EL189" s="13">
        <f t="shared" si="179"/>
        <v>3.9687356123668477E-13</v>
      </c>
      <c r="EM189" s="20">
        <f t="shared" si="180"/>
        <v>7.2983234474842979E-13</v>
      </c>
      <c r="EN189" s="59">
        <f t="shared" si="128"/>
        <v>293.33333333333405</v>
      </c>
      <c r="EO189" s="59">
        <f ca="1">AVERAGE(OFFSET($EN$3,0,0,'Données projet'!$E$15+1,1))-AVERAGE(OFFSET($H$3,0,0,'Données projet'!$E$15+1,1))</f>
        <v>104.07220236158577</v>
      </c>
      <c r="EP189" s="59">
        <f t="shared" si="154"/>
        <v>34.162068257911756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>
        <f>EXP(-LN(2)/35)*EV188+(1-EXP(-LN(2)/35))/(LN(2)/35)*ER189*ES189*VLOOKUP('Données projet'!$B$15,Paramètres!$A$1:$I$89,3,0)*0.475*44/12</f>
        <v>0</v>
      </c>
      <c r="EW189" s="21">
        <f>EXP(-LN(2)/25)*EW188+(1-EXP(-LN(2)/25))/(LN(2)/25)*Calculateur!ER189*Calculateur!ET189*VLOOKUP('Données projet'!$B$15,Paramètres!$A$1:$I$89,3,0)*0.475*44/12</f>
        <v>0</v>
      </c>
      <c r="EX189" s="21">
        <f>EXP(-LN(2)/2)*EX188+(1-EXP(-LN(2)/2))/(LN(2)/2)*ER189*EU189*VLOOKUP('Données projet'!$B$15,Paramètres!$A$1:$I$89,3,0)*0.475*44/12</f>
        <v>0</v>
      </c>
      <c r="EY189" s="22">
        <f t="shared" si="181"/>
        <v>0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5.6843418860808015E-14</v>
      </c>
      <c r="FF189" s="17">
        <f>FE189*VLOOKUP('Données projet'!$B$16,Paramètres!$A$1:$I$89,3,0)*VLOOKUP('Données projet'!$B$16,Paramètres!$A$1:$I$89,5,0)</f>
        <v>5.1431925385259088E-14</v>
      </c>
      <c r="FG189" s="13">
        <f t="shared" si="182"/>
        <v>8.3482866290946129E-13</v>
      </c>
      <c r="FH189" s="20">
        <f t="shared" si="183"/>
        <v>1.5435705246133045E-12</v>
      </c>
      <c r="FI189" s="59">
        <f t="shared" si="131"/>
        <v>293.33333333333485</v>
      </c>
      <c r="FJ189" s="59">
        <f ca="1">AVERAGE(OFFSET($FI$3,0,0,'Données projet'!$E$16+1,1))-AVERAGE(OFFSET($H$3,0,0,'Données projet'!$E$16+1,1))</f>
        <v>179.50097986986123</v>
      </c>
      <c r="FK189" s="59">
        <f t="shared" si="156"/>
        <v>287.11838730637578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>
        <f>EXP(-LN(2)/35)*FQ188+(1-EXP(-LN(2)/35))/(LN(2)/35)*FM189*FN189*VLOOKUP('Données projet'!$B$16,Paramètres!$A$1:$I$89,3,0)*0.475*44/12</f>
        <v>2.8380230026355539E-2</v>
      </c>
      <c r="FR189" s="21">
        <f>EXP(-LN(2)/25)*FR188+(1-EXP(-LN(2)/25))/(LN(2)/25)*Calculateur!FM189*Calculateur!FO189*VLOOKUP('Données projet'!$B$16,Paramètres!$A$1:$I$89,3,0)*0.475*44/12</f>
        <v>8.3267265688112768E-2</v>
      </c>
      <c r="FS189" s="21">
        <f>EXP(-LN(2)/2)*FS188+(1-EXP(-LN(2)/2))/(LN(2)/2)*FM189*FP189*VLOOKUP('Données projet'!$B$16,Paramètres!$A$1:$I$89,3,0)*0.475*44/12</f>
        <v>1.4958059302486006E-23</v>
      </c>
      <c r="FT189" s="22">
        <f t="shared" si="184"/>
        <v>0.1116474957144683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5.6843418860808015E-14</v>
      </c>
      <c r="GA189" s="17">
        <f>FZ189*VLOOKUP('Données projet'!$B$17,Paramètres!$A$1:$I$89,3,0)*VLOOKUP('Données projet'!$B$17,Paramètres!$A$1:$I$89,5,0)</f>
        <v>3.3992364478763198E-14</v>
      </c>
      <c r="GB189" s="13">
        <f t="shared" si="185"/>
        <v>5.790027782444094E-13</v>
      </c>
      <c r="GC189" s="20">
        <f t="shared" si="186"/>
        <v>1.0676332069095257E-12</v>
      </c>
      <c r="GD189" s="59">
        <f t="shared" si="134"/>
        <v>293.33333333333439</v>
      </c>
      <c r="GE189" s="59">
        <f ca="1">AVERAGE(OFFSET($GD$3,0,0,'Données projet'!$E$17+1,1))-AVERAGE(OFFSET($H$3,0,0,'Données projet'!$E$17+1,1))</f>
        <v>165.39579887388538</v>
      </c>
      <c r="GF189" s="59">
        <f t="shared" si="158"/>
        <v>155.89639262545802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>
        <f>EXP(-LN(2)/35)*GL188+(1-EXP(-LN(2)/35))/(LN(2)/35)*GH189*GI189*VLOOKUP('Données projet'!$B$17,Paramètres!$A$1:$I$89,3,0)*0.475*44/12</f>
        <v>0</v>
      </c>
      <c r="GM189" s="21">
        <f>EXP(-LN(2)/25)*GM188+(1-EXP(-LN(2)/25))/(LN(2)/25)*Calculateur!GH189*Calculateur!GJ189*VLOOKUP('Données projet'!$B$17,Paramètres!$A$1:$I$89,3,0)*0.475*44/12</f>
        <v>9.6439596396552474E-2</v>
      </c>
      <c r="GN189" s="21">
        <f>EXP(-LN(2)/2)*GN188+(1-EXP(-LN(2)/2))/(LN(2)/2)*GH189*GK189*VLOOKUP('Données projet'!$B$17,Paramètres!$A$1:$I$89,3,0)*0.475*44/12</f>
        <v>4.5925185847388083E-23</v>
      </c>
      <c r="GO189" s="21">
        <f t="shared" si="187"/>
        <v>9.6439596396552474E-2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3.4106051316484809E-13</v>
      </c>
      <c r="O190" s="13">
        <f>N190*VLOOKUP('Données projet'!$B$9,Paramètres!$A$1:$I$89,3,0)*VLOOKUP('Données projet'!$B$9,Paramètres!$A$1:$I$89,5,0)</f>
        <v>1.9065282685915009E-13</v>
      </c>
      <c r="P190" s="13">
        <f t="shared" si="141"/>
        <v>2.6568987209435707E-12</v>
      </c>
      <c r="Q190" s="20">
        <f t="shared" si="162"/>
        <v>4.959485612423072E-12</v>
      </c>
      <c r="R190" s="59">
        <f t="shared" si="109"/>
        <v>293.33333333333826</v>
      </c>
      <c r="S190" s="59">
        <f ca="1">AVERAGE(OFFSET($R$3,0,0,'Données projet'!$E$9+1,1))-AVERAGE(OFFSET($H$3,0,0,'Données projet'!$E$9+1,1))</f>
        <v>235.10258076192054</v>
      </c>
      <c r="T190" s="59">
        <f t="shared" si="142"/>
        <v>233.47316052603765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0.15291411934538424</v>
      </c>
      <c r="AA190" s="21">
        <f>EXP(-LN(2)/25)*AA189+(1-EXP(-LN(2)/25))/(LN(2)/25)*Calculateur!V190*Calculateur!X190*VLOOKUP('Données projet'!$B$9,Paramètres!$A$1:$I$89,3,0)*0.475*44/12</f>
        <v>0.23723133439246505</v>
      </c>
      <c r="AB190" s="21">
        <f>EXP(-LN(2)/2)*AB189+(1-EXP(-LN(2)/2))/(LN(2)/2)*V190*Y190*VLOOKUP('Données projet'!$B$9,Paramètres!$A$1:$I$89,3,0)*0.475*44/12</f>
        <v>5.6436506808570898E-23</v>
      </c>
      <c r="AC190" s="22">
        <f t="shared" si="163"/>
        <v>0.39014545373784926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-8.5265128291212022E-14</v>
      </c>
      <c r="AJ190" s="13">
        <f>AI190*VLOOKUP('Données projet'!$B$10,Paramètres!$A$1:$I$89,3,0)*VLOOKUP('Données projet'!$B$10,Paramètres!$A$1:$I$89,5,0)</f>
        <v>-7.4487616075202836E-14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191.94797389630673</v>
      </c>
      <c r="AO190" s="59">
        <f t="shared" si="144"/>
        <v>273.52540822767878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0.11491727756865233</v>
      </c>
      <c r="AV190" s="21">
        <f>EXP(-LN(2)/25)*AV189+(1-EXP(-LN(2)/25))/(LN(2)/25)*Calculateur!AQ190*Calculateur!AS190*VLOOKUP('Données projet'!$B$10,Paramètres!$A$1:$I$89,3,0)*0.475*44/12</f>
        <v>0.18078017207277575</v>
      </c>
      <c r="AW190" s="21">
        <f>EXP(-LN(2)/2)*AW189+(1-EXP(-LN(2)/2))/(LN(2)/2)*AQ190*AT190*VLOOKUP('Données projet'!$B$10,Paramètres!$A$1:$I$89,3,0)*0.475*44/12</f>
        <v>5.4286351961699157E-23</v>
      </c>
      <c r="AX190" s="21">
        <f t="shared" si="166"/>
        <v>0.29569744964142808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2.8421709430404007E-14</v>
      </c>
      <c r="BE190" s="13">
        <f>BD190*VLOOKUP('Données projet'!$B$11,Paramètres!$A$1:$I$89,3,0)*VLOOKUP('Données projet'!$B$11,Paramètres!$A$1:$I$89,5,0)</f>
        <v>2.5715962692629544E-14</v>
      </c>
      <c r="BF190" s="13">
        <f t="shared" si="167"/>
        <v>4.5248818890525812E-13</v>
      </c>
      <c r="BG190" s="20">
        <f t="shared" si="168"/>
        <v>8.3287223069965432E-13</v>
      </c>
      <c r="BH190" s="59">
        <f t="shared" si="116"/>
        <v>293.33333333333417</v>
      </c>
      <c r="BI190" s="59">
        <f ca="1">AVERAGE(OFFSET($BH$3,0,0,'Données projet'!$E$11+1,1))-AVERAGE(OFFSET($H$3,0,0,'Données projet'!$E$11+1,1))</f>
        <v>138.8931001150624</v>
      </c>
      <c r="BJ190" s="59">
        <f t="shared" si="146"/>
        <v>48.964659354096625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2.8421709430404007E-14</v>
      </c>
      <c r="BZ190" s="13">
        <f>BY190*VLOOKUP('Données projet'!$B$12,Paramètres!$A$1:$I$89,3,0)*VLOOKUP('Données projet'!$B$12,Paramètres!$A$1:$I$89,5,0)</f>
        <v>2.8819613362429664E-14</v>
      </c>
      <c r="CA190" s="13">
        <f t="shared" si="170"/>
        <v>5.0041752926933358E-13</v>
      </c>
      <c r="CB190" s="20">
        <f t="shared" si="171"/>
        <v>9.2175469008365428E-13</v>
      </c>
      <c r="CC190" s="59">
        <f t="shared" si="119"/>
        <v>293.33333333333422</v>
      </c>
      <c r="CD190" s="59">
        <f ca="1">AVERAGE(OFFSET($CC$3,0,0,'Données projet'!$E$12+1,1))-AVERAGE(OFFSET($H$3,0,0,'Données projet'!$E$12+1,1))</f>
        <v>169.2757878405003</v>
      </c>
      <c r="CE190" s="59">
        <f t="shared" si="148"/>
        <v>61.876502626609977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-8.5265128291212022E-14</v>
      </c>
      <c r="CU190" s="17">
        <f>CT190*VLOOKUP('Données projet'!$B$13,Paramètres!$A$1:$I$89,3,0)*VLOOKUP('Données projet'!$B$13,Paramètres!$A$1:$I$89,5,0)</f>
        <v>-6.7836936068488286E-14</v>
      </c>
      <c r="CV190" s="13" t="e">
        <f t="shared" si="173"/>
        <v>#NUM!</v>
      </c>
      <c r="CW190" s="20" t="e">
        <f t="shared" si="174"/>
        <v>#NUM!</v>
      </c>
      <c r="CX190" s="59" t="e">
        <f t="shared" si="122"/>
        <v>#NUM!</v>
      </c>
      <c r="CY190" s="59">
        <f ca="1">AVERAGE(OFFSET($CX$3,0,0,'Données projet'!$E$13+1,1))-AVERAGE(OFFSET($H$3,0,0,'Données projet'!$E$13+1,1))</f>
        <v>141.12810728817544</v>
      </c>
      <c r="CZ190" s="59">
        <f t="shared" si="150"/>
        <v>176.01405805137551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>
        <f>EXP(-LN(2)/35)*DF189+(1-EXP(-LN(2)/35))/(LN(2)/35)*DB190*DC190*VLOOKUP('Données projet'!$B$13,Paramètres!$A$1:$I$89,3,0)*0.475*44/12</f>
        <v>0</v>
      </c>
      <c r="DG190" s="21">
        <f>EXP(-LN(2)/25)*DG189+(1-EXP(-LN(2)/25))/(LN(2)/25)*Calculateur!DB190*Calculateur!DD190*VLOOKUP('Données projet'!$B$13,Paramètres!$A$1:$I$89,3,0)*0.475*44/12</f>
        <v>8.6510191318292573E-2</v>
      </c>
      <c r="DH190" s="21">
        <f>EXP(-LN(2)/2)*DH189+(1-EXP(-LN(2)/2))/(LN(2)/2)*DB190*DE190*VLOOKUP('Données projet'!$B$13,Paramètres!$A$1:$I$89,3,0)*0.475*44/12</f>
        <v>1.872910781593785E-23</v>
      </c>
      <c r="DI190" s="22">
        <f t="shared" si="175"/>
        <v>8.6510191318292573E-2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5.6843418860808015E-14</v>
      </c>
      <c r="DP190" s="17">
        <f>DO190*VLOOKUP('Données projet'!$B$14,Paramètres!$A$1:$I$89,3,0)*VLOOKUP('Données projet'!$B$14,Paramètres!$A$1:$I$89,5,0)</f>
        <v>3.3992364478763198E-14</v>
      </c>
      <c r="DQ190" s="13">
        <f t="shared" si="176"/>
        <v>5.790027782444094E-13</v>
      </c>
      <c r="DR190" s="20">
        <f t="shared" si="177"/>
        <v>1.0676332069095257E-12</v>
      </c>
      <c r="DS190" s="59">
        <f t="shared" si="125"/>
        <v>293.33333333333439</v>
      </c>
      <c r="DT190" s="59">
        <f ca="1">AVERAGE(OFFSET($DS$3,0,0,'Données projet'!$E$14+1,1))-AVERAGE(OFFSET($H$3,0,0,'Données projet'!$E$14+1,1))</f>
        <v>165.39579887388538</v>
      </c>
      <c r="DU190" s="59">
        <f t="shared" si="152"/>
        <v>155.89639262545802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>
        <f>EXP(-LN(2)/35)*EA189+(1-EXP(-LN(2)/35))/(LN(2)/35)*DW190*DX190*VLOOKUP('Données projet'!$B$14,Paramètres!$A$1:$I$89,3,0)*0.475*44/12</f>
        <v>0</v>
      </c>
      <c r="EB190" s="21">
        <f>EXP(-LN(2)/25)*EB189+(1-EXP(-LN(2)/25))/(LN(2)/25)*Calculateur!DW190*Calculateur!DY190*VLOOKUP('Données projet'!$B$14,Paramètres!$A$1:$I$89,3,0)*0.475*44/12</f>
        <v>9.3802450561550788E-2</v>
      </c>
      <c r="EC190" s="21">
        <f>EXP(-LN(2)/2)*EC189+(1-EXP(-LN(2)/2))/(LN(2)/2)*DW190*DZ190*VLOOKUP('Données projet'!$B$14,Paramètres!$A$1:$I$89,3,0)*0.475*44/12</f>
        <v>3.2474010339940574E-23</v>
      </c>
      <c r="ED190" s="22">
        <f t="shared" si="178"/>
        <v>9.3802450561550788E-2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2.8421709430404007E-14</v>
      </c>
      <c r="EK190" s="17">
        <f>EJ190*VLOOKUP('Données projet'!$B$15,Paramètres!$A$1:$I$89,3,0)*VLOOKUP('Données projet'!$B$15,Paramètres!$A$1:$I$89,5,0)</f>
        <v>2.2168933355715127E-14</v>
      </c>
      <c r="EL190" s="13">
        <f t="shared" si="179"/>
        <v>3.9687356123668477E-13</v>
      </c>
      <c r="EM190" s="20">
        <f t="shared" si="180"/>
        <v>7.2983234474842979E-13</v>
      </c>
      <c r="EN190" s="59">
        <f t="shared" si="128"/>
        <v>293.33333333333405</v>
      </c>
      <c r="EO190" s="59">
        <f ca="1">AVERAGE(OFFSET($EN$3,0,0,'Données projet'!$E$15+1,1))-AVERAGE(OFFSET($H$3,0,0,'Données projet'!$E$15+1,1))</f>
        <v>104.07220236158577</v>
      </c>
      <c r="EP190" s="59">
        <f t="shared" si="154"/>
        <v>34.162068257911756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>
        <f>EXP(-LN(2)/35)*EV189+(1-EXP(-LN(2)/35))/(LN(2)/35)*ER190*ES190*VLOOKUP('Données projet'!$B$15,Paramètres!$A$1:$I$89,3,0)*0.475*44/12</f>
        <v>0</v>
      </c>
      <c r="EW190" s="21">
        <f>EXP(-LN(2)/25)*EW189+(1-EXP(-LN(2)/25))/(LN(2)/25)*Calculateur!ER190*Calculateur!ET190*VLOOKUP('Données projet'!$B$15,Paramètres!$A$1:$I$89,3,0)*0.475*44/12</f>
        <v>0</v>
      </c>
      <c r="EX190" s="21">
        <f>EXP(-LN(2)/2)*EX189+(1-EXP(-LN(2)/2))/(LN(2)/2)*ER190*EU190*VLOOKUP('Données projet'!$B$15,Paramètres!$A$1:$I$89,3,0)*0.475*44/12</f>
        <v>0</v>
      </c>
      <c r="EY190" s="22">
        <f t="shared" si="181"/>
        <v>0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5.6843418860808015E-14</v>
      </c>
      <c r="FF190" s="17">
        <f>FE190*VLOOKUP('Données projet'!$B$16,Paramètres!$A$1:$I$89,3,0)*VLOOKUP('Données projet'!$B$16,Paramètres!$A$1:$I$89,5,0)</f>
        <v>5.1431925385259088E-14</v>
      </c>
      <c r="FG190" s="13">
        <f t="shared" si="182"/>
        <v>8.3482866290946129E-13</v>
      </c>
      <c r="FH190" s="20">
        <f t="shared" si="183"/>
        <v>1.5435705246133045E-12</v>
      </c>
      <c r="FI190" s="59">
        <f t="shared" si="131"/>
        <v>293.33333333333485</v>
      </c>
      <c r="FJ190" s="59">
        <f ca="1">AVERAGE(OFFSET($FI$3,0,0,'Données projet'!$E$16+1,1))-AVERAGE(OFFSET($H$3,0,0,'Données projet'!$E$16+1,1))</f>
        <v>179.50097986986123</v>
      </c>
      <c r="FK190" s="59">
        <f t="shared" si="156"/>
        <v>287.11838730637578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>
        <f>EXP(-LN(2)/35)*FQ189+(1-EXP(-LN(2)/35))/(LN(2)/35)*FM190*FN190*VLOOKUP('Données projet'!$B$16,Paramètres!$A$1:$I$89,3,0)*0.475*44/12</f>
        <v>2.782371102576978E-2</v>
      </c>
      <c r="FR190" s="21">
        <f>EXP(-LN(2)/25)*FR189+(1-EXP(-LN(2)/25))/(LN(2)/25)*Calculateur!FM190*Calculateur!FO190*VLOOKUP('Données projet'!$B$16,Paramètres!$A$1:$I$89,3,0)*0.475*44/12</f>
        <v>8.0990317929036132E-2</v>
      </c>
      <c r="FS190" s="21">
        <f>EXP(-LN(2)/2)*FS189+(1-EXP(-LN(2)/2))/(LN(2)/2)*FM190*FP190*VLOOKUP('Données projet'!$B$16,Paramètres!$A$1:$I$89,3,0)*0.475*44/12</f>
        <v>1.0576945166178374E-23</v>
      </c>
      <c r="FT190" s="22">
        <f t="shared" si="184"/>
        <v>0.10881402895480591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5.6843418860808015E-14</v>
      </c>
      <c r="GA190" s="17">
        <f>FZ190*VLOOKUP('Données projet'!$B$17,Paramètres!$A$1:$I$89,3,0)*VLOOKUP('Données projet'!$B$17,Paramètres!$A$1:$I$89,5,0)</f>
        <v>3.3992364478763198E-14</v>
      </c>
      <c r="GB190" s="13">
        <f t="shared" si="185"/>
        <v>5.790027782444094E-13</v>
      </c>
      <c r="GC190" s="20">
        <f t="shared" si="186"/>
        <v>1.0676332069095257E-12</v>
      </c>
      <c r="GD190" s="59">
        <f t="shared" si="134"/>
        <v>293.33333333333439</v>
      </c>
      <c r="GE190" s="59">
        <f ca="1">AVERAGE(OFFSET($GD$3,0,0,'Données projet'!$E$17+1,1))-AVERAGE(OFFSET($H$3,0,0,'Données projet'!$E$17+1,1))</f>
        <v>165.39579887388538</v>
      </c>
      <c r="GF190" s="59">
        <f t="shared" si="158"/>
        <v>155.89639262545802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>
        <f>EXP(-LN(2)/35)*GL189+(1-EXP(-LN(2)/35))/(LN(2)/35)*GH190*GI190*VLOOKUP('Données projet'!$B$17,Paramètres!$A$1:$I$89,3,0)*0.475*44/12</f>
        <v>0</v>
      </c>
      <c r="GM190" s="21">
        <f>EXP(-LN(2)/25)*GM189+(1-EXP(-LN(2)/25))/(LN(2)/25)*Calculateur!GH190*Calculateur!GJ190*VLOOKUP('Données projet'!$B$17,Paramètres!$A$1:$I$89,3,0)*0.475*44/12</f>
        <v>9.3802450561550788E-2</v>
      </c>
      <c r="GN190" s="21">
        <f>EXP(-LN(2)/2)*GN189+(1-EXP(-LN(2)/2))/(LN(2)/2)*GH190*GK190*VLOOKUP('Données projet'!$B$17,Paramètres!$A$1:$I$89,3,0)*0.475*44/12</f>
        <v>3.2474010339940574E-23</v>
      </c>
      <c r="GO190" s="21">
        <f t="shared" si="187"/>
        <v>9.3802450561550788E-2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3.4106051316484809E-13</v>
      </c>
      <c r="O191" s="13">
        <f>N191*VLOOKUP('Données projet'!$B$9,Paramètres!$A$1:$I$89,3,0)*VLOOKUP('Données projet'!$B$9,Paramètres!$A$1:$I$89,5,0)</f>
        <v>1.9065282685915009E-13</v>
      </c>
      <c r="P191" s="13">
        <f t="shared" si="141"/>
        <v>2.6568987209435707E-12</v>
      </c>
      <c r="Q191" s="20">
        <f t="shared" si="162"/>
        <v>4.959485612423072E-12</v>
      </c>
      <c r="R191" s="59">
        <f t="shared" si="109"/>
        <v>293.33333333333826</v>
      </c>
      <c r="S191" s="59">
        <f ca="1">AVERAGE(OFFSET($R$3,0,0,'Données projet'!$E$9+1,1))-AVERAGE(OFFSET($H$3,0,0,'Données projet'!$E$9+1,1))</f>
        <v>235.10258076192054</v>
      </c>
      <c r="T191" s="59">
        <f t="shared" si="142"/>
        <v>233.47316052603765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0.14991556673342457</v>
      </c>
      <c r="AA191" s="21">
        <f>EXP(-LN(2)/25)*AA190+(1-EXP(-LN(2)/25))/(LN(2)/25)*Calculateur!V191*Calculateur!X191*VLOOKUP('Données projet'!$B$9,Paramètres!$A$1:$I$89,3,0)*0.475*44/12</f>
        <v>0.23074423107804942</v>
      </c>
      <c r="AB191" s="21">
        <f>EXP(-LN(2)/2)*AB190+(1-EXP(-LN(2)/2))/(LN(2)/2)*V191*Y191*VLOOKUP('Données projet'!$B$9,Paramètres!$A$1:$I$89,3,0)*0.475*44/12</f>
        <v>3.9906636670821242E-23</v>
      </c>
      <c r="AC191" s="22">
        <f t="shared" si="163"/>
        <v>0.38065979781147397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-8.5265128291212022E-14</v>
      </c>
      <c r="AJ191" s="13">
        <f>AI191*VLOOKUP('Données projet'!$B$10,Paramètres!$A$1:$I$89,3,0)*VLOOKUP('Données projet'!$B$10,Paramètres!$A$1:$I$89,5,0)</f>
        <v>-7.4487616075202836E-14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191.94797389630673</v>
      </c>
      <c r="AO191" s="59">
        <f t="shared" si="144"/>
        <v>273.52540822767878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0.1126638198481493</v>
      </c>
      <c r="AV191" s="21">
        <f>EXP(-LN(2)/25)*AV190+(1-EXP(-LN(2)/25))/(LN(2)/25)*Calculateur!AQ191*Calculateur!AS191*VLOOKUP('Données projet'!$B$10,Paramètres!$A$1:$I$89,3,0)*0.475*44/12</f>
        <v>0.17583672876062961</v>
      </c>
      <c r="AW191" s="21">
        <f>EXP(-LN(2)/2)*AW190+(1-EXP(-LN(2)/2))/(LN(2)/2)*AQ191*AT191*VLOOKUP('Données projet'!$B$10,Paramètres!$A$1:$I$89,3,0)*0.475*44/12</f>
        <v>3.8386247597997112E-23</v>
      </c>
      <c r="AX191" s="21">
        <f t="shared" si="166"/>
        <v>0.28850054860877894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2.8421709430404007E-14</v>
      </c>
      <c r="BE191" s="13">
        <f>BD191*VLOOKUP('Données projet'!$B$11,Paramètres!$A$1:$I$89,3,0)*VLOOKUP('Données projet'!$B$11,Paramètres!$A$1:$I$89,5,0)</f>
        <v>2.5715962692629544E-14</v>
      </c>
      <c r="BF191" s="13">
        <f t="shared" si="167"/>
        <v>4.5248818890525812E-13</v>
      </c>
      <c r="BG191" s="20">
        <f t="shared" si="168"/>
        <v>8.3287223069965432E-13</v>
      </c>
      <c r="BH191" s="59">
        <f t="shared" si="116"/>
        <v>293.33333333333417</v>
      </c>
      <c r="BI191" s="59">
        <f ca="1">AVERAGE(OFFSET($BH$3,0,0,'Données projet'!$E$11+1,1))-AVERAGE(OFFSET($H$3,0,0,'Données projet'!$E$11+1,1))</f>
        <v>138.8931001150624</v>
      </c>
      <c r="BJ191" s="59">
        <f t="shared" si="146"/>
        <v>48.964659354096625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2.8421709430404007E-14</v>
      </c>
      <c r="BZ191" s="13">
        <f>BY191*VLOOKUP('Données projet'!$B$12,Paramètres!$A$1:$I$89,3,0)*VLOOKUP('Données projet'!$B$12,Paramètres!$A$1:$I$89,5,0)</f>
        <v>2.8819613362429664E-14</v>
      </c>
      <c r="CA191" s="13">
        <f t="shared" si="170"/>
        <v>5.0041752926933358E-13</v>
      </c>
      <c r="CB191" s="20">
        <f t="shared" si="171"/>
        <v>9.2175469008365428E-13</v>
      </c>
      <c r="CC191" s="59">
        <f t="shared" si="119"/>
        <v>293.33333333333422</v>
      </c>
      <c r="CD191" s="59">
        <f ca="1">AVERAGE(OFFSET($CC$3,0,0,'Données projet'!$E$12+1,1))-AVERAGE(OFFSET($H$3,0,0,'Données projet'!$E$12+1,1))</f>
        <v>169.2757878405003</v>
      </c>
      <c r="CE191" s="59">
        <f t="shared" si="148"/>
        <v>61.876502626609977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-8.5265128291212022E-14</v>
      </c>
      <c r="CU191" s="17">
        <f>CT191*VLOOKUP('Données projet'!$B$13,Paramètres!$A$1:$I$89,3,0)*VLOOKUP('Données projet'!$B$13,Paramètres!$A$1:$I$89,5,0)</f>
        <v>-6.7836936068488286E-14</v>
      </c>
      <c r="CV191" s="13" t="e">
        <f t="shared" si="173"/>
        <v>#NUM!</v>
      </c>
      <c r="CW191" s="20" t="e">
        <f t="shared" si="174"/>
        <v>#NUM!</v>
      </c>
      <c r="CX191" s="59" t="e">
        <f t="shared" si="122"/>
        <v>#NUM!</v>
      </c>
      <c r="CY191" s="59">
        <f ca="1">AVERAGE(OFFSET($CX$3,0,0,'Données projet'!$E$13+1,1))-AVERAGE(OFFSET($H$3,0,0,'Données projet'!$E$13+1,1))</f>
        <v>141.12810728817544</v>
      </c>
      <c r="CZ191" s="59">
        <f t="shared" si="150"/>
        <v>176.01405805137551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>
        <f>EXP(-LN(2)/35)*DF190+(1-EXP(-LN(2)/35))/(LN(2)/35)*DB191*DC191*VLOOKUP('Données projet'!$B$13,Paramètres!$A$1:$I$89,3,0)*0.475*44/12</f>
        <v>0</v>
      </c>
      <c r="DG191" s="21">
        <f>EXP(-LN(2)/25)*DG190+(1-EXP(-LN(2)/25))/(LN(2)/25)*Calculateur!DB191*Calculateur!DD191*VLOOKUP('Données projet'!$B$13,Paramètres!$A$1:$I$89,3,0)*0.475*44/12</f>
        <v>8.4144565587320627E-2</v>
      </c>
      <c r="DH191" s="21">
        <f>EXP(-LN(2)/2)*DH190+(1-EXP(-LN(2)/2))/(LN(2)/2)*DB191*DE191*VLOOKUP('Données projet'!$B$13,Paramètres!$A$1:$I$89,3,0)*0.475*44/12</f>
        <v>1.3243479142223622E-23</v>
      </c>
      <c r="DI191" s="22">
        <f t="shared" si="175"/>
        <v>8.4144565587320627E-2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5.6843418860808015E-14</v>
      </c>
      <c r="DP191" s="17">
        <f>DO191*VLOOKUP('Données projet'!$B$14,Paramètres!$A$1:$I$89,3,0)*VLOOKUP('Données projet'!$B$14,Paramètres!$A$1:$I$89,5,0)</f>
        <v>3.3992364478763198E-14</v>
      </c>
      <c r="DQ191" s="13">
        <f t="shared" si="176"/>
        <v>5.790027782444094E-13</v>
      </c>
      <c r="DR191" s="20">
        <f t="shared" si="177"/>
        <v>1.0676332069095257E-12</v>
      </c>
      <c r="DS191" s="59">
        <f t="shared" si="125"/>
        <v>293.33333333333439</v>
      </c>
      <c r="DT191" s="59">
        <f ca="1">AVERAGE(OFFSET($DS$3,0,0,'Données projet'!$E$14+1,1))-AVERAGE(OFFSET($H$3,0,0,'Données projet'!$E$14+1,1))</f>
        <v>165.39579887388538</v>
      </c>
      <c r="DU191" s="59">
        <f t="shared" si="152"/>
        <v>155.89639262545802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>
        <f>EXP(-LN(2)/35)*EA190+(1-EXP(-LN(2)/35))/(LN(2)/35)*DW191*DX191*VLOOKUP('Données projet'!$B$14,Paramètres!$A$1:$I$89,3,0)*0.475*44/12</f>
        <v>0</v>
      </c>
      <c r="EB191" s="21">
        <f>EXP(-LN(2)/25)*EB190+(1-EXP(-LN(2)/25))/(LN(2)/25)*Calculateur!DW191*Calculateur!DY191*VLOOKUP('Données projet'!$B$14,Paramètres!$A$1:$I$89,3,0)*0.475*44/12</f>
        <v>9.1237417618088693E-2</v>
      </c>
      <c r="EC191" s="21">
        <f>EXP(-LN(2)/2)*EC190+(1-EXP(-LN(2)/2))/(LN(2)/2)*DW191*DZ191*VLOOKUP('Données projet'!$B$14,Paramètres!$A$1:$I$89,3,0)*0.475*44/12</f>
        <v>2.2962592923694042E-23</v>
      </c>
      <c r="ED191" s="22">
        <f t="shared" si="178"/>
        <v>9.1237417618088693E-2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2.8421709430404007E-14</v>
      </c>
      <c r="EK191" s="17">
        <f>EJ191*VLOOKUP('Données projet'!$B$15,Paramètres!$A$1:$I$89,3,0)*VLOOKUP('Données projet'!$B$15,Paramètres!$A$1:$I$89,5,0)</f>
        <v>2.2168933355715127E-14</v>
      </c>
      <c r="EL191" s="13">
        <f t="shared" si="179"/>
        <v>3.9687356123668477E-13</v>
      </c>
      <c r="EM191" s="20">
        <f t="shared" si="180"/>
        <v>7.2983234474842979E-13</v>
      </c>
      <c r="EN191" s="59">
        <f t="shared" si="128"/>
        <v>293.33333333333405</v>
      </c>
      <c r="EO191" s="59">
        <f ca="1">AVERAGE(OFFSET($EN$3,0,0,'Données projet'!$E$15+1,1))-AVERAGE(OFFSET($H$3,0,0,'Données projet'!$E$15+1,1))</f>
        <v>104.07220236158577</v>
      </c>
      <c r="EP191" s="59">
        <f t="shared" si="154"/>
        <v>34.162068257911756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>
        <f>EXP(-LN(2)/35)*EV190+(1-EXP(-LN(2)/35))/(LN(2)/35)*ER191*ES191*VLOOKUP('Données projet'!$B$15,Paramètres!$A$1:$I$89,3,0)*0.475*44/12</f>
        <v>0</v>
      </c>
      <c r="EW191" s="21">
        <f>EXP(-LN(2)/25)*EW190+(1-EXP(-LN(2)/25))/(LN(2)/25)*Calculateur!ER191*Calculateur!ET191*VLOOKUP('Données projet'!$B$15,Paramètres!$A$1:$I$89,3,0)*0.475*44/12</f>
        <v>0</v>
      </c>
      <c r="EX191" s="21">
        <f>EXP(-LN(2)/2)*EX190+(1-EXP(-LN(2)/2))/(LN(2)/2)*ER191*EU191*VLOOKUP('Données projet'!$B$15,Paramètres!$A$1:$I$89,3,0)*0.475*44/12</f>
        <v>0</v>
      </c>
      <c r="EY191" s="22">
        <f t="shared" si="181"/>
        <v>0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5.6843418860808015E-14</v>
      </c>
      <c r="FF191" s="17">
        <f>FE191*VLOOKUP('Données projet'!$B$16,Paramètres!$A$1:$I$89,3,0)*VLOOKUP('Données projet'!$B$16,Paramètres!$A$1:$I$89,5,0)</f>
        <v>5.1431925385259088E-14</v>
      </c>
      <c r="FG191" s="13">
        <f t="shared" si="182"/>
        <v>8.3482866290946129E-13</v>
      </c>
      <c r="FH191" s="20">
        <f t="shared" si="183"/>
        <v>1.5435705246133045E-12</v>
      </c>
      <c r="FI191" s="59">
        <f t="shared" si="131"/>
        <v>293.33333333333485</v>
      </c>
      <c r="FJ191" s="59">
        <f ca="1">AVERAGE(OFFSET($FI$3,0,0,'Données projet'!$E$16+1,1))-AVERAGE(OFFSET($H$3,0,0,'Données projet'!$E$16+1,1))</f>
        <v>179.50097986986123</v>
      </c>
      <c r="FK191" s="59">
        <f t="shared" si="156"/>
        <v>287.11838730637578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>
        <f>EXP(-LN(2)/35)*FQ190+(1-EXP(-LN(2)/35))/(LN(2)/35)*FM191*FN191*VLOOKUP('Données projet'!$B$16,Paramètres!$A$1:$I$89,3,0)*0.475*44/12</f>
        <v>2.7278105023342433E-2</v>
      </c>
      <c r="FR191" s="21">
        <f>EXP(-LN(2)/25)*FR190+(1-EXP(-LN(2)/25))/(LN(2)/25)*Calculateur!FM191*Calculateur!FO191*VLOOKUP('Données projet'!$B$16,Paramètres!$A$1:$I$89,3,0)*0.475*44/12</f>
        <v>7.877563342617093E-2</v>
      </c>
      <c r="FS191" s="21">
        <f>EXP(-LN(2)/2)*FS190+(1-EXP(-LN(2)/2))/(LN(2)/2)*FM191*FP191*VLOOKUP('Données projet'!$B$16,Paramètres!$A$1:$I$89,3,0)*0.475*44/12</f>
        <v>7.4790296512430031E-24</v>
      </c>
      <c r="FT191" s="22">
        <f t="shared" si="184"/>
        <v>0.10605373844951337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5.6843418860808015E-14</v>
      </c>
      <c r="GA191" s="17">
        <f>FZ191*VLOOKUP('Données projet'!$B$17,Paramètres!$A$1:$I$89,3,0)*VLOOKUP('Données projet'!$B$17,Paramètres!$A$1:$I$89,5,0)</f>
        <v>3.3992364478763198E-14</v>
      </c>
      <c r="GB191" s="13">
        <f t="shared" si="185"/>
        <v>5.790027782444094E-13</v>
      </c>
      <c r="GC191" s="20">
        <f t="shared" si="186"/>
        <v>1.0676332069095257E-12</v>
      </c>
      <c r="GD191" s="59">
        <f t="shared" si="134"/>
        <v>293.33333333333439</v>
      </c>
      <c r="GE191" s="59">
        <f ca="1">AVERAGE(OFFSET($GD$3,0,0,'Données projet'!$E$17+1,1))-AVERAGE(OFFSET($H$3,0,0,'Données projet'!$E$17+1,1))</f>
        <v>165.39579887388538</v>
      </c>
      <c r="GF191" s="59">
        <f t="shared" si="158"/>
        <v>155.89639262545802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>
        <f>EXP(-LN(2)/35)*GL190+(1-EXP(-LN(2)/35))/(LN(2)/35)*GH191*GI191*VLOOKUP('Données projet'!$B$17,Paramètres!$A$1:$I$89,3,0)*0.475*44/12</f>
        <v>0</v>
      </c>
      <c r="GM191" s="21">
        <f>EXP(-LN(2)/25)*GM190+(1-EXP(-LN(2)/25))/(LN(2)/25)*Calculateur!GH191*Calculateur!GJ191*VLOOKUP('Données projet'!$B$17,Paramètres!$A$1:$I$89,3,0)*0.475*44/12</f>
        <v>9.1237417618088693E-2</v>
      </c>
      <c r="GN191" s="21">
        <f>EXP(-LN(2)/2)*GN190+(1-EXP(-LN(2)/2))/(LN(2)/2)*GH191*GK191*VLOOKUP('Données projet'!$B$17,Paramètres!$A$1:$I$89,3,0)*0.475*44/12</f>
        <v>2.2962592923694042E-23</v>
      </c>
      <c r="GO191" s="21">
        <f t="shared" si="187"/>
        <v>9.1237417618088693E-2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3.4106051316484809E-13</v>
      </c>
      <c r="O192" s="13">
        <f>N192*VLOOKUP('Données projet'!$B$9,Paramètres!$A$1:$I$89,3,0)*VLOOKUP('Données projet'!$B$9,Paramètres!$A$1:$I$89,5,0)</f>
        <v>1.9065282685915009E-13</v>
      </c>
      <c r="P192" s="13">
        <f t="shared" si="141"/>
        <v>2.6568987209435707E-12</v>
      </c>
      <c r="Q192" s="20">
        <f t="shared" si="162"/>
        <v>4.959485612423072E-12</v>
      </c>
      <c r="R192" s="59">
        <f t="shared" si="109"/>
        <v>293.33333333333826</v>
      </c>
      <c r="S192" s="59">
        <f ca="1">AVERAGE(OFFSET($R$3,0,0,'Données projet'!$E$9+1,1))-AVERAGE(OFFSET($H$3,0,0,'Données projet'!$E$9+1,1))</f>
        <v>235.10258076192054</v>
      </c>
      <c r="T192" s="59">
        <f t="shared" si="142"/>
        <v>233.47316052603765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0.14697581390924894</v>
      </c>
      <c r="AA192" s="21">
        <f>EXP(-LN(2)/25)*AA191+(1-EXP(-LN(2)/25))/(LN(2)/25)*Calculateur!V192*Calculateur!X192*VLOOKUP('Données projet'!$B$9,Paramètres!$A$1:$I$89,3,0)*0.475*44/12</f>
        <v>0.22443451794490843</v>
      </c>
      <c r="AB192" s="21">
        <f>EXP(-LN(2)/2)*AB191+(1-EXP(-LN(2)/2))/(LN(2)/2)*V192*Y192*VLOOKUP('Données projet'!$B$9,Paramètres!$A$1:$I$89,3,0)*0.475*44/12</f>
        <v>2.8218253404285449E-23</v>
      </c>
      <c r="AC192" s="22">
        <f t="shared" si="163"/>
        <v>0.37141033185415739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-8.5265128291212022E-14</v>
      </c>
      <c r="AJ192" s="13">
        <f>AI192*VLOOKUP('Données projet'!$B$10,Paramètres!$A$1:$I$89,3,0)*VLOOKUP('Données projet'!$B$10,Paramètres!$A$1:$I$89,5,0)</f>
        <v>-7.4487616075202836E-14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191.94797389630673</v>
      </c>
      <c r="AO192" s="59">
        <f t="shared" si="144"/>
        <v>273.52540822767878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0.11045455105907184</v>
      </c>
      <c r="AV192" s="21">
        <f>EXP(-LN(2)/25)*AV191+(1-EXP(-LN(2)/25))/(LN(2)/25)*Calculateur!AQ192*Calculateur!AS192*VLOOKUP('Données projet'!$B$10,Paramètres!$A$1:$I$89,3,0)*0.475*44/12</f>
        <v>0.17102846416581852</v>
      </c>
      <c r="AW192" s="21">
        <f>EXP(-LN(2)/2)*AW191+(1-EXP(-LN(2)/2))/(LN(2)/2)*AQ192*AT192*VLOOKUP('Données projet'!$B$10,Paramètres!$A$1:$I$89,3,0)*0.475*44/12</f>
        <v>2.7143175980849578E-23</v>
      </c>
      <c r="AX192" s="21">
        <f t="shared" si="166"/>
        <v>0.28148301522489039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2.8421709430404007E-14</v>
      </c>
      <c r="BE192" s="13">
        <f>BD192*VLOOKUP('Données projet'!$B$11,Paramètres!$A$1:$I$89,3,0)*VLOOKUP('Données projet'!$B$11,Paramètres!$A$1:$I$89,5,0)</f>
        <v>2.5715962692629544E-14</v>
      </c>
      <c r="BF192" s="13">
        <f t="shared" si="167"/>
        <v>4.5248818890525812E-13</v>
      </c>
      <c r="BG192" s="20">
        <f t="shared" si="168"/>
        <v>8.3287223069965432E-13</v>
      </c>
      <c r="BH192" s="59">
        <f t="shared" si="116"/>
        <v>293.33333333333417</v>
      </c>
      <c r="BI192" s="59">
        <f ca="1">AVERAGE(OFFSET($BH$3,0,0,'Données projet'!$E$11+1,1))-AVERAGE(OFFSET($H$3,0,0,'Données projet'!$E$11+1,1))</f>
        <v>138.8931001150624</v>
      </c>
      <c r="BJ192" s="59">
        <f t="shared" si="146"/>
        <v>48.964659354096625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2.8421709430404007E-14</v>
      </c>
      <c r="BZ192" s="13">
        <f>BY192*VLOOKUP('Données projet'!$B$12,Paramètres!$A$1:$I$89,3,0)*VLOOKUP('Données projet'!$B$12,Paramètres!$A$1:$I$89,5,0)</f>
        <v>2.8819613362429664E-14</v>
      </c>
      <c r="CA192" s="13">
        <f t="shared" si="170"/>
        <v>5.0041752926933358E-13</v>
      </c>
      <c r="CB192" s="20">
        <f t="shared" si="171"/>
        <v>9.2175469008365428E-13</v>
      </c>
      <c r="CC192" s="59">
        <f t="shared" si="119"/>
        <v>293.33333333333422</v>
      </c>
      <c r="CD192" s="59">
        <f ca="1">AVERAGE(OFFSET($CC$3,0,0,'Données projet'!$E$12+1,1))-AVERAGE(OFFSET($H$3,0,0,'Données projet'!$E$12+1,1))</f>
        <v>169.2757878405003</v>
      </c>
      <c r="CE192" s="59">
        <f t="shared" si="148"/>
        <v>61.876502626609977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-8.5265128291212022E-14</v>
      </c>
      <c r="CU192" s="17">
        <f>CT192*VLOOKUP('Données projet'!$B$13,Paramètres!$A$1:$I$89,3,0)*VLOOKUP('Données projet'!$B$13,Paramètres!$A$1:$I$89,5,0)</f>
        <v>-6.7836936068488286E-14</v>
      </c>
      <c r="CV192" s="13" t="e">
        <f t="shared" si="173"/>
        <v>#NUM!</v>
      </c>
      <c r="CW192" s="20" t="e">
        <f t="shared" si="174"/>
        <v>#NUM!</v>
      </c>
      <c r="CX192" s="59" t="e">
        <f t="shared" si="122"/>
        <v>#NUM!</v>
      </c>
      <c r="CY192" s="59">
        <f ca="1">AVERAGE(OFFSET($CX$3,0,0,'Données projet'!$E$13+1,1))-AVERAGE(OFFSET($H$3,0,0,'Données projet'!$E$13+1,1))</f>
        <v>141.12810728817544</v>
      </c>
      <c r="CZ192" s="59">
        <f t="shared" si="150"/>
        <v>176.01405805137551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>
        <f>EXP(-LN(2)/35)*DF191+(1-EXP(-LN(2)/35))/(LN(2)/35)*DB192*DC192*VLOOKUP('Données projet'!$B$13,Paramètres!$A$1:$I$89,3,0)*0.475*44/12</f>
        <v>0</v>
      </c>
      <c r="DG192" s="21">
        <f>EXP(-LN(2)/25)*DG191+(1-EXP(-LN(2)/25))/(LN(2)/25)*Calculateur!DB192*Calculateur!DD192*VLOOKUP('Données projet'!$B$13,Paramètres!$A$1:$I$89,3,0)*0.475*44/12</f>
        <v>8.1843628016364953E-2</v>
      </c>
      <c r="DH192" s="21">
        <f>EXP(-LN(2)/2)*DH191+(1-EXP(-LN(2)/2))/(LN(2)/2)*DB192*DE192*VLOOKUP('Données projet'!$B$13,Paramètres!$A$1:$I$89,3,0)*0.475*44/12</f>
        <v>9.3645539079689252E-24</v>
      </c>
      <c r="DI192" s="22">
        <f t="shared" si="175"/>
        <v>8.1843628016364953E-2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5.6843418860808015E-14</v>
      </c>
      <c r="DP192" s="17">
        <f>DO192*VLOOKUP('Données projet'!$B$14,Paramètres!$A$1:$I$89,3,0)*VLOOKUP('Données projet'!$B$14,Paramètres!$A$1:$I$89,5,0)</f>
        <v>3.3992364478763198E-14</v>
      </c>
      <c r="DQ192" s="13">
        <f t="shared" si="176"/>
        <v>5.790027782444094E-13</v>
      </c>
      <c r="DR192" s="20">
        <f t="shared" si="177"/>
        <v>1.0676332069095257E-12</v>
      </c>
      <c r="DS192" s="59">
        <f t="shared" si="125"/>
        <v>293.33333333333439</v>
      </c>
      <c r="DT192" s="59">
        <f ca="1">AVERAGE(OFFSET($DS$3,0,0,'Données projet'!$E$14+1,1))-AVERAGE(OFFSET($H$3,0,0,'Données projet'!$E$14+1,1))</f>
        <v>165.39579887388538</v>
      </c>
      <c r="DU192" s="59">
        <f t="shared" si="152"/>
        <v>155.89639262545802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>
        <f>EXP(-LN(2)/35)*EA191+(1-EXP(-LN(2)/35))/(LN(2)/35)*DW192*DX192*VLOOKUP('Données projet'!$B$14,Paramètres!$A$1:$I$89,3,0)*0.475*44/12</f>
        <v>0</v>
      </c>
      <c r="EB192" s="21">
        <f>EXP(-LN(2)/25)*EB191+(1-EXP(-LN(2)/25))/(LN(2)/25)*Calculateur!DW192*Calculateur!DY192*VLOOKUP('Données projet'!$B$14,Paramètres!$A$1:$I$89,3,0)*0.475*44/12</f>
        <v>8.8742525635354785E-2</v>
      </c>
      <c r="EC192" s="21">
        <f>EXP(-LN(2)/2)*EC191+(1-EXP(-LN(2)/2))/(LN(2)/2)*DW192*DZ192*VLOOKUP('Données projet'!$B$14,Paramètres!$A$1:$I$89,3,0)*0.475*44/12</f>
        <v>1.6237005169970287E-23</v>
      </c>
      <c r="ED192" s="22">
        <f t="shared" si="178"/>
        <v>8.8742525635354785E-2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2.8421709430404007E-14</v>
      </c>
      <c r="EK192" s="17">
        <f>EJ192*VLOOKUP('Données projet'!$B$15,Paramètres!$A$1:$I$89,3,0)*VLOOKUP('Données projet'!$B$15,Paramètres!$A$1:$I$89,5,0)</f>
        <v>2.2168933355715127E-14</v>
      </c>
      <c r="EL192" s="13">
        <f t="shared" si="179"/>
        <v>3.9687356123668477E-13</v>
      </c>
      <c r="EM192" s="20">
        <f t="shared" si="180"/>
        <v>7.2983234474842979E-13</v>
      </c>
      <c r="EN192" s="59">
        <f t="shared" si="128"/>
        <v>293.33333333333405</v>
      </c>
      <c r="EO192" s="59">
        <f ca="1">AVERAGE(OFFSET($EN$3,0,0,'Données projet'!$E$15+1,1))-AVERAGE(OFFSET($H$3,0,0,'Données projet'!$E$15+1,1))</f>
        <v>104.07220236158577</v>
      </c>
      <c r="EP192" s="59">
        <f t="shared" si="154"/>
        <v>34.162068257911756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>
        <f>EXP(-LN(2)/35)*EV191+(1-EXP(-LN(2)/35))/(LN(2)/35)*ER192*ES192*VLOOKUP('Données projet'!$B$15,Paramètres!$A$1:$I$89,3,0)*0.475*44/12</f>
        <v>0</v>
      </c>
      <c r="EW192" s="21">
        <f>EXP(-LN(2)/25)*EW191+(1-EXP(-LN(2)/25))/(LN(2)/25)*Calculateur!ER192*Calculateur!ET192*VLOOKUP('Données projet'!$B$15,Paramètres!$A$1:$I$89,3,0)*0.475*44/12</f>
        <v>0</v>
      </c>
      <c r="EX192" s="21">
        <f>EXP(-LN(2)/2)*EX191+(1-EXP(-LN(2)/2))/(LN(2)/2)*ER192*EU192*VLOOKUP('Données projet'!$B$15,Paramètres!$A$1:$I$89,3,0)*0.475*44/12</f>
        <v>0</v>
      </c>
      <c r="EY192" s="22">
        <f t="shared" si="181"/>
        <v>0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5.6843418860808015E-14</v>
      </c>
      <c r="FF192" s="17">
        <f>FE192*VLOOKUP('Données projet'!$B$16,Paramètres!$A$1:$I$89,3,0)*VLOOKUP('Données projet'!$B$16,Paramètres!$A$1:$I$89,5,0)</f>
        <v>5.1431925385259088E-14</v>
      </c>
      <c r="FG192" s="13">
        <f t="shared" si="182"/>
        <v>8.3482866290946129E-13</v>
      </c>
      <c r="FH192" s="20">
        <f t="shared" si="183"/>
        <v>1.5435705246133045E-12</v>
      </c>
      <c r="FI192" s="59">
        <f t="shared" si="131"/>
        <v>293.33333333333485</v>
      </c>
      <c r="FJ192" s="59">
        <f ca="1">AVERAGE(OFFSET($FI$3,0,0,'Données projet'!$E$16+1,1))-AVERAGE(OFFSET($H$3,0,0,'Données projet'!$E$16+1,1))</f>
        <v>179.50097986986123</v>
      </c>
      <c r="FK192" s="59">
        <f t="shared" si="156"/>
        <v>287.11838730637578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>
        <f>EXP(-LN(2)/35)*FQ191+(1-EXP(-LN(2)/35))/(LN(2)/35)*FM192*FN192*VLOOKUP('Données projet'!$B$16,Paramètres!$A$1:$I$89,3,0)*0.475*44/12</f>
        <v>2.6743198021835887E-2</v>
      </c>
      <c r="FR192" s="21">
        <f>EXP(-LN(2)/25)*FR191+(1-EXP(-LN(2)/25))/(LN(2)/25)*Calculateur!FM192*Calculateur!FO192*VLOOKUP('Données projet'!$B$16,Paramètres!$A$1:$I$89,3,0)*0.475*44/12</f>
        <v>7.6621509587501774E-2</v>
      </c>
      <c r="FS192" s="21">
        <f>EXP(-LN(2)/2)*FS191+(1-EXP(-LN(2)/2))/(LN(2)/2)*FM192*FP192*VLOOKUP('Données projet'!$B$16,Paramètres!$A$1:$I$89,3,0)*0.475*44/12</f>
        <v>5.2884725830891871E-24</v>
      </c>
      <c r="FT192" s="22">
        <f t="shared" si="184"/>
        <v>0.10336470760933766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5.6843418860808015E-14</v>
      </c>
      <c r="GA192" s="17">
        <f>FZ192*VLOOKUP('Données projet'!$B$17,Paramètres!$A$1:$I$89,3,0)*VLOOKUP('Données projet'!$B$17,Paramètres!$A$1:$I$89,5,0)</f>
        <v>3.3992364478763198E-14</v>
      </c>
      <c r="GB192" s="13">
        <f t="shared" si="185"/>
        <v>5.790027782444094E-13</v>
      </c>
      <c r="GC192" s="20">
        <f t="shared" si="186"/>
        <v>1.0676332069095257E-12</v>
      </c>
      <c r="GD192" s="59">
        <f t="shared" si="134"/>
        <v>293.33333333333439</v>
      </c>
      <c r="GE192" s="59">
        <f ca="1">AVERAGE(OFFSET($GD$3,0,0,'Données projet'!$E$17+1,1))-AVERAGE(OFFSET($H$3,0,0,'Données projet'!$E$17+1,1))</f>
        <v>165.39579887388538</v>
      </c>
      <c r="GF192" s="59">
        <f t="shared" si="158"/>
        <v>155.89639262545802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>
        <f>EXP(-LN(2)/35)*GL191+(1-EXP(-LN(2)/35))/(LN(2)/35)*GH192*GI192*VLOOKUP('Données projet'!$B$17,Paramètres!$A$1:$I$89,3,0)*0.475*44/12</f>
        <v>0</v>
      </c>
      <c r="GM192" s="21">
        <f>EXP(-LN(2)/25)*GM191+(1-EXP(-LN(2)/25))/(LN(2)/25)*Calculateur!GH192*Calculateur!GJ192*VLOOKUP('Données projet'!$B$17,Paramètres!$A$1:$I$89,3,0)*0.475*44/12</f>
        <v>8.8742525635354785E-2</v>
      </c>
      <c r="GN192" s="21">
        <f>EXP(-LN(2)/2)*GN191+(1-EXP(-LN(2)/2))/(LN(2)/2)*GH192*GK192*VLOOKUP('Données projet'!$B$17,Paramètres!$A$1:$I$89,3,0)*0.475*44/12</f>
        <v>1.6237005169970287E-23</v>
      </c>
      <c r="GO192" s="21">
        <f t="shared" si="187"/>
        <v>8.8742525635354785E-2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3.4106051316484809E-13</v>
      </c>
      <c r="O193" s="13">
        <f>N193*VLOOKUP('Données projet'!$B$9,Paramètres!$A$1:$I$89,3,0)*VLOOKUP('Données projet'!$B$9,Paramètres!$A$1:$I$89,5,0)</f>
        <v>1.9065282685915009E-13</v>
      </c>
      <c r="P193" s="13">
        <f t="shared" si="141"/>
        <v>2.6568987209435707E-12</v>
      </c>
      <c r="Q193" s="20">
        <f t="shared" si="162"/>
        <v>4.959485612423072E-12</v>
      </c>
      <c r="R193" s="59">
        <f t="shared" si="109"/>
        <v>293.33333333333826</v>
      </c>
      <c r="S193" s="59">
        <f ca="1">AVERAGE(OFFSET($R$3,0,0,'Données projet'!$E$9+1,1))-AVERAGE(OFFSET($H$3,0,0,'Données projet'!$E$9+1,1))</f>
        <v>235.10258076192054</v>
      </c>
      <c r="T193" s="59">
        <f t="shared" si="142"/>
        <v>233.47316052603765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0.14409370784488321</v>
      </c>
      <c r="AA193" s="21">
        <f>EXP(-LN(2)/25)*AA192+(1-EXP(-LN(2)/25))/(LN(2)/25)*Calculateur!V193*Calculateur!X193*VLOOKUP('Données projet'!$B$9,Paramètres!$A$1:$I$89,3,0)*0.475*44/12</f>
        <v>0.21829734424920655</v>
      </c>
      <c r="AB193" s="21">
        <f>EXP(-LN(2)/2)*AB192+(1-EXP(-LN(2)/2))/(LN(2)/2)*V193*Y193*VLOOKUP('Données projet'!$B$9,Paramètres!$A$1:$I$89,3,0)*0.475*44/12</f>
        <v>1.9953318335410621E-23</v>
      </c>
      <c r="AC193" s="22">
        <f t="shared" si="163"/>
        <v>0.36239105209408973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-8.5265128291212022E-14</v>
      </c>
      <c r="AJ193" s="13">
        <f>AI193*VLOOKUP('Données projet'!$B$10,Paramètres!$A$1:$I$89,3,0)*VLOOKUP('Données projet'!$B$10,Paramètres!$A$1:$I$89,5,0)</f>
        <v>-7.4487616075202836E-14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191.94797389630673</v>
      </c>
      <c r="AO193" s="59">
        <f t="shared" si="144"/>
        <v>273.52540822767878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0.1082886046834273</v>
      </c>
      <c r="AV193" s="21">
        <f>EXP(-LN(2)/25)*AV192+(1-EXP(-LN(2)/25))/(LN(2)/25)*Calculateur!AQ193*Calculateur!AS193*VLOOKUP('Données projet'!$B$10,Paramètres!$A$1:$I$89,3,0)*0.475*44/12</f>
        <v>0.16635168181920817</v>
      </c>
      <c r="AW193" s="21">
        <f>EXP(-LN(2)/2)*AW192+(1-EXP(-LN(2)/2))/(LN(2)/2)*AQ193*AT193*VLOOKUP('Données projet'!$B$10,Paramètres!$A$1:$I$89,3,0)*0.475*44/12</f>
        <v>1.9193123798998556E-23</v>
      </c>
      <c r="AX193" s="21">
        <f t="shared" si="166"/>
        <v>0.2746402865026355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2.8421709430404007E-14</v>
      </c>
      <c r="BE193" s="13">
        <f>BD193*VLOOKUP('Données projet'!$B$11,Paramètres!$A$1:$I$89,3,0)*VLOOKUP('Données projet'!$B$11,Paramètres!$A$1:$I$89,5,0)</f>
        <v>2.5715962692629544E-14</v>
      </c>
      <c r="BF193" s="13">
        <f t="shared" si="167"/>
        <v>4.5248818890525812E-13</v>
      </c>
      <c r="BG193" s="20">
        <f t="shared" si="168"/>
        <v>8.3287223069965432E-13</v>
      </c>
      <c r="BH193" s="59">
        <f t="shared" si="116"/>
        <v>293.33333333333417</v>
      </c>
      <c r="BI193" s="59">
        <f ca="1">AVERAGE(OFFSET($BH$3,0,0,'Données projet'!$E$11+1,1))-AVERAGE(OFFSET($H$3,0,0,'Données projet'!$E$11+1,1))</f>
        <v>138.8931001150624</v>
      </c>
      <c r="BJ193" s="59">
        <f t="shared" si="146"/>
        <v>48.964659354096625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2.8421709430404007E-14</v>
      </c>
      <c r="BZ193" s="13">
        <f>BY193*VLOOKUP('Données projet'!$B$12,Paramètres!$A$1:$I$89,3,0)*VLOOKUP('Données projet'!$B$12,Paramètres!$A$1:$I$89,5,0)</f>
        <v>2.8819613362429664E-14</v>
      </c>
      <c r="CA193" s="13">
        <f t="shared" si="170"/>
        <v>5.0041752926933358E-13</v>
      </c>
      <c r="CB193" s="20">
        <f t="shared" si="171"/>
        <v>9.2175469008365428E-13</v>
      </c>
      <c r="CC193" s="59">
        <f t="shared" si="119"/>
        <v>293.33333333333422</v>
      </c>
      <c r="CD193" s="59">
        <f ca="1">AVERAGE(OFFSET($CC$3,0,0,'Données projet'!$E$12+1,1))-AVERAGE(OFFSET($H$3,0,0,'Données projet'!$E$12+1,1))</f>
        <v>169.2757878405003</v>
      </c>
      <c r="CE193" s="59">
        <f t="shared" si="148"/>
        <v>61.876502626609977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-8.5265128291212022E-14</v>
      </c>
      <c r="CU193" s="17">
        <f>CT193*VLOOKUP('Données projet'!$B$13,Paramètres!$A$1:$I$89,3,0)*VLOOKUP('Données projet'!$B$13,Paramètres!$A$1:$I$89,5,0)</f>
        <v>-6.7836936068488286E-14</v>
      </c>
      <c r="CV193" s="13" t="e">
        <f t="shared" si="173"/>
        <v>#NUM!</v>
      </c>
      <c r="CW193" s="20" t="e">
        <f t="shared" si="174"/>
        <v>#NUM!</v>
      </c>
      <c r="CX193" s="59" t="e">
        <f t="shared" si="122"/>
        <v>#NUM!</v>
      </c>
      <c r="CY193" s="59">
        <f ca="1">AVERAGE(OFFSET($CX$3,0,0,'Données projet'!$E$13+1,1))-AVERAGE(OFFSET($H$3,0,0,'Données projet'!$E$13+1,1))</f>
        <v>141.12810728817544</v>
      </c>
      <c r="CZ193" s="59">
        <f t="shared" si="150"/>
        <v>176.01405805137551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>
        <f>EXP(-LN(2)/35)*DF192+(1-EXP(-LN(2)/35))/(LN(2)/35)*DB193*DC193*VLOOKUP('Données projet'!$B$13,Paramètres!$A$1:$I$89,3,0)*0.475*44/12</f>
        <v>0</v>
      </c>
      <c r="DG193" s="21">
        <f>EXP(-LN(2)/25)*DG192+(1-EXP(-LN(2)/25))/(LN(2)/25)*Calculateur!DB193*Calculateur!DD193*VLOOKUP('Données projet'!$B$13,Paramètres!$A$1:$I$89,3,0)*0.475*44/12</f>
        <v>7.9605609704288108E-2</v>
      </c>
      <c r="DH193" s="21">
        <f>EXP(-LN(2)/2)*DH192+(1-EXP(-LN(2)/2))/(LN(2)/2)*DB193*DE193*VLOOKUP('Données projet'!$B$13,Paramètres!$A$1:$I$89,3,0)*0.475*44/12</f>
        <v>6.6217395711118111E-24</v>
      </c>
      <c r="DI193" s="22">
        <f t="shared" si="175"/>
        <v>7.9605609704288108E-2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5.6843418860808015E-14</v>
      </c>
      <c r="DP193" s="17">
        <f>DO193*VLOOKUP('Données projet'!$B$14,Paramètres!$A$1:$I$89,3,0)*VLOOKUP('Données projet'!$B$14,Paramètres!$A$1:$I$89,5,0)</f>
        <v>3.3992364478763198E-14</v>
      </c>
      <c r="DQ193" s="13">
        <f t="shared" si="176"/>
        <v>5.790027782444094E-13</v>
      </c>
      <c r="DR193" s="20">
        <f t="shared" si="177"/>
        <v>1.0676332069095257E-12</v>
      </c>
      <c r="DS193" s="59">
        <f t="shared" si="125"/>
        <v>293.33333333333439</v>
      </c>
      <c r="DT193" s="59">
        <f ca="1">AVERAGE(OFFSET($DS$3,0,0,'Données projet'!$E$14+1,1))-AVERAGE(OFFSET($H$3,0,0,'Données projet'!$E$14+1,1))</f>
        <v>165.39579887388538</v>
      </c>
      <c r="DU193" s="59">
        <f t="shared" si="152"/>
        <v>155.89639262545802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>
        <f>EXP(-LN(2)/35)*EA192+(1-EXP(-LN(2)/35))/(LN(2)/35)*DW193*DX193*VLOOKUP('Données projet'!$B$14,Paramètres!$A$1:$I$89,3,0)*0.475*44/12</f>
        <v>0</v>
      </c>
      <c r="EB193" s="21">
        <f>EXP(-LN(2)/25)*EB192+(1-EXP(-LN(2)/25))/(LN(2)/25)*Calculateur!DW193*Calculateur!DY193*VLOOKUP('Données projet'!$B$14,Paramètres!$A$1:$I$89,3,0)*0.475*44/12</f>
        <v>8.6315856605089405E-2</v>
      </c>
      <c r="EC193" s="21">
        <f>EXP(-LN(2)/2)*EC192+(1-EXP(-LN(2)/2))/(LN(2)/2)*DW193*DZ193*VLOOKUP('Données projet'!$B$14,Paramètres!$A$1:$I$89,3,0)*0.475*44/12</f>
        <v>1.1481296461847021E-23</v>
      </c>
      <c r="ED193" s="22">
        <f t="shared" si="178"/>
        <v>8.6315856605089405E-2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2.8421709430404007E-14</v>
      </c>
      <c r="EK193" s="17">
        <f>EJ193*VLOOKUP('Données projet'!$B$15,Paramètres!$A$1:$I$89,3,0)*VLOOKUP('Données projet'!$B$15,Paramètres!$A$1:$I$89,5,0)</f>
        <v>2.2168933355715127E-14</v>
      </c>
      <c r="EL193" s="13">
        <f t="shared" si="179"/>
        <v>3.9687356123668477E-13</v>
      </c>
      <c r="EM193" s="20">
        <f t="shared" si="180"/>
        <v>7.2983234474842979E-13</v>
      </c>
      <c r="EN193" s="59">
        <f t="shared" si="128"/>
        <v>293.33333333333405</v>
      </c>
      <c r="EO193" s="59">
        <f ca="1">AVERAGE(OFFSET($EN$3,0,0,'Données projet'!$E$15+1,1))-AVERAGE(OFFSET($H$3,0,0,'Données projet'!$E$15+1,1))</f>
        <v>104.07220236158577</v>
      </c>
      <c r="EP193" s="59">
        <f t="shared" si="154"/>
        <v>34.162068257911756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>
        <f>EXP(-LN(2)/35)*EV192+(1-EXP(-LN(2)/35))/(LN(2)/35)*ER193*ES193*VLOOKUP('Données projet'!$B$15,Paramètres!$A$1:$I$89,3,0)*0.475*44/12</f>
        <v>0</v>
      </c>
      <c r="EW193" s="21">
        <f>EXP(-LN(2)/25)*EW192+(1-EXP(-LN(2)/25))/(LN(2)/25)*Calculateur!ER193*Calculateur!ET193*VLOOKUP('Données projet'!$B$15,Paramètres!$A$1:$I$89,3,0)*0.475*44/12</f>
        <v>0</v>
      </c>
      <c r="EX193" s="21">
        <f>EXP(-LN(2)/2)*EX192+(1-EXP(-LN(2)/2))/(LN(2)/2)*ER193*EU193*VLOOKUP('Données projet'!$B$15,Paramètres!$A$1:$I$89,3,0)*0.475*44/12</f>
        <v>0</v>
      </c>
      <c r="EY193" s="22">
        <f t="shared" si="181"/>
        <v>0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5.6843418860808015E-14</v>
      </c>
      <c r="FF193" s="17">
        <f>FE193*VLOOKUP('Données projet'!$B$16,Paramètres!$A$1:$I$89,3,0)*VLOOKUP('Données projet'!$B$16,Paramètres!$A$1:$I$89,5,0)</f>
        <v>5.1431925385259088E-14</v>
      </c>
      <c r="FG193" s="13">
        <f t="shared" si="182"/>
        <v>8.3482866290946129E-13</v>
      </c>
      <c r="FH193" s="20">
        <f t="shared" si="183"/>
        <v>1.5435705246133045E-12</v>
      </c>
      <c r="FI193" s="59">
        <f t="shared" si="131"/>
        <v>293.33333333333485</v>
      </c>
      <c r="FJ193" s="59">
        <f ca="1">AVERAGE(OFFSET($FI$3,0,0,'Données projet'!$E$16+1,1))-AVERAGE(OFFSET($H$3,0,0,'Données projet'!$E$16+1,1))</f>
        <v>179.50097986986123</v>
      </c>
      <c r="FK193" s="59">
        <f t="shared" si="156"/>
        <v>287.11838730637578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>
        <f>EXP(-LN(2)/35)*FQ192+(1-EXP(-LN(2)/35))/(LN(2)/35)*FM193*FN193*VLOOKUP('Données projet'!$B$16,Paramètres!$A$1:$I$89,3,0)*0.475*44/12</f>
        <v>2.6218780220367829E-2</v>
      </c>
      <c r="FR193" s="21">
        <f>EXP(-LN(2)/25)*FR192+(1-EXP(-LN(2)/25))/(LN(2)/25)*Calculateur!FM193*Calculateur!FO193*VLOOKUP('Données projet'!$B$16,Paramètres!$A$1:$I$89,3,0)*0.475*44/12</f>
        <v>7.4526290378481463E-2</v>
      </c>
      <c r="FS193" s="21">
        <f>EXP(-LN(2)/2)*FS192+(1-EXP(-LN(2)/2))/(LN(2)/2)*FM193*FP193*VLOOKUP('Données projet'!$B$16,Paramètres!$A$1:$I$89,3,0)*0.475*44/12</f>
        <v>3.7395148256215015E-24</v>
      </c>
      <c r="FT193" s="22">
        <f t="shared" si="184"/>
        <v>0.1007450705988493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5.6843418860808015E-14</v>
      </c>
      <c r="GA193" s="17">
        <f>FZ193*VLOOKUP('Données projet'!$B$17,Paramètres!$A$1:$I$89,3,0)*VLOOKUP('Données projet'!$B$17,Paramètres!$A$1:$I$89,5,0)</f>
        <v>3.3992364478763198E-14</v>
      </c>
      <c r="GB193" s="13">
        <f t="shared" si="185"/>
        <v>5.790027782444094E-13</v>
      </c>
      <c r="GC193" s="20">
        <f t="shared" si="186"/>
        <v>1.0676332069095257E-12</v>
      </c>
      <c r="GD193" s="59">
        <f t="shared" si="134"/>
        <v>293.33333333333439</v>
      </c>
      <c r="GE193" s="59">
        <f ca="1">AVERAGE(OFFSET($GD$3,0,0,'Données projet'!$E$17+1,1))-AVERAGE(OFFSET($H$3,0,0,'Données projet'!$E$17+1,1))</f>
        <v>165.39579887388538</v>
      </c>
      <c r="GF193" s="59">
        <f t="shared" si="158"/>
        <v>155.89639262545802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>
        <f>EXP(-LN(2)/35)*GL192+(1-EXP(-LN(2)/35))/(LN(2)/35)*GH193*GI193*VLOOKUP('Données projet'!$B$17,Paramètres!$A$1:$I$89,3,0)*0.475*44/12</f>
        <v>0</v>
      </c>
      <c r="GM193" s="21">
        <f>EXP(-LN(2)/25)*GM192+(1-EXP(-LN(2)/25))/(LN(2)/25)*Calculateur!GH193*Calculateur!GJ193*VLOOKUP('Données projet'!$B$17,Paramètres!$A$1:$I$89,3,0)*0.475*44/12</f>
        <v>8.6315856605089405E-2</v>
      </c>
      <c r="GN193" s="21">
        <f>EXP(-LN(2)/2)*GN192+(1-EXP(-LN(2)/2))/(LN(2)/2)*GH193*GK193*VLOOKUP('Données projet'!$B$17,Paramètres!$A$1:$I$89,3,0)*0.475*44/12</f>
        <v>1.1481296461847021E-23</v>
      </c>
      <c r="GO193" s="21">
        <f t="shared" si="187"/>
        <v>8.6315856605089405E-2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3.4106051316484809E-13</v>
      </c>
      <c r="O194" s="13">
        <f>N194*VLOOKUP('Données projet'!$B$9,Paramètres!$A$1:$I$89,3,0)*VLOOKUP('Données projet'!$B$9,Paramètres!$A$1:$I$89,5,0)</f>
        <v>1.9065282685915009E-13</v>
      </c>
      <c r="P194" s="13">
        <f t="shared" si="141"/>
        <v>2.6568987209435707E-12</v>
      </c>
      <c r="Q194" s="20">
        <f t="shared" si="162"/>
        <v>4.959485612423072E-12</v>
      </c>
      <c r="R194" s="59">
        <f t="shared" si="109"/>
        <v>293.33333333333826</v>
      </c>
      <c r="S194" s="59">
        <f ca="1">AVERAGE(OFFSET($R$3,0,0,'Données projet'!$E$9+1,1))-AVERAGE(OFFSET($H$3,0,0,'Données projet'!$E$9+1,1))</f>
        <v>235.10258076192054</v>
      </c>
      <c r="T194" s="59">
        <f t="shared" si="142"/>
        <v>233.47316052603765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0.14126811812252857</v>
      </c>
      <c r="AA194" s="21">
        <f>EXP(-LN(2)/25)*AA193+(1-EXP(-LN(2)/25))/(LN(2)/25)*Calculateur!V194*Calculateur!X194*VLOOKUP('Données projet'!$B$9,Paramètres!$A$1:$I$89,3,0)*0.475*44/12</f>
        <v>0.21232799189095358</v>
      </c>
      <c r="AB194" s="21">
        <f>EXP(-LN(2)/2)*AB193+(1-EXP(-LN(2)/2))/(LN(2)/2)*V194*Y194*VLOOKUP('Données projet'!$B$9,Paramètres!$A$1:$I$89,3,0)*0.475*44/12</f>
        <v>1.4109126702142724E-23</v>
      </c>
      <c r="AC194" s="22">
        <f t="shared" si="163"/>
        <v>0.35359611001348212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-8.5265128291212022E-14</v>
      </c>
      <c r="AJ194" s="13">
        <f>AI194*VLOOKUP('Données projet'!$B$10,Paramètres!$A$1:$I$89,3,0)*VLOOKUP('Données projet'!$B$10,Paramètres!$A$1:$I$89,5,0)</f>
        <v>-7.4487616075202836E-14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191.94797389630673</v>
      </c>
      <c r="AO194" s="59">
        <f t="shared" si="144"/>
        <v>273.52540822767878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0.1061651311951123</v>
      </c>
      <c r="AV194" s="21">
        <f>EXP(-LN(2)/25)*AV193+(1-EXP(-LN(2)/25))/(LN(2)/25)*Calculateur!AQ194*Calculateur!AS194*VLOOKUP('Données projet'!$B$10,Paramètres!$A$1:$I$89,3,0)*0.475*44/12</f>
        <v>0.16180278633180717</v>
      </c>
      <c r="AW194" s="21">
        <f>EXP(-LN(2)/2)*AW193+(1-EXP(-LN(2)/2))/(LN(2)/2)*AQ194*AT194*VLOOKUP('Données projet'!$B$10,Paramètres!$A$1:$I$89,3,0)*0.475*44/12</f>
        <v>1.3571587990424789E-23</v>
      </c>
      <c r="AX194" s="21">
        <f t="shared" si="166"/>
        <v>0.26796791752691945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2.8421709430404007E-14</v>
      </c>
      <c r="BE194" s="13">
        <f>BD194*VLOOKUP('Données projet'!$B$11,Paramètres!$A$1:$I$89,3,0)*VLOOKUP('Données projet'!$B$11,Paramètres!$A$1:$I$89,5,0)</f>
        <v>2.5715962692629544E-14</v>
      </c>
      <c r="BF194" s="13">
        <f t="shared" si="167"/>
        <v>4.5248818890525812E-13</v>
      </c>
      <c r="BG194" s="20">
        <f t="shared" si="168"/>
        <v>8.3287223069965432E-13</v>
      </c>
      <c r="BH194" s="59">
        <f t="shared" si="116"/>
        <v>293.33333333333417</v>
      </c>
      <c r="BI194" s="59">
        <f ca="1">AVERAGE(OFFSET($BH$3,0,0,'Données projet'!$E$11+1,1))-AVERAGE(OFFSET($H$3,0,0,'Données projet'!$E$11+1,1))</f>
        <v>138.8931001150624</v>
      </c>
      <c r="BJ194" s="59">
        <f t="shared" si="146"/>
        <v>48.964659354096625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2.8421709430404007E-14</v>
      </c>
      <c r="BZ194" s="13">
        <f>BY194*VLOOKUP('Données projet'!$B$12,Paramètres!$A$1:$I$89,3,0)*VLOOKUP('Données projet'!$B$12,Paramètres!$A$1:$I$89,5,0)</f>
        <v>2.8819613362429664E-14</v>
      </c>
      <c r="CA194" s="13">
        <f t="shared" si="170"/>
        <v>5.0041752926933358E-13</v>
      </c>
      <c r="CB194" s="20">
        <f t="shared" si="171"/>
        <v>9.2175469008365428E-13</v>
      </c>
      <c r="CC194" s="59">
        <f t="shared" si="119"/>
        <v>293.33333333333422</v>
      </c>
      <c r="CD194" s="59">
        <f ca="1">AVERAGE(OFFSET($CC$3,0,0,'Données projet'!$E$12+1,1))-AVERAGE(OFFSET($H$3,0,0,'Données projet'!$E$12+1,1))</f>
        <v>169.2757878405003</v>
      </c>
      <c r="CE194" s="59">
        <f t="shared" si="148"/>
        <v>61.876502626609977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-8.5265128291212022E-14</v>
      </c>
      <c r="CU194" s="17">
        <f>CT194*VLOOKUP('Données projet'!$B$13,Paramètres!$A$1:$I$89,3,0)*VLOOKUP('Données projet'!$B$13,Paramètres!$A$1:$I$89,5,0)</f>
        <v>-6.7836936068488286E-14</v>
      </c>
      <c r="CV194" s="13" t="e">
        <f t="shared" si="173"/>
        <v>#NUM!</v>
      </c>
      <c r="CW194" s="20" t="e">
        <f t="shared" si="174"/>
        <v>#NUM!</v>
      </c>
      <c r="CX194" s="59" t="e">
        <f t="shared" si="122"/>
        <v>#NUM!</v>
      </c>
      <c r="CY194" s="59">
        <f ca="1">AVERAGE(OFFSET($CX$3,0,0,'Données projet'!$E$13+1,1))-AVERAGE(OFFSET($H$3,0,0,'Données projet'!$E$13+1,1))</f>
        <v>141.12810728817544</v>
      </c>
      <c r="CZ194" s="59">
        <f t="shared" si="150"/>
        <v>176.01405805137551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>
        <f>EXP(-LN(2)/35)*DF193+(1-EXP(-LN(2)/35))/(LN(2)/35)*DB194*DC194*VLOOKUP('Données projet'!$B$13,Paramètres!$A$1:$I$89,3,0)*0.475*44/12</f>
        <v>0</v>
      </c>
      <c r="DG194" s="21">
        <f>EXP(-LN(2)/25)*DG193+(1-EXP(-LN(2)/25))/(LN(2)/25)*Calculateur!DB194*Calculateur!DD194*VLOOKUP('Données projet'!$B$13,Paramètres!$A$1:$I$89,3,0)*0.475*44/12</f>
        <v>7.7428790120647281E-2</v>
      </c>
      <c r="DH194" s="21">
        <f>EXP(-LN(2)/2)*DH193+(1-EXP(-LN(2)/2))/(LN(2)/2)*DB194*DE194*VLOOKUP('Données projet'!$B$13,Paramètres!$A$1:$I$89,3,0)*0.475*44/12</f>
        <v>4.6822769539844626E-24</v>
      </c>
      <c r="DI194" s="22">
        <f t="shared" si="175"/>
        <v>7.7428790120647281E-2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5.6843418860808015E-14</v>
      </c>
      <c r="DP194" s="17">
        <f>DO194*VLOOKUP('Données projet'!$B$14,Paramètres!$A$1:$I$89,3,0)*VLOOKUP('Données projet'!$B$14,Paramètres!$A$1:$I$89,5,0)</f>
        <v>3.3992364478763198E-14</v>
      </c>
      <c r="DQ194" s="13">
        <f t="shared" si="176"/>
        <v>5.790027782444094E-13</v>
      </c>
      <c r="DR194" s="20">
        <f t="shared" si="177"/>
        <v>1.0676332069095257E-12</v>
      </c>
      <c r="DS194" s="59">
        <f t="shared" si="125"/>
        <v>293.33333333333439</v>
      </c>
      <c r="DT194" s="59">
        <f ca="1">AVERAGE(OFFSET($DS$3,0,0,'Données projet'!$E$14+1,1))-AVERAGE(OFFSET($H$3,0,0,'Données projet'!$E$14+1,1))</f>
        <v>165.39579887388538</v>
      </c>
      <c r="DU194" s="59">
        <f t="shared" si="152"/>
        <v>155.89639262545802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>
        <f>EXP(-LN(2)/35)*EA193+(1-EXP(-LN(2)/35))/(LN(2)/35)*DW194*DX194*VLOOKUP('Données projet'!$B$14,Paramètres!$A$1:$I$89,3,0)*0.475*44/12</f>
        <v>0</v>
      </c>
      <c r="EB194" s="21">
        <f>EXP(-LN(2)/25)*EB193+(1-EXP(-LN(2)/25))/(LN(2)/25)*Calculateur!DW194*Calculateur!DY194*VLOOKUP('Données projet'!$B$14,Paramètres!$A$1:$I$89,3,0)*0.475*44/12</f>
        <v>8.3955544967069612E-2</v>
      </c>
      <c r="EC194" s="21">
        <f>EXP(-LN(2)/2)*EC193+(1-EXP(-LN(2)/2))/(LN(2)/2)*DW194*DZ194*VLOOKUP('Données projet'!$B$14,Paramètres!$A$1:$I$89,3,0)*0.475*44/12</f>
        <v>8.1185025849851435E-24</v>
      </c>
      <c r="ED194" s="22">
        <f t="shared" si="178"/>
        <v>8.3955544967069612E-2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2.8421709430404007E-14</v>
      </c>
      <c r="EK194" s="17">
        <f>EJ194*VLOOKUP('Données projet'!$B$15,Paramètres!$A$1:$I$89,3,0)*VLOOKUP('Données projet'!$B$15,Paramètres!$A$1:$I$89,5,0)</f>
        <v>2.2168933355715127E-14</v>
      </c>
      <c r="EL194" s="13">
        <f t="shared" si="179"/>
        <v>3.9687356123668477E-13</v>
      </c>
      <c r="EM194" s="20">
        <f t="shared" si="180"/>
        <v>7.2983234474842979E-13</v>
      </c>
      <c r="EN194" s="59">
        <f t="shared" si="128"/>
        <v>293.33333333333405</v>
      </c>
      <c r="EO194" s="59">
        <f ca="1">AVERAGE(OFFSET($EN$3,0,0,'Données projet'!$E$15+1,1))-AVERAGE(OFFSET($H$3,0,0,'Données projet'!$E$15+1,1))</f>
        <v>104.07220236158577</v>
      </c>
      <c r="EP194" s="59">
        <f t="shared" si="154"/>
        <v>34.162068257911756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>
        <f>EXP(-LN(2)/35)*EV193+(1-EXP(-LN(2)/35))/(LN(2)/35)*ER194*ES194*VLOOKUP('Données projet'!$B$15,Paramètres!$A$1:$I$89,3,0)*0.475*44/12</f>
        <v>0</v>
      </c>
      <c r="EW194" s="21">
        <f>EXP(-LN(2)/25)*EW193+(1-EXP(-LN(2)/25))/(LN(2)/25)*Calculateur!ER194*Calculateur!ET194*VLOOKUP('Données projet'!$B$15,Paramètres!$A$1:$I$89,3,0)*0.475*44/12</f>
        <v>0</v>
      </c>
      <c r="EX194" s="21">
        <f>EXP(-LN(2)/2)*EX193+(1-EXP(-LN(2)/2))/(LN(2)/2)*ER194*EU194*VLOOKUP('Données projet'!$B$15,Paramètres!$A$1:$I$89,3,0)*0.475*44/12</f>
        <v>0</v>
      </c>
      <c r="EY194" s="22">
        <f t="shared" si="181"/>
        <v>0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5.6843418860808015E-14</v>
      </c>
      <c r="FF194" s="17">
        <f>FE194*VLOOKUP('Données projet'!$B$16,Paramètres!$A$1:$I$89,3,0)*VLOOKUP('Données projet'!$B$16,Paramètres!$A$1:$I$89,5,0)</f>
        <v>5.1431925385259088E-14</v>
      </c>
      <c r="FG194" s="13">
        <f t="shared" si="182"/>
        <v>8.3482866290946129E-13</v>
      </c>
      <c r="FH194" s="20">
        <f t="shared" si="183"/>
        <v>1.5435705246133045E-12</v>
      </c>
      <c r="FI194" s="59">
        <f t="shared" si="131"/>
        <v>293.33333333333485</v>
      </c>
      <c r="FJ194" s="59">
        <f ca="1">AVERAGE(OFFSET($FI$3,0,0,'Données projet'!$E$16+1,1))-AVERAGE(OFFSET($H$3,0,0,'Données projet'!$E$16+1,1))</f>
        <v>179.50097986986123</v>
      </c>
      <c r="FK194" s="59">
        <f t="shared" si="156"/>
        <v>287.11838730637578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>
        <f>EXP(-LN(2)/35)*FQ193+(1-EXP(-LN(2)/35))/(LN(2)/35)*FM194*FN194*VLOOKUP('Données projet'!$B$16,Paramètres!$A$1:$I$89,3,0)*0.475*44/12</f>
        <v>2.5704645932123283E-2</v>
      </c>
      <c r="FR194" s="21">
        <f>EXP(-LN(2)/25)*FR193+(1-EXP(-LN(2)/25))/(LN(2)/25)*Calculateur!FM194*Calculateur!FO194*VLOOKUP('Données projet'!$B$16,Paramètres!$A$1:$I$89,3,0)*0.475*44/12</f>
        <v>7.2488365048914608E-2</v>
      </c>
      <c r="FS194" s="21">
        <f>EXP(-LN(2)/2)*FS193+(1-EXP(-LN(2)/2))/(LN(2)/2)*FM194*FP194*VLOOKUP('Données projet'!$B$16,Paramètres!$A$1:$I$89,3,0)*0.475*44/12</f>
        <v>2.6442362915445936E-24</v>
      </c>
      <c r="FT194" s="22">
        <f t="shared" si="184"/>
        <v>9.8193010981037887E-2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5.6843418860808015E-14</v>
      </c>
      <c r="GA194" s="17">
        <f>FZ194*VLOOKUP('Données projet'!$B$17,Paramètres!$A$1:$I$89,3,0)*VLOOKUP('Données projet'!$B$17,Paramètres!$A$1:$I$89,5,0)</f>
        <v>3.3992364478763198E-14</v>
      </c>
      <c r="GB194" s="13">
        <f t="shared" si="185"/>
        <v>5.790027782444094E-13</v>
      </c>
      <c r="GC194" s="20">
        <f t="shared" si="186"/>
        <v>1.0676332069095257E-12</v>
      </c>
      <c r="GD194" s="59">
        <f t="shared" si="134"/>
        <v>293.33333333333439</v>
      </c>
      <c r="GE194" s="59">
        <f ca="1">AVERAGE(OFFSET($GD$3,0,0,'Données projet'!$E$17+1,1))-AVERAGE(OFFSET($H$3,0,0,'Données projet'!$E$17+1,1))</f>
        <v>165.39579887388538</v>
      </c>
      <c r="GF194" s="59">
        <f t="shared" si="158"/>
        <v>155.89639262545802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>
        <f>EXP(-LN(2)/35)*GL193+(1-EXP(-LN(2)/35))/(LN(2)/35)*GH194*GI194*VLOOKUP('Données projet'!$B$17,Paramètres!$A$1:$I$89,3,0)*0.475*44/12</f>
        <v>0</v>
      </c>
      <c r="GM194" s="21">
        <f>EXP(-LN(2)/25)*GM193+(1-EXP(-LN(2)/25))/(LN(2)/25)*Calculateur!GH194*Calculateur!GJ194*VLOOKUP('Données projet'!$B$17,Paramètres!$A$1:$I$89,3,0)*0.475*44/12</f>
        <v>8.3955544967069612E-2</v>
      </c>
      <c r="GN194" s="21">
        <f>EXP(-LN(2)/2)*GN193+(1-EXP(-LN(2)/2))/(LN(2)/2)*GH194*GK194*VLOOKUP('Données projet'!$B$17,Paramètres!$A$1:$I$89,3,0)*0.475*44/12</f>
        <v>8.1185025849851435E-24</v>
      </c>
      <c r="GO194" s="21">
        <f t="shared" si="187"/>
        <v>8.3955544967069612E-2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3.4106051316484809E-13</v>
      </c>
      <c r="O195" s="13">
        <f>N195*VLOOKUP('Données projet'!$B$9,Paramètres!$A$1:$I$89,3,0)*VLOOKUP('Données projet'!$B$9,Paramètres!$A$1:$I$89,5,0)</f>
        <v>1.9065282685915009E-13</v>
      </c>
      <c r="P195" s="13">
        <f t="shared" si="141"/>
        <v>2.6568987209435707E-12</v>
      </c>
      <c r="Q195" s="20">
        <f t="shared" si="162"/>
        <v>4.959485612423072E-12</v>
      </c>
      <c r="R195" s="59">
        <f t="shared" ref="R195:R203" si="191">Q195+(I195+J195)*44/12</f>
        <v>293.33333333333826</v>
      </c>
      <c r="S195" s="59">
        <f ca="1">AVERAGE(OFFSET($R$3,0,0,'Données projet'!$E$9+1,1))-AVERAGE(OFFSET($H$3,0,0,'Données projet'!$E$9+1,1))</f>
        <v>235.10258076192054</v>
      </c>
      <c r="T195" s="59">
        <f t="shared" si="142"/>
        <v>233.47316052603765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0.13849793649118974</v>
      </c>
      <c r="AA195" s="21">
        <f>EXP(-LN(2)/25)*AA194+(1-EXP(-LN(2)/25))/(LN(2)/25)*Calculateur!V195*Calculateur!X195*VLOOKUP('Données projet'!$B$9,Paramètres!$A$1:$I$89,3,0)*0.475*44/12</f>
        <v>0.20652187178685164</v>
      </c>
      <c r="AB195" s="21">
        <f>EXP(-LN(2)/2)*AB194+(1-EXP(-LN(2)/2))/(LN(2)/2)*V195*Y195*VLOOKUP('Données projet'!$B$9,Paramètres!$A$1:$I$89,3,0)*0.475*44/12</f>
        <v>9.9766591677053105E-24</v>
      </c>
      <c r="AC195" s="22">
        <f t="shared" si="163"/>
        <v>0.34501980827804135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-8.5265128291212022E-14</v>
      </c>
      <c r="AJ195" s="13">
        <f>AI195*VLOOKUP('Données projet'!$B$10,Paramètres!$A$1:$I$89,3,0)*VLOOKUP('Données projet'!$B$10,Paramètres!$A$1:$I$89,5,0)</f>
        <v>-7.4487616075202836E-14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191.94797389630673</v>
      </c>
      <c r="AO195" s="59">
        <f t="shared" si="144"/>
        <v>273.52540822767878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0.10408329772671221</v>
      </c>
      <c r="AV195" s="21">
        <f>EXP(-LN(2)/25)*AV194+(1-EXP(-LN(2)/25))/(LN(2)/25)*Calculateur!AQ195*Calculateur!AS195*VLOOKUP('Données projet'!$B$10,Paramètres!$A$1:$I$89,3,0)*0.475*44/12</f>
        <v>0.15737828063072518</v>
      </c>
      <c r="AW195" s="21">
        <f>EXP(-LN(2)/2)*AW194+(1-EXP(-LN(2)/2))/(LN(2)/2)*AQ195*AT195*VLOOKUP('Données projet'!$B$10,Paramètres!$A$1:$I$89,3,0)*0.475*44/12</f>
        <v>9.596561899499278E-24</v>
      </c>
      <c r="AX195" s="21">
        <f t="shared" si="166"/>
        <v>0.26146157835743739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2.8421709430404007E-14</v>
      </c>
      <c r="BE195" s="13">
        <f>BD195*VLOOKUP('Données projet'!$B$11,Paramètres!$A$1:$I$89,3,0)*VLOOKUP('Données projet'!$B$11,Paramètres!$A$1:$I$89,5,0)</f>
        <v>2.5715962692629544E-14</v>
      </c>
      <c r="BF195" s="13">
        <f t="shared" si="167"/>
        <v>4.5248818890525812E-13</v>
      </c>
      <c r="BG195" s="20">
        <f t="shared" si="168"/>
        <v>8.3287223069965432E-13</v>
      </c>
      <c r="BH195" s="59">
        <f t="shared" si="116"/>
        <v>293.33333333333417</v>
      </c>
      <c r="BI195" s="59">
        <f ca="1">AVERAGE(OFFSET($BH$3,0,0,'Données projet'!$E$11+1,1))-AVERAGE(OFFSET($H$3,0,0,'Données projet'!$E$11+1,1))</f>
        <v>138.8931001150624</v>
      </c>
      <c r="BJ195" s="59">
        <f t="shared" si="146"/>
        <v>48.964659354096625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2.8421709430404007E-14</v>
      </c>
      <c r="BZ195" s="13">
        <f>BY195*VLOOKUP('Données projet'!$B$12,Paramètres!$A$1:$I$89,3,0)*VLOOKUP('Données projet'!$B$12,Paramètres!$A$1:$I$89,5,0)</f>
        <v>2.8819613362429664E-14</v>
      </c>
      <c r="CA195" s="13">
        <f t="shared" si="170"/>
        <v>5.0041752926933358E-13</v>
      </c>
      <c r="CB195" s="20">
        <f t="shared" si="171"/>
        <v>9.2175469008365428E-13</v>
      </c>
      <c r="CC195" s="59">
        <f t="shared" si="119"/>
        <v>293.33333333333422</v>
      </c>
      <c r="CD195" s="59">
        <f ca="1">AVERAGE(OFFSET($CC$3,0,0,'Données projet'!$E$12+1,1))-AVERAGE(OFFSET($H$3,0,0,'Données projet'!$E$12+1,1))</f>
        <v>169.2757878405003</v>
      </c>
      <c r="CE195" s="59">
        <f t="shared" si="148"/>
        <v>61.876502626609977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-8.5265128291212022E-14</v>
      </c>
      <c r="CU195" s="17">
        <f>CT195*VLOOKUP('Données projet'!$B$13,Paramètres!$A$1:$I$89,3,0)*VLOOKUP('Données projet'!$B$13,Paramètres!$A$1:$I$89,5,0)</f>
        <v>-6.7836936068488286E-14</v>
      </c>
      <c r="CV195" s="13" t="e">
        <f t="shared" si="173"/>
        <v>#NUM!</v>
      </c>
      <c r="CW195" s="20" t="e">
        <f t="shared" si="174"/>
        <v>#NUM!</v>
      </c>
      <c r="CX195" s="59" t="e">
        <f t="shared" si="122"/>
        <v>#NUM!</v>
      </c>
      <c r="CY195" s="59">
        <f ca="1">AVERAGE(OFFSET($CX$3,0,0,'Données projet'!$E$13+1,1))-AVERAGE(OFFSET($H$3,0,0,'Données projet'!$E$13+1,1))</f>
        <v>141.12810728817544</v>
      </c>
      <c r="CZ195" s="59">
        <f t="shared" si="150"/>
        <v>176.01405805137551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>
        <f>EXP(-LN(2)/35)*DF194+(1-EXP(-LN(2)/35))/(LN(2)/35)*DB195*DC195*VLOOKUP('Données projet'!$B$13,Paramètres!$A$1:$I$89,3,0)*0.475*44/12</f>
        <v>0</v>
      </c>
      <c r="DG195" s="21">
        <f>EXP(-LN(2)/25)*DG194+(1-EXP(-LN(2)/25))/(LN(2)/25)*Calculateur!DB195*Calculateur!DD195*VLOOKUP('Données projet'!$B$13,Paramètres!$A$1:$I$89,3,0)*0.475*44/12</f>
        <v>7.5311495782995078E-2</v>
      </c>
      <c r="DH195" s="21">
        <f>EXP(-LN(2)/2)*DH194+(1-EXP(-LN(2)/2))/(LN(2)/2)*DB195*DE195*VLOOKUP('Données projet'!$B$13,Paramètres!$A$1:$I$89,3,0)*0.475*44/12</f>
        <v>3.3108697855559056E-24</v>
      </c>
      <c r="DI195" s="22">
        <f t="shared" si="175"/>
        <v>7.5311495782995078E-2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5.6843418860808015E-14</v>
      </c>
      <c r="DP195" s="17">
        <f>DO195*VLOOKUP('Données projet'!$B$14,Paramètres!$A$1:$I$89,3,0)*VLOOKUP('Données projet'!$B$14,Paramètres!$A$1:$I$89,5,0)</f>
        <v>3.3992364478763198E-14</v>
      </c>
      <c r="DQ195" s="13">
        <f t="shared" si="176"/>
        <v>5.790027782444094E-13</v>
      </c>
      <c r="DR195" s="20">
        <f t="shared" si="177"/>
        <v>1.0676332069095257E-12</v>
      </c>
      <c r="DS195" s="59">
        <f t="shared" si="125"/>
        <v>293.33333333333439</v>
      </c>
      <c r="DT195" s="59">
        <f ca="1">AVERAGE(OFFSET($DS$3,0,0,'Données projet'!$E$14+1,1))-AVERAGE(OFFSET($H$3,0,0,'Données projet'!$E$14+1,1))</f>
        <v>165.39579887388538</v>
      </c>
      <c r="DU195" s="59">
        <f t="shared" si="152"/>
        <v>155.89639262545802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>
        <f>EXP(-LN(2)/35)*EA194+(1-EXP(-LN(2)/35))/(LN(2)/35)*DW195*DX195*VLOOKUP('Données projet'!$B$14,Paramètres!$A$1:$I$89,3,0)*0.475*44/12</f>
        <v>0</v>
      </c>
      <c r="EB195" s="21">
        <f>EXP(-LN(2)/25)*EB194+(1-EXP(-LN(2)/25))/(LN(2)/25)*Calculateur!DW195*Calculateur!DY195*VLOOKUP('Données projet'!$B$14,Paramètres!$A$1:$I$89,3,0)*0.475*44/12</f>
        <v>8.1659776174914864E-2</v>
      </c>
      <c r="EC195" s="21">
        <f>EXP(-LN(2)/2)*EC194+(1-EXP(-LN(2)/2))/(LN(2)/2)*DW195*DZ195*VLOOKUP('Données projet'!$B$14,Paramètres!$A$1:$I$89,3,0)*0.475*44/12</f>
        <v>5.7406482309235104E-24</v>
      </c>
      <c r="ED195" s="22">
        <f t="shared" si="178"/>
        <v>8.1659776174914864E-2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2.8421709430404007E-14</v>
      </c>
      <c r="EK195" s="17">
        <f>EJ195*VLOOKUP('Données projet'!$B$15,Paramètres!$A$1:$I$89,3,0)*VLOOKUP('Données projet'!$B$15,Paramètres!$A$1:$I$89,5,0)</f>
        <v>2.2168933355715127E-14</v>
      </c>
      <c r="EL195" s="13">
        <f t="shared" si="179"/>
        <v>3.9687356123668477E-13</v>
      </c>
      <c r="EM195" s="20">
        <f t="shared" si="180"/>
        <v>7.2983234474842979E-13</v>
      </c>
      <c r="EN195" s="59">
        <f t="shared" si="128"/>
        <v>293.33333333333405</v>
      </c>
      <c r="EO195" s="59">
        <f ca="1">AVERAGE(OFFSET($EN$3,0,0,'Données projet'!$E$15+1,1))-AVERAGE(OFFSET($H$3,0,0,'Données projet'!$E$15+1,1))</f>
        <v>104.07220236158577</v>
      </c>
      <c r="EP195" s="59">
        <f t="shared" si="154"/>
        <v>34.162068257911756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>
        <f>EXP(-LN(2)/35)*EV194+(1-EXP(-LN(2)/35))/(LN(2)/35)*ER195*ES195*VLOOKUP('Données projet'!$B$15,Paramètres!$A$1:$I$89,3,0)*0.475*44/12</f>
        <v>0</v>
      </c>
      <c r="EW195" s="21">
        <f>EXP(-LN(2)/25)*EW194+(1-EXP(-LN(2)/25))/(LN(2)/25)*Calculateur!ER195*Calculateur!ET195*VLOOKUP('Données projet'!$B$15,Paramètres!$A$1:$I$89,3,0)*0.475*44/12</f>
        <v>0</v>
      </c>
      <c r="EX195" s="21">
        <f>EXP(-LN(2)/2)*EX194+(1-EXP(-LN(2)/2))/(LN(2)/2)*ER195*EU195*VLOOKUP('Données projet'!$B$15,Paramètres!$A$1:$I$89,3,0)*0.475*44/12</f>
        <v>0</v>
      </c>
      <c r="EY195" s="22">
        <f t="shared" si="181"/>
        <v>0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5.6843418860808015E-14</v>
      </c>
      <c r="FF195" s="17">
        <f>FE195*VLOOKUP('Données projet'!$B$16,Paramètres!$A$1:$I$89,3,0)*VLOOKUP('Données projet'!$B$16,Paramètres!$A$1:$I$89,5,0)</f>
        <v>5.1431925385259088E-14</v>
      </c>
      <c r="FG195" s="13">
        <f t="shared" si="182"/>
        <v>8.3482866290946129E-13</v>
      </c>
      <c r="FH195" s="20">
        <f t="shared" si="183"/>
        <v>1.5435705246133045E-12</v>
      </c>
      <c r="FI195" s="59">
        <f t="shared" si="131"/>
        <v>293.33333333333485</v>
      </c>
      <c r="FJ195" s="59">
        <f ca="1">AVERAGE(OFFSET($FI$3,0,0,'Données projet'!$E$16+1,1))-AVERAGE(OFFSET($H$3,0,0,'Données projet'!$E$16+1,1))</f>
        <v>179.50097986986123</v>
      </c>
      <c r="FK195" s="59">
        <f t="shared" si="156"/>
        <v>287.11838730637578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>
        <f>EXP(-LN(2)/35)*FQ194+(1-EXP(-LN(2)/35))/(LN(2)/35)*FM195*FN195*VLOOKUP('Données projet'!$B$16,Paramètres!$A$1:$I$89,3,0)*0.475*44/12</f>
        <v>2.5200593503680261E-2</v>
      </c>
      <c r="FR195" s="21">
        <f>EXP(-LN(2)/25)*FR194+(1-EXP(-LN(2)/25))/(LN(2)/25)*Calculateur!FM195*Calculateur!FO195*VLOOKUP('Données projet'!$B$16,Paramètres!$A$1:$I$89,3,0)*0.475*44/12</f>
        <v>7.0506166894654596E-2</v>
      </c>
      <c r="FS195" s="21">
        <f>EXP(-LN(2)/2)*FS194+(1-EXP(-LN(2)/2))/(LN(2)/2)*FM195*FP195*VLOOKUP('Données projet'!$B$16,Paramètres!$A$1:$I$89,3,0)*0.475*44/12</f>
        <v>1.8697574128107508E-24</v>
      </c>
      <c r="FT195" s="22">
        <f t="shared" si="184"/>
        <v>9.5706760398334853E-2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5.6843418860808015E-14</v>
      </c>
      <c r="GA195" s="17">
        <f>FZ195*VLOOKUP('Données projet'!$B$17,Paramètres!$A$1:$I$89,3,0)*VLOOKUP('Données projet'!$B$17,Paramètres!$A$1:$I$89,5,0)</f>
        <v>3.3992364478763198E-14</v>
      </c>
      <c r="GB195" s="13">
        <f t="shared" si="185"/>
        <v>5.790027782444094E-13</v>
      </c>
      <c r="GC195" s="20">
        <f t="shared" si="186"/>
        <v>1.0676332069095257E-12</v>
      </c>
      <c r="GD195" s="59">
        <f t="shared" si="134"/>
        <v>293.33333333333439</v>
      </c>
      <c r="GE195" s="59">
        <f ca="1">AVERAGE(OFFSET($GD$3,0,0,'Données projet'!$E$17+1,1))-AVERAGE(OFFSET($H$3,0,0,'Données projet'!$E$17+1,1))</f>
        <v>165.39579887388538</v>
      </c>
      <c r="GF195" s="59">
        <f t="shared" si="158"/>
        <v>155.89639262545802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>
        <f>EXP(-LN(2)/35)*GL194+(1-EXP(-LN(2)/35))/(LN(2)/35)*GH195*GI195*VLOOKUP('Données projet'!$B$17,Paramètres!$A$1:$I$89,3,0)*0.475*44/12</f>
        <v>0</v>
      </c>
      <c r="GM195" s="21">
        <f>EXP(-LN(2)/25)*GM194+(1-EXP(-LN(2)/25))/(LN(2)/25)*Calculateur!GH195*Calculateur!GJ195*VLOOKUP('Données projet'!$B$17,Paramètres!$A$1:$I$89,3,0)*0.475*44/12</f>
        <v>8.1659776174914864E-2</v>
      </c>
      <c r="GN195" s="21">
        <f>EXP(-LN(2)/2)*GN194+(1-EXP(-LN(2)/2))/(LN(2)/2)*GH195*GK195*VLOOKUP('Données projet'!$B$17,Paramètres!$A$1:$I$89,3,0)*0.475*44/12</f>
        <v>5.7406482309235104E-24</v>
      </c>
      <c r="GO195" s="21">
        <f t="shared" si="187"/>
        <v>8.1659776174914864E-2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3.4106051316484809E-13</v>
      </c>
      <c r="O196" s="13">
        <f>N196*VLOOKUP('Données projet'!$B$9,Paramètres!$A$1:$I$89,3,0)*VLOOKUP('Données projet'!$B$9,Paramètres!$A$1:$I$89,5,0)</f>
        <v>1.9065282685915009E-13</v>
      </c>
      <c r="P196" s="13">
        <f t="shared" si="141"/>
        <v>2.6568987209435707E-12</v>
      </c>
      <c r="Q196" s="20">
        <f t="shared" si="162"/>
        <v>4.959485612423072E-12</v>
      </c>
      <c r="R196" s="59">
        <f t="shared" si="191"/>
        <v>293.33333333333826</v>
      </c>
      <c r="S196" s="59">
        <f ca="1">AVERAGE(OFFSET($R$3,0,0,'Données projet'!$E$9+1,1))-AVERAGE(OFFSET($H$3,0,0,'Données projet'!$E$9+1,1))</f>
        <v>235.10258076192054</v>
      </c>
      <c r="T196" s="59">
        <f t="shared" si="142"/>
        <v>233.47316052603765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0.13578207643199752</v>
      </c>
      <c r="AA196" s="21">
        <f>EXP(-LN(2)/25)*AA195+(1-EXP(-LN(2)/25))/(LN(2)/25)*Calculateur!V196*Calculateur!X196*VLOOKUP('Données projet'!$B$9,Paramètres!$A$1:$I$89,3,0)*0.475*44/12</f>
        <v>0.20087452034232695</v>
      </c>
      <c r="AB196" s="21">
        <f>EXP(-LN(2)/2)*AB195+(1-EXP(-LN(2)/2))/(LN(2)/2)*V196*Y196*VLOOKUP('Données projet'!$B$9,Paramètres!$A$1:$I$89,3,0)*0.475*44/12</f>
        <v>7.0545633510713622E-24</v>
      </c>
      <c r="AC196" s="22">
        <f t="shared" si="163"/>
        <v>0.33665659677432447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-8.5265128291212022E-14</v>
      </c>
      <c r="AJ196" s="13">
        <f>AI196*VLOOKUP('Données projet'!$B$10,Paramètres!$A$1:$I$89,3,0)*VLOOKUP('Données projet'!$B$10,Paramètres!$A$1:$I$89,5,0)</f>
        <v>-7.4487616075202836E-14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191.94797389630673</v>
      </c>
      <c r="AO196" s="59">
        <f t="shared" si="144"/>
        <v>273.52540822767878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0.10204228774283441</v>
      </c>
      <c r="AV196" s="21">
        <f>EXP(-LN(2)/25)*AV195+(1-EXP(-LN(2)/25))/(LN(2)/25)*Calculateur!AQ196*Calculateur!AS196*VLOOKUP('Données projet'!$B$10,Paramètres!$A$1:$I$89,3,0)*0.475*44/12</f>
        <v>0.1530747632707139</v>
      </c>
      <c r="AW196" s="21">
        <f>EXP(-LN(2)/2)*AW195+(1-EXP(-LN(2)/2))/(LN(2)/2)*AQ196*AT196*VLOOKUP('Données projet'!$B$10,Paramètres!$A$1:$I$89,3,0)*0.475*44/12</f>
        <v>6.7857939952123946E-24</v>
      </c>
      <c r="AX196" s="21">
        <f t="shared" si="166"/>
        <v>0.25511705101354831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2.8421709430404007E-14</v>
      </c>
      <c r="BE196" s="13">
        <f>BD196*VLOOKUP('Données projet'!$B$11,Paramètres!$A$1:$I$89,3,0)*VLOOKUP('Données projet'!$B$11,Paramètres!$A$1:$I$89,5,0)</f>
        <v>2.5715962692629544E-14</v>
      </c>
      <c r="BF196" s="13">
        <f t="shared" si="167"/>
        <v>4.5248818890525812E-13</v>
      </c>
      <c r="BG196" s="20">
        <f t="shared" si="168"/>
        <v>8.3287223069965432E-13</v>
      </c>
      <c r="BH196" s="59">
        <f t="shared" ref="BH196:BH203" si="194">BG196+(AY196+AZ196)*44/12</f>
        <v>293.33333333333417</v>
      </c>
      <c r="BI196" s="59">
        <f ca="1">AVERAGE(OFFSET($BH$3,0,0,'Données projet'!$E$11+1,1))-AVERAGE(OFFSET($H$3,0,0,'Données projet'!$E$11+1,1))</f>
        <v>138.8931001150624</v>
      </c>
      <c r="BJ196" s="59">
        <f t="shared" si="146"/>
        <v>48.964659354096625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2.8421709430404007E-14</v>
      </c>
      <c r="BZ196" s="13">
        <f>BY196*VLOOKUP('Données projet'!$B$12,Paramètres!$A$1:$I$89,3,0)*VLOOKUP('Données projet'!$B$12,Paramètres!$A$1:$I$89,5,0)</f>
        <v>2.8819613362429664E-14</v>
      </c>
      <c r="CA196" s="13">
        <f t="shared" si="170"/>
        <v>5.0041752926933358E-13</v>
      </c>
      <c r="CB196" s="20">
        <f t="shared" si="171"/>
        <v>9.2175469008365428E-13</v>
      </c>
      <c r="CC196" s="59">
        <f t="shared" ref="CC196:CC203" si="195">CB196+(BT196+BU196)*44/12</f>
        <v>293.33333333333422</v>
      </c>
      <c r="CD196" s="59">
        <f ca="1">AVERAGE(OFFSET($CC$3,0,0,'Données projet'!$E$12+1,1))-AVERAGE(OFFSET($H$3,0,0,'Données projet'!$E$12+1,1))</f>
        <v>169.2757878405003</v>
      </c>
      <c r="CE196" s="59">
        <f t="shared" si="148"/>
        <v>61.876502626609977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-8.5265128291212022E-14</v>
      </c>
      <c r="CU196" s="17">
        <f>CT196*VLOOKUP('Données projet'!$B$13,Paramètres!$A$1:$I$89,3,0)*VLOOKUP('Données projet'!$B$13,Paramètres!$A$1:$I$89,5,0)</f>
        <v>-6.7836936068488286E-14</v>
      </c>
      <c r="CV196" s="13" t="e">
        <f t="shared" si="173"/>
        <v>#NUM!</v>
      </c>
      <c r="CW196" s="20" t="e">
        <f t="shared" si="174"/>
        <v>#NUM!</v>
      </c>
      <c r="CX196" s="59" t="e">
        <f t="shared" ref="CX196:CX203" si="196">CW196+(CO196+CP196)*44/12</f>
        <v>#NUM!</v>
      </c>
      <c r="CY196" s="59">
        <f ca="1">AVERAGE(OFFSET($CX$3,0,0,'Données projet'!$E$13+1,1))-AVERAGE(OFFSET($H$3,0,0,'Données projet'!$E$13+1,1))</f>
        <v>141.12810728817544</v>
      </c>
      <c r="CZ196" s="59">
        <f t="shared" si="150"/>
        <v>176.01405805137551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>
        <f>EXP(-LN(2)/35)*DF195+(1-EXP(-LN(2)/35))/(LN(2)/35)*DB196*DC196*VLOOKUP('Données projet'!$B$13,Paramètres!$A$1:$I$89,3,0)*0.475*44/12</f>
        <v>0</v>
      </c>
      <c r="DG196" s="21">
        <f>EXP(-LN(2)/25)*DG195+(1-EXP(-LN(2)/25))/(LN(2)/25)*Calculateur!DB196*Calculateur!DD196*VLOOKUP('Données projet'!$B$13,Paramètres!$A$1:$I$89,3,0)*0.475*44/12</f>
        <v>7.3252098970349636E-2</v>
      </c>
      <c r="DH196" s="21">
        <f>EXP(-LN(2)/2)*DH195+(1-EXP(-LN(2)/2))/(LN(2)/2)*DB196*DE196*VLOOKUP('Données projet'!$B$13,Paramètres!$A$1:$I$89,3,0)*0.475*44/12</f>
        <v>2.3411384769922313E-24</v>
      </c>
      <c r="DI196" s="22">
        <f t="shared" si="175"/>
        <v>7.3252098970349636E-2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5.6843418860808015E-14</v>
      </c>
      <c r="DP196" s="17">
        <f>DO196*VLOOKUP('Données projet'!$B$14,Paramètres!$A$1:$I$89,3,0)*VLOOKUP('Données projet'!$B$14,Paramètres!$A$1:$I$89,5,0)</f>
        <v>3.3992364478763198E-14</v>
      </c>
      <c r="DQ196" s="13">
        <f t="shared" si="176"/>
        <v>5.790027782444094E-13</v>
      </c>
      <c r="DR196" s="20">
        <f t="shared" si="177"/>
        <v>1.0676332069095257E-12</v>
      </c>
      <c r="DS196" s="59">
        <f t="shared" ref="DS196:DS203" si="197">DR196+(DJ196+DK196)*44/12</f>
        <v>293.33333333333439</v>
      </c>
      <c r="DT196" s="59">
        <f ca="1">AVERAGE(OFFSET($DS$3,0,0,'Données projet'!$E$14+1,1))-AVERAGE(OFFSET($H$3,0,0,'Données projet'!$E$14+1,1))</f>
        <v>165.39579887388538</v>
      </c>
      <c r="DU196" s="59">
        <f t="shared" si="152"/>
        <v>155.89639262545802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>
        <f>EXP(-LN(2)/35)*EA195+(1-EXP(-LN(2)/35))/(LN(2)/35)*DW196*DX196*VLOOKUP('Données projet'!$B$14,Paramètres!$A$1:$I$89,3,0)*0.475*44/12</f>
        <v>0</v>
      </c>
      <c r="EB196" s="21">
        <f>EXP(-LN(2)/25)*EB195+(1-EXP(-LN(2)/25))/(LN(2)/25)*Calculateur!DW196*Calculateur!DY196*VLOOKUP('Données projet'!$B$14,Paramètres!$A$1:$I$89,3,0)*0.475*44/12</f>
        <v>7.942678530111083E-2</v>
      </c>
      <c r="EC196" s="21">
        <f>EXP(-LN(2)/2)*EC195+(1-EXP(-LN(2)/2))/(LN(2)/2)*DW196*DZ196*VLOOKUP('Données projet'!$B$14,Paramètres!$A$1:$I$89,3,0)*0.475*44/12</f>
        <v>4.0592512924925717E-24</v>
      </c>
      <c r="ED196" s="22">
        <f t="shared" si="178"/>
        <v>7.942678530111083E-2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2.8421709430404007E-14</v>
      </c>
      <c r="EK196" s="17">
        <f>EJ196*VLOOKUP('Données projet'!$B$15,Paramètres!$A$1:$I$89,3,0)*VLOOKUP('Données projet'!$B$15,Paramètres!$A$1:$I$89,5,0)</f>
        <v>2.2168933355715127E-14</v>
      </c>
      <c r="EL196" s="13">
        <f t="shared" si="179"/>
        <v>3.9687356123668477E-13</v>
      </c>
      <c r="EM196" s="20">
        <f t="shared" si="180"/>
        <v>7.2983234474842979E-13</v>
      </c>
      <c r="EN196" s="59">
        <f t="shared" ref="EN196:EN203" si="198">EM196+(EE196+EF196)*44/12</f>
        <v>293.33333333333405</v>
      </c>
      <c r="EO196" s="59">
        <f ca="1">AVERAGE(OFFSET($EN$3,0,0,'Données projet'!$E$15+1,1))-AVERAGE(OFFSET($H$3,0,0,'Données projet'!$E$15+1,1))</f>
        <v>104.07220236158577</v>
      </c>
      <c r="EP196" s="59">
        <f t="shared" si="154"/>
        <v>34.162068257911756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>
        <f>EXP(-LN(2)/35)*EV195+(1-EXP(-LN(2)/35))/(LN(2)/35)*ER196*ES196*VLOOKUP('Données projet'!$B$15,Paramètres!$A$1:$I$89,3,0)*0.475*44/12</f>
        <v>0</v>
      </c>
      <c r="EW196" s="21">
        <f>EXP(-LN(2)/25)*EW195+(1-EXP(-LN(2)/25))/(LN(2)/25)*Calculateur!ER196*Calculateur!ET196*VLOOKUP('Données projet'!$B$15,Paramètres!$A$1:$I$89,3,0)*0.475*44/12</f>
        <v>0</v>
      </c>
      <c r="EX196" s="21">
        <f>EXP(-LN(2)/2)*EX195+(1-EXP(-LN(2)/2))/(LN(2)/2)*ER196*EU196*VLOOKUP('Données projet'!$B$15,Paramètres!$A$1:$I$89,3,0)*0.475*44/12</f>
        <v>0</v>
      </c>
      <c r="EY196" s="22">
        <f t="shared" si="181"/>
        <v>0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5.6843418860808015E-14</v>
      </c>
      <c r="FF196" s="17">
        <f>FE196*VLOOKUP('Données projet'!$B$16,Paramètres!$A$1:$I$89,3,0)*VLOOKUP('Données projet'!$B$16,Paramètres!$A$1:$I$89,5,0)</f>
        <v>5.1431925385259088E-14</v>
      </c>
      <c r="FG196" s="13">
        <f t="shared" si="182"/>
        <v>8.3482866290946129E-13</v>
      </c>
      <c r="FH196" s="20">
        <f t="shared" si="183"/>
        <v>1.5435705246133045E-12</v>
      </c>
      <c r="FI196" s="59">
        <f t="shared" ref="FI196:FI203" si="199">FH196+(EZ196+FA196)*44/12</f>
        <v>293.33333333333485</v>
      </c>
      <c r="FJ196" s="59">
        <f ca="1">AVERAGE(OFFSET($FI$3,0,0,'Données projet'!$E$16+1,1))-AVERAGE(OFFSET($H$3,0,0,'Données projet'!$E$16+1,1))</f>
        <v>179.50097986986123</v>
      </c>
      <c r="FK196" s="59">
        <f t="shared" si="156"/>
        <v>287.11838730637578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>
        <f>EXP(-LN(2)/35)*FQ195+(1-EXP(-LN(2)/35))/(LN(2)/35)*FM196*FN196*VLOOKUP('Données projet'!$B$16,Paramètres!$A$1:$I$89,3,0)*0.475*44/12</f>
        <v>2.4706425235917383E-2</v>
      </c>
      <c r="FR196" s="21">
        <f>EXP(-LN(2)/25)*FR195+(1-EXP(-LN(2)/25))/(LN(2)/25)*Calculateur!FM196*Calculateur!FO196*VLOOKUP('Données projet'!$B$16,Paramètres!$A$1:$I$89,3,0)*0.475*44/12</f>
        <v>6.8578172053162093E-2</v>
      </c>
      <c r="FS196" s="21">
        <f>EXP(-LN(2)/2)*FS195+(1-EXP(-LN(2)/2))/(LN(2)/2)*FM196*FP196*VLOOKUP('Données projet'!$B$16,Paramètres!$A$1:$I$89,3,0)*0.475*44/12</f>
        <v>1.3221181457722968E-24</v>
      </c>
      <c r="FT196" s="22">
        <f t="shared" si="184"/>
        <v>9.3284597289079479E-2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5.6843418860808015E-14</v>
      </c>
      <c r="GA196" s="17">
        <f>FZ196*VLOOKUP('Données projet'!$B$17,Paramètres!$A$1:$I$89,3,0)*VLOOKUP('Données projet'!$B$17,Paramètres!$A$1:$I$89,5,0)</f>
        <v>3.3992364478763198E-14</v>
      </c>
      <c r="GB196" s="13">
        <f t="shared" si="185"/>
        <v>5.790027782444094E-13</v>
      </c>
      <c r="GC196" s="20">
        <f t="shared" si="186"/>
        <v>1.0676332069095257E-12</v>
      </c>
      <c r="GD196" s="59">
        <f t="shared" ref="GD196:GD203" si="200">GC196+(FU196+FV196)*44/12</f>
        <v>293.33333333333439</v>
      </c>
      <c r="GE196" s="59">
        <f ca="1">AVERAGE(OFFSET($GD$3,0,0,'Données projet'!$E$17+1,1))-AVERAGE(OFFSET($H$3,0,0,'Données projet'!$E$17+1,1))</f>
        <v>165.39579887388538</v>
      </c>
      <c r="GF196" s="59">
        <f t="shared" si="158"/>
        <v>155.89639262545802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>
        <f>EXP(-LN(2)/35)*GL195+(1-EXP(-LN(2)/35))/(LN(2)/35)*GH196*GI196*VLOOKUP('Données projet'!$B$17,Paramètres!$A$1:$I$89,3,0)*0.475*44/12</f>
        <v>0</v>
      </c>
      <c r="GM196" s="21">
        <f>EXP(-LN(2)/25)*GM195+(1-EXP(-LN(2)/25))/(LN(2)/25)*Calculateur!GH196*Calculateur!GJ196*VLOOKUP('Données projet'!$B$17,Paramètres!$A$1:$I$89,3,0)*0.475*44/12</f>
        <v>7.942678530111083E-2</v>
      </c>
      <c r="GN196" s="21">
        <f>EXP(-LN(2)/2)*GN195+(1-EXP(-LN(2)/2))/(LN(2)/2)*GH196*GK196*VLOOKUP('Données projet'!$B$17,Paramètres!$A$1:$I$89,3,0)*0.475*44/12</f>
        <v>4.0592512924925717E-24</v>
      </c>
      <c r="GO196" s="21">
        <f t="shared" si="187"/>
        <v>7.942678530111083E-2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3.4106051316484809E-13</v>
      </c>
      <c r="O197" s="13">
        <f>N197*VLOOKUP('Données projet'!$B$9,Paramètres!$A$1:$I$89,3,0)*VLOOKUP('Données projet'!$B$9,Paramètres!$A$1:$I$89,5,0)</f>
        <v>1.9065282685915009E-13</v>
      </c>
      <c r="P197" s="13">
        <f t="shared" ref="P197:P203" si="203">EXP(-1.0587+0.8836*LN(O197)+0.284)</f>
        <v>2.6568987209435707E-12</v>
      </c>
      <c r="Q197" s="20">
        <f t="shared" si="162"/>
        <v>4.959485612423072E-12</v>
      </c>
      <c r="R197" s="59">
        <f t="shared" si="191"/>
        <v>293.33333333333826</v>
      </c>
      <c r="S197" s="59">
        <f ca="1">AVERAGE(OFFSET($R$3,0,0,'Données projet'!$E$9+1,1))-AVERAGE(OFFSET($H$3,0,0,'Données projet'!$E$9+1,1))</f>
        <v>235.10258076192054</v>
      </c>
      <c r="T197" s="59">
        <f t="shared" ref="T197:T203" si="204">$T$3</f>
        <v>233.47316052603765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0.13311947273205499</v>
      </c>
      <c r="AA197" s="21">
        <f>EXP(-LN(2)/25)*AA196+(1-EXP(-LN(2)/25))/(LN(2)/25)*Calculateur!V197*Calculateur!X197*VLOOKUP('Données projet'!$B$9,Paramètres!$A$1:$I$89,3,0)*0.475*44/12</f>
        <v>0.1953815960200341</v>
      </c>
      <c r="AB197" s="21">
        <f>EXP(-LN(2)/2)*AB196+(1-EXP(-LN(2)/2))/(LN(2)/2)*V197*Y197*VLOOKUP('Données projet'!$B$9,Paramètres!$A$1:$I$89,3,0)*0.475*44/12</f>
        <v>4.9883295838526552E-24</v>
      </c>
      <c r="AC197" s="22">
        <f t="shared" si="163"/>
        <v>0.32850106875208906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-8.5265128291212022E-14</v>
      </c>
      <c r="AJ197" s="13">
        <f>AI197*VLOOKUP('Données projet'!$B$10,Paramètres!$A$1:$I$89,3,0)*VLOOKUP('Données projet'!$B$10,Paramètres!$A$1:$I$89,5,0)</f>
        <v>-7.4487616075202836E-14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191.94797389630673</v>
      </c>
      <c r="AO197" s="59">
        <f t="shared" ref="AO197:AO203" si="205">$AO$3</f>
        <v>273.52540822767878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0.10004130071984731</v>
      </c>
      <c r="AV197" s="21">
        <f>EXP(-LN(2)/25)*AV196+(1-EXP(-LN(2)/25))/(LN(2)/25)*Calculateur!AQ197*Calculateur!AS197*VLOOKUP('Données projet'!$B$10,Paramètres!$A$1:$I$89,3,0)*0.475*44/12</f>
        <v>0.14888892581922428</v>
      </c>
      <c r="AW197" s="21">
        <f>EXP(-LN(2)/2)*AW196+(1-EXP(-LN(2)/2))/(LN(2)/2)*AQ197*AT197*VLOOKUP('Données projet'!$B$10,Paramètres!$A$1:$I$89,3,0)*0.475*44/12</f>
        <v>4.798280949749639E-24</v>
      </c>
      <c r="AX197" s="21">
        <f t="shared" si="166"/>
        <v>0.2489302265390716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2.8421709430404007E-14</v>
      </c>
      <c r="BE197" s="13">
        <f>BD197*VLOOKUP('Données projet'!$B$11,Paramètres!$A$1:$I$89,3,0)*VLOOKUP('Données projet'!$B$11,Paramètres!$A$1:$I$89,5,0)</f>
        <v>2.5715962692629544E-14</v>
      </c>
      <c r="BF197" s="13">
        <f t="shared" si="167"/>
        <v>4.5248818890525812E-13</v>
      </c>
      <c r="BG197" s="20">
        <f t="shared" si="168"/>
        <v>8.3287223069965432E-13</v>
      </c>
      <c r="BH197" s="59">
        <f t="shared" si="194"/>
        <v>293.33333333333417</v>
      </c>
      <c r="BI197" s="59">
        <f ca="1">AVERAGE(OFFSET($BH$3,0,0,'Données projet'!$E$11+1,1))-AVERAGE(OFFSET($H$3,0,0,'Données projet'!$E$11+1,1))</f>
        <v>138.8931001150624</v>
      </c>
      <c r="BJ197" s="59">
        <f t="shared" ref="BJ197:BJ203" si="206">$BJ$3</f>
        <v>48.964659354096625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2.8421709430404007E-14</v>
      </c>
      <c r="BZ197" s="13">
        <f>BY197*VLOOKUP('Données projet'!$B$12,Paramètres!$A$1:$I$89,3,0)*VLOOKUP('Données projet'!$B$12,Paramètres!$A$1:$I$89,5,0)</f>
        <v>2.8819613362429664E-14</v>
      </c>
      <c r="CA197" s="13">
        <f t="shared" si="170"/>
        <v>5.0041752926933358E-13</v>
      </c>
      <c r="CB197" s="20">
        <f t="shared" si="171"/>
        <v>9.2175469008365428E-13</v>
      </c>
      <c r="CC197" s="59">
        <f t="shared" si="195"/>
        <v>293.33333333333422</v>
      </c>
      <c r="CD197" s="59">
        <f ca="1">AVERAGE(OFFSET($CC$3,0,0,'Données projet'!$E$12+1,1))-AVERAGE(OFFSET($H$3,0,0,'Données projet'!$E$12+1,1))</f>
        <v>169.2757878405003</v>
      </c>
      <c r="CE197" s="59">
        <f t="shared" ref="CE197:CE203" si="207">$CE$3</f>
        <v>61.876502626609977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-8.5265128291212022E-14</v>
      </c>
      <c r="CU197" s="17">
        <f>CT197*VLOOKUP('Données projet'!$B$13,Paramètres!$A$1:$I$89,3,0)*VLOOKUP('Données projet'!$B$13,Paramètres!$A$1:$I$89,5,0)</f>
        <v>-6.7836936068488286E-14</v>
      </c>
      <c r="CV197" s="13" t="e">
        <f t="shared" si="173"/>
        <v>#NUM!</v>
      </c>
      <c r="CW197" s="20" t="e">
        <f t="shared" si="174"/>
        <v>#NUM!</v>
      </c>
      <c r="CX197" s="59" t="e">
        <f t="shared" si="196"/>
        <v>#NUM!</v>
      </c>
      <c r="CY197" s="59">
        <f ca="1">AVERAGE(OFFSET($CX$3,0,0,'Données projet'!$E$13+1,1))-AVERAGE(OFFSET($H$3,0,0,'Données projet'!$E$13+1,1))</f>
        <v>141.12810728817544</v>
      </c>
      <c r="CZ197" s="59">
        <f t="shared" ref="CZ197:CZ203" si="208">$CZ$3</f>
        <v>176.01405805137551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>
        <f>EXP(-LN(2)/35)*DF196+(1-EXP(-LN(2)/35))/(LN(2)/35)*DB197*DC197*VLOOKUP('Données projet'!$B$13,Paramètres!$A$1:$I$89,3,0)*0.475*44/12</f>
        <v>0</v>
      </c>
      <c r="DG197" s="21">
        <f>EXP(-LN(2)/25)*DG196+(1-EXP(-LN(2)/25))/(LN(2)/25)*Calculateur!DB197*Calculateur!DD197*VLOOKUP('Données projet'!$B$13,Paramètres!$A$1:$I$89,3,0)*0.475*44/12</f>
        <v>7.1249016471844964E-2</v>
      </c>
      <c r="DH197" s="21">
        <f>EXP(-LN(2)/2)*DH196+(1-EXP(-LN(2)/2))/(LN(2)/2)*DB197*DE197*VLOOKUP('Données projet'!$B$13,Paramètres!$A$1:$I$89,3,0)*0.475*44/12</f>
        <v>1.6554348927779528E-24</v>
      </c>
      <c r="DI197" s="22">
        <f t="shared" si="175"/>
        <v>7.1249016471844964E-2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5.6843418860808015E-14</v>
      </c>
      <c r="DP197" s="17">
        <f>DO197*VLOOKUP('Données projet'!$B$14,Paramètres!$A$1:$I$89,3,0)*VLOOKUP('Données projet'!$B$14,Paramètres!$A$1:$I$89,5,0)</f>
        <v>3.3992364478763198E-14</v>
      </c>
      <c r="DQ197" s="13">
        <f t="shared" si="176"/>
        <v>5.790027782444094E-13</v>
      </c>
      <c r="DR197" s="20">
        <f t="shared" si="177"/>
        <v>1.0676332069095257E-12</v>
      </c>
      <c r="DS197" s="59">
        <f t="shared" si="197"/>
        <v>293.33333333333439</v>
      </c>
      <c r="DT197" s="59">
        <f ca="1">AVERAGE(OFFSET($DS$3,0,0,'Données projet'!$E$14+1,1))-AVERAGE(OFFSET($H$3,0,0,'Données projet'!$E$14+1,1))</f>
        <v>165.39579887388538</v>
      </c>
      <c r="DU197" s="59">
        <f t="shared" ref="DU197:DU203" si="209">$DU$3</f>
        <v>155.89639262545802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>
        <f>EXP(-LN(2)/35)*EA196+(1-EXP(-LN(2)/35))/(LN(2)/35)*DW197*DX197*VLOOKUP('Données projet'!$B$14,Paramètres!$A$1:$I$89,3,0)*0.475*44/12</f>
        <v>0</v>
      </c>
      <c r="EB197" s="21">
        <f>EXP(-LN(2)/25)*EB196+(1-EXP(-LN(2)/25))/(LN(2)/25)*Calculateur!DW197*Calculateur!DY197*VLOOKUP('Données projet'!$B$14,Paramètres!$A$1:$I$89,3,0)*0.475*44/12</f>
        <v>7.7254855680178855E-2</v>
      </c>
      <c r="EC197" s="21">
        <f>EXP(-LN(2)/2)*EC196+(1-EXP(-LN(2)/2))/(LN(2)/2)*DW197*DZ197*VLOOKUP('Données projet'!$B$14,Paramètres!$A$1:$I$89,3,0)*0.475*44/12</f>
        <v>2.8703241154617552E-24</v>
      </c>
      <c r="ED197" s="22">
        <f t="shared" si="178"/>
        <v>7.7254855680178855E-2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2.8421709430404007E-14</v>
      </c>
      <c r="EK197" s="17">
        <f>EJ197*VLOOKUP('Données projet'!$B$15,Paramètres!$A$1:$I$89,3,0)*VLOOKUP('Données projet'!$B$15,Paramètres!$A$1:$I$89,5,0)</f>
        <v>2.2168933355715127E-14</v>
      </c>
      <c r="EL197" s="13">
        <f t="shared" si="179"/>
        <v>3.9687356123668477E-13</v>
      </c>
      <c r="EM197" s="20">
        <f t="shared" si="180"/>
        <v>7.2983234474842979E-13</v>
      </c>
      <c r="EN197" s="59">
        <f t="shared" si="198"/>
        <v>293.33333333333405</v>
      </c>
      <c r="EO197" s="59">
        <f ca="1">AVERAGE(OFFSET($EN$3,0,0,'Données projet'!$E$15+1,1))-AVERAGE(OFFSET($H$3,0,0,'Données projet'!$E$15+1,1))</f>
        <v>104.07220236158577</v>
      </c>
      <c r="EP197" s="59">
        <f t="shared" ref="EP197:EP203" si="210">$EP$3</f>
        <v>34.162068257911756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>
        <f>EXP(-LN(2)/35)*EV196+(1-EXP(-LN(2)/35))/(LN(2)/35)*ER197*ES197*VLOOKUP('Données projet'!$B$15,Paramètres!$A$1:$I$89,3,0)*0.475*44/12</f>
        <v>0</v>
      </c>
      <c r="EW197" s="21">
        <f>EXP(-LN(2)/25)*EW196+(1-EXP(-LN(2)/25))/(LN(2)/25)*Calculateur!ER197*Calculateur!ET197*VLOOKUP('Données projet'!$B$15,Paramètres!$A$1:$I$89,3,0)*0.475*44/12</f>
        <v>0</v>
      </c>
      <c r="EX197" s="21">
        <f>EXP(-LN(2)/2)*EX196+(1-EXP(-LN(2)/2))/(LN(2)/2)*ER197*EU197*VLOOKUP('Données projet'!$B$15,Paramètres!$A$1:$I$89,3,0)*0.475*44/12</f>
        <v>0</v>
      </c>
      <c r="EY197" s="22">
        <f t="shared" si="181"/>
        <v>0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5.6843418860808015E-14</v>
      </c>
      <c r="FF197" s="17">
        <f>FE197*VLOOKUP('Données projet'!$B$16,Paramètres!$A$1:$I$89,3,0)*VLOOKUP('Données projet'!$B$16,Paramètres!$A$1:$I$89,5,0)</f>
        <v>5.1431925385259088E-14</v>
      </c>
      <c r="FG197" s="13">
        <f t="shared" si="182"/>
        <v>8.3482866290946129E-13</v>
      </c>
      <c r="FH197" s="20">
        <f t="shared" si="183"/>
        <v>1.5435705246133045E-12</v>
      </c>
      <c r="FI197" s="59">
        <f t="shared" si="199"/>
        <v>293.33333333333485</v>
      </c>
      <c r="FJ197" s="59">
        <f ca="1">AVERAGE(OFFSET($FI$3,0,0,'Données projet'!$E$16+1,1))-AVERAGE(OFFSET($H$3,0,0,'Données projet'!$E$16+1,1))</f>
        <v>179.50097986986123</v>
      </c>
      <c r="FK197" s="59">
        <f t="shared" ref="FK197:FK203" si="211">$FK$3</f>
        <v>287.11838730637578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>
        <f>EXP(-LN(2)/35)*FQ196+(1-EXP(-LN(2)/35))/(LN(2)/35)*FM197*FN197*VLOOKUP('Données projet'!$B$16,Paramètres!$A$1:$I$89,3,0)*0.475*44/12</f>
        <v>2.4221947306472456E-2</v>
      </c>
      <c r="FR197" s="21">
        <f>EXP(-LN(2)/25)*FR196+(1-EXP(-LN(2)/25))/(LN(2)/25)*Calculateur!FM197*Calculateur!FO197*VLOOKUP('Données projet'!$B$16,Paramètres!$A$1:$I$89,3,0)*0.475*44/12</f>
        <v>6.670289833199905E-2</v>
      </c>
      <c r="FS197" s="21">
        <f>EXP(-LN(2)/2)*FS196+(1-EXP(-LN(2)/2))/(LN(2)/2)*FM197*FP197*VLOOKUP('Données projet'!$B$16,Paramètres!$A$1:$I$89,3,0)*0.475*44/12</f>
        <v>9.3487870640537538E-25</v>
      </c>
      <c r="FT197" s="22">
        <f t="shared" si="184"/>
        <v>9.0924845638471502E-2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5.6843418860808015E-14</v>
      </c>
      <c r="GA197" s="17">
        <f>FZ197*VLOOKUP('Données projet'!$B$17,Paramètres!$A$1:$I$89,3,0)*VLOOKUP('Données projet'!$B$17,Paramètres!$A$1:$I$89,5,0)</f>
        <v>3.3992364478763198E-14</v>
      </c>
      <c r="GB197" s="13">
        <f t="shared" si="185"/>
        <v>5.790027782444094E-13</v>
      </c>
      <c r="GC197" s="20">
        <f t="shared" si="186"/>
        <v>1.0676332069095257E-12</v>
      </c>
      <c r="GD197" s="59">
        <f t="shared" si="200"/>
        <v>293.33333333333439</v>
      </c>
      <c r="GE197" s="59">
        <f ca="1">AVERAGE(OFFSET($GD$3,0,0,'Données projet'!$E$17+1,1))-AVERAGE(OFFSET($H$3,0,0,'Données projet'!$E$17+1,1))</f>
        <v>165.39579887388538</v>
      </c>
      <c r="GF197" s="59">
        <f t="shared" ref="GF197:GF203" si="212">$GF$3</f>
        <v>155.89639262545802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>
        <f>EXP(-LN(2)/35)*GL196+(1-EXP(-LN(2)/35))/(LN(2)/35)*GH197*GI197*VLOOKUP('Données projet'!$B$17,Paramètres!$A$1:$I$89,3,0)*0.475*44/12</f>
        <v>0</v>
      </c>
      <c r="GM197" s="21">
        <f>EXP(-LN(2)/25)*GM196+(1-EXP(-LN(2)/25))/(LN(2)/25)*Calculateur!GH197*Calculateur!GJ197*VLOOKUP('Données projet'!$B$17,Paramètres!$A$1:$I$89,3,0)*0.475*44/12</f>
        <v>7.7254855680178855E-2</v>
      </c>
      <c r="GN197" s="21">
        <f>EXP(-LN(2)/2)*GN196+(1-EXP(-LN(2)/2))/(LN(2)/2)*GH197*GK197*VLOOKUP('Données projet'!$B$17,Paramètres!$A$1:$I$89,3,0)*0.475*44/12</f>
        <v>2.8703241154617552E-24</v>
      </c>
      <c r="GO197" s="21">
        <f t="shared" si="187"/>
        <v>7.7254855680178855E-2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3.4106051316484809E-13</v>
      </c>
      <c r="O198" s="13">
        <f>N198*VLOOKUP('Données projet'!$B$9,Paramètres!$A$1:$I$89,3,0)*VLOOKUP('Données projet'!$B$9,Paramètres!$A$1:$I$89,5,0)</f>
        <v>1.9065282685915009E-13</v>
      </c>
      <c r="P198" s="13">
        <f t="shared" si="203"/>
        <v>2.6568987209435707E-12</v>
      </c>
      <c r="Q198" s="20">
        <f t="shared" si="162"/>
        <v>4.959485612423072E-12</v>
      </c>
      <c r="R198" s="59">
        <f t="shared" si="191"/>
        <v>293.33333333333826</v>
      </c>
      <c r="S198" s="59">
        <f ca="1">AVERAGE(OFFSET($R$3,0,0,'Données projet'!$E$9+1,1))-AVERAGE(OFFSET($H$3,0,0,'Données projet'!$E$9+1,1))</f>
        <v>235.10258076192054</v>
      </c>
      <c r="T198" s="59">
        <f t="shared" si="204"/>
        <v>233.47316052603765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0.13050908106664044</v>
      </c>
      <c r="AA198" s="21">
        <f>EXP(-LN(2)/25)*AA197+(1-EXP(-LN(2)/25))/(LN(2)/25)*Calculateur!V198*Calculateur!X198*VLOOKUP('Données projet'!$B$9,Paramètres!$A$1:$I$89,3,0)*0.475*44/12</f>
        <v>0.19003887600219468</v>
      </c>
      <c r="AB198" s="21">
        <f>EXP(-LN(2)/2)*AB197+(1-EXP(-LN(2)/2))/(LN(2)/2)*V198*Y198*VLOOKUP('Données projet'!$B$9,Paramètres!$A$1:$I$89,3,0)*0.475*44/12</f>
        <v>3.5272816755356811E-24</v>
      </c>
      <c r="AC198" s="22">
        <f t="shared" si="163"/>
        <v>0.3205479570688351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-8.5265128291212022E-14</v>
      </c>
      <c r="AJ198" s="13">
        <f>AI198*VLOOKUP('Données projet'!$B$10,Paramètres!$A$1:$I$89,3,0)*VLOOKUP('Données projet'!$B$10,Paramètres!$A$1:$I$89,5,0)</f>
        <v>-7.4487616075202836E-14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191.94797389630673</v>
      </c>
      <c r="AO198" s="59">
        <f t="shared" si="205"/>
        <v>273.52540822767878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9.8079551831899398E-2</v>
      </c>
      <c r="AV198" s="21">
        <f>EXP(-LN(2)/25)*AV197+(1-EXP(-LN(2)/25))/(LN(2)/25)*Calculateur!AQ198*Calculateur!AS198*VLOOKUP('Données projet'!$B$10,Paramètres!$A$1:$I$89,3,0)*0.475*44/12</f>
        <v>0.14481755031296928</v>
      </c>
      <c r="AW198" s="21">
        <f>EXP(-LN(2)/2)*AW197+(1-EXP(-LN(2)/2))/(LN(2)/2)*AQ198*AT198*VLOOKUP('Données projet'!$B$10,Paramètres!$A$1:$I$89,3,0)*0.475*44/12</f>
        <v>3.3928969976061973E-24</v>
      </c>
      <c r="AX198" s="21">
        <f t="shared" si="166"/>
        <v>0.24289710214486868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2.8421709430404007E-14</v>
      </c>
      <c r="BE198" s="13">
        <f>BD198*VLOOKUP('Données projet'!$B$11,Paramètres!$A$1:$I$89,3,0)*VLOOKUP('Données projet'!$B$11,Paramètres!$A$1:$I$89,5,0)</f>
        <v>2.5715962692629544E-14</v>
      </c>
      <c r="BF198" s="13">
        <f t="shared" si="167"/>
        <v>4.5248818890525812E-13</v>
      </c>
      <c r="BG198" s="20">
        <f t="shared" si="168"/>
        <v>8.3287223069965432E-13</v>
      </c>
      <c r="BH198" s="59">
        <f t="shared" si="194"/>
        <v>293.33333333333417</v>
      </c>
      <c r="BI198" s="59">
        <f ca="1">AVERAGE(OFFSET($BH$3,0,0,'Données projet'!$E$11+1,1))-AVERAGE(OFFSET($H$3,0,0,'Données projet'!$E$11+1,1))</f>
        <v>138.8931001150624</v>
      </c>
      <c r="BJ198" s="59">
        <f t="shared" si="206"/>
        <v>48.964659354096625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2.8421709430404007E-14</v>
      </c>
      <c r="BZ198" s="13">
        <f>BY198*VLOOKUP('Données projet'!$B$12,Paramètres!$A$1:$I$89,3,0)*VLOOKUP('Données projet'!$B$12,Paramètres!$A$1:$I$89,5,0)</f>
        <v>2.8819613362429664E-14</v>
      </c>
      <c r="CA198" s="13">
        <f t="shared" si="170"/>
        <v>5.0041752926933358E-13</v>
      </c>
      <c r="CB198" s="20">
        <f t="shared" si="171"/>
        <v>9.2175469008365428E-13</v>
      </c>
      <c r="CC198" s="59">
        <f t="shared" si="195"/>
        <v>293.33333333333422</v>
      </c>
      <c r="CD198" s="59">
        <f ca="1">AVERAGE(OFFSET($CC$3,0,0,'Données projet'!$E$12+1,1))-AVERAGE(OFFSET($H$3,0,0,'Données projet'!$E$12+1,1))</f>
        <v>169.2757878405003</v>
      </c>
      <c r="CE198" s="59">
        <f t="shared" si="207"/>
        <v>61.876502626609977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-8.5265128291212022E-14</v>
      </c>
      <c r="CU198" s="17">
        <f>CT198*VLOOKUP('Données projet'!$B$13,Paramètres!$A$1:$I$89,3,0)*VLOOKUP('Données projet'!$B$13,Paramètres!$A$1:$I$89,5,0)</f>
        <v>-6.7836936068488286E-14</v>
      </c>
      <c r="CV198" s="13" t="e">
        <f t="shared" si="173"/>
        <v>#NUM!</v>
      </c>
      <c r="CW198" s="20" t="e">
        <f t="shared" si="174"/>
        <v>#NUM!</v>
      </c>
      <c r="CX198" s="59" t="e">
        <f t="shared" si="196"/>
        <v>#NUM!</v>
      </c>
      <c r="CY198" s="59">
        <f ca="1">AVERAGE(OFFSET($CX$3,0,0,'Données projet'!$E$13+1,1))-AVERAGE(OFFSET($H$3,0,0,'Données projet'!$E$13+1,1))</f>
        <v>141.12810728817544</v>
      </c>
      <c r="CZ198" s="59">
        <f t="shared" si="208"/>
        <v>176.01405805137551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>
        <f>EXP(-LN(2)/35)*DF197+(1-EXP(-LN(2)/35))/(LN(2)/35)*DB198*DC198*VLOOKUP('Données projet'!$B$13,Paramètres!$A$1:$I$89,3,0)*0.475*44/12</f>
        <v>0</v>
      </c>
      <c r="DG198" s="21">
        <f>EXP(-LN(2)/25)*DG197+(1-EXP(-LN(2)/25))/(LN(2)/25)*Calculateur!DB198*Calculateur!DD198*VLOOKUP('Données projet'!$B$13,Paramètres!$A$1:$I$89,3,0)*0.475*44/12</f>
        <v>6.9300708369599423E-2</v>
      </c>
      <c r="DH198" s="21">
        <f>EXP(-LN(2)/2)*DH197+(1-EXP(-LN(2)/2))/(LN(2)/2)*DB198*DE198*VLOOKUP('Données projet'!$B$13,Paramètres!$A$1:$I$89,3,0)*0.475*44/12</f>
        <v>1.1705692384961156E-24</v>
      </c>
      <c r="DI198" s="22">
        <f t="shared" si="175"/>
        <v>6.9300708369599423E-2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5.6843418860808015E-14</v>
      </c>
      <c r="DP198" s="17">
        <f>DO198*VLOOKUP('Données projet'!$B$14,Paramètres!$A$1:$I$89,3,0)*VLOOKUP('Données projet'!$B$14,Paramètres!$A$1:$I$89,5,0)</f>
        <v>3.3992364478763198E-14</v>
      </c>
      <c r="DQ198" s="13">
        <f t="shared" si="176"/>
        <v>5.790027782444094E-13</v>
      </c>
      <c r="DR198" s="20">
        <f t="shared" si="177"/>
        <v>1.0676332069095257E-12</v>
      </c>
      <c r="DS198" s="59">
        <f t="shared" si="197"/>
        <v>293.33333333333439</v>
      </c>
      <c r="DT198" s="59">
        <f ca="1">AVERAGE(OFFSET($DS$3,0,0,'Données projet'!$E$14+1,1))-AVERAGE(OFFSET($H$3,0,0,'Données projet'!$E$14+1,1))</f>
        <v>165.39579887388538</v>
      </c>
      <c r="DU198" s="59">
        <f t="shared" si="209"/>
        <v>155.89639262545802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>
        <f>EXP(-LN(2)/35)*EA197+(1-EXP(-LN(2)/35))/(LN(2)/35)*DW198*DX198*VLOOKUP('Données projet'!$B$14,Paramètres!$A$1:$I$89,3,0)*0.475*44/12</f>
        <v>0</v>
      </c>
      <c r="EB198" s="21">
        <f>EXP(-LN(2)/25)*EB197+(1-EXP(-LN(2)/25))/(LN(2)/25)*Calculateur!DW198*Calculateur!DY198*VLOOKUP('Données projet'!$B$14,Paramètres!$A$1:$I$89,3,0)*0.475*44/12</f>
        <v>7.5142317588948071E-2</v>
      </c>
      <c r="EC198" s="21">
        <f>EXP(-LN(2)/2)*EC197+(1-EXP(-LN(2)/2))/(LN(2)/2)*DW198*DZ198*VLOOKUP('Données projet'!$B$14,Paramètres!$A$1:$I$89,3,0)*0.475*44/12</f>
        <v>2.0296256462462859E-24</v>
      </c>
      <c r="ED198" s="22">
        <f t="shared" si="178"/>
        <v>7.5142317588948071E-2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2.8421709430404007E-14</v>
      </c>
      <c r="EK198" s="17">
        <f>EJ198*VLOOKUP('Données projet'!$B$15,Paramètres!$A$1:$I$89,3,0)*VLOOKUP('Données projet'!$B$15,Paramètres!$A$1:$I$89,5,0)</f>
        <v>2.2168933355715127E-14</v>
      </c>
      <c r="EL198" s="13">
        <f t="shared" si="179"/>
        <v>3.9687356123668477E-13</v>
      </c>
      <c r="EM198" s="20">
        <f t="shared" si="180"/>
        <v>7.2983234474842979E-13</v>
      </c>
      <c r="EN198" s="59">
        <f t="shared" si="198"/>
        <v>293.33333333333405</v>
      </c>
      <c r="EO198" s="59">
        <f ca="1">AVERAGE(OFFSET($EN$3,0,0,'Données projet'!$E$15+1,1))-AVERAGE(OFFSET($H$3,0,0,'Données projet'!$E$15+1,1))</f>
        <v>104.07220236158577</v>
      </c>
      <c r="EP198" s="59">
        <f t="shared" si="210"/>
        <v>34.162068257911756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>
        <f>EXP(-LN(2)/35)*EV197+(1-EXP(-LN(2)/35))/(LN(2)/35)*ER198*ES198*VLOOKUP('Données projet'!$B$15,Paramètres!$A$1:$I$89,3,0)*0.475*44/12</f>
        <v>0</v>
      </c>
      <c r="EW198" s="21">
        <f>EXP(-LN(2)/25)*EW197+(1-EXP(-LN(2)/25))/(LN(2)/25)*Calculateur!ER198*Calculateur!ET198*VLOOKUP('Données projet'!$B$15,Paramètres!$A$1:$I$89,3,0)*0.475*44/12</f>
        <v>0</v>
      </c>
      <c r="EX198" s="21">
        <f>EXP(-LN(2)/2)*EX197+(1-EXP(-LN(2)/2))/(LN(2)/2)*ER198*EU198*VLOOKUP('Données projet'!$B$15,Paramètres!$A$1:$I$89,3,0)*0.475*44/12</f>
        <v>0</v>
      </c>
      <c r="EY198" s="22">
        <f t="shared" si="181"/>
        <v>0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5.6843418860808015E-14</v>
      </c>
      <c r="FF198" s="17">
        <f>FE198*VLOOKUP('Données projet'!$B$16,Paramètres!$A$1:$I$89,3,0)*VLOOKUP('Données projet'!$B$16,Paramètres!$A$1:$I$89,5,0)</f>
        <v>5.1431925385259088E-14</v>
      </c>
      <c r="FG198" s="13">
        <f t="shared" si="182"/>
        <v>8.3482866290946129E-13</v>
      </c>
      <c r="FH198" s="20">
        <f t="shared" si="183"/>
        <v>1.5435705246133045E-12</v>
      </c>
      <c r="FI198" s="59">
        <f t="shared" si="199"/>
        <v>293.33333333333485</v>
      </c>
      <c r="FJ198" s="59">
        <f ca="1">AVERAGE(OFFSET($FI$3,0,0,'Données projet'!$E$16+1,1))-AVERAGE(OFFSET($H$3,0,0,'Données projet'!$E$16+1,1))</f>
        <v>179.50097986986123</v>
      </c>
      <c r="FK198" s="59">
        <f t="shared" si="211"/>
        <v>287.11838730637578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>
        <f>EXP(-LN(2)/35)*FQ197+(1-EXP(-LN(2)/35))/(LN(2)/35)*FM198*FN198*VLOOKUP('Données projet'!$B$16,Paramètres!$A$1:$I$89,3,0)*0.475*44/12</f>
        <v>2.3746969693721583E-2</v>
      </c>
      <c r="FR198" s="21">
        <f>EXP(-LN(2)/25)*FR197+(1-EXP(-LN(2)/25))/(LN(2)/25)*Calculateur!FM198*Calculateur!FO198*VLOOKUP('Données projet'!$B$16,Paramètres!$A$1:$I$89,3,0)*0.475*44/12</f>
        <v>6.4878904069357562E-2</v>
      </c>
      <c r="FS198" s="21">
        <f>EXP(-LN(2)/2)*FS197+(1-EXP(-LN(2)/2))/(LN(2)/2)*FM198*FP198*VLOOKUP('Données projet'!$B$16,Paramètres!$A$1:$I$89,3,0)*0.475*44/12</f>
        <v>6.6105907288614839E-25</v>
      </c>
      <c r="FT198" s="22">
        <f t="shared" si="184"/>
        <v>8.8625873763079149E-2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5.6843418860808015E-14</v>
      </c>
      <c r="GA198" s="17">
        <f>FZ198*VLOOKUP('Données projet'!$B$17,Paramètres!$A$1:$I$89,3,0)*VLOOKUP('Données projet'!$B$17,Paramètres!$A$1:$I$89,5,0)</f>
        <v>3.3992364478763198E-14</v>
      </c>
      <c r="GB198" s="13">
        <f t="shared" si="185"/>
        <v>5.790027782444094E-13</v>
      </c>
      <c r="GC198" s="20">
        <f t="shared" si="186"/>
        <v>1.0676332069095257E-12</v>
      </c>
      <c r="GD198" s="59">
        <f t="shared" si="200"/>
        <v>293.33333333333439</v>
      </c>
      <c r="GE198" s="59">
        <f ca="1">AVERAGE(OFFSET($GD$3,0,0,'Données projet'!$E$17+1,1))-AVERAGE(OFFSET($H$3,0,0,'Données projet'!$E$17+1,1))</f>
        <v>165.39579887388538</v>
      </c>
      <c r="GF198" s="59">
        <f t="shared" si="212"/>
        <v>155.89639262545802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>
        <f>EXP(-LN(2)/35)*GL197+(1-EXP(-LN(2)/35))/(LN(2)/35)*GH198*GI198*VLOOKUP('Données projet'!$B$17,Paramètres!$A$1:$I$89,3,0)*0.475*44/12</f>
        <v>0</v>
      </c>
      <c r="GM198" s="21">
        <f>EXP(-LN(2)/25)*GM197+(1-EXP(-LN(2)/25))/(LN(2)/25)*Calculateur!GH198*Calculateur!GJ198*VLOOKUP('Données projet'!$B$17,Paramètres!$A$1:$I$89,3,0)*0.475*44/12</f>
        <v>7.5142317588948071E-2</v>
      </c>
      <c r="GN198" s="21">
        <f>EXP(-LN(2)/2)*GN197+(1-EXP(-LN(2)/2))/(LN(2)/2)*GH198*GK198*VLOOKUP('Données projet'!$B$17,Paramètres!$A$1:$I$89,3,0)*0.475*44/12</f>
        <v>2.0296256462462859E-24</v>
      </c>
      <c r="GO198" s="21">
        <f t="shared" si="187"/>
        <v>7.5142317588948071E-2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3.4106051316484809E-13</v>
      </c>
      <c r="O199" s="13">
        <f>N199*VLOOKUP('Données projet'!$B$9,Paramètres!$A$1:$I$89,3,0)*VLOOKUP('Données projet'!$B$9,Paramètres!$A$1:$I$89,5,0)</f>
        <v>1.9065282685915009E-13</v>
      </c>
      <c r="P199" s="13">
        <f t="shared" si="203"/>
        <v>2.6568987209435707E-12</v>
      </c>
      <c r="Q199" s="20">
        <f t="shared" si="162"/>
        <v>4.959485612423072E-12</v>
      </c>
      <c r="R199" s="59">
        <f t="shared" si="191"/>
        <v>293.33333333333826</v>
      </c>
      <c r="S199" s="59">
        <f ca="1">AVERAGE(OFFSET($R$3,0,0,'Données projet'!$E$9+1,1))-AVERAGE(OFFSET($H$3,0,0,'Données projet'!$E$9+1,1))</f>
        <v>235.10258076192054</v>
      </c>
      <c r="T199" s="59">
        <f t="shared" si="204"/>
        <v>233.47316052603765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0.12794987758960297</v>
      </c>
      <c r="AA199" s="21">
        <f>EXP(-LN(2)/25)*AA198+(1-EXP(-LN(2)/25))/(LN(2)/25)*Calculateur!V199*Calculateur!X199*VLOOKUP('Données projet'!$B$9,Paramètres!$A$1:$I$89,3,0)*0.475*44/12</f>
        <v>0.18484225294420453</v>
      </c>
      <c r="AB199" s="21">
        <f>EXP(-LN(2)/2)*AB198+(1-EXP(-LN(2)/2))/(LN(2)/2)*V199*Y199*VLOOKUP('Données projet'!$B$9,Paramètres!$A$1:$I$89,3,0)*0.475*44/12</f>
        <v>2.4941647919263276E-24</v>
      </c>
      <c r="AC199" s="22">
        <f t="shared" si="163"/>
        <v>0.3127921305338075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-8.5265128291212022E-14</v>
      </c>
      <c r="AJ199" s="13">
        <f>AI199*VLOOKUP('Données projet'!$B$10,Paramètres!$A$1:$I$89,3,0)*VLOOKUP('Données projet'!$B$10,Paramètres!$A$1:$I$89,5,0)</f>
        <v>-7.4487616075202836E-14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191.94797389630673</v>
      </c>
      <c r="AO199" s="59">
        <f t="shared" si="205"/>
        <v>273.52540822767878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9.6156271643095481E-2</v>
      </c>
      <c r="AV199" s="21">
        <f>EXP(-LN(2)/25)*AV198+(1-EXP(-LN(2)/25))/(LN(2)/25)*Calculateur!AQ199*Calculateur!AS199*VLOOKUP('Données projet'!$B$10,Paramètres!$A$1:$I$89,3,0)*0.475*44/12</f>
        <v>0.14085750678403713</v>
      </c>
      <c r="AW199" s="21">
        <f>EXP(-LN(2)/2)*AW198+(1-EXP(-LN(2)/2))/(LN(2)/2)*AQ199*AT199*VLOOKUP('Données projet'!$B$10,Paramètres!$A$1:$I$89,3,0)*0.475*44/12</f>
        <v>2.3991404748748195E-24</v>
      </c>
      <c r="AX199" s="21">
        <f t="shared" si="166"/>
        <v>0.23701377842713262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2.8421709430404007E-14</v>
      </c>
      <c r="BE199" s="13">
        <f>BD199*VLOOKUP('Données projet'!$B$11,Paramètres!$A$1:$I$89,3,0)*VLOOKUP('Données projet'!$B$11,Paramètres!$A$1:$I$89,5,0)</f>
        <v>2.5715962692629544E-14</v>
      </c>
      <c r="BF199" s="13">
        <f t="shared" si="167"/>
        <v>4.5248818890525812E-13</v>
      </c>
      <c r="BG199" s="20">
        <f t="shared" si="168"/>
        <v>8.3287223069965432E-13</v>
      </c>
      <c r="BH199" s="59">
        <f t="shared" si="194"/>
        <v>293.33333333333417</v>
      </c>
      <c r="BI199" s="59">
        <f ca="1">AVERAGE(OFFSET($BH$3,0,0,'Données projet'!$E$11+1,1))-AVERAGE(OFFSET($H$3,0,0,'Données projet'!$E$11+1,1))</f>
        <v>138.8931001150624</v>
      </c>
      <c r="BJ199" s="59">
        <f t="shared" si="206"/>
        <v>48.964659354096625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2.8421709430404007E-14</v>
      </c>
      <c r="BZ199" s="13">
        <f>BY199*VLOOKUP('Données projet'!$B$12,Paramètres!$A$1:$I$89,3,0)*VLOOKUP('Données projet'!$B$12,Paramètres!$A$1:$I$89,5,0)</f>
        <v>2.8819613362429664E-14</v>
      </c>
      <c r="CA199" s="13">
        <f t="shared" si="170"/>
        <v>5.0041752926933358E-13</v>
      </c>
      <c r="CB199" s="20">
        <f t="shared" si="171"/>
        <v>9.2175469008365428E-13</v>
      </c>
      <c r="CC199" s="59">
        <f t="shared" si="195"/>
        <v>293.33333333333422</v>
      </c>
      <c r="CD199" s="59">
        <f ca="1">AVERAGE(OFFSET($CC$3,0,0,'Données projet'!$E$12+1,1))-AVERAGE(OFFSET($H$3,0,0,'Données projet'!$E$12+1,1))</f>
        <v>169.2757878405003</v>
      </c>
      <c r="CE199" s="59">
        <f t="shared" si="207"/>
        <v>61.876502626609977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-8.5265128291212022E-14</v>
      </c>
      <c r="CU199" s="17">
        <f>CT199*VLOOKUP('Données projet'!$B$13,Paramètres!$A$1:$I$89,3,0)*VLOOKUP('Données projet'!$B$13,Paramètres!$A$1:$I$89,5,0)</f>
        <v>-6.7836936068488286E-14</v>
      </c>
      <c r="CV199" s="13" t="e">
        <f t="shared" si="173"/>
        <v>#NUM!</v>
      </c>
      <c r="CW199" s="20" t="e">
        <f t="shared" si="174"/>
        <v>#NUM!</v>
      </c>
      <c r="CX199" s="59" t="e">
        <f t="shared" si="196"/>
        <v>#NUM!</v>
      </c>
      <c r="CY199" s="59">
        <f ca="1">AVERAGE(OFFSET($CX$3,0,0,'Données projet'!$E$13+1,1))-AVERAGE(OFFSET($H$3,0,0,'Données projet'!$E$13+1,1))</f>
        <v>141.12810728817544</v>
      </c>
      <c r="CZ199" s="59">
        <f t="shared" si="208"/>
        <v>176.01405805137551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>
        <f>EXP(-LN(2)/35)*DF198+(1-EXP(-LN(2)/35))/(LN(2)/35)*DB199*DC199*VLOOKUP('Données projet'!$B$13,Paramètres!$A$1:$I$89,3,0)*0.475*44/12</f>
        <v>0</v>
      </c>
      <c r="DG199" s="21">
        <f>EXP(-LN(2)/25)*DG198+(1-EXP(-LN(2)/25))/(LN(2)/25)*Calculateur!DB199*Calculateur!DD199*VLOOKUP('Données projet'!$B$13,Paramètres!$A$1:$I$89,3,0)*0.475*44/12</f>
        <v>6.7405676854866869E-2</v>
      </c>
      <c r="DH199" s="21">
        <f>EXP(-LN(2)/2)*DH198+(1-EXP(-LN(2)/2))/(LN(2)/2)*DB199*DE199*VLOOKUP('Données projet'!$B$13,Paramètres!$A$1:$I$89,3,0)*0.475*44/12</f>
        <v>8.2771744638897639E-25</v>
      </c>
      <c r="DI199" s="22">
        <f t="shared" si="175"/>
        <v>6.7405676854866869E-2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5.6843418860808015E-14</v>
      </c>
      <c r="DP199" s="17">
        <f>DO199*VLOOKUP('Données projet'!$B$14,Paramètres!$A$1:$I$89,3,0)*VLOOKUP('Données projet'!$B$14,Paramètres!$A$1:$I$89,5,0)</f>
        <v>3.3992364478763198E-14</v>
      </c>
      <c r="DQ199" s="13">
        <f t="shared" si="176"/>
        <v>5.790027782444094E-13</v>
      </c>
      <c r="DR199" s="20">
        <f t="shared" si="177"/>
        <v>1.0676332069095257E-12</v>
      </c>
      <c r="DS199" s="59">
        <f t="shared" si="197"/>
        <v>293.33333333333439</v>
      </c>
      <c r="DT199" s="59">
        <f ca="1">AVERAGE(OFFSET($DS$3,0,0,'Données projet'!$E$14+1,1))-AVERAGE(OFFSET($H$3,0,0,'Données projet'!$E$14+1,1))</f>
        <v>165.39579887388538</v>
      </c>
      <c r="DU199" s="59">
        <f t="shared" si="209"/>
        <v>155.89639262545802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>
        <f>EXP(-LN(2)/35)*EA198+(1-EXP(-LN(2)/35))/(LN(2)/35)*DW199*DX199*VLOOKUP('Données projet'!$B$14,Paramètres!$A$1:$I$89,3,0)*0.475*44/12</f>
        <v>0</v>
      </c>
      <c r="EB199" s="21">
        <f>EXP(-LN(2)/25)*EB198+(1-EXP(-LN(2)/25))/(LN(2)/25)*Calculateur!DW199*Calculateur!DY199*VLOOKUP('Données projet'!$B$14,Paramètres!$A$1:$I$89,3,0)*0.475*44/12</f>
        <v>7.3087546962915542E-2</v>
      </c>
      <c r="EC199" s="21">
        <f>EXP(-LN(2)/2)*EC198+(1-EXP(-LN(2)/2))/(LN(2)/2)*DW199*DZ199*VLOOKUP('Données projet'!$B$14,Paramètres!$A$1:$I$89,3,0)*0.475*44/12</f>
        <v>1.4351620577308776E-24</v>
      </c>
      <c r="ED199" s="22">
        <f t="shared" si="178"/>
        <v>7.3087546962915542E-2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2.8421709430404007E-14</v>
      </c>
      <c r="EK199" s="17">
        <f>EJ199*VLOOKUP('Données projet'!$B$15,Paramètres!$A$1:$I$89,3,0)*VLOOKUP('Données projet'!$B$15,Paramètres!$A$1:$I$89,5,0)</f>
        <v>2.2168933355715127E-14</v>
      </c>
      <c r="EL199" s="13">
        <f t="shared" si="179"/>
        <v>3.9687356123668477E-13</v>
      </c>
      <c r="EM199" s="20">
        <f t="shared" si="180"/>
        <v>7.2983234474842979E-13</v>
      </c>
      <c r="EN199" s="59">
        <f t="shared" si="198"/>
        <v>293.33333333333405</v>
      </c>
      <c r="EO199" s="59">
        <f ca="1">AVERAGE(OFFSET($EN$3,0,0,'Données projet'!$E$15+1,1))-AVERAGE(OFFSET($H$3,0,0,'Données projet'!$E$15+1,1))</f>
        <v>104.07220236158577</v>
      </c>
      <c r="EP199" s="59">
        <f t="shared" si="210"/>
        <v>34.162068257911756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>
        <f>EXP(-LN(2)/35)*EV198+(1-EXP(-LN(2)/35))/(LN(2)/35)*ER199*ES199*VLOOKUP('Données projet'!$B$15,Paramètres!$A$1:$I$89,3,0)*0.475*44/12</f>
        <v>0</v>
      </c>
      <c r="EW199" s="21">
        <f>EXP(-LN(2)/25)*EW198+(1-EXP(-LN(2)/25))/(LN(2)/25)*Calculateur!ER199*Calculateur!ET199*VLOOKUP('Données projet'!$B$15,Paramètres!$A$1:$I$89,3,0)*0.475*44/12</f>
        <v>0</v>
      </c>
      <c r="EX199" s="21">
        <f>EXP(-LN(2)/2)*EX198+(1-EXP(-LN(2)/2))/(LN(2)/2)*ER199*EU199*VLOOKUP('Données projet'!$B$15,Paramètres!$A$1:$I$89,3,0)*0.475*44/12</f>
        <v>0</v>
      </c>
      <c r="EY199" s="22">
        <f t="shared" si="181"/>
        <v>0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5.6843418860808015E-14</v>
      </c>
      <c r="FF199" s="17">
        <f>FE199*VLOOKUP('Données projet'!$B$16,Paramètres!$A$1:$I$89,3,0)*VLOOKUP('Données projet'!$B$16,Paramètres!$A$1:$I$89,5,0)</f>
        <v>5.1431925385259088E-14</v>
      </c>
      <c r="FG199" s="13">
        <f t="shared" si="182"/>
        <v>8.3482866290946129E-13</v>
      </c>
      <c r="FH199" s="20">
        <f t="shared" si="183"/>
        <v>1.5435705246133045E-12</v>
      </c>
      <c r="FI199" s="59">
        <f t="shared" si="199"/>
        <v>293.33333333333485</v>
      </c>
      <c r="FJ199" s="59">
        <f ca="1">AVERAGE(OFFSET($FI$3,0,0,'Données projet'!$E$16+1,1))-AVERAGE(OFFSET($H$3,0,0,'Données projet'!$E$16+1,1))</f>
        <v>179.50097986986123</v>
      </c>
      <c r="FK199" s="59">
        <f t="shared" si="211"/>
        <v>287.11838730637578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>
        <f>EXP(-LN(2)/35)*FQ198+(1-EXP(-LN(2)/35))/(LN(2)/35)*FM199*FN199*VLOOKUP('Données projet'!$B$16,Paramètres!$A$1:$I$89,3,0)*0.475*44/12</f>
        <v>2.328130610224902E-2</v>
      </c>
      <c r="FR199" s="21">
        <f>EXP(-LN(2)/25)*FR198+(1-EXP(-LN(2)/25))/(LN(2)/25)*Calculateur!FM199*Calculateur!FO199*VLOOKUP('Données projet'!$B$16,Paramètres!$A$1:$I$89,3,0)*0.475*44/12</f>
        <v>6.3104787025747691E-2</v>
      </c>
      <c r="FS199" s="21">
        <f>EXP(-LN(2)/2)*FS198+(1-EXP(-LN(2)/2))/(LN(2)/2)*FM199*FP199*VLOOKUP('Données projet'!$B$16,Paramètres!$A$1:$I$89,3,0)*0.475*44/12</f>
        <v>4.6743935320268769E-25</v>
      </c>
      <c r="FT199" s="22">
        <f t="shared" si="184"/>
        <v>8.6386093127996708E-2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5.6843418860808015E-14</v>
      </c>
      <c r="GA199" s="17">
        <f>FZ199*VLOOKUP('Données projet'!$B$17,Paramètres!$A$1:$I$89,3,0)*VLOOKUP('Données projet'!$B$17,Paramètres!$A$1:$I$89,5,0)</f>
        <v>3.3992364478763198E-14</v>
      </c>
      <c r="GB199" s="13">
        <f t="shared" si="185"/>
        <v>5.790027782444094E-13</v>
      </c>
      <c r="GC199" s="20">
        <f t="shared" si="186"/>
        <v>1.0676332069095257E-12</v>
      </c>
      <c r="GD199" s="59">
        <f t="shared" si="200"/>
        <v>293.33333333333439</v>
      </c>
      <c r="GE199" s="59">
        <f ca="1">AVERAGE(OFFSET($GD$3,0,0,'Données projet'!$E$17+1,1))-AVERAGE(OFFSET($H$3,0,0,'Données projet'!$E$17+1,1))</f>
        <v>165.39579887388538</v>
      </c>
      <c r="GF199" s="59">
        <f t="shared" si="212"/>
        <v>155.89639262545802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>
        <f>EXP(-LN(2)/35)*GL198+(1-EXP(-LN(2)/35))/(LN(2)/35)*GH199*GI199*VLOOKUP('Données projet'!$B$17,Paramètres!$A$1:$I$89,3,0)*0.475*44/12</f>
        <v>0</v>
      </c>
      <c r="GM199" s="21">
        <f>EXP(-LN(2)/25)*GM198+(1-EXP(-LN(2)/25))/(LN(2)/25)*Calculateur!GH199*Calculateur!GJ199*VLOOKUP('Données projet'!$B$17,Paramètres!$A$1:$I$89,3,0)*0.475*44/12</f>
        <v>7.3087546962915542E-2</v>
      </c>
      <c r="GN199" s="21">
        <f>EXP(-LN(2)/2)*GN198+(1-EXP(-LN(2)/2))/(LN(2)/2)*GH199*GK199*VLOOKUP('Données projet'!$B$17,Paramètres!$A$1:$I$89,3,0)*0.475*44/12</f>
        <v>1.4351620577308776E-24</v>
      </c>
      <c r="GO199" s="21">
        <f t="shared" si="187"/>
        <v>7.3087546962915542E-2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3.4106051316484809E-13</v>
      </c>
      <c r="O200" s="13">
        <f>N200*VLOOKUP('Données projet'!$B$9,Paramètres!$A$1:$I$89,3,0)*VLOOKUP('Données projet'!$B$9,Paramètres!$A$1:$I$89,5,0)</f>
        <v>1.9065282685915009E-13</v>
      </c>
      <c r="P200" s="13">
        <f t="shared" si="203"/>
        <v>2.6568987209435707E-12</v>
      </c>
      <c r="Q200" s="20">
        <f t="shared" si="162"/>
        <v>4.959485612423072E-12</v>
      </c>
      <c r="R200" s="59">
        <f t="shared" si="191"/>
        <v>293.33333333333826</v>
      </c>
      <c r="S200" s="59">
        <f ca="1">AVERAGE(OFFSET($R$3,0,0,'Données projet'!$E$9+1,1))-AVERAGE(OFFSET($H$3,0,0,'Données projet'!$E$9+1,1))</f>
        <v>235.10258076192054</v>
      </c>
      <c r="T200" s="59">
        <f t="shared" si="204"/>
        <v>233.47316052603765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0.12544085853179021</v>
      </c>
      <c r="AA200" s="21">
        <f>EXP(-LN(2)/25)*AA199+(1-EXP(-LN(2)/25))/(LN(2)/25)*Calculateur!V200*Calculateur!X200*VLOOKUP('Données projet'!$B$9,Paramètres!$A$1:$I$89,3,0)*0.475*44/12</f>
        <v>0.17978773181701363</v>
      </c>
      <c r="AB200" s="21">
        <f>EXP(-LN(2)/2)*AB199+(1-EXP(-LN(2)/2))/(LN(2)/2)*V200*Y200*VLOOKUP('Données projet'!$B$9,Paramètres!$A$1:$I$89,3,0)*0.475*44/12</f>
        <v>1.7636408377678406E-24</v>
      </c>
      <c r="AC200" s="22">
        <f t="shared" si="163"/>
        <v>0.30522859034880384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-8.5265128291212022E-14</v>
      </c>
      <c r="AJ200" s="13">
        <f>AI200*VLOOKUP('Données projet'!$B$10,Paramètres!$A$1:$I$89,3,0)*VLOOKUP('Données projet'!$B$10,Paramètres!$A$1:$I$89,5,0)</f>
        <v>-7.4487616075202836E-14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191.94797389630673</v>
      </c>
      <c r="AO200" s="59">
        <f t="shared" si="205"/>
        <v>273.52540822767878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9.4270705805708926E-2</v>
      </c>
      <c r="AV200" s="21">
        <f>EXP(-LN(2)/25)*AV199+(1-EXP(-LN(2)/25))/(LN(2)/25)*Calculateur!AQ200*Calculateur!AS200*VLOOKUP('Données projet'!$B$10,Paramètres!$A$1:$I$89,3,0)*0.475*44/12</f>
        <v>0.1370057508536533</v>
      </c>
      <c r="AW200" s="21">
        <f>EXP(-LN(2)/2)*AW199+(1-EXP(-LN(2)/2))/(LN(2)/2)*AQ200*AT200*VLOOKUP('Données projet'!$B$10,Paramètres!$A$1:$I$89,3,0)*0.475*44/12</f>
        <v>1.6964484988030986E-24</v>
      </c>
      <c r="AX200" s="21">
        <f t="shared" si="166"/>
        <v>0.23127645665936222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2.8421709430404007E-14</v>
      </c>
      <c r="BE200" s="13">
        <f>BD200*VLOOKUP('Données projet'!$B$11,Paramètres!$A$1:$I$89,3,0)*VLOOKUP('Données projet'!$B$11,Paramètres!$A$1:$I$89,5,0)</f>
        <v>2.5715962692629544E-14</v>
      </c>
      <c r="BF200" s="13">
        <f t="shared" si="167"/>
        <v>4.5248818890525812E-13</v>
      </c>
      <c r="BG200" s="20">
        <f t="shared" si="168"/>
        <v>8.3287223069965432E-13</v>
      </c>
      <c r="BH200" s="59">
        <f t="shared" si="194"/>
        <v>293.33333333333417</v>
      </c>
      <c r="BI200" s="59">
        <f ca="1">AVERAGE(OFFSET($BH$3,0,0,'Données projet'!$E$11+1,1))-AVERAGE(OFFSET($H$3,0,0,'Données projet'!$E$11+1,1))</f>
        <v>138.8931001150624</v>
      </c>
      <c r="BJ200" s="59">
        <f t="shared" si="206"/>
        <v>48.964659354096625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2.8421709430404007E-14</v>
      </c>
      <c r="BZ200" s="13">
        <f>BY200*VLOOKUP('Données projet'!$B$12,Paramètres!$A$1:$I$89,3,0)*VLOOKUP('Données projet'!$B$12,Paramètres!$A$1:$I$89,5,0)</f>
        <v>2.8819613362429664E-14</v>
      </c>
      <c r="CA200" s="13">
        <f t="shared" si="170"/>
        <v>5.0041752926933358E-13</v>
      </c>
      <c r="CB200" s="20">
        <f t="shared" si="171"/>
        <v>9.2175469008365428E-13</v>
      </c>
      <c r="CC200" s="59">
        <f t="shared" si="195"/>
        <v>293.33333333333422</v>
      </c>
      <c r="CD200" s="59">
        <f ca="1">AVERAGE(OFFSET($CC$3,0,0,'Données projet'!$E$12+1,1))-AVERAGE(OFFSET($H$3,0,0,'Données projet'!$E$12+1,1))</f>
        <v>169.2757878405003</v>
      </c>
      <c r="CE200" s="59">
        <f t="shared" si="207"/>
        <v>61.876502626609977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-8.5265128291212022E-14</v>
      </c>
      <c r="CU200" s="17">
        <f>CT200*VLOOKUP('Données projet'!$B$13,Paramètres!$A$1:$I$89,3,0)*VLOOKUP('Données projet'!$B$13,Paramètres!$A$1:$I$89,5,0)</f>
        <v>-6.7836936068488286E-14</v>
      </c>
      <c r="CV200" s="13" t="e">
        <f t="shared" si="173"/>
        <v>#NUM!</v>
      </c>
      <c r="CW200" s="20" t="e">
        <f t="shared" si="174"/>
        <v>#NUM!</v>
      </c>
      <c r="CX200" s="59" t="e">
        <f t="shared" si="196"/>
        <v>#NUM!</v>
      </c>
      <c r="CY200" s="59">
        <f ca="1">AVERAGE(OFFSET($CX$3,0,0,'Données projet'!$E$13+1,1))-AVERAGE(OFFSET($H$3,0,0,'Données projet'!$E$13+1,1))</f>
        <v>141.12810728817544</v>
      </c>
      <c r="CZ200" s="59">
        <f t="shared" si="208"/>
        <v>176.01405805137551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>
        <f>EXP(-LN(2)/35)*DF199+(1-EXP(-LN(2)/35))/(LN(2)/35)*DB200*DC200*VLOOKUP('Données projet'!$B$13,Paramètres!$A$1:$I$89,3,0)*0.475*44/12</f>
        <v>0</v>
      </c>
      <c r="DG200" s="21">
        <f>EXP(-LN(2)/25)*DG199+(1-EXP(-LN(2)/25))/(LN(2)/25)*Calculateur!DB200*Calculateur!DD200*VLOOKUP('Données projet'!$B$13,Paramètres!$A$1:$I$89,3,0)*0.475*44/12</f>
        <v>6.556246507656005E-2</v>
      </c>
      <c r="DH200" s="21">
        <f>EXP(-LN(2)/2)*DH199+(1-EXP(-LN(2)/2))/(LN(2)/2)*DB200*DE200*VLOOKUP('Données projet'!$B$13,Paramètres!$A$1:$I$89,3,0)*0.475*44/12</f>
        <v>5.8528461924805782E-25</v>
      </c>
      <c r="DI200" s="22">
        <f t="shared" si="175"/>
        <v>6.556246507656005E-2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5.6843418860808015E-14</v>
      </c>
      <c r="DP200" s="17">
        <f>DO200*VLOOKUP('Données projet'!$B$14,Paramètres!$A$1:$I$89,3,0)*VLOOKUP('Données projet'!$B$14,Paramètres!$A$1:$I$89,5,0)</f>
        <v>3.3992364478763198E-14</v>
      </c>
      <c r="DQ200" s="13">
        <f t="shared" si="176"/>
        <v>5.790027782444094E-13</v>
      </c>
      <c r="DR200" s="20">
        <f t="shared" si="177"/>
        <v>1.0676332069095257E-12</v>
      </c>
      <c r="DS200" s="59">
        <f t="shared" si="197"/>
        <v>293.33333333333439</v>
      </c>
      <c r="DT200" s="59">
        <f ca="1">AVERAGE(OFFSET($DS$3,0,0,'Données projet'!$E$14+1,1))-AVERAGE(OFFSET($H$3,0,0,'Données projet'!$E$14+1,1))</f>
        <v>165.39579887388538</v>
      </c>
      <c r="DU200" s="59">
        <f t="shared" si="209"/>
        <v>155.89639262545802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>
        <f>EXP(-LN(2)/35)*EA199+(1-EXP(-LN(2)/35))/(LN(2)/35)*DW200*DX200*VLOOKUP('Données projet'!$B$14,Paramètres!$A$1:$I$89,3,0)*0.475*44/12</f>
        <v>0</v>
      </c>
      <c r="EB200" s="21">
        <f>EXP(-LN(2)/25)*EB199+(1-EXP(-LN(2)/25))/(LN(2)/25)*Calculateur!DW200*Calculateur!DY200*VLOOKUP('Données projet'!$B$14,Paramètres!$A$1:$I$89,3,0)*0.475*44/12</f>
        <v>7.1088964147707559E-2</v>
      </c>
      <c r="EC200" s="21">
        <f>EXP(-LN(2)/2)*EC199+(1-EXP(-LN(2)/2))/(LN(2)/2)*DW200*DZ200*VLOOKUP('Données projet'!$B$14,Paramètres!$A$1:$I$89,3,0)*0.475*44/12</f>
        <v>1.0148128231231429E-24</v>
      </c>
      <c r="ED200" s="22">
        <f t="shared" si="178"/>
        <v>7.1088964147707559E-2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2.8421709430404007E-14</v>
      </c>
      <c r="EK200" s="17">
        <f>EJ200*VLOOKUP('Données projet'!$B$15,Paramètres!$A$1:$I$89,3,0)*VLOOKUP('Données projet'!$B$15,Paramètres!$A$1:$I$89,5,0)</f>
        <v>2.2168933355715127E-14</v>
      </c>
      <c r="EL200" s="13">
        <f t="shared" si="179"/>
        <v>3.9687356123668477E-13</v>
      </c>
      <c r="EM200" s="20">
        <f t="shared" si="180"/>
        <v>7.2983234474842979E-13</v>
      </c>
      <c r="EN200" s="59">
        <f t="shared" si="198"/>
        <v>293.33333333333405</v>
      </c>
      <c r="EO200" s="59">
        <f ca="1">AVERAGE(OFFSET($EN$3,0,0,'Données projet'!$E$15+1,1))-AVERAGE(OFFSET($H$3,0,0,'Données projet'!$E$15+1,1))</f>
        <v>104.07220236158577</v>
      </c>
      <c r="EP200" s="59">
        <f t="shared" si="210"/>
        <v>34.162068257911756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>
        <f>EXP(-LN(2)/35)*EV199+(1-EXP(-LN(2)/35))/(LN(2)/35)*ER200*ES200*VLOOKUP('Données projet'!$B$15,Paramètres!$A$1:$I$89,3,0)*0.475*44/12</f>
        <v>0</v>
      </c>
      <c r="EW200" s="21">
        <f>EXP(-LN(2)/25)*EW199+(1-EXP(-LN(2)/25))/(LN(2)/25)*Calculateur!ER200*Calculateur!ET200*VLOOKUP('Données projet'!$B$15,Paramètres!$A$1:$I$89,3,0)*0.475*44/12</f>
        <v>0</v>
      </c>
      <c r="EX200" s="21">
        <f>EXP(-LN(2)/2)*EX199+(1-EXP(-LN(2)/2))/(LN(2)/2)*ER200*EU200*VLOOKUP('Données projet'!$B$15,Paramètres!$A$1:$I$89,3,0)*0.475*44/12</f>
        <v>0</v>
      </c>
      <c r="EY200" s="22">
        <f t="shared" si="181"/>
        <v>0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5.6843418860808015E-14</v>
      </c>
      <c r="FF200" s="17">
        <f>FE200*VLOOKUP('Données projet'!$B$16,Paramètres!$A$1:$I$89,3,0)*VLOOKUP('Données projet'!$B$16,Paramètres!$A$1:$I$89,5,0)</f>
        <v>5.1431925385259088E-14</v>
      </c>
      <c r="FG200" s="13">
        <f t="shared" si="182"/>
        <v>8.3482866290946129E-13</v>
      </c>
      <c r="FH200" s="20">
        <f t="shared" si="183"/>
        <v>1.5435705246133045E-12</v>
      </c>
      <c r="FI200" s="59">
        <f t="shared" si="199"/>
        <v>293.33333333333485</v>
      </c>
      <c r="FJ200" s="59">
        <f ca="1">AVERAGE(OFFSET($FI$3,0,0,'Données projet'!$E$16+1,1))-AVERAGE(OFFSET($H$3,0,0,'Données projet'!$E$16+1,1))</f>
        <v>179.50097986986123</v>
      </c>
      <c r="FK200" s="59">
        <f t="shared" si="211"/>
        <v>287.11838730637578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>
        <f>EXP(-LN(2)/35)*FQ199+(1-EXP(-LN(2)/35))/(LN(2)/35)*FM200*FN200*VLOOKUP('Données projet'!$B$16,Paramètres!$A$1:$I$89,3,0)*0.475*44/12</f>
        <v>2.2824773889778487E-2</v>
      </c>
      <c r="FR200" s="21">
        <f>EXP(-LN(2)/25)*FR199+(1-EXP(-LN(2)/25))/(LN(2)/25)*Calculateur!FM200*Calculateur!FO200*VLOOKUP('Données projet'!$B$16,Paramètres!$A$1:$I$89,3,0)*0.475*44/12</f>
        <v>6.1379183305992097E-2</v>
      </c>
      <c r="FS200" s="21">
        <f>EXP(-LN(2)/2)*FS199+(1-EXP(-LN(2)/2))/(LN(2)/2)*FM200*FP200*VLOOKUP('Données projet'!$B$16,Paramètres!$A$1:$I$89,3,0)*0.475*44/12</f>
        <v>3.305295364430742E-25</v>
      </c>
      <c r="FT200" s="22">
        <f t="shared" si="184"/>
        <v>8.420395719577059E-2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5.6843418860808015E-14</v>
      </c>
      <c r="GA200" s="17">
        <f>FZ200*VLOOKUP('Données projet'!$B$17,Paramètres!$A$1:$I$89,3,0)*VLOOKUP('Données projet'!$B$17,Paramètres!$A$1:$I$89,5,0)</f>
        <v>3.3992364478763198E-14</v>
      </c>
      <c r="GB200" s="13">
        <f t="shared" si="185"/>
        <v>5.790027782444094E-13</v>
      </c>
      <c r="GC200" s="20">
        <f t="shared" si="186"/>
        <v>1.0676332069095257E-12</v>
      </c>
      <c r="GD200" s="59">
        <f t="shared" si="200"/>
        <v>293.33333333333439</v>
      </c>
      <c r="GE200" s="59">
        <f ca="1">AVERAGE(OFFSET($GD$3,0,0,'Données projet'!$E$17+1,1))-AVERAGE(OFFSET($H$3,0,0,'Données projet'!$E$17+1,1))</f>
        <v>165.39579887388538</v>
      </c>
      <c r="GF200" s="59">
        <f t="shared" si="212"/>
        <v>155.89639262545802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>
        <f>EXP(-LN(2)/35)*GL199+(1-EXP(-LN(2)/35))/(LN(2)/35)*GH200*GI200*VLOOKUP('Données projet'!$B$17,Paramètres!$A$1:$I$89,3,0)*0.475*44/12</f>
        <v>0</v>
      </c>
      <c r="GM200" s="21">
        <f>EXP(-LN(2)/25)*GM199+(1-EXP(-LN(2)/25))/(LN(2)/25)*Calculateur!GH200*Calculateur!GJ200*VLOOKUP('Données projet'!$B$17,Paramètres!$A$1:$I$89,3,0)*0.475*44/12</f>
        <v>7.1088964147707559E-2</v>
      </c>
      <c r="GN200" s="21">
        <f>EXP(-LN(2)/2)*GN199+(1-EXP(-LN(2)/2))/(LN(2)/2)*GH200*GK200*VLOOKUP('Données projet'!$B$17,Paramètres!$A$1:$I$89,3,0)*0.475*44/12</f>
        <v>1.0148128231231429E-24</v>
      </c>
      <c r="GO200" s="21">
        <f t="shared" si="187"/>
        <v>7.1088964147707559E-2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3.4106051316484809E-13</v>
      </c>
      <c r="O201" s="13">
        <f>N201*VLOOKUP('Données projet'!$B$9,Paramètres!$A$1:$I$89,3,0)*VLOOKUP('Données projet'!$B$9,Paramètres!$A$1:$I$89,5,0)</f>
        <v>1.9065282685915009E-13</v>
      </c>
      <c r="P201" s="13">
        <f t="shared" si="203"/>
        <v>2.6568987209435707E-12</v>
      </c>
      <c r="Q201" s="20">
        <f t="shared" si="162"/>
        <v>4.959485612423072E-12</v>
      </c>
      <c r="R201" s="59">
        <f t="shared" si="191"/>
        <v>293.33333333333826</v>
      </c>
      <c r="S201" s="59">
        <f ca="1">AVERAGE(OFFSET($R$3,0,0,'Données projet'!$E$9+1,1))-AVERAGE(OFFSET($H$3,0,0,'Données projet'!$E$9+1,1))</f>
        <v>235.10258076192054</v>
      </c>
      <c r="T201" s="59">
        <f t="shared" si="204"/>
        <v>233.47316052603765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0.12298103980735064</v>
      </c>
      <c r="AA201" s="21">
        <f>EXP(-LN(2)/25)*AA200+(1-EXP(-LN(2)/25))/(LN(2)/25)*Calculateur!V201*Calculateur!X201*VLOOKUP('Données projet'!$B$9,Paramètres!$A$1:$I$89,3,0)*0.475*44/12</f>
        <v>0.1748714268358515</v>
      </c>
      <c r="AB201" s="21">
        <f>EXP(-LN(2)/2)*AB200+(1-EXP(-LN(2)/2))/(LN(2)/2)*V201*Y201*VLOOKUP('Données projet'!$B$9,Paramètres!$A$1:$I$89,3,0)*0.475*44/12</f>
        <v>1.2470823959631638E-24</v>
      </c>
      <c r="AC201" s="22">
        <f t="shared" si="163"/>
        <v>0.29785246664320214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-8.5265128291212022E-14</v>
      </c>
      <c r="AJ201" s="13">
        <f>AI201*VLOOKUP('Données projet'!$B$10,Paramètres!$A$1:$I$89,3,0)*VLOOKUP('Données projet'!$B$10,Paramètres!$A$1:$I$89,5,0)</f>
        <v>-7.4487616075202836E-14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191.94797389630673</v>
      </c>
      <c r="AO201" s="59">
        <f t="shared" si="205"/>
        <v>273.52540822767878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9.2422114764311919E-2</v>
      </c>
      <c r="AV201" s="21">
        <f>EXP(-LN(2)/25)*AV200+(1-EXP(-LN(2)/25))/(LN(2)/25)*Calculateur!AQ201*Calculateur!AS201*VLOOKUP('Données projet'!$B$10,Paramètres!$A$1:$I$89,3,0)*0.475*44/12</f>
        <v>0.13325932139174085</v>
      </c>
      <c r="AW201" s="21">
        <f>EXP(-LN(2)/2)*AW200+(1-EXP(-LN(2)/2))/(LN(2)/2)*AQ201*AT201*VLOOKUP('Données projet'!$B$10,Paramètres!$A$1:$I$89,3,0)*0.475*44/12</f>
        <v>1.1995702374374097E-24</v>
      </c>
      <c r="AX201" s="21">
        <f t="shared" si="166"/>
        <v>0.22568143615605277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2.8421709430404007E-14</v>
      </c>
      <c r="BE201" s="13">
        <f>BD201*VLOOKUP('Données projet'!$B$11,Paramètres!$A$1:$I$89,3,0)*VLOOKUP('Données projet'!$B$11,Paramètres!$A$1:$I$89,5,0)</f>
        <v>2.5715962692629544E-14</v>
      </c>
      <c r="BF201" s="13">
        <f t="shared" si="167"/>
        <v>4.5248818890525812E-13</v>
      </c>
      <c r="BG201" s="20">
        <f t="shared" si="168"/>
        <v>8.3287223069965432E-13</v>
      </c>
      <c r="BH201" s="59">
        <f t="shared" si="194"/>
        <v>293.33333333333417</v>
      </c>
      <c r="BI201" s="59">
        <f ca="1">AVERAGE(OFFSET($BH$3,0,0,'Données projet'!$E$11+1,1))-AVERAGE(OFFSET($H$3,0,0,'Données projet'!$E$11+1,1))</f>
        <v>138.8931001150624</v>
      </c>
      <c r="BJ201" s="59">
        <f t="shared" si="206"/>
        <v>48.964659354096625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2.8421709430404007E-14</v>
      </c>
      <c r="BZ201" s="13">
        <f>BY201*VLOOKUP('Données projet'!$B$12,Paramètres!$A$1:$I$89,3,0)*VLOOKUP('Données projet'!$B$12,Paramètres!$A$1:$I$89,5,0)</f>
        <v>2.8819613362429664E-14</v>
      </c>
      <c r="CA201" s="13">
        <f t="shared" si="170"/>
        <v>5.0041752926933358E-13</v>
      </c>
      <c r="CB201" s="20">
        <f t="shared" si="171"/>
        <v>9.2175469008365428E-13</v>
      </c>
      <c r="CC201" s="59">
        <f t="shared" si="195"/>
        <v>293.33333333333422</v>
      </c>
      <c r="CD201" s="59">
        <f ca="1">AVERAGE(OFFSET($CC$3,0,0,'Données projet'!$E$12+1,1))-AVERAGE(OFFSET($H$3,0,0,'Données projet'!$E$12+1,1))</f>
        <v>169.2757878405003</v>
      </c>
      <c r="CE201" s="59">
        <f t="shared" si="207"/>
        <v>61.876502626609977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-8.5265128291212022E-14</v>
      </c>
      <c r="CU201" s="17">
        <f>CT201*VLOOKUP('Données projet'!$B$13,Paramètres!$A$1:$I$89,3,0)*VLOOKUP('Données projet'!$B$13,Paramètres!$A$1:$I$89,5,0)</f>
        <v>-6.7836936068488286E-14</v>
      </c>
      <c r="CV201" s="13" t="e">
        <f t="shared" si="173"/>
        <v>#NUM!</v>
      </c>
      <c r="CW201" s="20" t="e">
        <f t="shared" si="174"/>
        <v>#NUM!</v>
      </c>
      <c r="CX201" s="59" t="e">
        <f t="shared" si="196"/>
        <v>#NUM!</v>
      </c>
      <c r="CY201" s="59">
        <f ca="1">AVERAGE(OFFSET($CX$3,0,0,'Données projet'!$E$13+1,1))-AVERAGE(OFFSET($H$3,0,0,'Données projet'!$E$13+1,1))</f>
        <v>141.12810728817544</v>
      </c>
      <c r="CZ201" s="59">
        <f t="shared" si="208"/>
        <v>176.01405805137551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>
        <f>EXP(-LN(2)/35)*DF200+(1-EXP(-LN(2)/35))/(LN(2)/35)*DB201*DC201*VLOOKUP('Données projet'!$B$13,Paramètres!$A$1:$I$89,3,0)*0.475*44/12</f>
        <v>0</v>
      </c>
      <c r="DG201" s="21">
        <f>EXP(-LN(2)/25)*DG200+(1-EXP(-LN(2)/25))/(LN(2)/25)*Calculateur!DB201*Calculateur!DD201*VLOOKUP('Données projet'!$B$13,Paramètres!$A$1:$I$89,3,0)*0.475*44/12</f>
        <v>6.376965602126132E-2</v>
      </c>
      <c r="DH201" s="21">
        <f>EXP(-LN(2)/2)*DH200+(1-EXP(-LN(2)/2))/(LN(2)/2)*DB201*DE201*VLOOKUP('Données projet'!$B$13,Paramètres!$A$1:$I$89,3,0)*0.475*44/12</f>
        <v>4.1385872319448819E-25</v>
      </c>
      <c r="DI201" s="22">
        <f t="shared" si="175"/>
        <v>6.376965602126132E-2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5.6843418860808015E-14</v>
      </c>
      <c r="DP201" s="17">
        <f>DO201*VLOOKUP('Données projet'!$B$14,Paramètres!$A$1:$I$89,3,0)*VLOOKUP('Données projet'!$B$14,Paramètres!$A$1:$I$89,5,0)</f>
        <v>3.3992364478763198E-14</v>
      </c>
      <c r="DQ201" s="13">
        <f t="shared" si="176"/>
        <v>5.790027782444094E-13</v>
      </c>
      <c r="DR201" s="20">
        <f t="shared" si="177"/>
        <v>1.0676332069095257E-12</v>
      </c>
      <c r="DS201" s="59">
        <f t="shared" si="197"/>
        <v>293.33333333333439</v>
      </c>
      <c r="DT201" s="59">
        <f ca="1">AVERAGE(OFFSET($DS$3,0,0,'Données projet'!$E$14+1,1))-AVERAGE(OFFSET($H$3,0,0,'Données projet'!$E$14+1,1))</f>
        <v>165.39579887388538</v>
      </c>
      <c r="DU201" s="59">
        <f t="shared" si="209"/>
        <v>155.89639262545802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>
        <f>EXP(-LN(2)/35)*EA200+(1-EXP(-LN(2)/35))/(LN(2)/35)*DW201*DX201*VLOOKUP('Données projet'!$B$14,Paramètres!$A$1:$I$89,3,0)*0.475*44/12</f>
        <v>0</v>
      </c>
      <c r="EB201" s="21">
        <f>EXP(-LN(2)/25)*EB200+(1-EXP(-LN(2)/25))/(LN(2)/25)*Calculateur!DW201*Calculateur!DY201*VLOOKUP('Données projet'!$B$14,Paramètres!$A$1:$I$89,3,0)*0.475*44/12</f>
        <v>6.9145032684682348E-2</v>
      </c>
      <c r="EC201" s="21">
        <f>EXP(-LN(2)/2)*EC200+(1-EXP(-LN(2)/2))/(LN(2)/2)*DW201*DZ201*VLOOKUP('Données projet'!$B$14,Paramètres!$A$1:$I$89,3,0)*0.475*44/12</f>
        <v>7.175810288654388E-25</v>
      </c>
      <c r="ED201" s="22">
        <f t="shared" si="178"/>
        <v>6.9145032684682348E-2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2.8421709430404007E-14</v>
      </c>
      <c r="EK201" s="17">
        <f>EJ201*VLOOKUP('Données projet'!$B$15,Paramètres!$A$1:$I$89,3,0)*VLOOKUP('Données projet'!$B$15,Paramètres!$A$1:$I$89,5,0)</f>
        <v>2.2168933355715127E-14</v>
      </c>
      <c r="EL201" s="13">
        <f t="shared" si="179"/>
        <v>3.9687356123668477E-13</v>
      </c>
      <c r="EM201" s="20">
        <f t="shared" si="180"/>
        <v>7.2983234474842979E-13</v>
      </c>
      <c r="EN201" s="59">
        <f t="shared" si="198"/>
        <v>293.33333333333405</v>
      </c>
      <c r="EO201" s="59">
        <f ca="1">AVERAGE(OFFSET($EN$3,0,0,'Données projet'!$E$15+1,1))-AVERAGE(OFFSET($H$3,0,0,'Données projet'!$E$15+1,1))</f>
        <v>104.07220236158577</v>
      </c>
      <c r="EP201" s="59">
        <f t="shared" si="210"/>
        <v>34.162068257911756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>
        <f>EXP(-LN(2)/35)*EV200+(1-EXP(-LN(2)/35))/(LN(2)/35)*ER201*ES201*VLOOKUP('Données projet'!$B$15,Paramètres!$A$1:$I$89,3,0)*0.475*44/12</f>
        <v>0</v>
      </c>
      <c r="EW201" s="21">
        <f>EXP(-LN(2)/25)*EW200+(1-EXP(-LN(2)/25))/(LN(2)/25)*Calculateur!ER201*Calculateur!ET201*VLOOKUP('Données projet'!$B$15,Paramètres!$A$1:$I$89,3,0)*0.475*44/12</f>
        <v>0</v>
      </c>
      <c r="EX201" s="21">
        <f>EXP(-LN(2)/2)*EX200+(1-EXP(-LN(2)/2))/(LN(2)/2)*ER201*EU201*VLOOKUP('Données projet'!$B$15,Paramètres!$A$1:$I$89,3,0)*0.475*44/12</f>
        <v>0</v>
      </c>
      <c r="EY201" s="22">
        <f t="shared" si="181"/>
        <v>0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5.6843418860808015E-14</v>
      </c>
      <c r="FF201" s="17">
        <f>FE201*VLOOKUP('Données projet'!$B$16,Paramètres!$A$1:$I$89,3,0)*VLOOKUP('Données projet'!$B$16,Paramètres!$A$1:$I$89,5,0)</f>
        <v>5.1431925385259088E-14</v>
      </c>
      <c r="FG201" s="13">
        <f t="shared" si="182"/>
        <v>8.3482866290946129E-13</v>
      </c>
      <c r="FH201" s="20">
        <f t="shared" si="183"/>
        <v>1.5435705246133045E-12</v>
      </c>
      <c r="FI201" s="59">
        <f t="shared" si="199"/>
        <v>293.33333333333485</v>
      </c>
      <c r="FJ201" s="59">
        <f ca="1">AVERAGE(OFFSET($FI$3,0,0,'Données projet'!$E$16+1,1))-AVERAGE(OFFSET($H$3,0,0,'Données projet'!$E$16+1,1))</f>
        <v>179.50097986986123</v>
      </c>
      <c r="FK201" s="59">
        <f t="shared" si="211"/>
        <v>287.11838730637578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>
        <f>EXP(-LN(2)/35)*FQ200+(1-EXP(-LN(2)/35))/(LN(2)/35)*FM201*FN201*VLOOKUP('Données projet'!$B$16,Paramètres!$A$1:$I$89,3,0)*0.475*44/12</f>
        <v>2.2377193995537347E-2</v>
      </c>
      <c r="FR201" s="21">
        <f>EXP(-LN(2)/25)*FR200+(1-EXP(-LN(2)/25))/(LN(2)/25)*Calculateur!FM201*Calculateur!FO201*VLOOKUP('Données projet'!$B$16,Paramètres!$A$1:$I$89,3,0)*0.475*44/12</f>
        <v>5.9700766310698775E-2</v>
      </c>
      <c r="FS201" s="21">
        <f>EXP(-LN(2)/2)*FS200+(1-EXP(-LN(2)/2))/(LN(2)/2)*FM201*FP201*VLOOKUP('Données projet'!$B$16,Paramètres!$A$1:$I$89,3,0)*0.475*44/12</f>
        <v>2.3371967660134385E-25</v>
      </c>
      <c r="FT201" s="22">
        <f t="shared" si="184"/>
        <v>8.2077960306236125E-2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5.6843418860808015E-14</v>
      </c>
      <c r="GA201" s="17">
        <f>FZ201*VLOOKUP('Données projet'!$B$17,Paramètres!$A$1:$I$89,3,0)*VLOOKUP('Données projet'!$B$17,Paramètres!$A$1:$I$89,5,0)</f>
        <v>3.3992364478763198E-14</v>
      </c>
      <c r="GB201" s="13">
        <f t="shared" si="185"/>
        <v>5.790027782444094E-13</v>
      </c>
      <c r="GC201" s="20">
        <f t="shared" si="186"/>
        <v>1.0676332069095257E-12</v>
      </c>
      <c r="GD201" s="59">
        <f t="shared" si="200"/>
        <v>293.33333333333439</v>
      </c>
      <c r="GE201" s="59">
        <f ca="1">AVERAGE(OFFSET($GD$3,0,0,'Données projet'!$E$17+1,1))-AVERAGE(OFFSET($H$3,0,0,'Données projet'!$E$17+1,1))</f>
        <v>165.39579887388538</v>
      </c>
      <c r="GF201" s="59">
        <f t="shared" si="212"/>
        <v>155.89639262545802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>
        <f>EXP(-LN(2)/35)*GL200+(1-EXP(-LN(2)/35))/(LN(2)/35)*GH201*GI201*VLOOKUP('Données projet'!$B$17,Paramètres!$A$1:$I$89,3,0)*0.475*44/12</f>
        <v>0</v>
      </c>
      <c r="GM201" s="21">
        <f>EXP(-LN(2)/25)*GM200+(1-EXP(-LN(2)/25))/(LN(2)/25)*Calculateur!GH201*Calculateur!GJ201*VLOOKUP('Données projet'!$B$17,Paramètres!$A$1:$I$89,3,0)*0.475*44/12</f>
        <v>6.9145032684682348E-2</v>
      </c>
      <c r="GN201" s="21">
        <f>EXP(-LN(2)/2)*GN200+(1-EXP(-LN(2)/2))/(LN(2)/2)*GH201*GK201*VLOOKUP('Données projet'!$B$17,Paramètres!$A$1:$I$89,3,0)*0.475*44/12</f>
        <v>7.175810288654388E-25</v>
      </c>
      <c r="GO201" s="21">
        <f t="shared" si="187"/>
        <v>6.9145032684682348E-2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3.4106051316484809E-13</v>
      </c>
      <c r="O202" s="13">
        <f>N202*VLOOKUP('Données projet'!$B$9,Paramètres!$A$1:$I$89,3,0)*VLOOKUP('Données projet'!$B$9,Paramètres!$A$1:$I$89,5,0)</f>
        <v>1.9065282685915009E-13</v>
      </c>
      <c r="P202" s="13">
        <f t="shared" si="203"/>
        <v>2.6568987209435707E-12</v>
      </c>
      <c r="Q202" s="20">
        <f t="shared" si="162"/>
        <v>4.959485612423072E-12</v>
      </c>
      <c r="R202" s="59">
        <f t="shared" si="191"/>
        <v>293.33333333333826</v>
      </c>
      <c r="S202" s="59">
        <f ca="1">AVERAGE(OFFSET($R$3,0,0,'Données projet'!$E$9+1,1))-AVERAGE(OFFSET($H$3,0,0,'Données projet'!$E$9+1,1))</f>
        <v>235.10258076192054</v>
      </c>
      <c r="T202" s="59">
        <f t="shared" si="204"/>
        <v>233.47316052603765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0.12056945662775606</v>
      </c>
      <c r="AA202" s="21">
        <f>EXP(-LN(2)/25)*AA201+(1-EXP(-LN(2)/25))/(LN(2)/25)*Calculateur!V202*Calculateur!X202*VLOOKUP('Données projet'!$B$9,Paramètres!$A$1:$I$89,3,0)*0.475*44/12</f>
        <v>0.17008955847293647</v>
      </c>
      <c r="AB202" s="21">
        <f>EXP(-LN(2)/2)*AB201+(1-EXP(-LN(2)/2))/(LN(2)/2)*V202*Y202*VLOOKUP('Données projet'!$B$9,Paramètres!$A$1:$I$89,3,0)*0.475*44/12</f>
        <v>8.8182041888392028E-25</v>
      </c>
      <c r="AC202" s="22">
        <f t="shared" si="163"/>
        <v>0.29065901510069253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-8.5265128291212022E-14</v>
      </c>
      <c r="AJ202" s="13">
        <f>AI202*VLOOKUP('Données projet'!$B$10,Paramètres!$A$1:$I$89,3,0)*VLOOKUP('Données projet'!$B$10,Paramètres!$A$1:$I$89,5,0)</f>
        <v>-7.4487616075202836E-14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191.94797389630673</v>
      </c>
      <c r="AO202" s="59">
        <f t="shared" si="205"/>
        <v>273.52540822767878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9.0609773465707505E-2</v>
      </c>
      <c r="AV202" s="21">
        <f>EXP(-LN(2)/25)*AV201+(1-EXP(-LN(2)/25))/(LN(2)/25)*Calculateur!AQ202*Calculateur!AS202*VLOOKUP('Données projet'!$B$10,Paramètres!$A$1:$I$89,3,0)*0.475*44/12</f>
        <v>0.12961533824048055</v>
      </c>
      <c r="AW202" s="21">
        <f>EXP(-LN(2)/2)*AW201+(1-EXP(-LN(2)/2))/(LN(2)/2)*AQ202*AT202*VLOOKUP('Données projet'!$B$10,Paramètres!$A$1:$I$89,3,0)*0.475*44/12</f>
        <v>8.4822424940154932E-25</v>
      </c>
      <c r="AX202" s="21">
        <f t="shared" si="166"/>
        <v>0.22022511170618805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2.8421709430404007E-14</v>
      </c>
      <c r="BE202" s="13">
        <f>BD202*VLOOKUP('Données projet'!$B$11,Paramètres!$A$1:$I$89,3,0)*VLOOKUP('Données projet'!$B$11,Paramètres!$A$1:$I$89,5,0)</f>
        <v>2.5715962692629544E-14</v>
      </c>
      <c r="BF202" s="13">
        <f t="shared" si="167"/>
        <v>4.5248818890525812E-13</v>
      </c>
      <c r="BG202" s="20">
        <f t="shared" si="168"/>
        <v>8.3287223069965432E-13</v>
      </c>
      <c r="BH202" s="59">
        <f t="shared" si="194"/>
        <v>293.33333333333417</v>
      </c>
      <c r="BI202" s="59">
        <f ca="1">AVERAGE(OFFSET($BH$3,0,0,'Données projet'!$E$11+1,1))-AVERAGE(OFFSET($H$3,0,0,'Données projet'!$E$11+1,1))</f>
        <v>138.8931001150624</v>
      </c>
      <c r="BJ202" s="59">
        <f t="shared" si="206"/>
        <v>48.964659354096625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2.8421709430404007E-14</v>
      </c>
      <c r="BZ202" s="13">
        <f>BY202*VLOOKUP('Données projet'!$B$12,Paramètres!$A$1:$I$89,3,0)*VLOOKUP('Données projet'!$B$12,Paramètres!$A$1:$I$89,5,0)</f>
        <v>2.8819613362429664E-14</v>
      </c>
      <c r="CA202" s="13">
        <f t="shared" si="170"/>
        <v>5.0041752926933358E-13</v>
      </c>
      <c r="CB202" s="20">
        <f t="shared" si="171"/>
        <v>9.2175469008365428E-13</v>
      </c>
      <c r="CC202" s="59">
        <f t="shared" si="195"/>
        <v>293.33333333333422</v>
      </c>
      <c r="CD202" s="59">
        <f ca="1">AVERAGE(OFFSET($CC$3,0,0,'Données projet'!$E$12+1,1))-AVERAGE(OFFSET($H$3,0,0,'Données projet'!$E$12+1,1))</f>
        <v>169.2757878405003</v>
      </c>
      <c r="CE202" s="59">
        <f t="shared" si="207"/>
        <v>61.876502626609977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-8.5265128291212022E-14</v>
      </c>
      <c r="CU202" s="17">
        <f>CT202*VLOOKUP('Données projet'!$B$13,Paramètres!$A$1:$I$89,3,0)*VLOOKUP('Données projet'!$B$13,Paramètres!$A$1:$I$89,5,0)</f>
        <v>-6.7836936068488286E-14</v>
      </c>
      <c r="CV202" s="13" t="e">
        <f t="shared" si="173"/>
        <v>#NUM!</v>
      </c>
      <c r="CW202" s="20" t="e">
        <f t="shared" si="174"/>
        <v>#NUM!</v>
      </c>
      <c r="CX202" s="59" t="e">
        <f t="shared" si="196"/>
        <v>#NUM!</v>
      </c>
      <c r="CY202" s="59">
        <f ca="1">AVERAGE(OFFSET($CX$3,0,0,'Données projet'!$E$13+1,1))-AVERAGE(OFFSET($H$3,0,0,'Données projet'!$E$13+1,1))</f>
        <v>141.12810728817544</v>
      </c>
      <c r="CZ202" s="59">
        <f t="shared" si="208"/>
        <v>176.01405805137551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>
        <f>EXP(-LN(2)/35)*DF201+(1-EXP(-LN(2)/35))/(LN(2)/35)*DB202*DC202*VLOOKUP('Données projet'!$B$13,Paramètres!$A$1:$I$89,3,0)*0.475*44/12</f>
        <v>0</v>
      </c>
      <c r="DG202" s="21">
        <f>EXP(-LN(2)/25)*DG201+(1-EXP(-LN(2)/25))/(LN(2)/25)*Calculateur!DB202*Calculateur!DD202*VLOOKUP('Données projet'!$B$13,Paramètres!$A$1:$I$89,3,0)*0.475*44/12</f>
        <v>6.2025871423859465E-2</v>
      </c>
      <c r="DH202" s="21">
        <f>EXP(-LN(2)/2)*DH201+(1-EXP(-LN(2)/2))/(LN(2)/2)*DB202*DE202*VLOOKUP('Données projet'!$B$13,Paramètres!$A$1:$I$89,3,0)*0.475*44/12</f>
        <v>2.9264230962402891E-25</v>
      </c>
      <c r="DI202" s="22">
        <f t="shared" si="175"/>
        <v>6.2025871423859465E-2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5.6843418860808015E-14</v>
      </c>
      <c r="DP202" s="17">
        <f>DO202*VLOOKUP('Données projet'!$B$14,Paramètres!$A$1:$I$89,3,0)*VLOOKUP('Données projet'!$B$14,Paramètres!$A$1:$I$89,5,0)</f>
        <v>3.3992364478763198E-14</v>
      </c>
      <c r="DQ202" s="13">
        <f t="shared" si="176"/>
        <v>5.790027782444094E-13</v>
      </c>
      <c r="DR202" s="20">
        <f t="shared" si="177"/>
        <v>1.0676332069095257E-12</v>
      </c>
      <c r="DS202" s="59">
        <f t="shared" si="197"/>
        <v>293.33333333333439</v>
      </c>
      <c r="DT202" s="59">
        <f ca="1">AVERAGE(OFFSET($DS$3,0,0,'Données projet'!$E$14+1,1))-AVERAGE(OFFSET($H$3,0,0,'Données projet'!$E$14+1,1))</f>
        <v>165.39579887388538</v>
      </c>
      <c r="DU202" s="59">
        <f t="shared" si="209"/>
        <v>155.89639262545802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>
        <f>EXP(-LN(2)/35)*EA201+(1-EXP(-LN(2)/35))/(LN(2)/35)*DW202*DX202*VLOOKUP('Données projet'!$B$14,Paramètres!$A$1:$I$89,3,0)*0.475*44/12</f>
        <v>0</v>
      </c>
      <c r="EB202" s="21">
        <f>EXP(-LN(2)/25)*EB201+(1-EXP(-LN(2)/25))/(LN(2)/25)*Calculateur!DW202*Calculateur!DY202*VLOOKUP('Données projet'!$B$14,Paramètres!$A$1:$I$89,3,0)*0.475*44/12</f>
        <v>6.725425812974048E-2</v>
      </c>
      <c r="EC202" s="21">
        <f>EXP(-LN(2)/2)*EC201+(1-EXP(-LN(2)/2))/(LN(2)/2)*DW202*DZ202*VLOOKUP('Données projet'!$B$14,Paramètres!$A$1:$I$89,3,0)*0.475*44/12</f>
        <v>5.0740641156157147E-25</v>
      </c>
      <c r="ED202" s="22">
        <f t="shared" si="178"/>
        <v>6.725425812974048E-2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2.8421709430404007E-14</v>
      </c>
      <c r="EK202" s="17">
        <f>EJ202*VLOOKUP('Données projet'!$B$15,Paramètres!$A$1:$I$89,3,0)*VLOOKUP('Données projet'!$B$15,Paramètres!$A$1:$I$89,5,0)</f>
        <v>2.2168933355715127E-14</v>
      </c>
      <c r="EL202" s="13">
        <f t="shared" si="179"/>
        <v>3.9687356123668477E-13</v>
      </c>
      <c r="EM202" s="20">
        <f t="shared" si="180"/>
        <v>7.2983234474842979E-13</v>
      </c>
      <c r="EN202" s="59">
        <f t="shared" si="198"/>
        <v>293.33333333333405</v>
      </c>
      <c r="EO202" s="59">
        <f ca="1">AVERAGE(OFFSET($EN$3,0,0,'Données projet'!$E$15+1,1))-AVERAGE(OFFSET($H$3,0,0,'Données projet'!$E$15+1,1))</f>
        <v>104.07220236158577</v>
      </c>
      <c r="EP202" s="59">
        <f t="shared" si="210"/>
        <v>34.162068257911756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>
        <f>EXP(-LN(2)/35)*EV201+(1-EXP(-LN(2)/35))/(LN(2)/35)*ER202*ES202*VLOOKUP('Données projet'!$B$15,Paramètres!$A$1:$I$89,3,0)*0.475*44/12</f>
        <v>0</v>
      </c>
      <c r="EW202" s="21">
        <f>EXP(-LN(2)/25)*EW201+(1-EXP(-LN(2)/25))/(LN(2)/25)*Calculateur!ER202*Calculateur!ET202*VLOOKUP('Données projet'!$B$15,Paramètres!$A$1:$I$89,3,0)*0.475*44/12</f>
        <v>0</v>
      </c>
      <c r="EX202" s="21">
        <f>EXP(-LN(2)/2)*EX201+(1-EXP(-LN(2)/2))/(LN(2)/2)*ER202*EU202*VLOOKUP('Données projet'!$B$15,Paramètres!$A$1:$I$89,3,0)*0.475*44/12</f>
        <v>0</v>
      </c>
      <c r="EY202" s="22">
        <f t="shared" si="181"/>
        <v>0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5.6843418860808015E-14</v>
      </c>
      <c r="FF202" s="17">
        <f>FE202*VLOOKUP('Données projet'!$B$16,Paramètres!$A$1:$I$89,3,0)*VLOOKUP('Données projet'!$B$16,Paramètres!$A$1:$I$89,5,0)</f>
        <v>5.1431925385259088E-14</v>
      </c>
      <c r="FG202" s="13">
        <f t="shared" si="182"/>
        <v>8.3482866290946129E-13</v>
      </c>
      <c r="FH202" s="20">
        <f t="shared" si="183"/>
        <v>1.5435705246133045E-12</v>
      </c>
      <c r="FI202" s="59">
        <f t="shared" si="199"/>
        <v>293.33333333333485</v>
      </c>
      <c r="FJ202" s="59">
        <f ca="1">AVERAGE(OFFSET($FI$3,0,0,'Données projet'!$E$16+1,1))-AVERAGE(OFFSET($H$3,0,0,'Données projet'!$E$16+1,1))</f>
        <v>179.50097986986123</v>
      </c>
      <c r="FK202" s="59">
        <f t="shared" si="211"/>
        <v>287.11838730637578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>
        <f>EXP(-LN(2)/35)*FQ201+(1-EXP(-LN(2)/35))/(LN(2)/35)*FM202*FN202*VLOOKUP('Données projet'!$B$16,Paramètres!$A$1:$I$89,3,0)*0.475*44/12</f>
        <v>2.1938390870025495E-2</v>
      </c>
      <c r="FR202" s="21">
        <f>EXP(-LN(2)/25)*FR201+(1-EXP(-LN(2)/25))/(LN(2)/25)*Calculateur!FM202*Calculateur!FO202*VLOOKUP('Données projet'!$B$16,Paramètres!$A$1:$I$89,3,0)*0.475*44/12</f>
        <v>5.8068245716405863E-2</v>
      </c>
      <c r="FS202" s="21">
        <f>EXP(-LN(2)/2)*FS201+(1-EXP(-LN(2)/2))/(LN(2)/2)*FM202*FP202*VLOOKUP('Données projet'!$B$16,Paramètres!$A$1:$I$89,3,0)*0.475*44/12</f>
        <v>1.652647682215371E-25</v>
      </c>
      <c r="FT202" s="22">
        <f t="shared" si="184"/>
        <v>8.0006636586431354E-2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5.6843418860808015E-14</v>
      </c>
      <c r="GA202" s="17">
        <f>FZ202*VLOOKUP('Données projet'!$B$17,Paramètres!$A$1:$I$89,3,0)*VLOOKUP('Données projet'!$B$17,Paramètres!$A$1:$I$89,5,0)</f>
        <v>3.3992364478763198E-14</v>
      </c>
      <c r="GB202" s="13">
        <f t="shared" si="185"/>
        <v>5.790027782444094E-13</v>
      </c>
      <c r="GC202" s="20">
        <f t="shared" si="186"/>
        <v>1.0676332069095257E-12</v>
      </c>
      <c r="GD202" s="59">
        <f t="shared" si="200"/>
        <v>293.33333333333439</v>
      </c>
      <c r="GE202" s="59">
        <f ca="1">AVERAGE(OFFSET($GD$3,0,0,'Données projet'!$E$17+1,1))-AVERAGE(OFFSET($H$3,0,0,'Données projet'!$E$17+1,1))</f>
        <v>165.39579887388538</v>
      </c>
      <c r="GF202" s="59">
        <f t="shared" si="212"/>
        <v>155.89639262545802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>
        <f>EXP(-LN(2)/35)*GL201+(1-EXP(-LN(2)/35))/(LN(2)/35)*GH202*GI202*VLOOKUP('Données projet'!$B$17,Paramètres!$A$1:$I$89,3,0)*0.475*44/12</f>
        <v>0</v>
      </c>
      <c r="GM202" s="21">
        <f>EXP(-LN(2)/25)*GM201+(1-EXP(-LN(2)/25))/(LN(2)/25)*Calculateur!GH202*Calculateur!GJ202*VLOOKUP('Données projet'!$B$17,Paramètres!$A$1:$I$89,3,0)*0.475*44/12</f>
        <v>6.725425812974048E-2</v>
      </c>
      <c r="GN202" s="21">
        <f>EXP(-LN(2)/2)*GN201+(1-EXP(-LN(2)/2))/(LN(2)/2)*GH202*GK202*VLOOKUP('Données projet'!$B$17,Paramètres!$A$1:$I$89,3,0)*0.475*44/12</f>
        <v>5.0740641156157147E-25</v>
      </c>
      <c r="GO202" s="21">
        <f t="shared" si="187"/>
        <v>6.725425812974048E-2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3.4106051316484809E-13</v>
      </c>
      <c r="O203" s="13">
        <f>N203*VLOOKUP('Données projet'!$B$9,Paramètres!$A$1:$I$89,3,0)*VLOOKUP('Données projet'!$B$9,Paramètres!$A$1:$I$89,5,0)</f>
        <v>1.9065282685915009E-13</v>
      </c>
      <c r="P203" s="13">
        <f t="shared" si="203"/>
        <v>2.6568987209435707E-12</v>
      </c>
      <c r="Q203" s="20">
        <f t="shared" si="162"/>
        <v>4.959485612423072E-12</v>
      </c>
      <c r="R203" s="59">
        <f t="shared" si="191"/>
        <v>293.33333333333826</v>
      </c>
      <c r="S203" s="59">
        <f ca="1">AVERAGE(OFFSET($R$3,0,0,'Données projet'!$E$9+1,1))-AVERAGE(OFFSET($H$3,0,0,'Données projet'!$E$9+1,1))</f>
        <v>235.10258076192054</v>
      </c>
      <c r="T203" s="59">
        <f t="shared" si="204"/>
        <v>233.47316052603765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0.11820516312339283</v>
      </c>
      <c r="AA203" s="21">
        <f>EXP(-LN(2)/25)*AA202+(1-EXP(-LN(2)/25))/(LN(2)/25)*Calculateur!V203*Calculateur!X203*VLOOKUP('Données projet'!$B$9,Paramètres!$A$1:$I$89,3,0)*0.475*44/12</f>
        <v>0.1654384505518729</v>
      </c>
      <c r="AB203" s="21">
        <f>EXP(-LN(2)/2)*AB202+(1-EXP(-LN(2)/2))/(LN(2)/2)*V203*Y203*VLOOKUP('Données projet'!$B$9,Paramètres!$A$1:$I$89,3,0)*0.475*44/12</f>
        <v>6.235411979815819E-25</v>
      </c>
      <c r="AC203" s="22">
        <f t="shared" si="163"/>
        <v>0.28364361367526569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-8.5265128291212022E-14</v>
      </c>
      <c r="AJ203" s="13">
        <f>AI203*VLOOKUP('Données projet'!$B$10,Paramètres!$A$1:$I$89,3,0)*VLOOKUP('Données projet'!$B$10,Paramètres!$A$1:$I$89,5,0)</f>
        <v>-7.4487616075202836E-14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191.94797389630673</v>
      </c>
      <c r="AO203" s="59">
        <f t="shared" si="205"/>
        <v>273.52540822767878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8.8832971074549683E-2</v>
      </c>
      <c r="AV203" s="21">
        <f>EXP(-LN(2)/25)*AV202+(1-EXP(-LN(2)/25))/(LN(2)/25)*Calculateur!AQ203*Calculateur!AS203*VLOOKUP('Données projet'!$B$10,Paramètres!$A$1:$I$89,3,0)*0.475*44/12</f>
        <v>0.1260710000001202</v>
      </c>
      <c r="AW203" s="21">
        <f>EXP(-LN(2)/2)*AW202+(1-EXP(-LN(2)/2))/(LN(2)/2)*AQ203*AT203*VLOOKUP('Données projet'!$B$10,Paramètres!$A$1:$I$89,3,0)*0.475*44/12</f>
        <v>5.9978511871870487E-25</v>
      </c>
      <c r="AX203" s="21">
        <f t="shared" si="166"/>
        <v>0.21490397107466988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2.8421709430404007E-14</v>
      </c>
      <c r="BE203" s="13">
        <f>BD203*VLOOKUP('Données projet'!$B$11,Paramètres!$A$1:$I$89,3,0)*VLOOKUP('Données projet'!$B$11,Paramètres!$A$1:$I$89,5,0)</f>
        <v>2.5715962692629544E-14</v>
      </c>
      <c r="BF203" s="13">
        <f t="shared" si="167"/>
        <v>4.5248818890525812E-13</v>
      </c>
      <c r="BG203" s="20">
        <f t="shared" si="168"/>
        <v>8.3287223069965432E-13</v>
      </c>
      <c r="BH203" s="59">
        <f t="shared" si="194"/>
        <v>293.33333333333417</v>
      </c>
      <c r="BI203" s="59">
        <f ca="1">AVERAGE(OFFSET($BH$3,0,0,'Données projet'!$E$11+1,1))-AVERAGE(OFFSET($H$3,0,0,'Données projet'!$E$11+1,1))</f>
        <v>138.8931001150624</v>
      </c>
      <c r="BJ203" s="59">
        <f t="shared" si="206"/>
        <v>48.964659354096625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2.8421709430404007E-14</v>
      </c>
      <c r="BZ203" s="13">
        <f>BY203*VLOOKUP('Données projet'!$B$12,Paramètres!$A$1:$I$89,3,0)*VLOOKUP('Données projet'!$B$12,Paramètres!$A$1:$I$89,5,0)</f>
        <v>2.8819613362429664E-14</v>
      </c>
      <c r="CA203" s="13">
        <f t="shared" si="170"/>
        <v>5.0041752926933358E-13</v>
      </c>
      <c r="CB203" s="20">
        <f t="shared" si="171"/>
        <v>9.2175469008365428E-13</v>
      </c>
      <c r="CC203" s="59">
        <f t="shared" si="195"/>
        <v>293.33333333333422</v>
      </c>
      <c r="CD203" s="59">
        <f ca="1">AVERAGE(OFFSET($CC$3,0,0,'Données projet'!$E$12+1,1))-AVERAGE(OFFSET($H$3,0,0,'Données projet'!$E$12+1,1))</f>
        <v>169.2757878405003</v>
      </c>
      <c r="CE203" s="59">
        <f t="shared" si="207"/>
        <v>61.876502626609977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-8.5265128291212022E-14</v>
      </c>
      <c r="CU203" s="17">
        <f>CT203*VLOOKUP('Données projet'!$B$13,Paramètres!$A$1:$I$89,3,0)*VLOOKUP('Données projet'!$B$13,Paramètres!$A$1:$I$89,5,0)</f>
        <v>-6.7836936068488286E-14</v>
      </c>
      <c r="CV203" s="13" t="e">
        <f t="shared" si="173"/>
        <v>#NUM!</v>
      </c>
      <c r="CW203" s="20" t="e">
        <f t="shared" si="174"/>
        <v>#NUM!</v>
      </c>
      <c r="CX203" s="59" t="e">
        <f t="shared" si="196"/>
        <v>#NUM!</v>
      </c>
      <c r="CY203" s="59">
        <f ca="1">AVERAGE(OFFSET($CX$3,0,0,'Données projet'!$E$13+1,1))-AVERAGE(OFFSET($H$3,0,0,'Données projet'!$E$13+1,1))</f>
        <v>141.12810728817544</v>
      </c>
      <c r="CZ203" s="59">
        <f t="shared" si="208"/>
        <v>176.01405805137551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>
        <f>EXP(-LN(2)/35)*DF202+(1-EXP(-LN(2)/35))/(LN(2)/35)*DB203*DC203*VLOOKUP('Données projet'!$B$13,Paramètres!$A$1:$I$89,3,0)*0.475*44/12</f>
        <v>0</v>
      </c>
      <c r="DG203" s="21">
        <f>EXP(-LN(2)/25)*DG202+(1-EXP(-LN(2)/25))/(LN(2)/25)*Calculateur!DB203*Calculateur!DD203*VLOOKUP('Données projet'!$B$13,Paramètres!$A$1:$I$89,3,0)*0.475*44/12</f>
        <v>6.0329770707975211E-2</v>
      </c>
      <c r="DH203" s="21">
        <f>EXP(-LN(2)/2)*DH202+(1-EXP(-LN(2)/2))/(LN(2)/2)*DB203*DE203*VLOOKUP('Données projet'!$B$13,Paramètres!$A$1:$I$89,3,0)*0.475*44/12</f>
        <v>2.069293615972441E-25</v>
      </c>
      <c r="DI203" s="22">
        <f t="shared" si="175"/>
        <v>6.0329770707975211E-2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5.6843418860808015E-14</v>
      </c>
      <c r="DP203" s="17">
        <f>DO203*VLOOKUP('Données projet'!$B$14,Paramètres!$A$1:$I$89,3,0)*VLOOKUP('Données projet'!$B$14,Paramètres!$A$1:$I$89,5,0)</f>
        <v>3.3992364478763198E-14</v>
      </c>
      <c r="DQ203" s="13">
        <f t="shared" si="176"/>
        <v>5.790027782444094E-13</v>
      </c>
      <c r="DR203" s="20">
        <f t="shared" si="177"/>
        <v>1.0676332069095257E-12</v>
      </c>
      <c r="DS203" s="59">
        <f t="shared" si="197"/>
        <v>293.33333333333439</v>
      </c>
      <c r="DT203" s="59">
        <f ca="1">AVERAGE(OFFSET($DS$3,0,0,'Données projet'!$E$14+1,1))-AVERAGE(OFFSET($H$3,0,0,'Données projet'!$E$14+1,1))</f>
        <v>165.39579887388538</v>
      </c>
      <c r="DU203" s="59">
        <f t="shared" si="209"/>
        <v>155.89639262545802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>
        <f>EXP(-LN(2)/35)*EA202+(1-EXP(-LN(2)/35))/(LN(2)/35)*DW203*DX203*VLOOKUP('Données projet'!$B$14,Paramètres!$A$1:$I$89,3,0)*0.475*44/12</f>
        <v>0</v>
      </c>
      <c r="EB203" s="21">
        <f>EXP(-LN(2)/25)*EB202+(1-EXP(-LN(2)/25))/(LN(2)/25)*Calculateur!DW203*Calculateur!DY203*VLOOKUP('Données projet'!$B$14,Paramètres!$A$1:$I$89,3,0)*0.475*44/12</f>
        <v>6.5415186904434999E-2</v>
      </c>
      <c r="EC203" s="21">
        <f>EXP(-LN(2)/2)*EC202+(1-EXP(-LN(2)/2))/(LN(2)/2)*DW203*DZ203*VLOOKUP('Données projet'!$B$14,Paramètres!$A$1:$I$89,3,0)*0.475*44/12</f>
        <v>3.587905144327194E-25</v>
      </c>
      <c r="ED203" s="22">
        <f t="shared" si="178"/>
        <v>6.5415186904434999E-2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2.8421709430404007E-14</v>
      </c>
      <c r="EK203" s="17">
        <f>EJ203*VLOOKUP('Données projet'!$B$15,Paramètres!$A$1:$I$89,3,0)*VLOOKUP('Données projet'!$B$15,Paramètres!$A$1:$I$89,5,0)</f>
        <v>2.2168933355715127E-14</v>
      </c>
      <c r="EL203" s="13">
        <f t="shared" si="179"/>
        <v>3.9687356123668477E-13</v>
      </c>
      <c r="EM203" s="20">
        <f t="shared" si="180"/>
        <v>7.2983234474842979E-13</v>
      </c>
      <c r="EN203" s="59">
        <f t="shared" si="198"/>
        <v>293.33333333333405</v>
      </c>
      <c r="EO203" s="59">
        <f ca="1">AVERAGE(OFFSET($EN$3,0,0,'Données projet'!$E$15+1,1))-AVERAGE(OFFSET($H$3,0,0,'Données projet'!$E$15+1,1))</f>
        <v>104.07220236158577</v>
      </c>
      <c r="EP203" s="59">
        <f t="shared" si="210"/>
        <v>34.162068257911756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>
        <f>EXP(-LN(2)/35)*EV202+(1-EXP(-LN(2)/35))/(LN(2)/35)*ER203*ES203*VLOOKUP('Données projet'!$B$15,Paramètres!$A$1:$I$89,3,0)*0.475*44/12</f>
        <v>0</v>
      </c>
      <c r="EW203" s="21">
        <f>EXP(-LN(2)/25)*EW202+(1-EXP(-LN(2)/25))/(LN(2)/25)*Calculateur!ER203*Calculateur!ET203*VLOOKUP('Données projet'!$B$15,Paramètres!$A$1:$I$89,3,0)*0.475*44/12</f>
        <v>0</v>
      </c>
      <c r="EX203" s="21">
        <f>EXP(-LN(2)/2)*EX202+(1-EXP(-LN(2)/2))/(LN(2)/2)*ER203*EU203*VLOOKUP('Données projet'!$B$15,Paramètres!$A$1:$I$89,3,0)*0.475*44/12</f>
        <v>0</v>
      </c>
      <c r="EY203" s="22">
        <f t="shared" si="181"/>
        <v>0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5.6843418860808015E-14</v>
      </c>
      <c r="FF203" s="17">
        <f>FE203*VLOOKUP('Données projet'!$B$16,Paramètres!$A$1:$I$89,3,0)*VLOOKUP('Données projet'!$B$16,Paramètres!$A$1:$I$89,5,0)</f>
        <v>5.1431925385259088E-14</v>
      </c>
      <c r="FG203" s="13">
        <f t="shared" si="182"/>
        <v>8.3482866290946129E-13</v>
      </c>
      <c r="FH203" s="20">
        <f t="shared" si="183"/>
        <v>1.5435705246133045E-12</v>
      </c>
      <c r="FI203" s="59">
        <f t="shared" si="199"/>
        <v>293.33333333333485</v>
      </c>
      <c r="FJ203" s="59">
        <f ca="1">AVERAGE(OFFSET($FI$3,0,0,'Données projet'!$E$16+1,1))-AVERAGE(OFFSET($H$3,0,0,'Données projet'!$E$16+1,1))</f>
        <v>179.50097986986123</v>
      </c>
      <c r="FK203" s="59">
        <f t="shared" si="211"/>
        <v>287.11838730637578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>
        <f>EXP(-LN(2)/35)*FQ202+(1-EXP(-LN(2)/35))/(LN(2)/35)*FM203*FN203*VLOOKUP('Données projet'!$B$16,Paramètres!$A$1:$I$89,3,0)*0.475*44/12</f>
        <v>2.1508192406161451E-2</v>
      </c>
      <c r="FR203" s="21">
        <f>EXP(-LN(2)/25)*FR202+(1-EXP(-LN(2)/25))/(LN(2)/25)*Calculateur!FM203*Calculateur!FO203*VLOOKUP('Données projet'!$B$16,Paramètres!$A$1:$I$89,3,0)*0.475*44/12</f>
        <v>5.6480366483614416E-2</v>
      </c>
      <c r="FS203" s="21">
        <f>EXP(-LN(2)/2)*FS202+(1-EXP(-LN(2)/2))/(LN(2)/2)*FM203*FP203*VLOOKUP('Données projet'!$B$16,Paramètres!$A$1:$I$89,3,0)*0.475*44/12</f>
        <v>1.1685983830067192E-25</v>
      </c>
      <c r="FT203" s="22">
        <f t="shared" si="184"/>
        <v>7.7988558889775864E-2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5.6843418860808015E-14</v>
      </c>
      <c r="GA203" s="17">
        <f>FZ203*VLOOKUP('Données projet'!$B$17,Paramètres!$A$1:$I$89,3,0)*VLOOKUP('Données projet'!$B$17,Paramètres!$A$1:$I$89,5,0)</f>
        <v>3.3992364478763198E-14</v>
      </c>
      <c r="GB203" s="13">
        <f t="shared" si="185"/>
        <v>5.790027782444094E-13</v>
      </c>
      <c r="GC203" s="20">
        <f t="shared" si="186"/>
        <v>1.0676332069095257E-12</v>
      </c>
      <c r="GD203" s="59">
        <f t="shared" si="200"/>
        <v>293.33333333333439</v>
      </c>
      <c r="GE203" s="59">
        <f ca="1">AVERAGE(OFFSET($GD$3,0,0,'Données projet'!$E$17+1,1))-AVERAGE(OFFSET($H$3,0,0,'Données projet'!$E$17+1,1))</f>
        <v>165.39579887388538</v>
      </c>
      <c r="GF203" s="59">
        <f t="shared" si="212"/>
        <v>155.89639262545802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>
        <f>EXP(-LN(2)/35)*GL202+(1-EXP(-LN(2)/35))/(LN(2)/35)*GH203*GI203*VLOOKUP('Données projet'!$B$17,Paramètres!$A$1:$I$89,3,0)*0.475*44/12</f>
        <v>0</v>
      </c>
      <c r="GM203" s="21">
        <f>EXP(-LN(2)/25)*GM202+(1-EXP(-LN(2)/25))/(LN(2)/25)*Calculateur!GH203*Calculateur!GJ203*VLOOKUP('Données projet'!$B$17,Paramètres!$A$1:$I$89,3,0)*0.475*44/12</f>
        <v>6.5415186904434999E-2</v>
      </c>
      <c r="GN203" s="21">
        <f>EXP(-LN(2)/2)*GN202+(1-EXP(-LN(2)/2))/(LN(2)/2)*GH203*GK203*VLOOKUP('Données projet'!$B$17,Paramètres!$A$1:$I$89,3,0)*0.475*44/12</f>
        <v>3.587905144327194E-25</v>
      </c>
      <c r="GO203" s="21">
        <f t="shared" si="187"/>
        <v>6.5415186904434999E-2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1.2599210498948732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1.2620003197767753</v>
      </c>
      <c r="BA205" s="82">
        <f>EXP(LN('Données projet'!B88)/'Données projet'!A88)</f>
        <v>1.1457367676485573</v>
      </c>
      <c r="BV205" s="82">
        <f>EXP(LN('Données projet'!B114)/'Données projet'!A114)</f>
        <v>1.1457367676485573</v>
      </c>
      <c r="CQ205" s="82">
        <f>EXP(LN('Données projet'!B140)/'Données projet'!A140)</f>
        <v>1.2240347367580502</v>
      </c>
      <c r="DL205" s="82">
        <f>EXP(LN('Données projet'!B166)/'Données projet'!A166)</f>
        <v>1.2291916021073213</v>
      </c>
      <c r="EG205" s="82">
        <f>EXP(LN('Données projet'!B192)/'Données projet'!A192)</f>
        <v>1.1457367676485573</v>
      </c>
      <c r="FB205" s="82">
        <f>EXP(LN('Données projet'!B218)/'Données projet'!A218)</f>
        <v>1.9873407546644579</v>
      </c>
      <c r="FW205" s="82">
        <f>EXP(LN('Données projet'!B244)/'Données projet'!A244)</f>
        <v>1.2291916021073213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73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74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73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75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75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74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73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74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82" zoomScale="90" zoomScaleNormal="90" workbookViewId="0">
      <selection activeCell="I8" sqref="I8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64" t="s">
        <v>271</v>
      </c>
      <c r="B2" s="265"/>
      <c r="C2" s="265"/>
      <c r="D2" s="265"/>
      <c r="E2" s="265"/>
      <c r="F2" s="265"/>
      <c r="G2" s="265"/>
      <c r="H2" s="265"/>
      <c r="I2" s="265"/>
      <c r="J2" s="265"/>
      <c r="K2" s="265"/>
      <c r="L2" s="266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Douglas</v>
      </c>
      <c r="B6" s="146">
        <f>'Données projet'!D9</f>
        <v>2.472</v>
      </c>
      <c r="C6" s="147">
        <f ca="1">IF(OR('Données projet'!B9="",'Données projet'!C9="",'Données projet'!C9=0%),0,Calculateur!S3)</f>
        <v>235.10258076192054</v>
      </c>
      <c r="D6" s="147">
        <f>IF(OR('Données projet'!B9="",'Données projet'!C9="",'Données projet'!C9=0%),0,Calculateur!T3)</f>
        <v>233.47316052603765</v>
      </c>
      <c r="E6" s="147">
        <f ca="1">MIN(C6,D6)</f>
        <v>233.47316052603765</v>
      </c>
      <c r="F6" s="147">
        <f ca="1">E6*B6</f>
        <v>577.14565282036506</v>
      </c>
      <c r="G6" s="147">
        <f ca="1">F6*(100%-'Données projet'!$C$24)*(100%-'Données projet'!$C$25)*(100%-'Données projet'!$C$26)*(100%-'Données projet'!$C$27)</f>
        <v>519.4310875383286</v>
      </c>
      <c r="H6" s="148">
        <f>IF(OR('Données projet'!B9="",'Données projet'!C9="",'Données projet'!C9=0%),0,AVERAGE(Calculateur!$AC$3:$AC$33)*B6)</f>
        <v>8.2046566554697336</v>
      </c>
      <c r="I6" s="149">
        <f>H6*(100%-'Données projet'!$C$24)*(100%-'Données projet'!$C$25)*(100%-'Données projet'!$C$26)*(100%-'Données projet'!$C$27)</f>
        <v>7.38419098992276</v>
      </c>
      <c r="J6" s="150">
        <f>IF(OR('Données projet'!B9="",'Données projet'!C9="",'Données projet'!C9=0%),0,SUM(Calculateur!$V$3:$V$33)*VLOOKUP('Données projet'!$B$9,Paramètres!$A$1:$I$89,9,0)*B6)</f>
        <v>110.54783999999999</v>
      </c>
      <c r="K6" s="151">
        <f>J6*(100%-'Données projet'!$C$24)*(100%-'Données projet'!$C$25)*(100%-'Données projet'!$C$26)*(100%-'Données projet'!$C$27)</f>
        <v>99.493055999999996</v>
      </c>
      <c r="L6" s="152">
        <f ca="1">G6+I6+K6</f>
        <v>626.30833452825141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Chêne rouge d'Amérique</v>
      </c>
      <c r="B7" s="154">
        <f>'Données projet'!D10</f>
        <v>3.4608000000000003</v>
      </c>
      <c r="C7" s="147">
        <f ca="1">IF(OR('Données projet'!B10="",'Données projet'!C10="",'Données projet'!C10=0%),0,Calculateur!AN3)</f>
        <v>191.94797389630673</v>
      </c>
      <c r="D7" s="147">
        <f>IF(OR('Données projet'!B10="",'Données projet'!C10="",'Données projet'!C10=0%),0,Calculateur!AO3)</f>
        <v>273.52540822767878</v>
      </c>
      <c r="E7" s="147">
        <f t="shared" ref="E7:E15" ca="1" si="0">MIN(C7,D7)</f>
        <v>191.94797389630673</v>
      </c>
      <c r="F7" s="147">
        <f t="shared" ref="F7:F15" ca="1" si="1">E7*B7</f>
        <v>664.29354806033837</v>
      </c>
      <c r="G7" s="147">
        <f ca="1">F7*(100%-'Données projet'!$C$24)*(100%-'Données projet'!$C$25)*(100%-'Données projet'!$C$26)*(100%-'Données projet'!$C$27)</f>
        <v>597.8641932543045</v>
      </c>
      <c r="H7" s="155">
        <f>IF(OR('Données projet'!B10="",'Données projet'!C10="",'Données projet'!C10=0%),0,AVERAGE(Calculateur!$AX$3:$AX$33)*B7)</f>
        <v>10.152195333775303</v>
      </c>
      <c r="I7" s="149">
        <f>H7*(100%-'Données projet'!$C$24)*(100%-'Données projet'!$C$25)*(100%-'Données projet'!$C$26)*(100%-'Données projet'!$C$27)</f>
        <v>9.1369758003977726</v>
      </c>
      <c r="J7" s="150">
        <f>IF(OR('Données projet'!B10="",'Données projet'!C10="",'Données projet'!C10=0%),0,SUM(Calculateur!$AQ$3:$AQ$33)*VLOOKUP('Données projet'!$B$10,Paramètres!$A$1:$I$89,9,0)*B7)</f>
        <v>81.328800000000001</v>
      </c>
      <c r="K7" s="151">
        <f>J7*(100%-'Données projet'!$C$24)*(100%-'Données projet'!$C$25)*(100%-'Données projet'!$C$26)*(100%-'Données projet'!$C$27)</f>
        <v>73.195920000000001</v>
      </c>
      <c r="L7" s="152">
        <f t="shared" ref="L7:L15" ca="1" si="2">G7+I7+K7</f>
        <v>680.19708905470225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sessile</v>
      </c>
      <c r="B8" s="154">
        <f>'Données projet'!D11</f>
        <v>3.9552</v>
      </c>
      <c r="C8" s="147">
        <f ca="1">IF(OR('Données projet'!B11="",'Données projet'!C11="",'Données projet'!C11=0%),0,Calculateur!BI3)</f>
        <v>138.8931001150624</v>
      </c>
      <c r="D8" s="147">
        <f>IF(OR('Données projet'!B11="",'Données projet'!C11="",'Données projet'!C11=0%),0,Calculateur!BJ3)</f>
        <v>48.964659354096625</v>
      </c>
      <c r="E8" s="147">
        <f t="shared" ca="1" si="0"/>
        <v>48.964659354096625</v>
      </c>
      <c r="F8" s="147">
        <f t="shared" ca="1" si="1"/>
        <v>193.66502067732299</v>
      </c>
      <c r="G8" s="147">
        <f ca="1">F8*(100%-'Données projet'!$C$24)*(100%-'Données projet'!$C$25)*(100%-'Données projet'!$C$26)*(100%-'Données projet'!$C$27)</f>
        <v>174.2985186095907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174.2985186095907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Chêne pubescent</v>
      </c>
      <c r="B9" s="154">
        <f>'Données projet'!D12</f>
        <v>3.2136</v>
      </c>
      <c r="C9" s="147">
        <f ca="1">IF(OR('Données projet'!B12="",'Données projet'!C12="",'Données projet'!C12=0%),0,Calculateur!CD3)</f>
        <v>169.2757878405003</v>
      </c>
      <c r="D9" s="147">
        <f>IF(OR('Données projet'!B12="",'Données projet'!C12="",'Données projet'!C12=0%),0,Calculateur!CE3)</f>
        <v>61.876502626609977</v>
      </c>
      <c r="E9" s="147">
        <f t="shared" ca="1" si="0"/>
        <v>61.876502626609977</v>
      </c>
      <c r="F9" s="147">
        <f t="shared" ca="1" si="1"/>
        <v>198.84632884087381</v>
      </c>
      <c r="G9" s="147">
        <f ca="1">F9*(100%-'Données projet'!$C$24)*(100%-'Données projet'!$C$25)*(100%-'Données projet'!$C$26)*(100%-'Données projet'!$C$27)</f>
        <v>178.96169595678643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178.96169595678643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>Erable sycomore</v>
      </c>
      <c r="B10" s="154">
        <f>'Données projet'!D13</f>
        <v>1.7304000000000002</v>
      </c>
      <c r="C10" s="147">
        <f ca="1">IF(OR('Données projet'!B13="",'Données projet'!C13="",'Données projet'!C13=0%),0,Calculateur!CY3)</f>
        <v>141.12810728817544</v>
      </c>
      <c r="D10" s="147">
        <f>IF(OR('Données projet'!B13="",'Données projet'!C13="",'Données projet'!C13=0%),0,Calculateur!CZ3)</f>
        <v>176.01405805137551</v>
      </c>
      <c r="E10" s="147">
        <f t="shared" ca="1" si="0"/>
        <v>141.12810728817544</v>
      </c>
      <c r="F10" s="147">
        <f t="shared" ca="1" si="1"/>
        <v>244.2080768514588</v>
      </c>
      <c r="G10" s="147">
        <f ca="1">F10*(100%-'Données projet'!$C$24)*(100%-'Données projet'!$C$25)*(100%-'Données projet'!$C$26)*(100%-'Données projet'!$C$27)</f>
        <v>219.78726916631291</v>
      </c>
      <c r="H10" s="155">
        <f>IF(OR('Données projet'!B13="",'Données projet'!C13="",'Données projet'!C13=0%),0,AVERAGE(Calculateur!$DI$3:$DI$33)*B10)</f>
        <v>2.7545669969514699</v>
      </c>
      <c r="I10" s="149">
        <f>H10*(100%-'Données projet'!$C$24)*(100%-'Données projet'!$C$25)*(100%-'Données projet'!$C$26)*(100%-'Données projet'!$C$27)</f>
        <v>2.479110297256323</v>
      </c>
      <c r="J10" s="150">
        <f>IF(OR('Données projet'!B13="",'Données projet'!C13="",'Données projet'!C13=0%),0,SUM(Calculateur!$DB$3:$DB$33)*VLOOKUP('Données projet'!$B$13,Paramètres!$A$1:$I$89,9,0)*B10)</f>
        <v>27.253800000000002</v>
      </c>
      <c r="K10" s="151">
        <f>J10*(100%-'Données projet'!$C$24)*(100%-'Données projet'!$C$25)*(100%-'Données projet'!$C$26)*(100%-'Données projet'!$C$27)</f>
        <v>24.528420000000001</v>
      </c>
      <c r="L10" s="152">
        <f t="shared" ca="1" si="2"/>
        <v>246.79479946356923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>Pin laricio</v>
      </c>
      <c r="B11" s="154">
        <f>'Données projet'!D14</f>
        <v>3.7079999999999997</v>
      </c>
      <c r="C11" s="147">
        <f ca="1">IF(OR('Données projet'!B14="",'Données projet'!C14="",'Données projet'!C14=0%),0,Calculateur!DT3)</f>
        <v>165.39579887388538</v>
      </c>
      <c r="D11" s="147">
        <f>IF(OR('Données projet'!B14="",'Données projet'!C14="",'Données projet'!C14=0%),0,Calculateur!DU3)</f>
        <v>155.89639262545802</v>
      </c>
      <c r="E11" s="147">
        <f t="shared" ca="1" si="0"/>
        <v>155.89639262545802</v>
      </c>
      <c r="F11" s="147">
        <f t="shared" ca="1" si="1"/>
        <v>578.06382385519828</v>
      </c>
      <c r="G11" s="147">
        <f ca="1">F11*(100%-'Données projet'!$C$24)*(100%-'Données projet'!$C$25)*(100%-'Données projet'!$C$26)*(100%-'Données projet'!$C$27)</f>
        <v>520.2574414696785</v>
      </c>
      <c r="H11" s="155">
        <f>IF(OR('Données projet'!B14="",'Données projet'!C14="",'Données projet'!C14=0%),0,AVERAGE(Calculateur!$ED$3:$ED$33)*B11)</f>
        <v>2.5321191470263265</v>
      </c>
      <c r="I11" s="149">
        <f>H11*(100%-'Données projet'!$C$24)*(100%-'Données projet'!$C$25)*(100%-'Données projet'!$C$26)*(100%-'Données projet'!$C$27)</f>
        <v>2.2789072323236939</v>
      </c>
      <c r="J11" s="150">
        <f>IF(OR('Données projet'!B14="",'Données projet'!C14="",'Données projet'!C14=0%),0,SUM(Calculateur!$DW$3:$DW$33)*VLOOKUP('Données projet'!$B$14,Paramètres!$A$1:$I$89,9,0)*B11)</f>
        <v>65.372039999999998</v>
      </c>
      <c r="K11" s="151">
        <f>J11*(100%-'Données projet'!$C$24)*(100%-'Données projet'!$C$25)*(100%-'Données projet'!$C$26)*(100%-'Données projet'!$C$27)</f>
        <v>58.834836000000003</v>
      </c>
      <c r="L11" s="152">
        <f t="shared" ca="1" si="2"/>
        <v>581.37118470200221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>Merisier</v>
      </c>
      <c r="B12" s="154">
        <f>'Données projet'!D15</f>
        <v>2.472</v>
      </c>
      <c r="C12" s="147">
        <f ca="1">IF(OR('Données projet'!B15="",'Données projet'!C15="",'Données projet'!C15=0%),0,Calculateur!EO3)</f>
        <v>104.07220236158577</v>
      </c>
      <c r="D12" s="147">
        <f>IF(OR('Données projet'!B15="",'Données projet'!C15="",'Données projet'!C15=0%),0,Calculateur!EP3)</f>
        <v>34.162068257911756</v>
      </c>
      <c r="E12" s="147">
        <f t="shared" ca="1" si="0"/>
        <v>34.162068257911756</v>
      </c>
      <c r="F12" s="147">
        <f t="shared" ca="1" si="1"/>
        <v>84.448632733557858</v>
      </c>
      <c r="G12" s="147">
        <f ca="1">F12*(100%-'Données projet'!$C$24)*(100%-'Données projet'!$C$25)*(100%-'Données projet'!$C$26)*(100%-'Données projet'!$C$27)</f>
        <v>76.003769460202079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ca="1" si="2"/>
        <v>76.003769460202079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>Robinier faux-acacia</v>
      </c>
      <c r="B13" s="154">
        <f>'Données projet'!D16</f>
        <v>1.9776</v>
      </c>
      <c r="C13" s="147">
        <f ca="1">IF(OR('Données projet'!B16="",'Données projet'!C16="",'Données projet'!C16=0%),0,Calculateur!FJ3)</f>
        <v>179.50097986986123</v>
      </c>
      <c r="D13" s="147">
        <f>IF(OR('Données projet'!B16="",'Données projet'!C16="",'Données projet'!C16=0%),0,Calculateur!FK3)</f>
        <v>287.11838730637578</v>
      </c>
      <c r="E13" s="147">
        <f t="shared" ca="1" si="0"/>
        <v>179.50097986986123</v>
      </c>
      <c r="F13" s="147">
        <f t="shared" ca="1" si="1"/>
        <v>354.98113779063755</v>
      </c>
      <c r="G13" s="147">
        <f ca="1">F13*(100%-'Données projet'!$C$24)*(100%-'Données projet'!$C$25)*(100%-'Données projet'!$C$26)*(100%-'Données projet'!$C$27)</f>
        <v>319.48302401157378</v>
      </c>
      <c r="H13" s="155">
        <f>IF(OR('Données projet'!B16="",'Données projet'!C16="",'Données projet'!C16=0%),0,AVERAGE(Calculateur!$FT$3:$FT$33)*B13)</f>
        <v>10.141908325811825</v>
      </c>
      <c r="I13" s="149">
        <f>H13*(100%-'Données projet'!$C$24)*(100%-'Données projet'!$C$25)*(100%-'Données projet'!$C$26)*(100%-'Données projet'!$C$27)</f>
        <v>9.1277174932306426</v>
      </c>
      <c r="J13" s="150">
        <f>IF(OR('Données projet'!C16="",'Données projet'!C16=0%),0,SUM(Calculateur!$FM$3:$FM$33)*VLOOKUP('Données projet'!$B$16,Paramètres!$A$1:$I$89,9,0)*B13)</f>
        <v>44.496000000000002</v>
      </c>
      <c r="K13" s="151">
        <f>J13*(100%-'Données projet'!$C$24)*(100%-'Données projet'!$C$25)*(100%-'Données projet'!$C$26)*(100%-'Données projet'!$C$27)</f>
        <v>40.046400000000006</v>
      </c>
      <c r="L13" s="152">
        <f t="shared" ca="1" si="2"/>
        <v>368.65714150480443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>Pin laricio</v>
      </c>
      <c r="B14" s="154">
        <f>'Données projet'!D17</f>
        <v>1.7304000000000002</v>
      </c>
      <c r="C14" s="147">
        <f ca="1">IF(OR('Données projet'!B17="",'Données projet'!C17="",'Données projet'!C17=0%),0,Calculateur!GE3)</f>
        <v>165.39579887388538</v>
      </c>
      <c r="D14" s="147">
        <f>IF(OR('Données projet'!B17="",'Données projet'!C17="",'Données projet'!C17=0%),0,Calculateur!GF3)</f>
        <v>155.89639262545802</v>
      </c>
      <c r="E14" s="147">
        <f t="shared" ca="1" si="0"/>
        <v>155.89639262545802</v>
      </c>
      <c r="F14" s="147">
        <f t="shared" ca="1" si="1"/>
        <v>269.76311779909258</v>
      </c>
      <c r="G14" s="147">
        <f ca="1">F14*(100%-'Données projet'!$C$24)*(100%-'Données projet'!$C$25)*(100%-'Données projet'!$C$26)*(100%-'Données projet'!$C$27)</f>
        <v>242.78680601918333</v>
      </c>
      <c r="H14" s="155">
        <f>IF(OR('Données projet'!B17="",'Données projet'!C17="",'Données projet'!C17=0%),0,AVERAGE(Calculateur!$GO$3:$GO$33)*B14)</f>
        <v>1.1816556019456192</v>
      </c>
      <c r="I14" s="149">
        <f>H14*(100%-'Données projet'!$C$24)*(100%-'Données projet'!$C$25)*(100%-'Données projet'!$C$26)*(100%-'Données projet'!$C$27)</f>
        <v>1.0634900417510573</v>
      </c>
      <c r="J14" s="150">
        <f>IF(OR('Données projet'!B17="",'Données projet'!C17="",'Données projet'!C17=0%),0,SUM(Calculateur!$GH$3:$GH$33)*VLOOKUP('Données projet'!$B$17,Paramètres!$A$1:$I$89,9,0)*B14)</f>
        <v>30.506952000000002</v>
      </c>
      <c r="K14" s="151">
        <f>J14*(100%-'Données projet'!$C$24)*(100%-'Données projet'!$C$25)*(100%-'Données projet'!$C$26)*(100%-'Données projet'!$C$27)</f>
        <v>27.456256800000002</v>
      </c>
      <c r="L14" s="152">
        <f t="shared" ca="1" si="2"/>
        <v>271.3065528609344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3165.4153394288455</v>
      </c>
      <c r="G16" s="166">
        <f t="shared" ca="1" si="3"/>
        <v>2848.8738054859605</v>
      </c>
      <c r="H16" s="167">
        <f t="shared" si="3"/>
        <v>34.967102060980281</v>
      </c>
      <c r="I16" s="167">
        <f t="shared" si="3"/>
        <v>31.470391854882248</v>
      </c>
      <c r="J16" s="168">
        <f t="shared" si="3"/>
        <v>359.50543199999998</v>
      </c>
      <c r="K16" s="168">
        <f t="shared" si="3"/>
        <v>323.55488880000001</v>
      </c>
      <c r="L16" s="169">
        <f t="shared" ca="1" si="3"/>
        <v>3203.8990861408429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76" t="s">
        <v>246</v>
      </c>
      <c r="G17" s="277"/>
      <c r="H17" s="277"/>
      <c r="I17" s="277"/>
      <c r="J17" s="277"/>
      <c r="K17" s="277"/>
      <c r="L17" s="277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63"/>
      <c r="G18" s="263"/>
      <c r="H18" s="263"/>
      <c r="I18" s="263"/>
      <c r="J18" s="263"/>
      <c r="K18" s="263"/>
      <c r="L18" s="263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Douglas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Chêne rouge d'Amérique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Chêne pubescent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>Erable sycomore</v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>Pin laricio</v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>Merisier</v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>Robinier faux-acacia</v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>Pin laricio</v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274" zoomScale="80" zoomScaleNormal="80" workbookViewId="0">
      <selection activeCell="C18" sqref="C18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82" t="s">
        <v>190</v>
      </c>
      <c r="D1" s="282"/>
      <c r="E1" s="28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83" t="s">
        <v>192</v>
      </c>
      <c r="C3" s="284"/>
      <c r="D3" s="284"/>
      <c r="E3" s="284"/>
      <c r="F3" s="28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88" t="s">
        <v>231</v>
      </c>
      <c r="B5" s="288"/>
      <c r="C5" s="24">
        <v>24.72</v>
      </c>
      <c r="D5" s="289" t="s">
        <v>229</v>
      </c>
      <c r="E5" s="29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87" t="s">
        <v>226</v>
      </c>
      <c r="B7" s="28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18</v>
      </c>
      <c r="C9" s="32">
        <v>0.1</v>
      </c>
      <c r="D9" s="33">
        <f t="shared" ref="D9:D18" si="0">C9*$C$5</f>
        <v>2.472</v>
      </c>
      <c r="E9" s="34">
        <v>80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13</v>
      </c>
      <c r="C10" s="32">
        <v>0.14000000000000001</v>
      </c>
      <c r="D10" s="33">
        <f t="shared" si="0"/>
        <v>3.4608000000000003</v>
      </c>
      <c r="E10" s="34">
        <v>90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14</v>
      </c>
      <c r="C11" s="32">
        <v>0.16</v>
      </c>
      <c r="D11" s="33">
        <f t="shared" si="0"/>
        <v>3.9552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12</v>
      </c>
      <c r="C12" s="32">
        <v>0.13</v>
      </c>
      <c r="D12" s="33">
        <f t="shared" si="0"/>
        <v>3.2136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 t="s">
        <v>23</v>
      </c>
      <c r="C13" s="32">
        <v>7.0000000000000007E-2</v>
      </c>
      <c r="D13" s="33">
        <f t="shared" si="0"/>
        <v>1.7304000000000002</v>
      </c>
      <c r="E13" s="34">
        <v>80</v>
      </c>
      <c r="F13" s="35" t="str">
        <f t="array" ref="F13">IF(E13="","",IF(INDEX(A:A,MAX(IF(ISNUMBER($A$140:$A$159),ROW($A$140:$A$159),"")))&lt;&gt;E13,"Corrigez : révolution incorrecte","OK"))</f>
        <v>OK</v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 t="s">
        <v>35</v>
      </c>
      <c r="C14" s="32">
        <v>0.15</v>
      </c>
      <c r="D14" s="33">
        <f t="shared" si="0"/>
        <v>3.7079999999999997</v>
      </c>
      <c r="E14" s="34">
        <v>80</v>
      </c>
      <c r="F14" s="35" t="str">
        <f t="array" ref="F14">IF(E14="","",IF(INDEX(A:A,MAX(IF(ISNUMBER($A$166:$A$185),ROW($A$166:$A$185),"")))&lt;&gt;E14,"Corrigez : révolution incorrecte","OK"))</f>
        <v>OK</v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 t="s">
        <v>29</v>
      </c>
      <c r="C15" s="32">
        <v>0.1</v>
      </c>
      <c r="D15" s="33">
        <f t="shared" si="0"/>
        <v>2.472</v>
      </c>
      <c r="E15" s="34">
        <v>120</v>
      </c>
      <c r="F15" s="35" t="str">
        <f t="array" ref="F15">IF(E15="","",IF(INDEX(A:A,MAX(IF(ISNUMBER($A$192:$A$211),ROW($A$192:$A$211),"")))&lt;&gt;E15,"Corrigez : révolution incorrecte","OK"))</f>
        <v>OK</v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 t="s">
        <v>44</v>
      </c>
      <c r="C16" s="32">
        <v>0.08</v>
      </c>
      <c r="D16" s="33">
        <f t="shared" si="0"/>
        <v>1.9776</v>
      </c>
      <c r="E16" s="34">
        <v>35</v>
      </c>
      <c r="F16" s="35" t="str">
        <f t="array" ref="F16">IF(E16="","",IF(INDEX(A:A,MAX(IF(ISNUMBER($A$218:$A$237),ROW($A$218:$A$237),"")))&lt;&gt;E16,"Corrigez : révolution incorrecte","OK"))</f>
        <v>OK</v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 t="s">
        <v>35</v>
      </c>
      <c r="C17" s="32">
        <v>7.0000000000000007E-2</v>
      </c>
      <c r="D17" s="33">
        <f t="shared" si="0"/>
        <v>1.7304000000000002</v>
      </c>
      <c r="E17" s="34">
        <v>80</v>
      </c>
      <c r="F17" s="35" t="str">
        <f t="array" ref="F17">IF(E17="","",IF(INDEX(A:A,MAX(IF(ISNUMBER($A$244:$A$263),ROW($A$244:$A$263),"")))&lt;&gt;E17,"Corrigez : révolution incorrecte","OK"))</f>
        <v>OK</v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1</v>
      </c>
      <c r="D19" s="38">
        <f>SUM(D9:D18)</f>
        <v>24.72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86" t="s">
        <v>232</v>
      </c>
      <c r="B22" s="28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87" t="s">
        <v>227</v>
      </c>
      <c r="B30" s="28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Douglas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78" t="s">
        <v>186</v>
      </c>
      <c r="D34" s="278"/>
      <c r="E34" s="279" t="s">
        <v>187</v>
      </c>
      <c r="F34" s="280"/>
      <c r="G34" s="280"/>
      <c r="H34" s="28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257">
        <v>15</v>
      </c>
      <c r="B36" s="257">
        <v>32</v>
      </c>
      <c r="C36" s="257"/>
      <c r="D36" s="257">
        <v>0</v>
      </c>
      <c r="E36" s="63"/>
      <c r="F36" s="63"/>
      <c r="G36" s="63"/>
      <c r="H36" s="258"/>
      <c r="I36" s="49">
        <f>IFERROR(B36/A36,"")</f>
        <v>2.1333333333333333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257">
        <v>20</v>
      </c>
      <c r="B37" s="257">
        <v>95</v>
      </c>
      <c r="C37" s="257">
        <v>1</v>
      </c>
      <c r="D37" s="257">
        <v>20</v>
      </c>
      <c r="E37" s="63"/>
      <c r="F37" s="63">
        <v>0.5</v>
      </c>
      <c r="G37" s="63">
        <v>0.5</v>
      </c>
      <c r="H37" s="258"/>
      <c r="I37" s="53">
        <f t="shared" ref="I37:I55" si="1">IF(A37&lt;&gt;0,(B37-(B36-D36))/(A37-A36),"")</f>
        <v>12.6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257">
        <v>30</v>
      </c>
      <c r="B38" s="257">
        <v>240</v>
      </c>
      <c r="C38" s="257">
        <v>2</v>
      </c>
      <c r="D38" s="257">
        <v>84</v>
      </c>
      <c r="E38" s="63">
        <v>0.1</v>
      </c>
      <c r="F38" s="63">
        <v>0.45</v>
      </c>
      <c r="G38" s="63">
        <v>0.45</v>
      </c>
      <c r="H38" s="258"/>
      <c r="I38" s="53">
        <f t="shared" si="1"/>
        <v>16.5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257">
        <v>40</v>
      </c>
      <c r="B39" s="257">
        <v>329</v>
      </c>
      <c r="C39" s="257">
        <v>3</v>
      </c>
      <c r="D39" s="257">
        <v>84</v>
      </c>
      <c r="E39" s="63"/>
      <c r="F39" s="63"/>
      <c r="G39" s="63"/>
      <c r="H39" s="258"/>
      <c r="I39" s="49">
        <f t="shared" si="1"/>
        <v>17.3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257">
        <v>50</v>
      </c>
      <c r="B40" s="257">
        <v>400</v>
      </c>
      <c r="C40" s="257">
        <v>4</v>
      </c>
      <c r="D40" s="257">
        <v>84</v>
      </c>
      <c r="E40" s="63"/>
      <c r="F40" s="63"/>
      <c r="G40" s="63"/>
      <c r="H40" s="258"/>
      <c r="I40" s="49">
        <f t="shared" si="1"/>
        <v>15.5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257">
        <v>60</v>
      </c>
      <c r="B41" s="257">
        <v>448</v>
      </c>
      <c r="C41" s="257">
        <v>5</v>
      </c>
      <c r="D41" s="257">
        <v>69</v>
      </c>
      <c r="E41" s="63"/>
      <c r="F41" s="63"/>
      <c r="G41" s="63"/>
      <c r="H41" s="258"/>
      <c r="I41" s="53">
        <f t="shared" si="1"/>
        <v>13.2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257">
        <v>70</v>
      </c>
      <c r="B42" s="257">
        <v>485</v>
      </c>
      <c r="C42" s="257">
        <v>6</v>
      </c>
      <c r="D42" s="257">
        <v>54</v>
      </c>
      <c r="E42" s="63"/>
      <c r="F42" s="63"/>
      <c r="G42" s="63"/>
      <c r="H42" s="258"/>
      <c r="I42" s="53">
        <f t="shared" si="1"/>
        <v>10.6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257">
        <v>80</v>
      </c>
      <c r="B43" s="257">
        <v>514</v>
      </c>
      <c r="C43" s="257">
        <v>7</v>
      </c>
      <c r="D43" s="257">
        <f>B43</f>
        <v>514</v>
      </c>
      <c r="E43" s="63"/>
      <c r="F43" s="63"/>
      <c r="G43" s="63"/>
      <c r="H43" s="258"/>
      <c r="I43" s="49">
        <f t="shared" si="1"/>
        <v>8.3000000000000007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Chêne rouge d'Amérique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78" t="s">
        <v>186</v>
      </c>
      <c r="D60" s="278"/>
      <c r="E60" s="279" t="s">
        <v>187</v>
      </c>
      <c r="F60" s="280"/>
      <c r="G60" s="280"/>
      <c r="H60" s="28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60">
        <v>20</v>
      </c>
      <c r="B62" s="60">
        <v>105</v>
      </c>
      <c r="C62" s="60">
        <v>1</v>
      </c>
      <c r="D62" s="60">
        <v>32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5.25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60">
        <v>30</v>
      </c>
      <c r="B63" s="60">
        <v>175</v>
      </c>
      <c r="C63" s="60">
        <v>2</v>
      </c>
      <c r="D63" s="60">
        <v>62</v>
      </c>
      <c r="E63" s="51">
        <v>0.1</v>
      </c>
      <c r="F63" s="51">
        <v>0.45</v>
      </c>
      <c r="G63" s="51">
        <v>0.45</v>
      </c>
      <c r="H63" s="51"/>
      <c r="I63" s="49">
        <f>IF(A63&lt;&gt;0,(B63-(B62-D62))/(A63-A62),"")</f>
        <v>10.199999999999999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60">
        <v>40</v>
      </c>
      <c r="B64" s="60">
        <v>200</v>
      </c>
      <c r="C64" s="60">
        <v>3</v>
      </c>
      <c r="D64" s="60">
        <v>58</v>
      </c>
      <c r="E64" s="51"/>
      <c r="F64" s="51"/>
      <c r="G64" s="51"/>
      <c r="H64" s="51"/>
      <c r="I64" s="49">
        <f>IF(A64&lt;&gt;0,(B64-(B63-D63))/(A64-A63),"")</f>
        <v>8.6999999999999993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60">
        <v>50</v>
      </c>
      <c r="B65" s="60">
        <v>214</v>
      </c>
      <c r="C65" s="60">
        <v>4</v>
      </c>
      <c r="D65" s="60">
        <v>50</v>
      </c>
      <c r="E65" s="51"/>
      <c r="F65" s="51"/>
      <c r="G65" s="51"/>
      <c r="H65" s="51"/>
      <c r="I65" s="49">
        <f>IF(A65&lt;&gt;0,(B65-(B64-D64))/(A65-A64),"")</f>
        <v>7.2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60">
        <v>60</v>
      </c>
      <c r="B66" s="60">
        <v>220</v>
      </c>
      <c r="C66" s="60">
        <v>5</v>
      </c>
      <c r="D66" s="60">
        <v>40</v>
      </c>
      <c r="E66" s="51"/>
      <c r="F66" s="51"/>
      <c r="G66" s="51"/>
      <c r="H66" s="51"/>
      <c r="I66" s="49">
        <f t="shared" ref="I66:I81" si="2">IF(A66&lt;&gt;0,(B66-(B65-D65))/(A66-A65),"")</f>
        <v>5.6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60">
        <v>70</v>
      </c>
      <c r="B67" s="60">
        <v>223</v>
      </c>
      <c r="C67" s="60">
        <v>6</v>
      </c>
      <c r="D67" s="60">
        <v>32</v>
      </c>
      <c r="E67" s="51"/>
      <c r="F67" s="51"/>
      <c r="G67" s="51"/>
      <c r="H67" s="51"/>
      <c r="I67" s="49">
        <f t="shared" si="2"/>
        <v>4.3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259">
        <v>80</v>
      </c>
      <c r="B68" s="60">
        <v>224</v>
      </c>
      <c r="C68" s="60">
        <v>7</v>
      </c>
      <c r="D68" s="259">
        <v>24</v>
      </c>
      <c r="E68" s="260"/>
      <c r="F68" s="260"/>
      <c r="G68" s="260"/>
      <c r="H68" s="260"/>
      <c r="I68" s="49">
        <f t="shared" si="2"/>
        <v>3.3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60">
        <v>90</v>
      </c>
      <c r="B69" s="60">
        <v>225</v>
      </c>
      <c r="C69" s="60">
        <v>8</v>
      </c>
      <c r="D69" s="60">
        <v>225</v>
      </c>
      <c r="E69" s="51"/>
      <c r="F69" s="51"/>
      <c r="G69" s="51"/>
      <c r="H69" s="51"/>
      <c r="I69" s="49">
        <f t="shared" si="2"/>
        <v>2.5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78" t="s">
        <v>186</v>
      </c>
      <c r="D86" s="278"/>
      <c r="E86" s="279" t="s">
        <v>187</v>
      </c>
      <c r="F86" s="280"/>
      <c r="G86" s="280"/>
      <c r="H86" s="28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60">
        <v>25</v>
      </c>
      <c r="B88" s="60">
        <v>30</v>
      </c>
      <c r="C88" s="60">
        <v>0</v>
      </c>
      <c r="D88" s="60">
        <v>0</v>
      </c>
      <c r="E88" s="51"/>
      <c r="F88" s="51"/>
      <c r="G88" s="51"/>
      <c r="H88" s="51"/>
      <c r="I88" s="53">
        <f>IFERROR(B88/A88,"")</f>
        <v>1.2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60">
        <v>30</v>
      </c>
      <c r="B89" s="60">
        <v>54</v>
      </c>
      <c r="C89" s="60">
        <v>0</v>
      </c>
      <c r="D89" s="60">
        <v>0</v>
      </c>
      <c r="E89" s="51"/>
      <c r="F89" s="51"/>
      <c r="G89" s="51"/>
      <c r="H89" s="51"/>
      <c r="I89" s="53">
        <f t="shared" ref="I89:I107" si="3">IF(A89&lt;&gt;0,(B89-(B88-D88))/(A89-A88),"")</f>
        <v>4.8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60">
        <v>40</v>
      </c>
      <c r="B90" s="60">
        <v>106</v>
      </c>
      <c r="C90" s="60">
        <v>1</v>
      </c>
      <c r="D90" s="60">
        <v>27</v>
      </c>
      <c r="E90" s="51"/>
      <c r="F90" s="51"/>
      <c r="G90" s="51"/>
      <c r="H90" s="51"/>
      <c r="I90" s="53">
        <f t="shared" si="3"/>
        <v>5.2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60">
        <v>50</v>
      </c>
      <c r="B91" s="60">
        <v>135</v>
      </c>
      <c r="C91" s="60">
        <v>2</v>
      </c>
      <c r="D91" s="60">
        <v>28</v>
      </c>
      <c r="E91" s="51"/>
      <c r="F91" s="51"/>
      <c r="G91" s="51"/>
      <c r="H91" s="51"/>
      <c r="I91" s="53">
        <f t="shared" si="3"/>
        <v>5.6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60">
        <v>60</v>
      </c>
      <c r="B92" s="60">
        <v>162</v>
      </c>
      <c r="C92" s="60">
        <v>3</v>
      </c>
      <c r="D92" s="60">
        <v>28</v>
      </c>
      <c r="E92" s="51"/>
      <c r="F92" s="51"/>
      <c r="G92" s="51"/>
      <c r="H92" s="51"/>
      <c r="I92" s="53">
        <f t="shared" si="3"/>
        <v>5.5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60">
        <v>70</v>
      </c>
      <c r="B93" s="60">
        <v>186</v>
      </c>
      <c r="C93" s="60">
        <v>4</v>
      </c>
      <c r="D93" s="60">
        <v>28</v>
      </c>
      <c r="E93" s="51"/>
      <c r="F93" s="51"/>
      <c r="G93" s="51"/>
      <c r="H93" s="51"/>
      <c r="I93" s="53">
        <f t="shared" si="3"/>
        <v>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60">
        <v>80</v>
      </c>
      <c r="B94" s="60">
        <v>206</v>
      </c>
      <c r="C94" s="60">
        <v>5</v>
      </c>
      <c r="D94" s="60">
        <v>28</v>
      </c>
      <c r="E94" s="51"/>
      <c r="F94" s="51"/>
      <c r="G94" s="51"/>
      <c r="H94" s="51"/>
      <c r="I94" s="53">
        <f t="shared" si="3"/>
        <v>4.8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v>221</v>
      </c>
      <c r="C95" s="60">
        <v>6</v>
      </c>
      <c r="D95" s="60">
        <v>28</v>
      </c>
      <c r="E95" s="51"/>
      <c r="F95" s="51"/>
      <c r="G95" s="51"/>
      <c r="H95" s="51"/>
      <c r="I95" s="53">
        <f t="shared" si="3"/>
        <v>4.3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v>230</v>
      </c>
      <c r="C96" s="60">
        <v>7</v>
      </c>
      <c r="D96" s="60">
        <v>28</v>
      </c>
      <c r="E96" s="51"/>
      <c r="F96" s="51"/>
      <c r="G96" s="51"/>
      <c r="H96" s="51"/>
      <c r="I96" s="53">
        <f t="shared" si="3"/>
        <v>3.7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110</v>
      </c>
      <c r="B97" s="60">
        <v>233</v>
      </c>
      <c r="C97" s="60">
        <v>8</v>
      </c>
      <c r="D97" s="60">
        <v>27</v>
      </c>
      <c r="E97" s="51"/>
      <c r="F97" s="51"/>
      <c r="G97" s="51"/>
      <c r="H97" s="51"/>
      <c r="I97" s="53">
        <f t="shared" si="3"/>
        <v>3.1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120</v>
      </c>
      <c r="B98" s="60">
        <v>234</v>
      </c>
      <c r="C98" s="60">
        <v>9</v>
      </c>
      <c r="D98" s="60">
        <v>234</v>
      </c>
      <c r="E98" s="51"/>
      <c r="F98" s="51"/>
      <c r="G98" s="51"/>
      <c r="H98" s="51"/>
      <c r="I98" s="53">
        <f t="shared" si="3"/>
        <v>2.8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Chêne pubescent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78" t="s">
        <v>186</v>
      </c>
      <c r="D112" s="278"/>
      <c r="E112" s="279" t="s">
        <v>187</v>
      </c>
      <c r="F112" s="280"/>
      <c r="G112" s="280"/>
      <c r="H112" s="28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60">
        <v>25</v>
      </c>
      <c r="B114" s="60">
        <v>30</v>
      </c>
      <c r="C114" s="60">
        <v>0</v>
      </c>
      <c r="D114" s="60">
        <v>0</v>
      </c>
      <c r="E114" s="51"/>
      <c r="F114" s="51"/>
      <c r="G114" s="51"/>
      <c r="H114" s="51"/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60">
        <v>30</v>
      </c>
      <c r="B115" s="60">
        <v>54</v>
      </c>
      <c r="C115" s="60">
        <v>0</v>
      </c>
      <c r="D115" s="60">
        <v>0</v>
      </c>
      <c r="E115" s="51"/>
      <c r="F115" s="51"/>
      <c r="G115" s="51"/>
      <c r="H115" s="51"/>
      <c r="I115" s="53">
        <f t="shared" ref="I115:I133" si="4">IF(A115&lt;&gt;0,(B115-(B114-D114))/(A115-A114),"")</f>
        <v>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60">
        <v>40</v>
      </c>
      <c r="B116" s="60">
        <v>106</v>
      </c>
      <c r="C116" s="60">
        <v>1</v>
      </c>
      <c r="D116" s="60">
        <v>27</v>
      </c>
      <c r="E116" s="51"/>
      <c r="F116" s="51"/>
      <c r="G116" s="51"/>
      <c r="H116" s="51"/>
      <c r="I116" s="53">
        <f t="shared" si="4"/>
        <v>5.2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60">
        <v>50</v>
      </c>
      <c r="B117" s="60">
        <v>135</v>
      </c>
      <c r="C117" s="60">
        <v>2</v>
      </c>
      <c r="D117" s="60">
        <v>28</v>
      </c>
      <c r="E117" s="51"/>
      <c r="F117" s="51"/>
      <c r="G117" s="51"/>
      <c r="H117" s="51"/>
      <c r="I117" s="53">
        <f t="shared" si="4"/>
        <v>5.6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60">
        <v>60</v>
      </c>
      <c r="B118" s="60">
        <v>162</v>
      </c>
      <c r="C118" s="60">
        <v>3</v>
      </c>
      <c r="D118" s="60">
        <v>28</v>
      </c>
      <c r="E118" s="51"/>
      <c r="F118" s="51"/>
      <c r="G118" s="51"/>
      <c r="H118" s="51"/>
      <c r="I118" s="53">
        <f t="shared" si="4"/>
        <v>5.5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60">
        <v>70</v>
      </c>
      <c r="B119" s="60">
        <v>186</v>
      </c>
      <c r="C119" s="60">
        <v>4</v>
      </c>
      <c r="D119" s="60">
        <v>28</v>
      </c>
      <c r="E119" s="51"/>
      <c r="F119" s="51"/>
      <c r="G119" s="51"/>
      <c r="H119" s="51"/>
      <c r="I119" s="53">
        <f t="shared" si="4"/>
        <v>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v>206</v>
      </c>
      <c r="C120" s="60">
        <v>5</v>
      </c>
      <c r="D120" s="60">
        <v>28</v>
      </c>
      <c r="E120" s="51"/>
      <c r="F120" s="51"/>
      <c r="G120" s="51"/>
      <c r="H120" s="51"/>
      <c r="I120" s="53">
        <f t="shared" si="4"/>
        <v>4.8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90</v>
      </c>
      <c r="B121" s="60">
        <v>221</v>
      </c>
      <c r="C121" s="60">
        <v>6</v>
      </c>
      <c r="D121" s="60">
        <v>28</v>
      </c>
      <c r="E121" s="51"/>
      <c r="F121" s="51"/>
      <c r="G121" s="51"/>
      <c r="H121" s="51"/>
      <c r="I121" s="53">
        <f t="shared" si="4"/>
        <v>4.3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100</v>
      </c>
      <c r="B122" s="60">
        <v>230</v>
      </c>
      <c r="C122" s="60">
        <v>7</v>
      </c>
      <c r="D122" s="60">
        <v>28</v>
      </c>
      <c r="E122" s="51"/>
      <c r="F122" s="51"/>
      <c r="G122" s="51"/>
      <c r="H122" s="51"/>
      <c r="I122" s="53">
        <f t="shared" si="4"/>
        <v>3.7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110</v>
      </c>
      <c r="B123" s="60">
        <v>233</v>
      </c>
      <c r="C123" s="60">
        <v>8</v>
      </c>
      <c r="D123" s="60">
        <v>27</v>
      </c>
      <c r="E123" s="51"/>
      <c r="F123" s="51"/>
      <c r="G123" s="51"/>
      <c r="H123" s="51"/>
      <c r="I123" s="53">
        <f t="shared" si="4"/>
        <v>3.1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120</v>
      </c>
      <c r="B124" s="60">
        <v>234</v>
      </c>
      <c r="C124" s="60">
        <v>9</v>
      </c>
      <c r="D124" s="60">
        <v>234</v>
      </c>
      <c r="E124" s="51"/>
      <c r="F124" s="51"/>
      <c r="G124" s="51"/>
      <c r="H124" s="51"/>
      <c r="I124" s="53">
        <f t="shared" si="4"/>
        <v>2.8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>Erable sycomore</v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78" t="s">
        <v>186</v>
      </c>
      <c r="D138" s="278"/>
      <c r="E138" s="279" t="s">
        <v>187</v>
      </c>
      <c r="F138" s="280"/>
      <c r="G138" s="280"/>
      <c r="H138" s="28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5">
        <v>20</v>
      </c>
      <c r="B140" s="55">
        <v>57</v>
      </c>
      <c r="C140" s="55">
        <v>1</v>
      </c>
      <c r="D140" s="55">
        <v>21</v>
      </c>
      <c r="E140" s="51"/>
      <c r="F140" s="51">
        <v>0.25</v>
      </c>
      <c r="G140" s="51">
        <v>0.25</v>
      </c>
      <c r="H140" s="51">
        <v>0.5</v>
      </c>
      <c r="I140" s="57">
        <f>IFERROR(B140/A140,"")</f>
        <v>2.85</v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5">
        <v>30</v>
      </c>
      <c r="B141" s="55">
        <v>135</v>
      </c>
      <c r="C141" s="55">
        <v>2</v>
      </c>
      <c r="D141" s="55">
        <v>42</v>
      </c>
      <c r="E141" s="51"/>
      <c r="F141" s="51">
        <v>0.25</v>
      </c>
      <c r="G141" s="51">
        <v>0.25</v>
      </c>
      <c r="H141" s="51">
        <v>0.5</v>
      </c>
      <c r="I141" s="57">
        <f t="shared" ref="I141:I159" si="5">IF(A141&lt;&gt;0,(B141-(B140-D140))/(A141-A140),"")</f>
        <v>9.9</v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5">
        <v>40</v>
      </c>
      <c r="B142" s="55">
        <v>174</v>
      </c>
      <c r="C142" s="55">
        <v>3</v>
      </c>
      <c r="D142" s="55">
        <v>42</v>
      </c>
      <c r="E142" s="51"/>
      <c r="F142" s="51"/>
      <c r="G142" s="51"/>
      <c r="H142" s="51"/>
      <c r="I142" s="57">
        <f t="shared" si="5"/>
        <v>8.1</v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5">
        <v>50</v>
      </c>
      <c r="B143" s="55">
        <v>192</v>
      </c>
      <c r="C143" s="55">
        <v>4</v>
      </c>
      <c r="D143" s="55">
        <v>31</v>
      </c>
      <c r="E143" s="51"/>
      <c r="F143" s="51"/>
      <c r="G143" s="51"/>
      <c r="H143" s="51"/>
      <c r="I143" s="57">
        <f t="shared" si="5"/>
        <v>6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5">
        <v>60</v>
      </c>
      <c r="B144" s="55">
        <v>205</v>
      </c>
      <c r="C144" s="55">
        <v>5</v>
      </c>
      <c r="D144" s="55">
        <v>20</v>
      </c>
      <c r="E144" s="51"/>
      <c r="F144" s="51"/>
      <c r="G144" s="51"/>
      <c r="H144" s="51"/>
      <c r="I144" s="57">
        <f t="shared" si="5"/>
        <v>4.4000000000000004</v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5">
        <v>70</v>
      </c>
      <c r="B145" s="55">
        <v>217</v>
      </c>
      <c r="C145" s="55">
        <v>6</v>
      </c>
      <c r="D145" s="55">
        <v>16</v>
      </c>
      <c r="E145" s="51"/>
      <c r="F145" s="51"/>
      <c r="G145" s="51"/>
      <c r="H145" s="51"/>
      <c r="I145" s="57">
        <f t="shared" si="5"/>
        <v>3.2</v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5">
        <v>80</v>
      </c>
      <c r="B146" s="55">
        <f>213+13</f>
        <v>226</v>
      </c>
      <c r="C146" s="55">
        <v>7</v>
      </c>
      <c r="D146" s="55">
        <f>B146</f>
        <v>226</v>
      </c>
      <c r="E146" s="51"/>
      <c r="F146" s="51"/>
      <c r="G146" s="51"/>
      <c r="H146" s="51"/>
      <c r="I146" s="57">
        <f t="shared" si="5"/>
        <v>2.5</v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>Pin laricio</v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78" t="s">
        <v>186</v>
      </c>
      <c r="D164" s="278"/>
      <c r="E164" s="279" t="s">
        <v>187</v>
      </c>
      <c r="F164" s="280"/>
      <c r="G164" s="280"/>
      <c r="H164" s="28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60">
        <v>20</v>
      </c>
      <c r="B166" s="60">
        <v>62</v>
      </c>
      <c r="C166" s="60"/>
      <c r="D166" s="60"/>
      <c r="E166" s="51"/>
      <c r="F166" s="51"/>
      <c r="G166" s="51"/>
      <c r="H166" s="51"/>
      <c r="I166" s="49">
        <f>IFERROR(B166/A166,"")</f>
        <v>3.1</v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60">
        <v>30</v>
      </c>
      <c r="B167" s="60">
        <v>164</v>
      </c>
      <c r="C167" s="60">
        <v>1</v>
      </c>
      <c r="D167" s="60">
        <v>41</v>
      </c>
      <c r="E167" s="51"/>
      <c r="F167" s="51">
        <v>0.5</v>
      </c>
      <c r="G167" s="51">
        <v>0.5</v>
      </c>
      <c r="H167" s="51"/>
      <c r="I167" s="49">
        <f t="shared" ref="I167:I185" si="6">IF(A167&lt;&gt;0,(B167-(B166-D166))/(A167-A166),"")</f>
        <v>10.199999999999999</v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60">
        <v>40</v>
      </c>
      <c r="B168" s="60">
        <v>233</v>
      </c>
      <c r="C168" s="60">
        <v>2</v>
      </c>
      <c r="D168" s="60">
        <v>56</v>
      </c>
      <c r="E168" s="51"/>
      <c r="F168" s="51"/>
      <c r="G168" s="51"/>
      <c r="H168" s="51"/>
      <c r="I168" s="49">
        <f t="shared" si="6"/>
        <v>11</v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60">
        <v>50</v>
      </c>
      <c r="B169" s="60">
        <v>284</v>
      </c>
      <c r="C169" s="60">
        <v>3</v>
      </c>
      <c r="D169" s="60">
        <v>56</v>
      </c>
      <c r="E169" s="51"/>
      <c r="F169" s="51"/>
      <c r="G169" s="51"/>
      <c r="H169" s="51"/>
      <c r="I169" s="49">
        <f t="shared" si="6"/>
        <v>10.7</v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60">
        <v>60</v>
      </c>
      <c r="B170" s="60">
        <v>324</v>
      </c>
      <c r="C170" s="60">
        <v>4</v>
      </c>
      <c r="D170" s="60">
        <v>49</v>
      </c>
      <c r="E170" s="51"/>
      <c r="F170" s="51"/>
      <c r="G170" s="51"/>
      <c r="H170" s="51"/>
      <c r="I170" s="49">
        <f t="shared" si="6"/>
        <v>9.6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60">
        <v>70</v>
      </c>
      <c r="B171" s="60">
        <v>355</v>
      </c>
      <c r="C171" s="60">
        <v>5</v>
      </c>
      <c r="D171" s="60">
        <v>38</v>
      </c>
      <c r="E171" s="51"/>
      <c r="F171" s="51"/>
      <c r="G171" s="51"/>
      <c r="H171" s="51"/>
      <c r="I171" s="49">
        <f t="shared" si="6"/>
        <v>8</v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60">
        <v>80</v>
      </c>
      <c r="B172" s="60">
        <v>377</v>
      </c>
      <c r="C172" s="60">
        <v>6</v>
      </c>
      <c r="D172" s="60">
        <f>B172</f>
        <v>377</v>
      </c>
      <c r="E172" s="51"/>
      <c r="F172" s="51"/>
      <c r="G172" s="51"/>
      <c r="H172" s="51"/>
      <c r="I172" s="49">
        <f t="shared" si="6"/>
        <v>6</v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>Merisier</v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78" t="s">
        <v>186</v>
      </c>
      <c r="D190" s="278"/>
      <c r="E190" s="279" t="s">
        <v>187</v>
      </c>
      <c r="F190" s="280"/>
      <c r="G190" s="280"/>
      <c r="H190" s="28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60">
        <v>25</v>
      </c>
      <c r="B192" s="60">
        <v>30</v>
      </c>
      <c r="C192" s="60">
        <v>0</v>
      </c>
      <c r="D192" s="60">
        <v>0</v>
      </c>
      <c r="E192" s="51"/>
      <c r="F192" s="51"/>
      <c r="G192" s="51"/>
      <c r="H192" s="51"/>
      <c r="I192" s="49">
        <f>IFERROR(B192/A192,"")</f>
        <v>1.2</v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60">
        <v>30</v>
      </c>
      <c r="B193" s="60">
        <v>54</v>
      </c>
      <c r="C193" s="60">
        <v>0</v>
      </c>
      <c r="D193" s="60">
        <v>0</v>
      </c>
      <c r="E193" s="51"/>
      <c r="F193" s="51"/>
      <c r="G193" s="51"/>
      <c r="H193" s="51"/>
      <c r="I193" s="49">
        <f t="shared" ref="I193:I211" si="7">IF(A193&lt;&gt;0,(B193-(B192-D192))/(A193-A192),"")</f>
        <v>4.8</v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60">
        <v>40</v>
      </c>
      <c r="B194" s="60">
        <v>106</v>
      </c>
      <c r="C194" s="60">
        <v>1</v>
      </c>
      <c r="D194" s="60">
        <v>27</v>
      </c>
      <c r="E194" s="51"/>
      <c r="F194" s="51"/>
      <c r="G194" s="51"/>
      <c r="H194" s="51"/>
      <c r="I194" s="49">
        <f t="shared" si="7"/>
        <v>5.2</v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60">
        <v>50</v>
      </c>
      <c r="B195" s="60">
        <v>135</v>
      </c>
      <c r="C195" s="60">
        <v>2</v>
      </c>
      <c r="D195" s="60">
        <v>28</v>
      </c>
      <c r="E195" s="51"/>
      <c r="F195" s="51"/>
      <c r="G195" s="51"/>
      <c r="H195" s="51"/>
      <c r="I195" s="49">
        <f t="shared" si="7"/>
        <v>5.6</v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60">
        <v>60</v>
      </c>
      <c r="B196" s="60">
        <v>162</v>
      </c>
      <c r="C196" s="60">
        <v>3</v>
      </c>
      <c r="D196" s="60">
        <v>28</v>
      </c>
      <c r="E196" s="51"/>
      <c r="F196" s="51"/>
      <c r="G196" s="51"/>
      <c r="H196" s="51"/>
      <c r="I196" s="49">
        <f t="shared" si="7"/>
        <v>5.5</v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60">
        <v>70</v>
      </c>
      <c r="B197" s="60">
        <v>186</v>
      </c>
      <c r="C197" s="60">
        <v>4</v>
      </c>
      <c r="D197" s="60">
        <v>28</v>
      </c>
      <c r="E197" s="51"/>
      <c r="F197" s="51"/>
      <c r="G197" s="51"/>
      <c r="H197" s="51"/>
      <c r="I197" s="49">
        <f t="shared" si="7"/>
        <v>5.2</v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60">
        <v>80</v>
      </c>
      <c r="B198" s="60">
        <v>206</v>
      </c>
      <c r="C198" s="60">
        <v>5</v>
      </c>
      <c r="D198" s="60">
        <v>28</v>
      </c>
      <c r="E198" s="51"/>
      <c r="F198" s="51"/>
      <c r="G198" s="51"/>
      <c r="H198" s="51"/>
      <c r="I198" s="49">
        <f t="shared" si="7"/>
        <v>4.8</v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60">
        <v>90</v>
      </c>
      <c r="B199" s="60">
        <v>221</v>
      </c>
      <c r="C199" s="60">
        <v>6</v>
      </c>
      <c r="D199" s="60">
        <v>28</v>
      </c>
      <c r="E199" s="51"/>
      <c r="F199" s="51"/>
      <c r="G199" s="51"/>
      <c r="H199" s="51"/>
      <c r="I199" s="49">
        <f t="shared" si="7"/>
        <v>4.3</v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60">
        <v>100</v>
      </c>
      <c r="B200" s="60">
        <v>230</v>
      </c>
      <c r="C200" s="60">
        <v>7</v>
      </c>
      <c r="D200" s="60">
        <v>28</v>
      </c>
      <c r="E200" s="51"/>
      <c r="F200" s="51"/>
      <c r="G200" s="51"/>
      <c r="H200" s="51"/>
      <c r="I200" s="49">
        <f t="shared" si="7"/>
        <v>3.7</v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60">
        <v>110</v>
      </c>
      <c r="B201" s="60">
        <v>233</v>
      </c>
      <c r="C201" s="60">
        <v>8</v>
      </c>
      <c r="D201" s="60">
        <v>27</v>
      </c>
      <c r="E201" s="51"/>
      <c r="F201" s="51"/>
      <c r="G201" s="51"/>
      <c r="H201" s="51"/>
      <c r="I201" s="49">
        <f t="shared" si="7"/>
        <v>3.1</v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60">
        <v>120</v>
      </c>
      <c r="B202" s="60">
        <v>234</v>
      </c>
      <c r="C202" s="60">
        <v>9</v>
      </c>
      <c r="D202" s="60">
        <v>234</v>
      </c>
      <c r="E202" s="51"/>
      <c r="F202" s="51"/>
      <c r="G202" s="51"/>
      <c r="H202" s="51"/>
      <c r="I202" s="49">
        <f t="shared" si="7"/>
        <v>2.8</v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>Robinier faux-acacia</v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78" t="s">
        <v>186</v>
      </c>
      <c r="D216" s="278"/>
      <c r="E216" s="279" t="s">
        <v>187</v>
      </c>
      <c r="F216" s="280"/>
      <c r="G216" s="280"/>
      <c r="H216" s="28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60">
        <v>5</v>
      </c>
      <c r="B218" s="60">
        <v>31</v>
      </c>
      <c r="C218" s="60">
        <v>1</v>
      </c>
      <c r="D218" s="60">
        <v>7</v>
      </c>
      <c r="E218" s="51"/>
      <c r="F218" s="51">
        <v>0.25</v>
      </c>
      <c r="G218" s="51">
        <v>0.25</v>
      </c>
      <c r="H218" s="51">
        <v>0.5</v>
      </c>
      <c r="I218" s="53">
        <f>IFERROR(B218/A218,"")</f>
        <v>6.2</v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60">
        <v>10</v>
      </c>
      <c r="B219" s="60">
        <v>90</v>
      </c>
      <c r="C219" s="60">
        <v>2</v>
      </c>
      <c r="D219" s="60">
        <v>22</v>
      </c>
      <c r="E219" s="51"/>
      <c r="F219" s="51">
        <v>0.25</v>
      </c>
      <c r="G219" s="51">
        <v>0.25</v>
      </c>
      <c r="H219" s="51">
        <v>0.5</v>
      </c>
      <c r="I219" s="53">
        <f t="shared" ref="I219:I237" si="8">IF(A219&lt;&gt;0,(B219-(B218-D218))/(A219-A218),"")</f>
        <v>13.2</v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60">
        <v>15</v>
      </c>
      <c r="B220" s="60">
        <v>114</v>
      </c>
      <c r="C220" s="60">
        <v>3</v>
      </c>
      <c r="D220" s="60">
        <v>22</v>
      </c>
      <c r="E220" s="51"/>
      <c r="F220" s="51">
        <v>0.25</v>
      </c>
      <c r="G220" s="51">
        <v>0.25</v>
      </c>
      <c r="H220" s="51">
        <v>0.5</v>
      </c>
      <c r="I220" s="53">
        <f t="shared" si="8"/>
        <v>9.1999999999999993</v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60">
        <v>20</v>
      </c>
      <c r="B221" s="60">
        <v>139</v>
      </c>
      <c r="C221" s="60">
        <v>4</v>
      </c>
      <c r="D221" s="60">
        <v>17</v>
      </c>
      <c r="E221" s="51"/>
      <c r="F221" s="51">
        <v>0.33</v>
      </c>
      <c r="G221" s="51">
        <v>0.33</v>
      </c>
      <c r="H221" s="51">
        <v>0.33</v>
      </c>
      <c r="I221" s="53">
        <f t="shared" si="8"/>
        <v>9.4</v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60">
        <v>25</v>
      </c>
      <c r="B222" s="60">
        <v>160</v>
      </c>
      <c r="C222" s="60">
        <v>5</v>
      </c>
      <c r="D222" s="60">
        <v>13</v>
      </c>
      <c r="E222" s="51">
        <v>0.1</v>
      </c>
      <c r="F222" s="51">
        <v>0.45</v>
      </c>
      <c r="G222" s="51">
        <v>0.45</v>
      </c>
      <c r="H222" s="51"/>
      <c r="I222" s="53">
        <f t="shared" si="8"/>
        <v>7.6</v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60">
        <v>30</v>
      </c>
      <c r="B223" s="60">
        <v>176</v>
      </c>
      <c r="C223" s="60">
        <v>6</v>
      </c>
      <c r="D223" s="60">
        <v>9</v>
      </c>
      <c r="E223" s="51">
        <v>0.1</v>
      </c>
      <c r="F223" s="51">
        <v>0.45</v>
      </c>
      <c r="G223" s="51">
        <v>0.45</v>
      </c>
      <c r="H223" s="51"/>
      <c r="I223" s="53">
        <f t="shared" si="8"/>
        <v>5.8</v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60">
        <v>35</v>
      </c>
      <c r="B224" s="60">
        <v>185</v>
      </c>
      <c r="C224" s="60">
        <v>7</v>
      </c>
      <c r="D224" s="60">
        <f>B224</f>
        <v>185</v>
      </c>
      <c r="E224" s="51"/>
      <c r="F224" s="51"/>
      <c r="G224" s="51"/>
      <c r="H224" s="51"/>
      <c r="I224" s="53">
        <f t="shared" si="8"/>
        <v>3.6</v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>Pin laricio</v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78" t="s">
        <v>186</v>
      </c>
      <c r="D242" s="278"/>
      <c r="E242" s="279" t="s">
        <v>187</v>
      </c>
      <c r="F242" s="280"/>
      <c r="G242" s="280"/>
      <c r="H242" s="28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60">
        <v>20</v>
      </c>
      <c r="B244" s="60">
        <v>62</v>
      </c>
      <c r="C244" s="60"/>
      <c r="D244" s="60"/>
      <c r="E244" s="51"/>
      <c r="F244" s="51"/>
      <c r="G244" s="51"/>
      <c r="H244" s="51"/>
      <c r="I244" s="53">
        <f>IFERROR(B244/A244,"")</f>
        <v>3.1</v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60">
        <v>30</v>
      </c>
      <c r="B245" s="60">
        <v>164</v>
      </c>
      <c r="C245" s="60">
        <v>1</v>
      </c>
      <c r="D245" s="60">
        <v>41</v>
      </c>
      <c r="E245" s="51"/>
      <c r="F245" s="51">
        <v>0.5</v>
      </c>
      <c r="G245" s="51">
        <v>0.5</v>
      </c>
      <c r="H245" s="51"/>
      <c r="I245" s="53">
        <f>IF(A245&lt;&gt;0,(B245-(B244-D244))/(A245-A244),"")</f>
        <v>10.199999999999999</v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60">
        <v>40</v>
      </c>
      <c r="B246" s="60">
        <v>233</v>
      </c>
      <c r="C246" s="60">
        <v>2</v>
      </c>
      <c r="D246" s="60">
        <v>56</v>
      </c>
      <c r="E246" s="51"/>
      <c r="F246" s="51"/>
      <c r="G246" s="51"/>
      <c r="H246" s="51"/>
      <c r="I246" s="53">
        <f>IF(A246&lt;&gt;0,(B246-(B245-D245))/(A246-A245),"")</f>
        <v>11</v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60">
        <v>50</v>
      </c>
      <c r="B247" s="60">
        <v>284</v>
      </c>
      <c r="C247" s="60">
        <v>3</v>
      </c>
      <c r="D247" s="60">
        <v>56</v>
      </c>
      <c r="E247" s="51"/>
      <c r="F247" s="51"/>
      <c r="G247" s="51"/>
      <c r="H247" s="51"/>
      <c r="I247" s="53">
        <f t="shared" ref="I247:I263" si="9">IF(A247&lt;&gt;0,(B247-(B246-D246))/(A247-A246),"")</f>
        <v>10.7</v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60">
        <v>60</v>
      </c>
      <c r="B248" s="60">
        <v>324</v>
      </c>
      <c r="C248" s="60">
        <v>4</v>
      </c>
      <c r="D248" s="60">
        <v>49</v>
      </c>
      <c r="E248" s="51"/>
      <c r="F248" s="51"/>
      <c r="G248" s="51"/>
      <c r="H248" s="51"/>
      <c r="I248" s="53">
        <f t="shared" si="9"/>
        <v>9.6</v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60">
        <v>70</v>
      </c>
      <c r="B249" s="60">
        <v>355</v>
      </c>
      <c r="C249" s="60">
        <v>5</v>
      </c>
      <c r="D249" s="60">
        <v>38</v>
      </c>
      <c r="E249" s="51"/>
      <c r="F249" s="51"/>
      <c r="G249" s="51"/>
      <c r="H249" s="51"/>
      <c r="I249" s="53">
        <f t="shared" si="9"/>
        <v>8</v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60">
        <v>80</v>
      </c>
      <c r="B250" s="60">
        <v>377</v>
      </c>
      <c r="C250" s="60">
        <v>6</v>
      </c>
      <c r="D250" s="60">
        <f>B250</f>
        <v>377</v>
      </c>
      <c r="E250" s="51"/>
      <c r="F250" s="51"/>
      <c r="G250" s="51"/>
      <c r="H250" s="51"/>
      <c r="I250" s="53">
        <f t="shared" si="9"/>
        <v>6</v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78" t="s">
        <v>186</v>
      </c>
      <c r="D268" s="278"/>
      <c r="E268" s="279" t="s">
        <v>187</v>
      </c>
      <c r="F268" s="280"/>
      <c r="G268" s="280"/>
      <c r="H268" s="28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J1" zoomScaleNormal="100" workbookViewId="0">
      <selection activeCell="I21" sqref="I21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64" t="s">
        <v>272</v>
      </c>
      <c r="C2" s="265"/>
      <c r="D2" s="265"/>
      <c r="E2" s="265"/>
      <c r="F2" s="265"/>
      <c r="G2" s="265"/>
      <c r="H2" s="265"/>
      <c r="I2" s="265"/>
      <c r="J2" s="265"/>
      <c r="K2" s="265"/>
      <c r="L2" s="265"/>
      <c r="M2" s="265"/>
      <c r="N2" s="265"/>
      <c r="O2" s="265"/>
      <c r="P2" s="266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82" t="s">
        <v>315</v>
      </c>
      <c r="I4" s="282"/>
      <c r="K4" s="291" t="s">
        <v>253</v>
      </c>
      <c r="L4" s="292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301" t="s">
        <v>310</v>
      </c>
      <c r="S7" s="302"/>
      <c r="T7" s="302"/>
      <c r="U7" s="302"/>
      <c r="V7" s="303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Douglas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2007.187108970219</v>
      </c>
      <c r="U10" s="178">
        <f>'Données projet'!D9</f>
        <v>2.472</v>
      </c>
      <c r="V10" s="177">
        <f>U10*T10</f>
        <v>4961.7665333743817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Chêne rouge d'Amérique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-893.04177790210235</v>
      </c>
      <c r="U11" s="178">
        <f>'Données projet'!D10</f>
        <v>3.4608000000000003</v>
      </c>
      <c r="V11" s="177">
        <f t="shared" ref="V11" si="0">U11*T11</f>
        <v>-3090.6389849635962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-1553.8384971006485</v>
      </c>
      <c r="U12" s="178">
        <f>'Données projet'!D11</f>
        <v>3.9552</v>
      </c>
      <c r="V12" s="177">
        <f t="shared" ref="V12:V19" si="1">U12*T12</f>
        <v>-6145.742023732485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Chêne pubescent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-1277.3384971006487</v>
      </c>
      <c r="U13" s="178">
        <f>'Données projet'!D12</f>
        <v>3.2136</v>
      </c>
      <c r="V13" s="177">
        <f t="shared" si="1"/>
        <v>-4104.8549942826448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Douglas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>Erable sycomore</v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226.28151361135212</v>
      </c>
      <c r="U14" s="178">
        <f>'Données projet'!D13</f>
        <v>1.7304000000000002</v>
      </c>
      <c r="V14" s="177">
        <f t="shared" si="1"/>
        <v>391.55753115308374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294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>Pin laricio</v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322.99739453634282</v>
      </c>
      <c r="U15" s="178">
        <f>'Données projet'!D14</f>
        <v>3.7079999999999997</v>
      </c>
      <c r="V15" s="177">
        <f t="shared" si="1"/>
        <v>1197.6743389407591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4"/>
      <c r="H16" s="190"/>
      <c r="I16" s="191"/>
      <c r="J16" s="202"/>
      <c r="K16" s="208"/>
      <c r="L16" s="291" t="s">
        <v>254</v>
      </c>
      <c r="M16" s="292"/>
      <c r="N16" s="2">
        <v>80</v>
      </c>
      <c r="O16" s="23"/>
      <c r="P16" s="23"/>
      <c r="Q16" s="234"/>
      <c r="R16" s="23"/>
      <c r="S16" s="36" t="str">
        <f>B200</f>
        <v>Merisier</v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-1266.2784971006488</v>
      </c>
      <c r="U16" s="178">
        <f>'Données projet'!D15</f>
        <v>2.472</v>
      </c>
      <c r="V16" s="177">
        <f t="shared" si="1"/>
        <v>-3130.2404448328039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1338.26</v>
      </c>
      <c r="F17" s="230"/>
      <c r="G17" s="294"/>
      <c r="J17" s="202"/>
      <c r="K17" s="208"/>
      <c r="L17" s="279" t="s">
        <v>289</v>
      </c>
      <c r="M17" s="281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>Robinier faux-acacia</v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2691.6908472991017</v>
      </c>
      <c r="U17" s="178">
        <f>'Données projet'!D16</f>
        <v>1.9776</v>
      </c>
      <c r="V17" s="177">
        <f t="shared" si="1"/>
        <v>5323.0878196187041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4"/>
      <c r="J18" s="202"/>
      <c r="K18" s="208"/>
      <c r="L18" s="279" t="s">
        <v>255</v>
      </c>
      <c r="M18" s="281"/>
      <c r="N18" s="192">
        <v>30</v>
      </c>
      <c r="O18" s="23"/>
      <c r="P18" s="23"/>
      <c r="Q18" s="234"/>
      <c r="R18" s="23"/>
      <c r="S18" s="36" t="str">
        <f>B262</f>
        <v>Pin laricio</v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289.81739453634276</v>
      </c>
      <c r="U18" s="178">
        <f>'Données projet'!D17</f>
        <v>1.7304000000000002</v>
      </c>
      <c r="V18" s="177">
        <f t="shared" si="1"/>
        <v>501.50001950568753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4"/>
      <c r="H19" s="212" t="s">
        <v>178</v>
      </c>
      <c r="I19" s="212" t="s">
        <v>287</v>
      </c>
      <c r="J19" s="93"/>
      <c r="K19" s="173"/>
      <c r="L19" s="291" t="s">
        <v>288</v>
      </c>
      <c r="M19" s="292"/>
      <c r="N19" s="179">
        <f>N17*N18</f>
        <v>2400.0000000000036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4"/>
      <c r="H20" s="190">
        <v>0</v>
      </c>
      <c r="I20" s="191">
        <f>540+1341.94+91.1</f>
        <v>1973.04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380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2</v>
      </c>
      <c r="I22" s="191">
        <v>390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15</v>
      </c>
      <c r="B23" s="181">
        <f>'Données projet'!D36</f>
        <v>0</v>
      </c>
      <c r="C23" s="191"/>
      <c r="D23" s="182">
        <f>B23*C23</f>
        <v>0</v>
      </c>
      <c r="E23" s="193"/>
      <c r="F23" s="230"/>
      <c r="H23" s="190">
        <v>3</v>
      </c>
      <c r="I23" s="191">
        <v>850</v>
      </c>
      <c r="K23" s="208"/>
      <c r="L23" s="293" t="s">
        <v>260</v>
      </c>
      <c r="M23" s="293"/>
      <c r="N23" s="293"/>
      <c r="O23" s="23"/>
      <c r="P23" s="23"/>
      <c r="Q23" s="234"/>
      <c r="R23" s="23"/>
      <c r="S23" s="36" t="s">
        <v>264</v>
      </c>
      <c r="T23" s="306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-89099.643472600888</v>
      </c>
      <c r="U23" s="306"/>
      <c r="V23" s="306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20</v>
      </c>
      <c r="B24" s="181">
        <f>'Données projet'!D37</f>
        <v>20</v>
      </c>
      <c r="C24" s="191">
        <v>12</v>
      </c>
      <c r="D24" s="182">
        <f t="shared" ref="D24:D42" si="2">B24*C24</f>
        <v>240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7">
        <f ca="1">'Scénario référence'!$B$8*$M$30*'Données projet'!$C$5+('Scénario référence'!B9+'Scénario référence'!B10+'Scénario référence'!F8+'Scénario référence'!F9)*$N$19/(1+M4)^N16*'Données projet'!$C$5</f>
        <v>1753.7047260671329</v>
      </c>
      <c r="U24" s="307"/>
      <c r="V24" s="307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30</v>
      </c>
      <c r="B25" s="181">
        <f>'Données projet'!D38</f>
        <v>84</v>
      </c>
      <c r="C25" s="191">
        <v>35</v>
      </c>
      <c r="D25" s="182">
        <f t="shared" si="2"/>
        <v>2940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8">
        <f ca="1">T23-T24</f>
        <v>-90853.348198668027</v>
      </c>
      <c r="U25" s="308"/>
      <c r="V25" s="308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40</v>
      </c>
      <c r="B26" s="181">
        <f>'Données projet'!D39</f>
        <v>84</v>
      </c>
      <c r="C26" s="191">
        <v>45</v>
      </c>
      <c r="D26" s="182">
        <f t="shared" si="2"/>
        <v>3780</v>
      </c>
      <c r="E26" s="193"/>
      <c r="F26" s="233"/>
      <c r="G26" s="229"/>
      <c r="H26" s="190"/>
      <c r="I26" s="191"/>
      <c r="K26" s="208"/>
      <c r="L26" s="295" t="s">
        <v>258</v>
      </c>
      <c r="M26" s="296"/>
      <c r="N26" s="296"/>
      <c r="O26" s="296"/>
      <c r="P26" s="297"/>
      <c r="Q26" s="234"/>
      <c r="R26" s="23"/>
      <c r="S26" s="186" t="s">
        <v>265</v>
      </c>
      <c r="T26" s="305" t="str">
        <f ca="1">IF(T25&lt;0,"Votre projet est additionnel","Votre projet n'est pas additionnel")</f>
        <v>Votre projet est additionnel</v>
      </c>
      <c r="U26" s="305"/>
      <c r="V26" s="305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50</v>
      </c>
      <c r="B27" s="181">
        <f>'Données projet'!D40</f>
        <v>84</v>
      </c>
      <c r="C27" s="191">
        <v>50</v>
      </c>
      <c r="D27" s="182">
        <f t="shared" si="2"/>
        <v>4200</v>
      </c>
      <c r="E27" s="193"/>
      <c r="F27" s="233"/>
      <c r="G27" s="229"/>
      <c r="H27" s="190"/>
      <c r="I27" s="191"/>
      <c r="K27" s="208"/>
      <c r="L27" s="298"/>
      <c r="M27" s="299"/>
      <c r="N27" s="299"/>
      <c r="O27" s="299"/>
      <c r="P27" s="300"/>
      <c r="Q27" s="234"/>
      <c r="R27" s="23"/>
      <c r="S27" s="304" t="s">
        <v>267</v>
      </c>
      <c r="T27" s="304"/>
      <c r="U27" s="304"/>
      <c r="V27" s="30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60</v>
      </c>
      <c r="B28" s="181">
        <f>'Données projet'!D41</f>
        <v>69</v>
      </c>
      <c r="C28" s="191">
        <v>55</v>
      </c>
      <c r="D28" s="182">
        <f t="shared" si="2"/>
        <v>3795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70</v>
      </c>
      <c r="B29" s="181">
        <f>'Données projet'!D42</f>
        <v>54</v>
      </c>
      <c r="C29" s="191">
        <v>60</v>
      </c>
      <c r="D29" s="182">
        <f t="shared" si="2"/>
        <v>3240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80</v>
      </c>
      <c r="B30" s="181">
        <f>'Données projet'!D43</f>
        <v>514</v>
      </c>
      <c r="C30" s="191">
        <v>61</v>
      </c>
      <c r="D30" s="182">
        <f t="shared" si="2"/>
        <v>31354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Chêne rouge d'Amérique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1404.62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32</v>
      </c>
      <c r="C54" s="191">
        <v>8</v>
      </c>
      <c r="D54" s="179">
        <f>B54*C54</f>
        <v>256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62</v>
      </c>
      <c r="C55" s="191">
        <v>8</v>
      </c>
      <c r="D55" s="179">
        <f t="shared" ref="D55:D73" si="4">B55*C55</f>
        <v>496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58</v>
      </c>
      <c r="C56" s="191">
        <v>8</v>
      </c>
      <c r="D56" s="179">
        <f t="shared" si="4"/>
        <v>464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50</v>
      </c>
      <c r="C57" s="191">
        <v>12</v>
      </c>
      <c r="D57" s="179">
        <f t="shared" si="4"/>
        <v>600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40</v>
      </c>
      <c r="C58" s="191">
        <v>18</v>
      </c>
      <c r="D58" s="179">
        <f t="shared" si="4"/>
        <v>720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32</v>
      </c>
      <c r="C59" s="191">
        <v>25</v>
      </c>
      <c r="D59" s="179">
        <f t="shared" si="4"/>
        <v>800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24</v>
      </c>
      <c r="C60" s="193">
        <v>30</v>
      </c>
      <c r="D60" s="179">
        <f t="shared" si="4"/>
        <v>720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90</v>
      </c>
      <c r="B61" s="181">
        <f>'Données projet'!D69</f>
        <v>225</v>
      </c>
      <c r="C61" s="261">
        <v>35</v>
      </c>
      <c r="D61" s="179">
        <f t="shared" si="4"/>
        <v>7875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 t="str">
        <f>IF(O68+1&lt;=MIN('Données projet'!$E$9:$E$18),O68+1,"STOP")</f>
        <v>STOP</v>
      </c>
      <c r="P69" s="185" t="e">
        <f t="shared" si="5"/>
        <v>#VALUE!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 t="e">
        <f>IF(O69+1&lt;=MIN('Données projet'!$E$9:$E$18),O69+1,"STOP")</f>
        <v>#VALUE!</v>
      </c>
      <c r="P70" s="185" t="e">
        <f t="shared" si="5"/>
        <v>#VALUE!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 t="e">
        <f>IF(O70+1&lt;=MIN('Données projet'!$E$9:$E$18),O70+1,"STOP")</f>
        <v>#VALUE!</v>
      </c>
      <c r="P71" s="185" t="e">
        <f t="shared" si="5"/>
        <v>#VALUE!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 t="e">
        <f>IF(O71+1&lt;=MIN('Données projet'!$E$9:$E$18),O71+1,"STOP")</f>
        <v>#VALUE!</v>
      </c>
      <c r="P72" s="185" t="e">
        <f t="shared" si="5"/>
        <v>#VALUE!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 t="e">
        <f>IF(O72+1&lt;=MIN('Données projet'!$E$9:$E$18),O72+1,"STOP")</f>
        <v>#VALUE!</v>
      </c>
      <c r="P73" s="185" t="e">
        <f t="shared" si="5"/>
        <v>#VALUE!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 t="e">
        <f>IF(O73+1&lt;=MIN('Données projet'!$E$9:$E$18),O73+1,"STOP")</f>
        <v>#VALUE!</v>
      </c>
      <c r="P74" s="185" t="e">
        <f t="shared" si="5"/>
        <v>#VALUE!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 t="e">
        <f>IF(O74+1&lt;=MIN('Données projet'!$E$9:$E$18),O74+1,"STOP")</f>
        <v>#VALUE!</v>
      </c>
      <c r="P75" s="185" t="e">
        <f t="shared" si="5"/>
        <v>#VALUE!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 t="e">
        <f>IF(O75+1&lt;=MIN('Données projet'!$E$9:$E$18),O75+1,"STOP")</f>
        <v>#VALUE!</v>
      </c>
      <c r="P76" s="185" t="e">
        <f t="shared" si="5"/>
        <v>#VALUE!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 t="e">
        <f>IF(O76+1&lt;=MIN('Données projet'!$E$9:$E$18),O76+1,"STOP")</f>
        <v>#VALUE!</v>
      </c>
      <c r="P77" s="185" t="e">
        <f t="shared" si="5"/>
        <v>#VALUE!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 t="e">
        <f>IF(O77+1&lt;=MIN('Données projet'!$E$9:$E$18),O77+1,"STOP")</f>
        <v>#VALUE!</v>
      </c>
      <c r="P78" s="185" t="e">
        <f t="shared" si="5"/>
        <v>#VALUE!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2068.2199999999998</v>
      </c>
      <c r="F79" s="231"/>
      <c r="G79" s="206"/>
      <c r="H79" s="190"/>
      <c r="I79" s="191"/>
      <c r="J79" s="4"/>
      <c r="K79" s="173"/>
      <c r="L79" s="4"/>
      <c r="M79" s="4"/>
      <c r="N79" s="4"/>
      <c r="O79" s="194" t="e">
        <f>IF(O78+1&lt;=MIN('Données projet'!$E$9:$E$18),O78+1,"STOP")</f>
        <v>#VALUE!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25</v>
      </c>
      <c r="B85" s="181">
        <f>'Données projet'!D88</f>
        <v>0</v>
      </c>
      <c r="C85" s="191">
        <v>8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0</v>
      </c>
      <c r="C86" s="191">
        <v>12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27</v>
      </c>
      <c r="C87" s="191">
        <v>15</v>
      </c>
      <c r="D87" s="179">
        <f t="shared" si="6"/>
        <v>405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28</v>
      </c>
      <c r="C88" s="191">
        <v>20</v>
      </c>
      <c r="D88" s="179">
        <f t="shared" si="6"/>
        <v>560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28</v>
      </c>
      <c r="C89" s="191">
        <v>25</v>
      </c>
      <c r="D89" s="179">
        <f t="shared" si="6"/>
        <v>700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28</v>
      </c>
      <c r="C90" s="191">
        <v>30</v>
      </c>
      <c r="D90" s="179">
        <f t="shared" si="6"/>
        <v>840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28</v>
      </c>
      <c r="C91" s="191">
        <v>35</v>
      </c>
      <c r="D91" s="179">
        <f t="shared" si="6"/>
        <v>980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28</v>
      </c>
      <c r="C92" s="191">
        <v>40</v>
      </c>
      <c r="D92" s="179">
        <f t="shared" si="6"/>
        <v>1120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28</v>
      </c>
      <c r="C93" s="191">
        <v>50</v>
      </c>
      <c r="D93" s="179">
        <f t="shared" si="6"/>
        <v>1400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110</v>
      </c>
      <c r="B94" s="181">
        <f>'Données projet'!D97</f>
        <v>27</v>
      </c>
      <c r="C94" s="191">
        <v>60</v>
      </c>
      <c r="D94" s="179">
        <f t="shared" si="6"/>
        <v>1620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120</v>
      </c>
      <c r="B95" s="181">
        <f>'Données projet'!D98</f>
        <v>234</v>
      </c>
      <c r="C95" s="191">
        <v>180</v>
      </c>
      <c r="D95" s="179">
        <f t="shared" si="6"/>
        <v>42120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Chêne pubescent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1791.72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25</v>
      </c>
      <c r="B116" s="181">
        <f>'Données projet'!D114</f>
        <v>0</v>
      </c>
      <c r="C116" s="191">
        <v>8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0</v>
      </c>
      <c r="C117" s="191">
        <v>12</v>
      </c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27</v>
      </c>
      <c r="C118" s="191">
        <v>15</v>
      </c>
      <c r="D118" s="179">
        <f t="shared" si="8"/>
        <v>405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28</v>
      </c>
      <c r="C119" s="191">
        <v>20</v>
      </c>
      <c r="D119" s="179">
        <f t="shared" si="8"/>
        <v>560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28</v>
      </c>
      <c r="C120" s="191">
        <v>25</v>
      </c>
      <c r="D120" s="179">
        <f t="shared" si="8"/>
        <v>700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28</v>
      </c>
      <c r="C121" s="191">
        <v>30</v>
      </c>
      <c r="D121" s="179">
        <f t="shared" si="8"/>
        <v>840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28</v>
      </c>
      <c r="C122" s="191">
        <v>35</v>
      </c>
      <c r="D122" s="179">
        <f t="shared" si="8"/>
        <v>980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28</v>
      </c>
      <c r="C123" s="191">
        <v>40</v>
      </c>
      <c r="D123" s="179">
        <f t="shared" si="8"/>
        <v>1120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100</v>
      </c>
      <c r="B124" s="181">
        <f>'Données projet'!D122</f>
        <v>28</v>
      </c>
      <c r="C124" s="191">
        <v>50</v>
      </c>
      <c r="D124" s="179">
        <f t="shared" si="8"/>
        <v>1400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110</v>
      </c>
      <c r="B125" s="181">
        <f>'Données projet'!D123</f>
        <v>27</v>
      </c>
      <c r="C125" s="191">
        <v>60</v>
      </c>
      <c r="D125" s="179">
        <f t="shared" si="8"/>
        <v>1620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120</v>
      </c>
      <c r="B126" s="181">
        <f>'Données projet'!D124</f>
        <v>234</v>
      </c>
      <c r="C126" s="191">
        <v>180</v>
      </c>
      <c r="D126" s="179">
        <f t="shared" si="8"/>
        <v>42120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>Erable sycomore</v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>
        <v>1349.32</v>
      </c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20</v>
      </c>
      <c r="B147" s="175">
        <f>'Données projet'!D140</f>
        <v>21</v>
      </c>
      <c r="C147" s="193">
        <v>20</v>
      </c>
      <c r="D147" s="182">
        <f>B147*C147</f>
        <v>420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30</v>
      </c>
      <c r="B148" s="175">
        <f>'Données projet'!D141</f>
        <v>42</v>
      </c>
      <c r="C148" s="193">
        <v>30</v>
      </c>
      <c r="D148" s="182">
        <f t="shared" ref="D148:D166" si="10">B148*C148</f>
        <v>1260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40</v>
      </c>
      <c r="B149" s="175">
        <f>'Données projet'!D142</f>
        <v>42</v>
      </c>
      <c r="C149" s="193">
        <v>40</v>
      </c>
      <c r="D149" s="182">
        <f t="shared" si="10"/>
        <v>1680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50</v>
      </c>
      <c r="B150" s="175">
        <f>'Données projet'!D143</f>
        <v>31</v>
      </c>
      <c r="C150" s="193">
        <v>50</v>
      </c>
      <c r="D150" s="182">
        <f t="shared" si="10"/>
        <v>1550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60</v>
      </c>
      <c r="B151" s="175">
        <f>'Données projet'!D144</f>
        <v>20</v>
      </c>
      <c r="C151" s="193">
        <v>60</v>
      </c>
      <c r="D151" s="182">
        <f t="shared" si="10"/>
        <v>1200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70</v>
      </c>
      <c r="B152" s="175">
        <f>'Données projet'!D145</f>
        <v>16</v>
      </c>
      <c r="C152" s="193">
        <v>70</v>
      </c>
      <c r="D152" s="182">
        <f t="shared" si="10"/>
        <v>1120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80</v>
      </c>
      <c r="B153" s="175">
        <f>'Données projet'!D146</f>
        <v>226</v>
      </c>
      <c r="C153" s="193">
        <v>70</v>
      </c>
      <c r="D153" s="182">
        <f t="shared" si="10"/>
        <v>15820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>Pin laricio</v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>
        <v>1194.48</v>
      </c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20</v>
      </c>
      <c r="B178" s="181">
        <f>'Données projet'!D166</f>
        <v>0</v>
      </c>
      <c r="C178" s="193">
        <v>10</v>
      </c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30</v>
      </c>
      <c r="B179" s="181">
        <f>'Données projet'!D167</f>
        <v>41</v>
      </c>
      <c r="C179" s="193">
        <v>15</v>
      </c>
      <c r="D179" s="179">
        <f t="shared" ref="D179:D197" si="11">B179*C179</f>
        <v>615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40</v>
      </c>
      <c r="B180" s="181">
        <f>'Données projet'!D168</f>
        <v>56</v>
      </c>
      <c r="C180" s="193">
        <v>25</v>
      </c>
      <c r="D180" s="179">
        <f t="shared" si="11"/>
        <v>1400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50</v>
      </c>
      <c r="B181" s="181">
        <f>'Données projet'!D169</f>
        <v>56</v>
      </c>
      <c r="C181" s="193">
        <v>35</v>
      </c>
      <c r="D181" s="179">
        <f t="shared" si="11"/>
        <v>1960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60</v>
      </c>
      <c r="B182" s="181">
        <f>'Données projet'!D170</f>
        <v>49</v>
      </c>
      <c r="C182" s="193">
        <v>40</v>
      </c>
      <c r="D182" s="179">
        <f t="shared" si="11"/>
        <v>1960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70</v>
      </c>
      <c r="B183" s="181">
        <f>'Données projet'!D171</f>
        <v>38</v>
      </c>
      <c r="C183" s="193">
        <v>50</v>
      </c>
      <c r="D183" s="179">
        <f t="shared" si="11"/>
        <v>1900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80</v>
      </c>
      <c r="B184" s="181">
        <f>'Données projet'!D172</f>
        <v>377</v>
      </c>
      <c r="C184" s="193">
        <v>60</v>
      </c>
      <c r="D184" s="179">
        <f t="shared" si="11"/>
        <v>22620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>Merisier</v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>
        <v>1780.66</v>
      </c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25</v>
      </c>
      <c r="B209" s="181">
        <f>'Données projet'!D192</f>
        <v>0</v>
      </c>
      <c r="C209" s="191">
        <v>8</v>
      </c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30</v>
      </c>
      <c r="B210" s="181">
        <f>'Données projet'!D193</f>
        <v>0</v>
      </c>
      <c r="C210" s="191">
        <v>12</v>
      </c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40</v>
      </c>
      <c r="B211" s="181">
        <f>'Données projet'!D194</f>
        <v>27</v>
      </c>
      <c r="C211" s="191">
        <v>15</v>
      </c>
      <c r="D211" s="179">
        <f t="shared" si="12"/>
        <v>405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50</v>
      </c>
      <c r="B212" s="181">
        <f>'Données projet'!D195</f>
        <v>28</v>
      </c>
      <c r="C212" s="191">
        <v>20</v>
      </c>
      <c r="D212" s="179">
        <f t="shared" si="12"/>
        <v>560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60</v>
      </c>
      <c r="B213" s="181">
        <f>'Données projet'!D196</f>
        <v>28</v>
      </c>
      <c r="C213" s="191">
        <v>25</v>
      </c>
      <c r="D213" s="179">
        <f t="shared" si="12"/>
        <v>700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70</v>
      </c>
      <c r="B214" s="181">
        <f>'Données projet'!D197</f>
        <v>28</v>
      </c>
      <c r="C214" s="191">
        <v>30</v>
      </c>
      <c r="D214" s="179">
        <f t="shared" si="12"/>
        <v>840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80</v>
      </c>
      <c r="B215" s="181">
        <f>'Données projet'!D198</f>
        <v>28</v>
      </c>
      <c r="C215" s="191">
        <v>35</v>
      </c>
      <c r="D215" s="179">
        <f t="shared" si="12"/>
        <v>980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90</v>
      </c>
      <c r="B216" s="181">
        <f>'Données projet'!D199</f>
        <v>28</v>
      </c>
      <c r="C216" s="191">
        <v>40</v>
      </c>
      <c r="D216" s="179">
        <f t="shared" si="12"/>
        <v>1120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100</v>
      </c>
      <c r="B217" s="181">
        <f>'Données projet'!D200</f>
        <v>28</v>
      </c>
      <c r="C217" s="191">
        <v>50</v>
      </c>
      <c r="D217" s="179">
        <f t="shared" si="12"/>
        <v>1400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110</v>
      </c>
      <c r="B218" s="181">
        <f>'Données projet'!D201</f>
        <v>27</v>
      </c>
      <c r="C218" s="191">
        <v>60</v>
      </c>
      <c r="D218" s="179">
        <f t="shared" si="12"/>
        <v>1620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120</v>
      </c>
      <c r="B219" s="181">
        <f>'Données projet'!D202</f>
        <v>234</v>
      </c>
      <c r="C219" s="191">
        <v>180</v>
      </c>
      <c r="D219" s="179">
        <f t="shared" si="12"/>
        <v>42120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>Robinier faux-acacia</v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>
        <v>1128.1199999999999</v>
      </c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5</v>
      </c>
      <c r="B240" s="181">
        <f>'Données projet'!D218</f>
        <v>7</v>
      </c>
      <c r="C240" s="191">
        <v>0</v>
      </c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10</v>
      </c>
      <c r="B241" s="181">
        <f>'Données projet'!D219</f>
        <v>22</v>
      </c>
      <c r="C241" s="191">
        <v>6</v>
      </c>
      <c r="D241" s="179">
        <f t="shared" ref="D241:D259" si="13">B241*C241</f>
        <v>132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15</v>
      </c>
      <c r="B242" s="181">
        <f>'Données projet'!D220</f>
        <v>22</v>
      </c>
      <c r="C242" s="191">
        <v>10</v>
      </c>
      <c r="D242" s="179">
        <f t="shared" si="13"/>
        <v>220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20</v>
      </c>
      <c r="B243" s="181">
        <f>'Données projet'!D221</f>
        <v>17</v>
      </c>
      <c r="C243" s="191">
        <v>25</v>
      </c>
      <c r="D243" s="179">
        <f t="shared" si="13"/>
        <v>425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25</v>
      </c>
      <c r="B244" s="181">
        <f>'Données projet'!D222</f>
        <v>13</v>
      </c>
      <c r="C244" s="191">
        <v>30</v>
      </c>
      <c r="D244" s="179">
        <f t="shared" si="13"/>
        <v>390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30</v>
      </c>
      <c r="B245" s="181">
        <f>'Données projet'!D223</f>
        <v>9</v>
      </c>
      <c r="C245" s="191">
        <v>60</v>
      </c>
      <c r="D245" s="179">
        <f t="shared" si="13"/>
        <v>540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35</v>
      </c>
      <c r="B246" s="181">
        <f>'Données projet'!D224</f>
        <v>185</v>
      </c>
      <c r="C246" s="191">
        <v>80</v>
      </c>
      <c r="D246" s="179">
        <f t="shared" si="13"/>
        <v>14800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>Pin laricio</v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>
        <v>1227.6600000000001</v>
      </c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20</v>
      </c>
      <c r="B271" s="181">
        <f>'Données projet'!D244</f>
        <v>0</v>
      </c>
      <c r="C271" s="193">
        <v>10</v>
      </c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30</v>
      </c>
      <c r="B272" s="181">
        <f>'Données projet'!D245</f>
        <v>41</v>
      </c>
      <c r="C272" s="193">
        <v>15</v>
      </c>
      <c r="D272" s="179">
        <f t="shared" ref="D272:D290" si="14">B272*C272</f>
        <v>615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40</v>
      </c>
      <c r="B273" s="181">
        <f>'Données projet'!D246</f>
        <v>56</v>
      </c>
      <c r="C273" s="193">
        <v>25</v>
      </c>
      <c r="D273" s="179">
        <f t="shared" si="14"/>
        <v>1400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50</v>
      </c>
      <c r="B274" s="181">
        <f>'Données projet'!D247</f>
        <v>56</v>
      </c>
      <c r="C274" s="193">
        <v>35</v>
      </c>
      <c r="D274" s="179">
        <f t="shared" si="14"/>
        <v>1960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60</v>
      </c>
      <c r="B275" s="181">
        <f>'Données projet'!D248</f>
        <v>49</v>
      </c>
      <c r="C275" s="193">
        <v>40</v>
      </c>
      <c r="D275" s="179">
        <f t="shared" si="14"/>
        <v>1960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70</v>
      </c>
      <c r="B276" s="181">
        <f>'Données projet'!D249</f>
        <v>38</v>
      </c>
      <c r="C276" s="193">
        <v>50</v>
      </c>
      <c r="D276" s="179">
        <f t="shared" si="14"/>
        <v>1900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80</v>
      </c>
      <c r="B277" s="181">
        <f>'Données projet'!D250</f>
        <v>377</v>
      </c>
      <c r="C277" s="193">
        <v>60</v>
      </c>
      <c r="D277" s="179">
        <f t="shared" si="14"/>
        <v>22620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SyracuseOfficeCustomData>{"createMode":"plain_doc","forceRefresh":"0"}</SyracuseOfficeCustomDat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CB1BCEF-BE35-4FCC-A1E4-F6D9D1B4E6B9}">
  <ds:schemaRefs/>
</ds:datastoreItem>
</file>

<file path=customXml/itemProps3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Scénario référence</vt:lpstr>
      <vt:lpstr>Calculateur</vt:lpstr>
      <vt:lpstr>Paramètres</vt:lpstr>
      <vt:lpstr>REE</vt:lpstr>
      <vt:lpstr>Données projet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Constance Morise</cp:lastModifiedBy>
  <dcterms:created xsi:type="dcterms:W3CDTF">2021-02-01T08:22:39Z</dcterms:created>
  <dcterms:modified xsi:type="dcterms:W3CDTF">2023-02-02T10:08:30Z</dcterms:modified>
</cp:coreProperties>
</file>