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3 - Mauboux\DDP_Novembre2022\"/>
    </mc:Choice>
  </mc:AlternateContent>
  <xr:revisionPtr revIDLastSave="0" documentId="13_ncr:1_{4DB2DCF7-BF45-49B7-A70A-714364BE8CD2}" xr6:coauthVersionLast="47" xr6:coauthVersionMax="47" xr10:uidLastSave="{00000000-0000-0000-0000-000000000000}"/>
  <bookViews>
    <workbookView xWindow="25092" yWindow="-504" windowWidth="23256" windowHeight="131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5" i="6" l="1"/>
  <c r="E296" i="6"/>
  <c r="E234" i="6"/>
  <c r="E203" i="6"/>
  <c r="E172" i="6"/>
  <c r="E141" i="6"/>
  <c r="E110" i="6"/>
  <c r="E79" i="6"/>
  <c r="E48" i="6"/>
  <c r="E17" i="6"/>
  <c r="I20" i="6"/>
  <c r="I23" i="6"/>
  <c r="I22" i="6"/>
  <c r="I21" i="6"/>
  <c r="B279" i="1" l="1"/>
  <c r="D279" i="1" s="1"/>
  <c r="B252" i="1"/>
  <c r="B251" i="1"/>
  <c r="B250" i="1"/>
  <c r="B249" i="1"/>
  <c r="B248" i="1"/>
  <c r="B247" i="1"/>
  <c r="B246" i="1"/>
  <c r="B245" i="1"/>
  <c r="B228" i="1"/>
  <c r="D228" i="1" s="1"/>
  <c r="D227" i="1"/>
  <c r="D226" i="1"/>
  <c r="D225" i="1"/>
  <c r="D224" i="1"/>
  <c r="D223" i="1"/>
  <c r="D222" i="1"/>
  <c r="D221" i="1"/>
  <c r="D220" i="1"/>
  <c r="D219" i="1"/>
  <c r="D218" i="1"/>
  <c r="D198" i="1"/>
  <c r="B173" i="1"/>
  <c r="D173" i="1" s="1"/>
  <c r="D172" i="1"/>
  <c r="D171" i="1"/>
  <c r="D170" i="1"/>
  <c r="D169" i="1"/>
  <c r="D168" i="1"/>
  <c r="D167" i="1"/>
  <c r="B146" i="1"/>
  <c r="D146" i="1" s="1"/>
  <c r="B95" i="1"/>
  <c r="D95" i="1" s="1"/>
  <c r="D94" i="1"/>
  <c r="D93" i="1"/>
  <c r="D92" i="1"/>
  <c r="D91" i="1"/>
  <c r="D90" i="1"/>
  <c r="D89" i="1"/>
  <c r="D88" i="1"/>
  <c r="B72" i="1"/>
  <c r="D72" i="1" s="1"/>
  <c r="D71" i="1"/>
  <c r="D70" i="1"/>
  <c r="D69" i="1"/>
  <c r="D68" i="1"/>
  <c r="D67" i="1"/>
  <c r="D66" i="1"/>
  <c r="D65" i="1"/>
  <c r="D64" i="1"/>
  <c r="D63" i="1"/>
  <c r="D62" i="1"/>
  <c r="B43" i="1"/>
  <c r="D43" i="1" s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FS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B128" i="2"/>
  <c r="EV128" i="2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H154" i="2"/>
  <c r="HG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D154" i="2"/>
  <c r="HG155" i="2"/>
  <c r="EY154" i="2"/>
  <c r="EW155" i="2"/>
  <c r="EX155" i="2"/>
  <c r="DI154" i="2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FS156" i="2"/>
  <c r="EY155" i="2"/>
  <c r="EX156" i="2"/>
  <c r="EB156" i="2"/>
  <c r="DH156" i="2"/>
  <c r="AB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D157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HI160" i="2"/>
  <c r="EY159" i="2"/>
  <c r="DG160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G161" i="2"/>
  <c r="HH161" i="2"/>
  <c r="EX161" i="2"/>
  <c r="EB161" i="2"/>
  <c r="EA161" i="2"/>
  <c r="ED160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EB162" i="2"/>
  <c r="DI161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G163" i="2"/>
  <c r="HH163" i="2"/>
  <c r="EB163" i="2"/>
  <c r="EA163" i="2"/>
  <c r="EV163" i="2"/>
  <c r="EY163" i="2" s="1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FS164" i="2"/>
  <c r="DH164" i="2"/>
  <c r="EA164" i="2"/>
  <c r="EX164" i="2"/>
  <c r="EV164" i="2"/>
  <c r="FR164" i="2"/>
  <c r="DI163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CN165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Y166" i="2"/>
  <c r="EX167" i="2"/>
  <c r="EC167" i="2"/>
  <c r="DG167" i="2"/>
  <c r="EA167" i="2"/>
  <c r="HH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DG168" i="2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V172" i="2"/>
  <c r="EW172" i="2"/>
  <c r="EA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W175" i="2"/>
  <c r="EB175" i="2"/>
  <c r="HI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EW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H179" i="2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D185" i="2"/>
  <c r="HH186" i="2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HG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G192" i="2"/>
  <c r="HH192" i="2"/>
  <c r="EC192" i="2"/>
  <c r="EA192" i="2"/>
  <c r="EW192" i="2"/>
  <c r="HI192" i="2"/>
  <c r="EV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DI192" i="2"/>
  <c r="EY192" i="2"/>
  <c r="EX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HI195" i="2"/>
  <c r="EA195" i="2"/>
  <c r="ED194" i="2"/>
  <c r="DH195" i="2"/>
  <c r="EX195" i="2"/>
  <c r="HG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HG197" i="2"/>
  <c r="HH197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D197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V199" i="2"/>
  <c r="EY198" i="2"/>
  <c r="EA199" i="2"/>
  <c r="HH199" i="2"/>
  <c r="FS199" i="2"/>
  <c r="EW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HG201" i="2"/>
  <c r="FS201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HG202" i="2"/>
  <c r="FS202" i="2"/>
  <c r="EY201" i="2"/>
  <c r="EW202" i="2"/>
  <c r="ED201" i="2"/>
  <c r="FZ6" i="2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68" i="2" a="1"/>
  <c r="GT68" i="2" s="1"/>
  <c r="GT51" i="2" a="1"/>
  <c r="GT51" i="2" s="1"/>
  <c r="GT122" i="2" a="1"/>
  <c r="GT122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86" i="2" a="1"/>
  <c r="DN186" i="2" s="1"/>
  <c r="DN50" i="2" a="1"/>
  <c r="DN50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DN103" i="2" a="1"/>
  <c r="DN103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80" i="2" a="1"/>
  <c r="DN80" i="2" s="1"/>
  <c r="CS56" i="2" a="1"/>
  <c r="CS56" i="2" s="1"/>
  <c r="CS114" i="2" a="1"/>
  <c r="CS114" i="2" s="1"/>
  <c r="DN16" i="2" a="1"/>
  <c r="DN16" i="2" s="1"/>
  <c r="DN31" i="2" a="1"/>
  <c r="DN31" i="2" s="1"/>
  <c r="DN190" i="2" a="1"/>
  <c r="DN190" i="2" s="1"/>
  <c r="DN176" i="2" a="1"/>
  <c r="DN176" i="2" s="1"/>
  <c r="DN6" i="2" a="1"/>
  <c r="DN6" i="2" s="1"/>
  <c r="DO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AX200" i="2"/>
  <c r="GT181" i="2" l="1" a="1"/>
  <c r="GT181" i="2" s="1"/>
  <c r="GT184" i="2" a="1"/>
  <c r="GT184" i="2" s="1"/>
  <c r="GT115" i="2" a="1"/>
  <c r="GT115" i="2" s="1"/>
  <c r="HG203" i="2"/>
  <c r="GT121" i="2" a="1"/>
  <c r="GT121" i="2" s="1"/>
  <c r="EY202" i="2"/>
  <c r="DN133" i="2" a="1"/>
  <c r="DN133" i="2" s="1"/>
  <c r="DN162" i="2" a="1"/>
  <c r="DN162" i="2" s="1"/>
  <c r="DN188" i="2" a="1"/>
  <c r="DN188" i="2" s="1"/>
  <c r="DN113" i="2" a="1"/>
  <c r="DN113" i="2" s="1"/>
  <c r="DN137" i="2" a="1"/>
  <c r="DN137" i="2" s="1"/>
  <c r="DN65" i="2" a="1"/>
  <c r="DN65" i="2" s="1"/>
  <c r="DN49" i="2" a="1"/>
  <c r="DN49" i="2" s="1"/>
  <c r="DN168" i="2" a="1"/>
  <c r="DN168" i="2" s="1"/>
  <c r="DN86" i="2" a="1"/>
  <c r="DN86" i="2" s="1"/>
  <c r="DN25" i="2" a="1"/>
  <c r="DN25" i="2" s="1"/>
  <c r="DN70" i="2" a="1"/>
  <c r="DN70" i="2" s="1"/>
  <c r="DN164" i="2" a="1"/>
  <c r="DN164" i="2" s="1"/>
  <c r="DN63" i="2" a="1"/>
  <c r="DN63" i="2" s="1"/>
  <c r="DN123" i="2" a="1"/>
  <c r="DN123" i="2" s="1"/>
  <c r="DN177" i="2" a="1"/>
  <c r="DN177" i="2" s="1"/>
  <c r="DN184" i="2" a="1"/>
  <c r="DN184" i="2" s="1"/>
  <c r="DN55" i="2" a="1"/>
  <c r="DN55" i="2" s="1"/>
  <c r="DN135" i="2" a="1"/>
  <c r="DN135" i="2" s="1"/>
  <c r="DN115" i="2" a="1"/>
  <c r="DN115" i="2" s="1"/>
  <c r="DN152" i="2" a="1"/>
  <c r="DN152" i="2" s="1"/>
  <c r="DN124" i="2" a="1"/>
  <c r="DN124" i="2" s="1"/>
  <c r="DN46" i="2" a="1"/>
  <c r="DN46" i="2" s="1"/>
  <c r="DN110" i="2" a="1"/>
  <c r="DN110" i="2" s="1"/>
  <c r="DN38" i="2" a="1"/>
  <c r="DN38" i="2" s="1"/>
  <c r="DN153" i="2" a="1"/>
  <c r="DN153" i="2" s="1"/>
  <c r="DN29" i="2" a="1"/>
  <c r="DN29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67" i="2" a="1"/>
  <c r="DN167" i="2" s="1"/>
  <c r="DN114" i="2" a="1"/>
  <c r="DN114" i="2" s="1"/>
  <c r="DN192" i="2" a="1"/>
  <c r="DN192" i="2" s="1"/>
  <c r="DN129" i="2" a="1"/>
  <c r="DN129" i="2" s="1"/>
  <c r="DN43" i="2" a="1"/>
  <c r="DN43" i="2" s="1"/>
  <c r="HH203" i="2"/>
  <c r="FD107" i="2" a="1"/>
  <c r="FD107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44" i="2" a="1"/>
  <c r="FD44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J180" i="2" l="1"/>
  <c r="FJ117" i="2"/>
  <c r="FJ114" i="2"/>
  <c r="FJ140" i="2"/>
  <c r="FJ79" i="2"/>
  <c r="FJ93" i="2"/>
  <c r="FJ92" i="2"/>
  <c r="FJ169" i="2"/>
  <c r="FJ49" i="2"/>
  <c r="FJ98" i="2"/>
  <c r="FJ63" i="2"/>
  <c r="FJ36" i="2"/>
  <c r="FJ101" i="2"/>
  <c r="FJ11" i="2"/>
  <c r="FJ197" i="2"/>
  <c r="FJ181" i="2"/>
  <c r="FJ170" i="2"/>
  <c r="FJ171" i="2"/>
  <c r="FJ182" i="2"/>
  <c r="FJ145" i="2"/>
  <c r="FJ46" i="2"/>
  <c r="FJ19" i="2"/>
  <c r="FJ70" i="2"/>
  <c r="FJ73" i="2"/>
  <c r="FJ7" i="2"/>
  <c r="FJ136" i="2"/>
  <c r="FJ160" i="2"/>
  <c r="FJ52" i="2"/>
  <c r="FJ203" i="2"/>
  <c r="FJ183" i="2"/>
  <c r="FJ149" i="2"/>
  <c r="FJ108" i="2"/>
  <c r="FJ38" i="2"/>
  <c r="FJ102" i="2"/>
  <c r="FJ51" i="2"/>
  <c r="FJ134" i="2"/>
  <c r="FJ82" i="2"/>
  <c r="FJ118" i="2"/>
  <c r="FJ17" i="2"/>
  <c r="FJ64" i="2"/>
  <c r="FJ40" i="2"/>
  <c r="FJ4" i="2"/>
  <c r="FJ190" i="2"/>
  <c r="FJ133" i="2"/>
  <c r="FJ124" i="2"/>
  <c r="FJ189" i="2"/>
  <c r="FJ75" i="2"/>
  <c r="FJ87" i="2"/>
  <c r="FJ12" i="2"/>
  <c r="FJ137" i="2"/>
  <c r="FJ57" i="2"/>
  <c r="FJ26" i="2"/>
  <c r="FJ116" i="2"/>
  <c r="FJ8" i="2"/>
  <c r="FJ44" i="2"/>
  <c r="FJ172" i="2"/>
  <c r="FJ109" i="2"/>
  <c r="FJ54" i="2"/>
  <c r="FJ14" i="2"/>
  <c r="FJ142" i="2"/>
  <c r="FJ9" i="2"/>
  <c r="FJ83" i="2"/>
  <c r="FJ194" i="2"/>
  <c r="FJ150" i="2"/>
  <c r="FJ121" i="2"/>
  <c r="FJ22" i="2"/>
  <c r="FJ151" i="2"/>
  <c r="FJ86" i="2"/>
  <c r="FJ96" i="2"/>
  <c r="FJ67" i="2"/>
  <c r="FJ168" i="2"/>
  <c r="FJ23" i="2"/>
  <c r="FJ200" i="2"/>
  <c r="FJ60" i="2"/>
  <c r="FJ41" i="2"/>
  <c r="FJ135" i="2"/>
  <c r="FJ72" i="2"/>
  <c r="FJ50" i="2"/>
  <c r="FJ161" i="2"/>
  <c r="FJ112" i="2"/>
  <c r="FJ127" i="2"/>
  <c r="FJ104" i="2"/>
  <c r="FJ91" i="2"/>
  <c r="FJ144" i="2"/>
  <c r="FJ30" i="2"/>
  <c r="FJ106" i="2"/>
  <c r="FJ196" i="2"/>
  <c r="FJ84" i="2"/>
  <c r="FJ148" i="2"/>
  <c r="FJ90" i="2"/>
  <c r="FJ78" i="2"/>
  <c r="FJ147" i="2"/>
  <c r="FJ125" i="2"/>
  <c r="FJ48" i="2"/>
  <c r="FJ10" i="2"/>
  <c r="FJ153" i="2"/>
  <c r="FJ195" i="2"/>
  <c r="FJ81" i="2"/>
  <c r="FJ143" i="2"/>
  <c r="FJ21" i="2"/>
  <c r="FJ188" i="2"/>
  <c r="FJ99" i="2"/>
  <c r="FJ120" i="2"/>
  <c r="FJ126" i="2"/>
  <c r="FJ174" i="2"/>
  <c r="FJ74" i="2"/>
  <c r="FJ159" i="2"/>
  <c r="FJ184" i="2"/>
  <c r="FJ31" i="2"/>
  <c r="FJ80" i="2"/>
  <c r="FJ146" i="2"/>
  <c r="FJ71" i="2"/>
  <c r="FJ100" i="2"/>
  <c r="FJ32" i="2"/>
  <c r="FJ29" i="2"/>
  <c r="FJ111" i="2"/>
  <c r="FJ35" i="2"/>
  <c r="FJ59" i="2"/>
  <c r="FJ129" i="2"/>
  <c r="FJ89" i="2"/>
  <c r="FJ132" i="2"/>
  <c r="FJ163" i="2"/>
  <c r="FJ166" i="2"/>
  <c r="FJ152" i="2"/>
  <c r="FJ66" i="2"/>
  <c r="FJ130" i="2"/>
  <c r="FJ157" i="2"/>
  <c r="FJ3" i="2"/>
  <c r="C13" i="4" s="1"/>
  <c r="E13" i="4" s="1"/>
  <c r="F13" i="4" s="1"/>
  <c r="G13" i="4" s="1"/>
  <c r="L13" i="4" s="1"/>
  <c r="FJ77" i="2"/>
  <c r="FJ198" i="2"/>
  <c r="FJ62" i="2"/>
  <c r="FJ119" i="2"/>
  <c r="FJ69" i="2"/>
  <c r="FJ27" i="2"/>
  <c r="FJ65" i="2"/>
  <c r="FJ131" i="2"/>
  <c r="FJ95" i="2"/>
  <c r="FJ55" i="2"/>
  <c r="FJ155" i="2"/>
  <c r="FJ28" i="2"/>
  <c r="FJ94" i="2"/>
  <c r="FJ173" i="2"/>
  <c r="FJ61" i="2"/>
  <c r="FJ76" i="2"/>
  <c r="FJ199" i="2"/>
  <c r="FJ6" i="2"/>
  <c r="FJ18" i="2"/>
  <c r="FJ113" i="2"/>
  <c r="FJ139" i="2"/>
  <c r="FJ107" i="2"/>
  <c r="FJ85" i="2"/>
  <c r="FJ164" i="2"/>
  <c r="FJ34" i="2"/>
  <c r="FJ33" i="2"/>
  <c r="FJ24" i="2"/>
  <c r="FJ128" i="2"/>
  <c r="FJ123" i="2"/>
  <c r="FJ185" i="2"/>
  <c r="FJ43" i="2"/>
  <c r="FJ178" i="2"/>
  <c r="FJ156" i="2"/>
  <c r="FJ162" i="2"/>
  <c r="FJ191" i="2"/>
  <c r="FJ165" i="2"/>
  <c r="FJ58" i="2"/>
  <c r="FJ47" i="2"/>
  <c r="FJ115" i="2"/>
  <c r="FJ187" i="2"/>
  <c r="FJ37" i="2"/>
  <c r="FJ68" i="2"/>
  <c r="FJ25" i="2"/>
  <c r="FJ201" i="2"/>
  <c r="FJ56" i="2"/>
  <c r="FJ141" i="2"/>
  <c r="FJ179" i="2"/>
  <c r="FJ177" i="2"/>
  <c r="FJ20" i="2"/>
  <c r="FJ16" i="2"/>
  <c r="FJ154" i="2"/>
  <c r="FJ158" i="2"/>
  <c r="FJ110" i="2"/>
  <c r="FJ202" i="2"/>
  <c r="FJ175" i="2"/>
  <c r="FJ42" i="2"/>
  <c r="FJ122" i="2"/>
  <c r="FJ176" i="2"/>
  <c r="FJ192" i="2"/>
  <c r="FJ138" i="2"/>
  <c r="FJ53" i="2"/>
  <c r="FJ103" i="2"/>
  <c r="FJ5" i="2"/>
  <c r="FJ15" i="2"/>
  <c r="FJ167" i="2"/>
  <c r="FJ39" i="2"/>
  <c r="FJ186" i="2"/>
  <c r="FJ105" i="2"/>
  <c r="FJ88" i="2"/>
  <c r="FJ13" i="2"/>
  <c r="FJ97" i="2"/>
  <c r="FJ193" i="2"/>
  <c r="FJ4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<sst xmlns="http://schemas.openxmlformats.org/spreadsheetml/2006/main" count="1184" uniqueCount="329">
  <si>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</si>
  <si>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</si>
  <si>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</si>
  <si>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</si>
  <si>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</si>
  <si>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</si>
  <si>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</si>
  <si>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</si>
  <si>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</si>
  <si>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</si>
  <si>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</si>
  <si>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</si>
  <si>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</si>
  <si>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</si>
  <si>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</si>
  <si>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</si>
  <si>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</si>
  <si>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</si>
  <si>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</si>
  <si>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</si>
  <si>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</si>
  <si>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</si>
  <si>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</si>
  <si>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</si>
  <si>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</si>
  <si>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</si>
  <si>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</si>
  <si>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</si>
  <si>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</si>
  <si>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</si>
  <si>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</si>
  <si>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</si>
  <si>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</si>
  <si>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</si>
  <si>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</si>
  <si>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</si>
  <si>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</si>
  <si>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</si>
  <si>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</si>
  <si>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</si>
  <si>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</si>
  <si>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</si>
  <si>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</si>
  <si>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</si>
  <si>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</si>
  <si>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</si>
  <si>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</si>
  <si>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</si>
  <si>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</si>
  <si>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</si>
  <si>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</si>
  <si>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</si>
  <si>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</si>
  <si>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</si>
  <si>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</si>
  <si>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</si>
  <si>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</si>
  <si>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</si>
  <si>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</si>
  <si>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</si>
  <si>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</si>
  <si>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</si>
  <si>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</si>
  <si>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</si>
  <si>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</si>
  <si>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</si>
  <si>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</si>
  <si>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</si>
  <si>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</si>
  <si>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</si>
  <si>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</si>
  <si>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</si>
  <si>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</si>
  <si>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</si>
  <si>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</si>
  <si>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</si>
  <si>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</si>
  <si>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</si>
  <si>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</si>
  <si>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</si>
  <si>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</si>
  <si>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</si>
  <si>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</si>
  <si>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</si>
  <si>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</si>
  <si>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</si>
  <si>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</si>
  <si>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</si>
  <si>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</si>
  <si>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</si>
  <si>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</si>
  <si>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</si>
  <si>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</si>
  <si>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</si>
  <si>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</si>
  <si>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</si>
  <si>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</si>
  <si>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</si>
  <si>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</si>
  <si>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</si>
  <si>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</si>
  <si>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</si>
  <si>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</si>
  <si>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</si>
  <si>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</si>
  <si>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</si>
  <si>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</si>
  <si>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</si>
  <si>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</si>
  <si>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</si>
  <si>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</si>
  <si>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</si>
  <si>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</si>
  <si>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</si>
  <si>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</si>
  <si>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</si>
  <si>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</si>
  <si>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</si>
  <si>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</si>
  <si>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</si>
  <si>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</si>
  <si>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</si>
  <si>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</si>
  <si>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</si>
  <si>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</si>
  <si>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</si>
  <si>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</si>
  <si>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</si>
  <si>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</si>
  <si>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</si>
  <si>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</si>
  <si>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</si>
  <si>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</si>
  <si>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</si>
  <si>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</si>
  <si>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</si>
  <si>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</si>
  <si>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</si>
  <si>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</si>
  <si>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</si>
  <si>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</si>
  <si>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</si>
  <si>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</si>
  <si>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</si>
  <si>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</si>
  <si>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</si>
  <si>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</si>
  <si>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</si>
  <si>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</si>
  <si>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</si>
  <si>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</si>
  <si>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</si>
  <si>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</si>
  <si>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</si>
  <si>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</si>
  <si>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</si>
  <si>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</si>
  <si>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</si>
  <si>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</si>
  <si>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</si>
  <si>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</si>
  <si>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</si>
  <si>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</si>
  <si>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</si>
  <si>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</si>
  <si>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</si>
  <si>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</si>
  <si>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</si>
  <si>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</si>
  <si>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</si>
  <si>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</si>
  <si>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</si>
  <si>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</si>
  <si>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</si>
  <si>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</si>
  <si>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</si>
  <si>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</si>
  <si>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</si>
  <si>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</si>
  <si>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</si>
  <si>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</si>
  <si>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</si>
  <si>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</si>
  <si>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</si>
  <si>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</si>
  <si>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</si>
  <si>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</si>
  <si>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</si>
  <si>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</si>
  <si>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</si>
  <si>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</si>
  <si>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</si>
  <si>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</si>
  <si>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</si>
  <si>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</si>
  <si>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</si>
  <si>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</si>
  <si>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</si>
  <si>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</si>
  <si>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</si>
  <si>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</si>
  <si>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</si>
  <si>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</si>
  <si>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</si>
  <si>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</si>
  <si>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</si>
  <si>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</si>
  <si>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</si>
  <si>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</si>
  <si>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</si>
  <si>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</si>
  <si>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</si>
  <si>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</si>
  <si>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</si>
  <si>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</si>
  <si>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</si>
  <si>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</si>
  <si>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</si>
  <si>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</si>
  <si>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</si>
  <si>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</si>
  <si>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</si>
  <si>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</si>
  <si>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</si>
  <si>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</si>
  <si>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</si>
  <si>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</si>
  <si>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</si>
  <si>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</si>
  <si>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</si>
  <si>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</si>
  <si>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</si>
  <si>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</si>
  <si>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</si>
  <si>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</si>
  <si>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</si>
  <si>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</si>
  <si>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</si>
  <si>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</si>
  <si>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</si>
  <si>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</si>
  <si>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</si>
  <si>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</si>
  <si>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</si>
  <si>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</si>
  <si>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</si>
  <si>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</si>
  <si>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</si>
  <si>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</si>
  <si>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</si>
  <si>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</si>
  <si>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</si>
  <si>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</si>
  <si>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</si>
  <si>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</si>
  <si>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</si>
  <si>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</si>
  <si>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</si>
  <si>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</si>
  <si>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</si>
  <si>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</si>
  <si>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</si>
  <si>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</si>
  <si>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</si>
  <si>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</si>
  <si>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</si>
  <si>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</si>
  <si>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</si>
  <si>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</si>
  <si>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</si>
  <si>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</si>
  <si>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</si>
  <si>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</si>
  <si>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</si>
  <si>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</si>
  <si>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</si>
  <si>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</si>
  <si>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</si>
  <si>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</si>
  <si>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</si>
  <si>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</si>
  <si>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</si>
  <si>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</si>
  <si>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</si>
  <si>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</si>
  <si>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</si>
  <si>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</si>
  <si>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</si>
  <si>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</si>
  <si>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</si>
  <si>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</si>
  <si>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</si>
  <si>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</si>
  <si>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</si>
  <si>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</si>
  <si>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</si>
  <si>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</si>
  <si>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</si>
  <si>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</si>
  <si>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</si>
  <si>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</si>
  <si>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</si>
  <si>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</si>
  <si>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</si>
  <si>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</si>
  <si>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</si>
  <si>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</si>
  <si>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</si>
  <si>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</si>
  <si>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</si>
  <si>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</si>
  <si>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</si>
  <si>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</si>
  <si>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</si>
  <si>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</si>
  <si>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</si>
  <si>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</si>
  <si>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</si>
  <si>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</si>
  <si>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</si>
  <si>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</si>
  <si>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</si>
  <si>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</si>
  <si>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</si>
  <si>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0 = préparation de sol</t>
  </si>
  <si>
    <t>1 = entretiens + frais fixes (assurances, gestion…)</t>
  </si>
  <si>
    <t>2 = entretien complet + frais fixes</t>
  </si>
  <si>
    <t>3 = entretien complet+ frais fixes</t>
  </si>
  <si>
    <t>4 = frais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</si>
</sst>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2.108474572518316</c:v>
                </c:pt>
                <c:pt idx="2">
                  <c:v>2.8670085021075149</c:v>
                </c:pt>
                <c:pt idx="3">
                  <c:v>3.8995836938128075</c:v>
                </c:pt>
                <c:pt idx="4">
                  <c:v>5.3055980481022571</c:v>
                </c:pt>
                <c:pt idx="5">
                  <c:v>7.2206353449995211</c:v>
                </c:pt>
                <c:pt idx="6">
                  <c:v>9.8296836619511652</c:v>
                </c:pt>
                <c:pt idx="7">
                  <c:v>13.38519747861622</c:v>
                </c:pt>
                <c:pt idx="8">
                  <c:v>18.23178342374937</c:v>
                </c:pt>
                <c:pt idx="9">
                  <c:v>24.839945406389592</c:v>
                </c:pt>
                <c:pt idx="10">
                  <c:v>33.852222834482681</c:v>
                </c:pt>
                <c:pt idx="11">
                  <c:v>46.146285377623315</c:v>
                </c:pt>
                <c:pt idx="12">
                  <c:v>62.921232121831004</c:v>
                </c:pt>
                <c:pt idx="13">
                  <c:v>83.125805197857886</c:v>
                </c:pt>
                <c:pt idx="14">
                  <c:v>103.20556924537884</c:v>
                </c:pt>
                <c:pt idx="15">
                  <c:v>123.18839787166746</c:v>
                </c:pt>
                <c:pt idx="16">
                  <c:v>143.09228790376088</c:v>
                </c:pt>
                <c:pt idx="17">
                  <c:v>132.98618500597115</c:v>
                </c:pt>
                <c:pt idx="18">
                  <c:v>155.45722875617952</c:v>
                </c:pt>
                <c:pt idx="19">
                  <c:v>177.85099744783145</c:v>
                </c:pt>
                <c:pt idx="20">
                  <c:v>200.17860042757502</c:v>
                </c:pt>
                <c:pt idx="21">
                  <c:v>182.06242044637693</c:v>
                </c:pt>
                <c:pt idx="22">
                  <c:v>207.9308195045044</c:v>
                </c:pt>
                <c:pt idx="23">
                  <c:v>233.72485302763633</c:v>
                </c:pt>
                <c:pt idx="24">
                  <c:v>259.45388286365005</c:v>
                </c:pt>
                <c:pt idx="25">
                  <c:v>229.5379645972439</c:v>
                </c:pt>
                <c:pt idx="26">
                  <c:v>254.95565122562834</c:v>
                </c:pt>
                <c:pt idx="27">
                  <c:v>280.31597953415428</c:v>
                </c:pt>
                <c:pt idx="28">
                  <c:v>305.62486594574432</c:v>
                </c:pt>
                <c:pt idx="29">
                  <c:v>277.00184490652941</c:v>
                </c:pt>
                <c:pt idx="30">
                  <c:v>300.92982424386526</c:v>
                </c:pt>
                <c:pt idx="31">
                  <c:v>324.81544955459077</c:v>
                </c:pt>
                <c:pt idx="32">
                  <c:v>348.66227126658896</c:v>
                </c:pt>
                <c:pt idx="33">
                  <c:v>372.47331459708585</c:v>
                </c:pt>
                <c:pt idx="34">
                  <c:v>396.25118655434932</c:v>
                </c:pt>
                <c:pt idx="35">
                  <c:v>338.65964342796582</c:v>
                </c:pt>
                <c:pt idx="36">
                  <c:v>357.59545707493356</c:v>
                </c:pt>
                <c:pt idx="37">
                  <c:v>376.50933088459868</c:v>
                </c:pt>
                <c:pt idx="38">
                  <c:v>395.40252158012913</c:v>
                </c:pt>
                <c:pt idx="39">
                  <c:v>414.27615603045524</c:v>
                </c:pt>
                <c:pt idx="40">
                  <c:v>433.13125009429888</c:v>
                </c:pt>
                <c:pt idx="41">
                  <c:v>403.88741034371873</c:v>
                </c:pt>
                <c:pt idx="42">
                  <c:v>417.87909386741245</c:v>
                </c:pt>
                <c:pt idx="43">
                  <c:v>431.86068387305653</c:v>
                </c:pt>
                <c:pt idx="44">
                  <c:v>445.8325531308746</c:v>
                </c:pt>
                <c:pt idx="45">
                  <c:v>459.79504914411177</c:v>
                </c:pt>
                <c:pt idx="46">
                  <c:v>473.74849659300207</c:v>
                </c:pt>
                <c:pt idx="47">
                  <c:v>456.3052857575903</c:v>
                </c:pt>
                <c:pt idx="48">
                  <c:v>465.50435362197749</c:v>
                </c:pt>
                <c:pt idx="49">
                  <c:v>474.69954624952516</c:v>
                </c:pt>
                <c:pt idx="50">
                  <c:v>483.89094931012482</c:v>
                </c:pt>
                <c:pt idx="51">
                  <c:v>493.07864495283161</c:v>
                </c:pt>
                <c:pt idx="52">
                  <c:v>502.2627120148843</c:v>
                </c:pt>
                <c:pt idx="53">
                  <c:v>511.44322621464318</c:v>
                </c:pt>
                <c:pt idx="54">
                  <c:v>520.62026032995084</c:v>
                </c:pt>
                <c:pt idx="55">
                  <c:v>502.89596414017211</c:v>
                </c:pt>
                <c:pt idx="56">
                  <c:v>506.69512340906493</c:v>
                </c:pt>
                <c:pt idx="57">
                  <c:v>510.49368045075312</c:v>
                </c:pt>
                <c:pt idx="58">
                  <c:v>514.29164038230499</c:v>
                </c:pt>
                <c:pt idx="59">
                  <c:v>518.08900823898546</c:v>
                </c:pt>
                <c:pt idx="60">
                  <c:v>521.88578897616731</c:v>
                </c:pt>
                <c:pt idx="61">
                  <c:v>525.68198747118402</c:v>
                </c:pt>
                <c:pt idx="62">
                  <c:v>529.4776085251259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2.8857801734533957</c:v>
                </c:pt>
                <c:pt idx="2">
                  <c:v>3.6047166540305375</c:v>
                </c:pt>
                <c:pt idx="3">
                  <c:v>4.5034527785323979</c:v>
                </c:pt>
                <c:pt idx="4">
                  <c:v>5.6271175445401775</c:v>
                </c:pt>
                <c:pt idx="5">
                  <c:v>7.0322053389879331</c:v>
                </c:pt>
                <c:pt idx="6">
                  <c:v>8.7894471555287339</c:v>
                </c:pt>
                <c:pt idx="7">
                  <c:v>10.987409244221809</c:v>
                </c:pt>
                <c:pt idx="8">
                  <c:v>13.737003974686814</c:v>
                </c:pt>
                <c:pt idx="9">
                  <c:v>17.177144743765361</c:v>
                </c:pt>
                <c:pt idx="10">
                  <c:v>21.481835814606853</c:v>
                </c:pt>
                <c:pt idx="11">
                  <c:v>26.869062105561046</c:v>
                </c:pt>
                <c:pt idx="12">
                  <c:v>33.611937010108598</c:v>
                </c:pt>
                <c:pt idx="13">
                  <c:v>42.052683166951695</c:v>
                </c:pt>
                <c:pt idx="14">
                  <c:v>52.620167797323553</c:v>
                </c:pt>
                <c:pt idx="15">
                  <c:v>65.851898429518272</c:v>
                </c:pt>
                <c:pt idx="16">
                  <c:v>82.421616144006791</c:v>
                </c:pt>
                <c:pt idx="17">
                  <c:v>103.17391396561358</c:v>
                </c:pt>
                <c:pt idx="18">
                  <c:v>129.16767286822821</c:v>
                </c:pt>
                <c:pt idx="19">
                  <c:v>161.73056610106445</c:v>
                </c:pt>
                <c:pt idx="20">
                  <c:v>202.52745814509981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609.91120610652558</c:v>
                </c:pt>
                <c:pt idx="112">
                  <c:v>620.21540909579812</c:v>
                </c:pt>
                <c:pt idx="113">
                  <c:v>630.51606604803237</c:v>
                </c:pt>
                <c:pt idx="114">
                  <c:v>640.81324304839393</c:v>
                </c:pt>
                <c:pt idx="115">
                  <c:v>651.10700388552448</c:v>
                </c:pt>
                <c:pt idx="116">
                  <c:v>661.39741016716164</c:v>
                </c:pt>
                <c:pt idx="117">
                  <c:v>671.68452142819569</c:v>
                </c:pt>
                <c:pt idx="118">
                  <c:v>681.96839523176038</c:v>
                </c:pt>
                <c:pt idx="119">
                  <c:v>692.24908726391561</c:v>
                </c:pt>
                <c:pt idx="120">
                  <c:v>702.52665142241358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2.0745631571652896</c:v>
                </c:pt>
                <c:pt idx="2">
                  <c:v>3.0297422110396059</c:v>
                </c:pt>
                <c:pt idx="3">
                  <c:v>4.426694796399576</c:v>
                </c:pt>
                <c:pt idx="4">
                  <c:v>6.4706057550725733</c:v>
                </c:pt>
                <c:pt idx="5">
                  <c:v>9.462332887170275</c:v>
                </c:pt>
                <c:pt idx="6">
                  <c:v>13.843177914710504</c:v>
                </c:pt>
                <c:pt idx="7">
                  <c:v>20.260677428574223</c:v>
                </c:pt>
                <c:pt idx="8">
                  <c:v>29.665312227503268</c:v>
                </c:pt>
                <c:pt idx="9">
                  <c:v>43.452707245633206</c:v>
                </c:pt>
                <c:pt idx="10">
                  <c:v>63.672780247520365</c:v>
                </c:pt>
                <c:pt idx="11">
                  <c:v>74.211914277304729</c:v>
                </c:pt>
                <c:pt idx="12">
                  <c:v>94.339696661064423</c:v>
                </c:pt>
                <c:pt idx="13">
                  <c:v>114.35988002843902</c:v>
                </c:pt>
                <c:pt idx="14">
                  <c:v>134.29404570864804</c:v>
                </c:pt>
                <c:pt idx="15">
                  <c:v>154.15679349366337</c:v>
                </c:pt>
                <c:pt idx="16">
                  <c:v>173.95863427802908</c:v>
                </c:pt>
                <c:pt idx="17">
                  <c:v>193.70748241961215</c:v>
                </c:pt>
                <c:pt idx="18">
                  <c:v>213.40950296894428</c:v>
                </c:pt>
                <c:pt idx="19">
                  <c:v>233.06962789410557</c:v>
                </c:pt>
                <c:pt idx="20">
                  <c:v>252.69188827494611</c:v>
                </c:pt>
                <c:pt idx="21">
                  <c:v>158.90496348262437</c:v>
                </c:pt>
                <c:pt idx="22">
                  <c:v>180.82317750350458</c:v>
                </c:pt>
                <c:pt idx="23">
                  <c:v>202.67915683996458</c:v>
                </c:pt>
                <c:pt idx="24">
                  <c:v>224.48055915021379</c:v>
                </c:pt>
                <c:pt idx="25">
                  <c:v>246.23343069700653</c:v>
                </c:pt>
                <c:pt idx="26">
                  <c:v>267.942661077026</c:v>
                </c:pt>
                <c:pt idx="27">
                  <c:v>289.61228235764639</c:v>
                </c:pt>
                <c:pt idx="28">
                  <c:v>311.24567377041313</c:v>
                </c:pt>
                <c:pt idx="29">
                  <c:v>332.84570640959026</c:v>
                </c:pt>
                <c:pt idx="30">
                  <c:v>354.41484835314122</c:v>
                </c:pt>
                <c:pt idx="31">
                  <c:v>258.20796683564902</c:v>
                </c:pt>
                <c:pt idx="32">
                  <c:v>276.61506059958816</c:v>
                </c:pt>
                <c:pt idx="33">
                  <c:v>294.99466081803865</c:v>
                </c:pt>
                <c:pt idx="34">
                  <c:v>313.34872108947019</c:v>
                </c:pt>
                <c:pt idx="35">
                  <c:v>331.67894746173437</c:v>
                </c:pt>
                <c:pt idx="36">
                  <c:v>349.98684203459584</c:v>
                </c:pt>
                <c:pt idx="37">
                  <c:v>368.27373695629672</c:v>
                </c:pt>
                <c:pt idx="38">
                  <c:v>386.54082131190904</c:v>
                </c:pt>
                <c:pt idx="39">
                  <c:v>404.78916266210507</c:v>
                </c:pt>
                <c:pt idx="40">
                  <c:v>423.01972449465916</c:v>
                </c:pt>
                <c:pt idx="41">
                  <c:v>331.21221855116193</c:v>
                </c:pt>
                <c:pt idx="42">
                  <c:v>346.49017993514076</c:v>
                </c:pt>
                <c:pt idx="43">
                  <c:v>361.7533546354652</c:v>
                </c:pt>
                <c:pt idx="44">
                  <c:v>377.00245431440914</c:v>
                </c:pt>
                <c:pt idx="45">
                  <c:v>392.2381283696534</c:v>
                </c:pt>
                <c:pt idx="46">
                  <c:v>407.46097163939231</c:v>
                </c:pt>
                <c:pt idx="47">
                  <c:v>422.67153089581711</c:v>
                </c:pt>
                <c:pt idx="48">
                  <c:v>437.87031035511899</c:v>
                </c:pt>
                <c:pt idx="49">
                  <c:v>453.05777638262111</c:v>
                </c:pt>
                <c:pt idx="50">
                  <c:v>468.23436153418692</c:v>
                </c:pt>
                <c:pt idx="51">
                  <c:v>394.33056437804663</c:v>
                </c:pt>
                <c:pt idx="52">
                  <c:v>407.46097163939248</c:v>
                </c:pt>
                <c:pt idx="53">
                  <c:v>420.5822393983571</c:v>
                </c:pt>
                <c:pt idx="54">
                  <c:v>433.69469295434129</c:v>
                </c:pt>
                <c:pt idx="55">
                  <c:v>446.79863633235749</c:v>
                </c:pt>
                <c:pt idx="56">
                  <c:v>459.89435427063654</c:v>
                </c:pt>
                <c:pt idx="57">
                  <c:v>472.98211397005889</c:v>
                </c:pt>
                <c:pt idx="58">
                  <c:v>486.06216663988494</c:v>
                </c:pt>
                <c:pt idx="59">
                  <c:v>499.13474886845819</c:v>
                </c:pt>
                <c:pt idx="60">
                  <c:v>512.20008384285632</c:v>
                </c:pt>
                <c:pt idx="61">
                  <c:v>445.98712945328037</c:v>
                </c:pt>
                <c:pt idx="62">
                  <c:v>457.3453774458365</c:v>
                </c:pt>
                <c:pt idx="63">
                  <c:v>468.69760187850301</c:v>
                </c:pt>
                <c:pt idx="64">
                  <c:v>480.04396921749617</c:v>
                </c:pt>
                <c:pt idx="65">
                  <c:v>491.38463741771352</c:v>
                </c:pt>
                <c:pt idx="66">
                  <c:v>502.71975654847256</c:v>
                </c:pt>
                <c:pt idx="67">
                  <c:v>514.04946935988221</c:v>
                </c:pt>
                <c:pt idx="68">
                  <c:v>525.37391179668555</c:v>
                </c:pt>
                <c:pt idx="69">
                  <c:v>536.69321346550237</c:v>
                </c:pt>
                <c:pt idx="70">
                  <c:v>548.00749806060537</c:v>
                </c:pt>
                <c:pt idx="71">
                  <c:v>485.13639362991449</c:v>
                </c:pt>
                <c:pt idx="72">
                  <c:v>495.08650386656171</c:v>
                </c:pt>
                <c:pt idx="73">
                  <c:v>505.03237738917477</c:v>
                </c:pt>
                <c:pt idx="74">
                  <c:v>514.974109405685</c:v>
                </c:pt>
                <c:pt idx="75">
                  <c:v>524.91179114784131</c:v>
                </c:pt>
                <c:pt idx="76">
                  <c:v>534.84551011101053</c:v>
                </c:pt>
                <c:pt idx="77">
                  <c:v>544.77535027524038</c:v>
                </c:pt>
                <c:pt idx="78">
                  <c:v>554.70139230936479</c:v>
                </c:pt>
                <c:pt idx="79">
                  <c:v>564.62371375974271</c:v>
                </c:pt>
                <c:pt idx="80">
                  <c:v>574.54238922504044</c:v>
                </c:pt>
                <c:pt idx="81">
                  <c:v>7.6581912194083782E-12</c:v>
                </c:pt>
                <c:pt idx="82">
                  <c:v>7.6581912194083782E-12</c:v>
                </c:pt>
                <c:pt idx="83">
                  <c:v>7.6581912194083782E-12</c:v>
                </c:pt>
                <c:pt idx="84">
                  <c:v>7.6581912194083782E-12</c:v>
                </c:pt>
                <c:pt idx="85">
                  <c:v>7.6581912194083782E-12</c:v>
                </c:pt>
                <c:pt idx="86">
                  <c:v>7.6581912194083782E-12</c:v>
                </c:pt>
                <c:pt idx="87">
                  <c:v>7.6581912194083782E-12</c:v>
                </c:pt>
                <c:pt idx="88">
                  <c:v>7.6581912194083782E-12</c:v>
                </c:pt>
                <c:pt idx="89">
                  <c:v>7.6581912194083782E-12</c:v>
                </c:pt>
                <c:pt idx="90">
                  <c:v>7.6581912194083782E-12</c:v>
                </c:pt>
                <c:pt idx="91">
                  <c:v>7.6581912194083782E-12</c:v>
                </c:pt>
                <c:pt idx="92">
                  <c:v>7.6581912194083782E-12</c:v>
                </c:pt>
                <c:pt idx="93">
                  <c:v>7.6581912194083782E-12</c:v>
                </c:pt>
                <c:pt idx="94">
                  <c:v>7.6581912194083782E-12</c:v>
                </c:pt>
                <c:pt idx="95">
                  <c:v>7.6581912194083782E-12</c:v>
                </c:pt>
                <c:pt idx="96">
                  <c:v>7.6581912194083782E-12</c:v>
                </c:pt>
                <c:pt idx="97">
                  <c:v>7.6581912194083782E-12</c:v>
                </c:pt>
                <c:pt idx="98">
                  <c:v>7.6581912194083782E-12</c:v>
                </c:pt>
                <c:pt idx="99">
                  <c:v>7.6581912194083782E-12</c:v>
                </c:pt>
                <c:pt idx="100">
                  <c:v>7.6581912194083782E-12</c:v>
                </c:pt>
                <c:pt idx="101">
                  <c:v>7.6581912194083782E-12</c:v>
                </c:pt>
                <c:pt idx="102">
                  <c:v>7.6581912194083782E-12</c:v>
                </c:pt>
                <c:pt idx="103">
                  <c:v>7.6581912194083782E-12</c:v>
                </c:pt>
                <c:pt idx="104">
                  <c:v>7.6581912194083782E-12</c:v>
                </c:pt>
                <c:pt idx="105">
                  <c:v>7.6581912194083782E-12</c:v>
                </c:pt>
                <c:pt idx="106">
                  <c:v>7.6581912194083782E-12</c:v>
                </c:pt>
                <c:pt idx="107">
                  <c:v>7.6581912194083782E-12</c:v>
                </c:pt>
                <c:pt idx="108">
                  <c:v>7.6581912194083782E-12</c:v>
                </c:pt>
                <c:pt idx="109">
                  <c:v>7.6581912194083782E-12</c:v>
                </c:pt>
                <c:pt idx="110">
                  <c:v>7.6581912194083782E-12</c:v>
                </c:pt>
                <c:pt idx="111">
                  <c:v>7.6581912194083782E-12</c:v>
                </c:pt>
                <c:pt idx="112">
                  <c:v>7.6581912194083782E-12</c:v>
                </c:pt>
                <c:pt idx="113">
                  <c:v>7.6581912194083782E-12</c:v>
                </c:pt>
                <c:pt idx="114">
                  <c:v>7.6581912194083782E-12</c:v>
                </c:pt>
                <c:pt idx="115">
                  <c:v>7.6581912194083782E-12</c:v>
                </c:pt>
                <c:pt idx="116">
                  <c:v>7.6581912194083782E-12</c:v>
                </c:pt>
                <c:pt idx="117">
                  <c:v>7.6581912194083782E-12</c:v>
                </c:pt>
                <c:pt idx="118">
                  <c:v>7.6581912194083782E-12</c:v>
                </c:pt>
                <c:pt idx="119">
                  <c:v>7.6581912194083782E-12</c:v>
                </c:pt>
                <c:pt idx="120">
                  <c:v>7.6581912194083782E-12</c:v>
                </c:pt>
                <c:pt idx="121">
                  <c:v>7.6581912194083782E-12</c:v>
                </c:pt>
                <c:pt idx="122">
                  <c:v>7.6581912194083782E-12</c:v>
                </c:pt>
                <c:pt idx="123">
                  <c:v>7.6581912194083782E-12</c:v>
                </c:pt>
                <c:pt idx="124">
                  <c:v>7.6581912194083782E-12</c:v>
                </c:pt>
                <c:pt idx="125">
                  <c:v>7.6581912194083782E-12</c:v>
                </c:pt>
                <c:pt idx="126">
                  <c:v>7.6581912194083782E-12</c:v>
                </c:pt>
                <c:pt idx="127">
                  <c:v>7.6581912194083782E-12</c:v>
                </c:pt>
                <c:pt idx="128">
                  <c:v>7.6581912194083782E-12</c:v>
                </c:pt>
                <c:pt idx="129">
                  <c:v>7.6581912194083782E-12</c:v>
                </c:pt>
                <c:pt idx="130">
                  <c:v>7.6581912194083782E-12</c:v>
                </c:pt>
                <c:pt idx="131">
                  <c:v>7.6581912194083782E-12</c:v>
                </c:pt>
                <c:pt idx="132">
                  <c:v>7.6581912194083782E-12</c:v>
                </c:pt>
                <c:pt idx="133">
                  <c:v>7.6581912194083782E-12</c:v>
                </c:pt>
                <c:pt idx="134">
                  <c:v>7.6581912194083782E-12</c:v>
                </c:pt>
                <c:pt idx="135">
                  <c:v>7.6581912194083782E-12</c:v>
                </c:pt>
                <c:pt idx="136">
                  <c:v>7.6581912194083782E-12</c:v>
                </c:pt>
                <c:pt idx="137">
                  <c:v>7.6581912194083782E-12</c:v>
                </c:pt>
                <c:pt idx="138">
                  <c:v>7.6581912194083782E-12</c:v>
                </c:pt>
                <c:pt idx="139">
                  <c:v>7.6581912194083782E-12</c:v>
                </c:pt>
                <c:pt idx="140">
                  <c:v>7.6581912194083782E-12</c:v>
                </c:pt>
                <c:pt idx="141">
                  <c:v>7.6581912194083782E-12</c:v>
                </c:pt>
                <c:pt idx="142">
                  <c:v>7.6581912194083782E-12</c:v>
                </c:pt>
                <c:pt idx="143">
                  <c:v>7.6581912194083782E-12</c:v>
                </c:pt>
                <c:pt idx="144">
                  <c:v>7.6581912194083782E-12</c:v>
                </c:pt>
                <c:pt idx="145">
                  <c:v>7.6581912194083782E-12</c:v>
                </c:pt>
                <c:pt idx="146">
                  <c:v>7.6581912194083782E-12</c:v>
                </c:pt>
                <c:pt idx="147">
                  <c:v>7.6581912194083782E-12</c:v>
                </c:pt>
                <c:pt idx="148">
                  <c:v>7.6581912194083782E-12</c:v>
                </c:pt>
                <c:pt idx="149">
                  <c:v>7.6581912194083782E-12</c:v>
                </c:pt>
                <c:pt idx="150">
                  <c:v>7.6581912194083782E-12</c:v>
                </c:pt>
                <c:pt idx="151">
                  <c:v>7.6581912194083782E-12</c:v>
                </c:pt>
                <c:pt idx="152">
                  <c:v>7.6581912194083782E-12</c:v>
                </c:pt>
                <c:pt idx="153">
                  <c:v>7.6581912194083782E-12</c:v>
                </c:pt>
                <c:pt idx="154">
                  <c:v>7.6581912194083782E-12</c:v>
                </c:pt>
                <c:pt idx="155">
                  <c:v>7.6581912194083782E-12</c:v>
                </c:pt>
                <c:pt idx="156">
                  <c:v>7.6581912194083782E-12</c:v>
                </c:pt>
                <c:pt idx="157">
                  <c:v>7.6581912194083782E-12</c:v>
                </c:pt>
                <c:pt idx="158">
                  <c:v>7.6581912194083782E-12</c:v>
                </c:pt>
                <c:pt idx="159">
                  <c:v>7.6581912194083782E-12</c:v>
                </c:pt>
                <c:pt idx="160">
                  <c:v>7.6581912194083782E-12</c:v>
                </c:pt>
                <c:pt idx="161">
                  <c:v>7.6581912194083782E-12</c:v>
                </c:pt>
                <c:pt idx="162">
                  <c:v>7.6581912194083782E-12</c:v>
                </c:pt>
                <c:pt idx="163">
                  <c:v>7.6581912194083782E-12</c:v>
                </c:pt>
                <c:pt idx="164">
                  <c:v>7.6581912194083782E-12</c:v>
                </c:pt>
                <c:pt idx="165">
                  <c:v>7.6581912194083782E-12</c:v>
                </c:pt>
                <c:pt idx="166">
                  <c:v>7.6581912194083782E-12</c:v>
                </c:pt>
                <c:pt idx="167">
                  <c:v>7.6581912194083782E-12</c:v>
                </c:pt>
                <c:pt idx="168">
                  <c:v>7.6581912194083782E-12</c:v>
                </c:pt>
                <c:pt idx="169">
                  <c:v>7.6581912194083782E-12</c:v>
                </c:pt>
                <c:pt idx="170">
                  <c:v>7.6581912194083782E-12</c:v>
                </c:pt>
                <c:pt idx="171">
                  <c:v>7.6581912194083782E-12</c:v>
                </c:pt>
                <c:pt idx="172">
                  <c:v>7.6581912194083782E-12</c:v>
                </c:pt>
                <c:pt idx="173">
                  <c:v>7.6581912194083782E-12</c:v>
                </c:pt>
                <c:pt idx="174">
                  <c:v>7.6581912194083782E-12</c:v>
                </c:pt>
                <c:pt idx="175">
                  <c:v>7.6581912194083782E-12</c:v>
                </c:pt>
                <c:pt idx="176">
                  <c:v>7.6581912194083782E-12</c:v>
                </c:pt>
                <c:pt idx="177">
                  <c:v>7.6581912194083782E-12</c:v>
                </c:pt>
                <c:pt idx="178">
                  <c:v>7.6581912194083782E-12</c:v>
                </c:pt>
                <c:pt idx="179">
                  <c:v>7.6581912194083782E-12</c:v>
                </c:pt>
                <c:pt idx="180">
                  <c:v>7.6581912194083782E-12</c:v>
                </c:pt>
                <c:pt idx="181">
                  <c:v>7.6581912194083782E-12</c:v>
                </c:pt>
                <c:pt idx="182">
                  <c:v>7.6581912194083782E-12</c:v>
                </c:pt>
                <c:pt idx="183">
                  <c:v>7.6581912194083782E-12</c:v>
                </c:pt>
                <c:pt idx="184">
                  <c:v>7.6581912194083782E-12</c:v>
                </c:pt>
                <c:pt idx="185">
                  <c:v>7.6581912194083782E-12</c:v>
                </c:pt>
                <c:pt idx="186">
                  <c:v>7.6581912194083782E-12</c:v>
                </c:pt>
                <c:pt idx="187">
                  <c:v>7.6581912194083782E-12</c:v>
                </c:pt>
                <c:pt idx="188">
                  <c:v>7.6581912194083782E-12</c:v>
                </c:pt>
                <c:pt idx="189">
                  <c:v>7.6581912194083782E-12</c:v>
                </c:pt>
                <c:pt idx="190">
                  <c:v>7.6581912194083782E-12</c:v>
                </c:pt>
                <c:pt idx="191">
                  <c:v>7.6581912194083782E-12</c:v>
                </c:pt>
                <c:pt idx="192">
                  <c:v>7.6581912194083782E-12</c:v>
                </c:pt>
                <c:pt idx="193">
                  <c:v>7.6581912194083782E-12</c:v>
                </c:pt>
                <c:pt idx="194">
                  <c:v>7.6581912194083782E-12</c:v>
                </c:pt>
                <c:pt idx="195">
                  <c:v>7.6581912194083782E-12</c:v>
                </c:pt>
                <c:pt idx="196">
                  <c:v>7.6581912194083782E-12</c:v>
                </c:pt>
                <c:pt idx="197">
                  <c:v>7.6581912194083782E-12</c:v>
                </c:pt>
                <c:pt idx="198">
                  <c:v>7.6581912194083782E-12</c:v>
                </c:pt>
                <c:pt idx="199">
                  <c:v>7.6581912194083782E-12</c:v>
                </c:pt>
                <c:pt idx="200">
                  <c:v>7.6581912194083782E-12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1.56682834306264</c:v>
                </c:pt>
                <c:pt idx="2">
                  <c:v>1.9515586563673146</c:v>
                </c:pt>
                <c:pt idx="3">
                  <c:v>2.4311331858959355</c:v>
                </c:pt>
                <c:pt idx="4">
                  <c:v>3.0290204687505287</c:v>
                </c:pt>
                <c:pt idx="5">
                  <c:v>3.7745164777294953</c:v>
                </c:pt>
                <c:pt idx="6">
                  <c:v>4.7041963241079152</c:v>
                </c:pt>
                <c:pt idx="7">
                  <c:v>5.8637286860828803</c:v>
                </c:pt>
                <c:pt idx="8">
                  <c:v>7.3101438436548882</c:v>
                </c:pt>
                <c:pt idx="9">
                  <c:v>9.1146690280129867</c:v>
                </c:pt>
                <c:pt idx="10">
                  <c:v>11.36627336758013</c:v>
                </c:pt>
                <c:pt idx="11">
                  <c:v>14.17610048349583</c:v>
                </c:pt>
                <c:pt idx="12">
                  <c:v>17.683011570607853</c:v>
                </c:pt>
                <c:pt idx="13">
                  <c:v>22.060517871315398</c:v>
                </c:pt>
                <c:pt idx="14">
                  <c:v>27.525451659590289</c:v>
                </c:pt>
                <c:pt idx="15">
                  <c:v>34.348812773132863</c:v>
                </c:pt>
                <c:pt idx="16">
                  <c:v>42.869337838761396</c:v>
                </c:pt>
                <c:pt idx="17">
                  <c:v>53.510477238691315</c:v>
                </c:pt>
                <c:pt idx="18">
                  <c:v>66.801637592516627</c:v>
                </c:pt>
                <c:pt idx="19">
                  <c:v>83.404763891104167</c:v>
                </c:pt>
                <c:pt idx="20">
                  <c:v>104.14760645595801</c:v>
                </c:pt>
                <c:pt idx="21">
                  <c:v>127.5329083784389</c:v>
                </c:pt>
                <c:pt idx="22">
                  <c:v>150.81403684621014</c:v>
                </c:pt>
                <c:pt idx="23">
                  <c:v>174.00938053467337</c:v>
                </c:pt>
                <c:pt idx="24">
                  <c:v>197.13199917409852</c:v>
                </c:pt>
                <c:pt idx="25">
                  <c:v>220.19162819449525</c:v>
                </c:pt>
                <c:pt idx="26">
                  <c:v>243.19579296947248</c:v>
                </c:pt>
                <c:pt idx="27">
                  <c:v>266.15047699682117</c:v>
                </c:pt>
                <c:pt idx="28">
                  <c:v>289.06054654178126</c:v>
                </c:pt>
                <c:pt idx="29">
                  <c:v>311.93003320050815</c:v>
                </c:pt>
                <c:pt idx="30">
                  <c:v>334.76232907654128</c:v>
                </c:pt>
                <c:pt idx="31">
                  <c:v>261.19123519966905</c:v>
                </c:pt>
                <c:pt idx="32">
                  <c:v>286.58580460988145</c:v>
                </c:pt>
                <c:pt idx="33">
                  <c:v>311.93003320050815</c:v>
                </c:pt>
                <c:pt idx="34">
                  <c:v>337.22858350415618</c:v>
                </c:pt>
                <c:pt idx="35">
                  <c:v>362.48536141537079</c:v>
                </c:pt>
                <c:pt idx="36">
                  <c:v>387.7036842526233</c:v>
                </c:pt>
                <c:pt idx="37">
                  <c:v>412.88640276119321</c:v>
                </c:pt>
                <c:pt idx="38">
                  <c:v>438.03599177600387</c:v>
                </c:pt>
                <c:pt idx="39">
                  <c:v>463.15461896808614</c:v>
                </c:pt>
                <c:pt idx="40">
                  <c:v>488.2441978973996</c:v>
                </c:pt>
                <c:pt idx="41">
                  <c:v>377.25178103754297</c:v>
                </c:pt>
                <c:pt idx="42">
                  <c:v>401.22062373138345</c:v>
                </c:pt>
                <c:pt idx="43">
                  <c:v>425.15849287721011</c:v>
                </c:pt>
                <c:pt idx="44">
                  <c:v>449.06737605989952</c:v>
                </c:pt>
                <c:pt idx="45">
                  <c:v>472.94903211084261</c:v>
                </c:pt>
                <c:pt idx="46">
                  <c:v>496.80502789110125</c:v>
                </c:pt>
                <c:pt idx="47">
                  <c:v>520.63676764250874</c:v>
                </c:pt>
                <c:pt idx="48">
                  <c:v>544.44551668644533</c:v>
                </c:pt>
                <c:pt idx="49">
                  <c:v>568.23242076316217</c:v>
                </c:pt>
                <c:pt idx="50">
                  <c:v>591.99852196603786</c:v>
                </c:pt>
                <c:pt idx="51">
                  <c:v>477.23272437386987</c:v>
                </c:pt>
                <c:pt idx="52">
                  <c:v>496.80502789110125</c:v>
                </c:pt>
                <c:pt idx="53">
                  <c:v>516.36100378617914</c:v>
                </c:pt>
                <c:pt idx="54">
                  <c:v>535.90135700397695</c:v>
                </c:pt>
                <c:pt idx="55">
                  <c:v>555.42673692699225</c:v>
                </c:pt>
                <c:pt idx="56">
                  <c:v>574.93774359362271</c:v>
                </c:pt>
                <c:pt idx="57">
                  <c:v>594.43493302890863</c:v>
                </c:pt>
                <c:pt idx="58">
                  <c:v>613.91882183995142</c:v>
                </c:pt>
                <c:pt idx="59">
                  <c:v>633.38989119800635</c:v>
                </c:pt>
                <c:pt idx="60">
                  <c:v>652.84859030581424</c:v>
                </c:pt>
                <c:pt idx="61">
                  <c:v>562.54175945157533</c:v>
                </c:pt>
                <c:pt idx="62">
                  <c:v>579.81331549688014</c:v>
                </c:pt>
                <c:pt idx="63">
                  <c:v>597.07414390694873</c:v>
                </c:pt>
                <c:pt idx="64">
                  <c:v>614.32459826050399</c:v>
                </c:pt>
                <c:pt idx="65">
                  <c:v>631.56501067447016</c:v>
                </c:pt>
                <c:pt idx="66">
                  <c:v>648.795693668951</c:v>
                </c:pt>
                <c:pt idx="67">
                  <c:v>666.01694182392941</c:v>
                </c:pt>
                <c:pt idx="68">
                  <c:v>683.22903325583331</c:v>
                </c:pt>
                <c:pt idx="69">
                  <c:v>700.43223093768893</c:v>
                </c:pt>
                <c:pt idx="70">
                  <c:v>717.62678388294546</c:v>
                </c:pt>
                <c:pt idx="71">
                  <c:v>643.42480053791849</c:v>
                </c:pt>
                <c:pt idx="72">
                  <c:v>658.31917885838322</c:v>
                </c:pt>
                <c:pt idx="73">
                  <c:v>673.20661928386801</c:v>
                </c:pt>
                <c:pt idx="74">
                  <c:v>688.08729675395989</c:v>
                </c:pt>
                <c:pt idx="75">
                  <c:v>702.96137803000727</c:v>
                </c:pt>
                <c:pt idx="76">
                  <c:v>717.82902224596637</c:v>
                </c:pt>
                <c:pt idx="77">
                  <c:v>732.69038141127112</c:v>
                </c:pt>
                <c:pt idx="78">
                  <c:v>747.54560087081745</c:v>
                </c:pt>
                <c:pt idx="79">
                  <c:v>762.39481972651311</c:v>
                </c:pt>
                <c:pt idx="80">
                  <c:v>777.23817122430262</c:v>
                </c:pt>
                <c:pt idx="81">
                  <c:v>9.2334028056631319E-12</c:v>
                </c:pt>
                <c:pt idx="82">
                  <c:v>9.2334028056631319E-12</c:v>
                </c:pt>
                <c:pt idx="83">
                  <c:v>9.2334028056631319E-12</c:v>
                </c:pt>
                <c:pt idx="84">
                  <c:v>9.2334028056631319E-12</c:v>
                </c:pt>
                <c:pt idx="85">
                  <c:v>9.2334028056631319E-12</c:v>
                </c:pt>
                <c:pt idx="86">
                  <c:v>9.2334028056631319E-12</c:v>
                </c:pt>
                <c:pt idx="87">
                  <c:v>9.2334028056631319E-12</c:v>
                </c:pt>
                <c:pt idx="88">
                  <c:v>9.2334028056631319E-12</c:v>
                </c:pt>
                <c:pt idx="89">
                  <c:v>9.2334028056631319E-12</c:v>
                </c:pt>
                <c:pt idx="90">
                  <c:v>9.2334028056631319E-12</c:v>
                </c:pt>
                <c:pt idx="91">
                  <c:v>9.2334028056631319E-12</c:v>
                </c:pt>
                <c:pt idx="92">
                  <c:v>9.2334028056631319E-12</c:v>
                </c:pt>
                <c:pt idx="93">
                  <c:v>9.2334028056631319E-12</c:v>
                </c:pt>
                <c:pt idx="94">
                  <c:v>9.2334028056631319E-12</c:v>
                </c:pt>
                <c:pt idx="95">
                  <c:v>9.2334028056631319E-12</c:v>
                </c:pt>
                <c:pt idx="96">
                  <c:v>9.2334028056631319E-12</c:v>
                </c:pt>
                <c:pt idx="97">
                  <c:v>9.2334028056631319E-12</c:v>
                </c:pt>
                <c:pt idx="98">
                  <c:v>9.2334028056631319E-12</c:v>
                </c:pt>
                <c:pt idx="99">
                  <c:v>9.2334028056631319E-12</c:v>
                </c:pt>
                <c:pt idx="100">
                  <c:v>9.2334028056631319E-12</c:v>
                </c:pt>
                <c:pt idx="101">
                  <c:v>9.2334028056631319E-12</c:v>
                </c:pt>
                <c:pt idx="102">
                  <c:v>9.2334028056631319E-12</c:v>
                </c:pt>
                <c:pt idx="103">
                  <c:v>9.2334028056631319E-12</c:v>
                </c:pt>
                <c:pt idx="104">
                  <c:v>9.2334028056631319E-12</c:v>
                </c:pt>
                <c:pt idx="105">
                  <c:v>9.2334028056631319E-12</c:v>
                </c:pt>
                <c:pt idx="106">
                  <c:v>9.2334028056631319E-12</c:v>
                </c:pt>
                <c:pt idx="107">
                  <c:v>9.2334028056631319E-12</c:v>
                </c:pt>
                <c:pt idx="108">
                  <c:v>9.2334028056631319E-12</c:v>
                </c:pt>
                <c:pt idx="109">
                  <c:v>9.2334028056631319E-12</c:v>
                </c:pt>
                <c:pt idx="110">
                  <c:v>9.2334028056631319E-12</c:v>
                </c:pt>
                <c:pt idx="111">
                  <c:v>9.2334028056631319E-12</c:v>
                </c:pt>
                <c:pt idx="112">
                  <c:v>9.2334028056631319E-12</c:v>
                </c:pt>
                <c:pt idx="113">
                  <c:v>9.2334028056631319E-12</c:v>
                </c:pt>
                <c:pt idx="114">
                  <c:v>9.2334028056631319E-12</c:v>
                </c:pt>
                <c:pt idx="115">
                  <c:v>9.2334028056631319E-12</c:v>
                </c:pt>
                <c:pt idx="116">
                  <c:v>9.2334028056631319E-12</c:v>
                </c:pt>
                <c:pt idx="117">
                  <c:v>9.2334028056631319E-12</c:v>
                </c:pt>
                <c:pt idx="118">
                  <c:v>9.2334028056631319E-12</c:v>
                </c:pt>
                <c:pt idx="119">
                  <c:v>9.2334028056631319E-12</c:v>
                </c:pt>
                <c:pt idx="120">
                  <c:v>9.2334028056631319E-12</c:v>
                </c:pt>
                <c:pt idx="121">
                  <c:v>9.2334028056631319E-12</c:v>
                </c:pt>
                <c:pt idx="122">
                  <c:v>9.2334028056631319E-12</c:v>
                </c:pt>
                <c:pt idx="123">
                  <c:v>9.2334028056631319E-12</c:v>
                </c:pt>
                <c:pt idx="124">
                  <c:v>9.2334028056631319E-12</c:v>
                </c:pt>
                <c:pt idx="125">
                  <c:v>9.2334028056631319E-12</c:v>
                </c:pt>
                <c:pt idx="126">
                  <c:v>9.2334028056631319E-12</c:v>
                </c:pt>
                <c:pt idx="127">
                  <c:v>9.2334028056631319E-12</c:v>
                </c:pt>
                <c:pt idx="128">
                  <c:v>9.2334028056631319E-12</c:v>
                </c:pt>
                <c:pt idx="129">
                  <c:v>9.2334028056631319E-12</c:v>
                </c:pt>
                <c:pt idx="130">
                  <c:v>9.2334028056631319E-12</c:v>
                </c:pt>
                <c:pt idx="131">
                  <c:v>9.2334028056631319E-12</c:v>
                </c:pt>
                <c:pt idx="132">
                  <c:v>9.2334028056631319E-12</c:v>
                </c:pt>
                <c:pt idx="133">
                  <c:v>9.2334028056631319E-12</c:v>
                </c:pt>
                <c:pt idx="134">
                  <c:v>9.2334028056631319E-12</c:v>
                </c:pt>
                <c:pt idx="135">
                  <c:v>9.2334028056631319E-12</c:v>
                </c:pt>
                <c:pt idx="136">
                  <c:v>9.2334028056631319E-12</c:v>
                </c:pt>
                <c:pt idx="137">
                  <c:v>9.2334028056631319E-12</c:v>
                </c:pt>
                <c:pt idx="138">
                  <c:v>9.2334028056631319E-12</c:v>
                </c:pt>
                <c:pt idx="139">
                  <c:v>9.2334028056631319E-12</c:v>
                </c:pt>
                <c:pt idx="140">
                  <c:v>9.2334028056631319E-12</c:v>
                </c:pt>
                <c:pt idx="141">
                  <c:v>9.2334028056631319E-12</c:v>
                </c:pt>
                <c:pt idx="142">
                  <c:v>9.2334028056631319E-12</c:v>
                </c:pt>
                <c:pt idx="143">
                  <c:v>9.2334028056631319E-12</c:v>
                </c:pt>
                <c:pt idx="144">
                  <c:v>9.2334028056631319E-12</c:v>
                </c:pt>
                <c:pt idx="145">
                  <c:v>9.2334028056631319E-12</c:v>
                </c:pt>
                <c:pt idx="146">
                  <c:v>9.2334028056631319E-12</c:v>
                </c:pt>
                <c:pt idx="147">
                  <c:v>9.2334028056631319E-12</c:v>
                </c:pt>
                <c:pt idx="148">
                  <c:v>9.2334028056631319E-12</c:v>
                </c:pt>
                <c:pt idx="149">
                  <c:v>9.2334028056631319E-12</c:v>
                </c:pt>
                <c:pt idx="150">
                  <c:v>9.2334028056631319E-12</c:v>
                </c:pt>
                <c:pt idx="151">
                  <c:v>9.2334028056631319E-12</c:v>
                </c:pt>
                <c:pt idx="152">
                  <c:v>9.2334028056631319E-12</c:v>
                </c:pt>
                <c:pt idx="153">
                  <c:v>9.2334028056631319E-12</c:v>
                </c:pt>
                <c:pt idx="154">
                  <c:v>9.2334028056631319E-12</c:v>
                </c:pt>
                <c:pt idx="155">
                  <c:v>9.2334028056631319E-12</c:v>
                </c:pt>
                <c:pt idx="156">
                  <c:v>9.2334028056631319E-12</c:v>
                </c:pt>
                <c:pt idx="157">
                  <c:v>9.2334028056631319E-12</c:v>
                </c:pt>
                <c:pt idx="158">
                  <c:v>9.2334028056631319E-12</c:v>
                </c:pt>
                <c:pt idx="159">
                  <c:v>9.2334028056631319E-12</c:v>
                </c:pt>
                <c:pt idx="160">
                  <c:v>9.2334028056631319E-12</c:v>
                </c:pt>
                <c:pt idx="161">
                  <c:v>9.2334028056631319E-12</c:v>
                </c:pt>
                <c:pt idx="162">
                  <c:v>9.2334028056631319E-12</c:v>
                </c:pt>
                <c:pt idx="163">
                  <c:v>9.2334028056631319E-12</c:v>
                </c:pt>
                <c:pt idx="164">
                  <c:v>9.2334028056631319E-12</c:v>
                </c:pt>
                <c:pt idx="165">
                  <c:v>9.2334028056631319E-12</c:v>
                </c:pt>
                <c:pt idx="166">
                  <c:v>9.2334028056631319E-12</c:v>
                </c:pt>
                <c:pt idx="167">
                  <c:v>9.2334028056631319E-12</c:v>
                </c:pt>
                <c:pt idx="168">
                  <c:v>9.2334028056631319E-12</c:v>
                </c:pt>
                <c:pt idx="169">
                  <c:v>9.2334028056631319E-12</c:v>
                </c:pt>
                <c:pt idx="170">
                  <c:v>9.2334028056631319E-12</c:v>
                </c:pt>
                <c:pt idx="171">
                  <c:v>9.2334028056631319E-12</c:v>
                </c:pt>
                <c:pt idx="172">
                  <c:v>9.2334028056631319E-12</c:v>
                </c:pt>
                <c:pt idx="173">
                  <c:v>9.2334028056631319E-12</c:v>
                </c:pt>
                <c:pt idx="174">
                  <c:v>9.2334028056631319E-12</c:v>
                </c:pt>
                <c:pt idx="175">
                  <c:v>9.2334028056631319E-12</c:v>
                </c:pt>
                <c:pt idx="176">
                  <c:v>9.2334028056631319E-12</c:v>
                </c:pt>
                <c:pt idx="177">
                  <c:v>9.2334028056631319E-12</c:v>
                </c:pt>
                <c:pt idx="178">
                  <c:v>9.2334028056631319E-12</c:v>
                </c:pt>
                <c:pt idx="179">
                  <c:v>9.2334028056631319E-12</c:v>
                </c:pt>
                <c:pt idx="180">
                  <c:v>9.2334028056631319E-12</c:v>
                </c:pt>
                <c:pt idx="181">
                  <c:v>9.2334028056631319E-12</c:v>
                </c:pt>
                <c:pt idx="182">
                  <c:v>9.2334028056631319E-12</c:v>
                </c:pt>
                <c:pt idx="183">
                  <c:v>9.2334028056631319E-12</c:v>
                </c:pt>
                <c:pt idx="184">
                  <c:v>9.2334028056631319E-12</c:v>
                </c:pt>
                <c:pt idx="185">
                  <c:v>9.2334028056631319E-12</c:v>
                </c:pt>
                <c:pt idx="186">
                  <c:v>9.2334028056631319E-12</c:v>
                </c:pt>
                <c:pt idx="187">
                  <c:v>9.2334028056631319E-12</c:v>
                </c:pt>
                <c:pt idx="188">
                  <c:v>9.2334028056631319E-12</c:v>
                </c:pt>
                <c:pt idx="189">
                  <c:v>9.2334028056631319E-12</c:v>
                </c:pt>
                <c:pt idx="190">
                  <c:v>9.2334028056631319E-12</c:v>
                </c:pt>
                <c:pt idx="191">
                  <c:v>9.2334028056631319E-12</c:v>
                </c:pt>
                <c:pt idx="192">
                  <c:v>9.2334028056631319E-12</c:v>
                </c:pt>
                <c:pt idx="193">
                  <c:v>9.2334028056631319E-12</c:v>
                </c:pt>
                <c:pt idx="194">
                  <c:v>9.2334028056631319E-12</c:v>
                </c:pt>
                <c:pt idx="195">
                  <c:v>9.2334028056631319E-12</c:v>
                </c:pt>
                <c:pt idx="196">
                  <c:v>9.2334028056631319E-12</c:v>
                </c:pt>
                <c:pt idx="197">
                  <c:v>9.2334028056631319E-12</c:v>
                </c:pt>
                <c:pt idx="198">
                  <c:v>9.2334028056631319E-12</c:v>
                </c:pt>
                <c:pt idx="199">
                  <c:v>9.2334028056631319E-12</c:v>
                </c:pt>
                <c:pt idx="200">
                  <c:v>9.2334028056631319E-12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1.9543588281869109</c:v>
                </c:pt>
                <c:pt idx="2">
                  <c:v>2.4628876456233901</c:v>
                </c:pt>
                <c:pt idx="3">
                  <c:v>3.1042616099614975</c:v>
                </c:pt>
                <c:pt idx="4">
                  <c:v>3.9133138862196657</c:v>
                </c:pt>
                <c:pt idx="5">
                  <c:v>4.9340430157436925</c:v>
                </c:pt>
                <c:pt idx="6">
                  <c:v>6.2220323185627997</c:v>
                </c:pt>
                <c:pt idx="7">
                  <c:v>7.8475098505036698</c:v>
                </c:pt>
                <c:pt idx="8">
                  <c:v>9.8992189688558234</c:v>
                </c:pt>
                <c:pt idx="9">
                  <c:v>12.489314818142381</c:v>
                </c:pt>
                <c:pt idx="10">
                  <c:v>15.759559377214282</c:v>
                </c:pt>
                <c:pt idx="11">
                  <c:v>19.889160337009255</c:v>
                </c:pt>
                <c:pt idx="12">
                  <c:v>25.10469109541539</c:v>
                </c:pt>
                <c:pt idx="13">
                  <c:v>31.692645747947029</c:v>
                </c:pt>
                <c:pt idx="14">
                  <c:v>40.015330696204671</c:v>
                </c:pt>
                <c:pt idx="15">
                  <c:v>50.530981728738816</c:v>
                </c:pt>
                <c:pt idx="16">
                  <c:v>63.819232725076979</c:v>
                </c:pt>
                <c:pt idx="17">
                  <c:v>80.613362903460484</c:v>
                </c:pt>
                <c:pt idx="18">
                  <c:v>101.8411307842499</c:v>
                </c:pt>
                <c:pt idx="19">
                  <c:v>128.67648634641287</c:v>
                </c:pt>
                <c:pt idx="20">
                  <c:v>162.60506557753638</c:v>
                </c:pt>
                <c:pt idx="21">
                  <c:v>153.24633362321308</c:v>
                </c:pt>
                <c:pt idx="22">
                  <c:v>173.76692305521752</c:v>
                </c:pt>
                <c:pt idx="23">
                  <c:v>194.23052863625438</c:v>
                </c:pt>
                <c:pt idx="24">
                  <c:v>214.64400130887782</c:v>
                </c:pt>
                <c:pt idx="25">
                  <c:v>235.01278028177921</c:v>
                </c:pt>
                <c:pt idx="26">
                  <c:v>255.34128386600921</c:v>
                </c:pt>
                <c:pt idx="27">
                  <c:v>275.63316891288991</c:v>
                </c:pt>
                <c:pt idx="28">
                  <c:v>295.89150966027745</c:v>
                </c:pt>
                <c:pt idx="29">
                  <c:v>316.11892494264981</c:v>
                </c:pt>
                <c:pt idx="30">
                  <c:v>336.31767109212768</c:v>
                </c:pt>
                <c:pt idx="31">
                  <c:v>244.53850101874707</c:v>
                </c:pt>
                <c:pt idx="32">
                  <c:v>260.4818014173627</c:v>
                </c:pt>
                <c:pt idx="33">
                  <c:v>276.40306789470998</c:v>
                </c:pt>
                <c:pt idx="34">
                  <c:v>292.30374831900969</c:v>
                </c:pt>
                <c:pt idx="35">
                  <c:v>308.18512014007462</c:v>
                </c:pt>
                <c:pt idx="36">
                  <c:v>324.04831838189801</c:v>
                </c:pt>
                <c:pt idx="37">
                  <c:v>339.89435786363481</c:v>
                </c:pt>
                <c:pt idx="38">
                  <c:v>355.72415105802401</c:v>
                </c:pt>
                <c:pt idx="39">
                  <c:v>371.53852260367267</c:v>
                </c:pt>
                <c:pt idx="40">
                  <c:v>387.33822121677059</c:v>
                </c:pt>
                <c:pt idx="41">
                  <c:v>304.08848473578615</c:v>
                </c:pt>
                <c:pt idx="42">
                  <c:v>328.13922326681751</c:v>
                </c:pt>
                <c:pt idx="43">
                  <c:v>352.15105779017057</c:v>
                </c:pt>
                <c:pt idx="44">
                  <c:v>376.12701202848376</c:v>
                </c:pt>
                <c:pt idx="45">
                  <c:v>400.0696929048429</c:v>
                </c:pt>
                <c:pt idx="46">
                  <c:v>423.98137001578181</c:v>
                </c:pt>
                <c:pt idx="47">
                  <c:v>447.86403623255609</c:v>
                </c:pt>
                <c:pt idx="48">
                  <c:v>471.71945469929466</c:v>
                </c:pt>
                <c:pt idx="49">
                  <c:v>495.54919582854546</c:v>
                </c:pt>
                <c:pt idx="50">
                  <c:v>519.35466681110222</c:v>
                </c:pt>
                <c:pt idx="51">
                  <c:v>431.60656099910989</c:v>
                </c:pt>
                <c:pt idx="52">
                  <c:v>447.86403623255609</c:v>
                </c:pt>
                <c:pt idx="53">
                  <c:v>464.10888452471528</c:v>
                </c:pt>
                <c:pt idx="54">
                  <c:v>480.34160990668738</c:v>
                </c:pt>
                <c:pt idx="55">
                  <c:v>496.56267957814447</c:v>
                </c:pt>
                <c:pt idx="56">
                  <c:v>512.77252773883436</c:v>
                </c:pt>
                <c:pt idx="57">
                  <c:v>528.97155891052341</c:v>
                </c:pt>
                <c:pt idx="58">
                  <c:v>545.16015083098762</c:v>
                </c:pt>
                <c:pt idx="59">
                  <c:v>561.33865698650425</c:v>
                </c:pt>
                <c:pt idx="60">
                  <c:v>577.50740883732726</c:v>
                </c:pt>
                <c:pt idx="61">
                  <c:v>510.11385170032509</c:v>
                </c:pt>
                <c:pt idx="62">
                  <c:v>523.65742043679131</c:v>
                </c:pt>
                <c:pt idx="63">
                  <c:v>537.19361008971248</c:v>
                </c:pt>
                <c:pt idx="64">
                  <c:v>550.7226327388712</c:v>
                </c:pt>
                <c:pt idx="65">
                  <c:v>564.24468919783703</c:v>
                </c:pt>
                <c:pt idx="66">
                  <c:v>577.75996987374401</c:v>
                </c:pt>
                <c:pt idx="67">
                  <c:v>591.26865554246626</c:v>
                </c:pt>
                <c:pt idx="68">
                  <c:v>604.77091804929455</c:v>
                </c:pt>
                <c:pt idx="69">
                  <c:v>618.26692094381269</c:v>
                </c:pt>
                <c:pt idx="70">
                  <c:v>631.75682005648298</c:v>
                </c:pt>
                <c:pt idx="71">
                  <c:v>579.02274052069447</c:v>
                </c:pt>
                <c:pt idx="72">
                  <c:v>589.37530551237808</c:v>
                </c:pt>
                <c:pt idx="73">
                  <c:v>599.72408450238811</c:v>
                </c:pt>
                <c:pt idx="74">
                  <c:v>610.06915202133894</c:v>
                </c:pt>
                <c:pt idx="75">
                  <c:v>620.4105798664923</c:v>
                </c:pt>
                <c:pt idx="76">
                  <c:v>630.74843724685832</c:v>
                </c:pt>
                <c:pt idx="77">
                  <c:v>641.08279091829229</c:v>
                </c:pt>
                <c:pt idx="78">
                  <c:v>651.4137053094297</c:v>
                </c:pt>
                <c:pt idx="79">
                  <c:v>661.74124263922022</c:v>
                </c:pt>
                <c:pt idx="80">
                  <c:v>672.06546302674622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3.2207615317792908</c:v>
                </c:pt>
                <c:pt idx="2">
                  <c:v>4.0234575831662243</c:v>
                </c:pt>
                <c:pt idx="3">
                  <c:v>5.026972772788679</c:v>
                </c:pt>
                <c:pt idx="4">
                  <c:v>6.2817288006863095</c:v>
                </c:pt>
                <c:pt idx="5">
                  <c:v>7.8508496333518822</c:v>
                </c:pt>
                <c:pt idx="6">
                  <c:v>9.8133713748234346</c:v>
                </c:pt>
                <c:pt idx="7">
                  <c:v>12.268265583123187</c:v>
                </c:pt>
                <c:pt idx="8">
                  <c:v>15.339482711658391</c:v>
                </c:pt>
                <c:pt idx="9">
                  <c:v>19.182274992449194</c:v>
                </c:pt>
                <c:pt idx="10">
                  <c:v>23.991124149679298</c:v>
                </c:pt>
                <c:pt idx="11">
                  <c:v>30.009682273494146</c:v>
                </c:pt>
                <c:pt idx="12">
                  <c:v>37.543238310633505</c:v>
                </c:pt>
                <c:pt idx="13">
                  <c:v>46.974353361616004</c:v>
                </c:pt>
                <c:pt idx="14">
                  <c:v>58.782472124602265</c:v>
                </c:pt>
                <c:pt idx="15">
                  <c:v>73.568523950848515</c:v>
                </c:pt>
                <c:pt idx="16">
                  <c:v>92.085785827598031</c:v>
                </c:pt>
                <c:pt idx="17">
                  <c:v>115.27860469147809</c:v>
                </c:pt>
                <c:pt idx="18">
                  <c:v>144.33098477609738</c:v>
                </c:pt>
                <c:pt idx="19">
                  <c:v>180.72755854660275</c:v>
                </c:pt>
                <c:pt idx="20">
                  <c:v>226.33010398450384</c:v>
                </c:pt>
                <c:pt idx="21">
                  <c:v>169.76239561427795</c:v>
                </c:pt>
                <c:pt idx="22">
                  <c:v>187.78293231583095</c:v>
                </c:pt>
                <c:pt idx="23">
                  <c:v>205.7631297377508</c:v>
                </c:pt>
                <c:pt idx="24">
                  <c:v>223.70700968806386</c:v>
                </c:pt>
                <c:pt idx="25">
                  <c:v>241.61789541835174</c:v>
                </c:pt>
                <c:pt idx="26">
                  <c:v>259.49857688589776</c:v>
                </c:pt>
                <c:pt idx="27">
                  <c:v>277.35142797945298</c:v>
                </c:pt>
                <c:pt idx="28">
                  <c:v>295.17849192957459</c:v>
                </c:pt>
                <c:pt idx="29">
                  <c:v>312.98154497816967</c:v>
                </c:pt>
                <c:pt idx="30">
                  <c:v>330.76214478850403</c:v>
                </c:pt>
                <c:pt idx="31">
                  <c:v>232.88481320255323</c:v>
                </c:pt>
                <c:pt idx="32">
                  <c:v>256.88368281077413</c:v>
                </c:pt>
                <c:pt idx="33">
                  <c:v>280.83184541341694</c:v>
                </c:pt>
                <c:pt idx="34">
                  <c:v>304.73423115701871</c:v>
                </c:pt>
                <c:pt idx="35">
                  <c:v>328.59493342700091</c:v>
                </c:pt>
                <c:pt idx="36">
                  <c:v>352.41740261109879</c:v>
                </c:pt>
                <c:pt idx="37">
                  <c:v>376.20458465456113</c:v>
                </c:pt>
                <c:pt idx="38">
                  <c:v>399.95902270499568</c:v>
                </c:pt>
                <c:pt idx="39">
                  <c:v>423.68293333202695</c:v>
                </c:pt>
                <c:pt idx="40">
                  <c:v>447.37826477754771</c:v>
                </c:pt>
                <c:pt idx="41">
                  <c:v>350.68608221443077</c:v>
                </c:pt>
                <c:pt idx="42">
                  <c:v>374.90796779687236</c:v>
                </c:pt>
                <c:pt idx="43">
                  <c:v>399.09577237538946</c:v>
                </c:pt>
                <c:pt idx="44">
                  <c:v>423.2518501321984</c:v>
                </c:pt>
                <c:pt idx="45">
                  <c:v>447.37826477754749</c:v>
                </c:pt>
                <c:pt idx="46">
                  <c:v>471.4768394406762</c:v>
                </c:pt>
                <c:pt idx="47">
                  <c:v>495.54919582854518</c:v>
                </c:pt>
                <c:pt idx="48">
                  <c:v>519.59678538037394</c:v>
                </c:pt>
                <c:pt idx="49">
                  <c:v>543.62091435600757</c:v>
                </c:pt>
                <c:pt idx="50">
                  <c:v>567.62276426035055</c:v>
                </c:pt>
                <c:pt idx="51">
                  <c:v>468.4659829266057</c:v>
                </c:pt>
                <c:pt idx="52">
                  <c:v>489.53348266366947</c:v>
                </c:pt>
                <c:pt idx="53">
                  <c:v>510.58175582972518</c:v>
                </c:pt>
                <c:pt idx="54">
                  <c:v>531.61170588461891</c:v>
                </c:pt>
                <c:pt idx="55">
                  <c:v>552.62415903802309</c:v>
                </c:pt>
                <c:pt idx="56">
                  <c:v>573.61987360020942</c:v>
                </c:pt>
                <c:pt idx="57">
                  <c:v>594.59954789333995</c:v>
                </c:pt>
                <c:pt idx="58">
                  <c:v>615.56382698883374</c:v>
                </c:pt>
                <c:pt idx="59">
                  <c:v>636.51330847982445</c:v>
                </c:pt>
                <c:pt idx="60">
                  <c:v>657.44854745472787</c:v>
                </c:pt>
                <c:pt idx="61">
                  <c:v>555.83885570776647</c:v>
                </c:pt>
                <c:pt idx="62">
                  <c:v>574.04818827573661</c:v>
                </c:pt>
                <c:pt idx="63">
                  <c:v>592.24546500987799</c:v>
                </c:pt>
                <c:pt idx="64">
                  <c:v>610.43110820893173</c:v>
                </c:pt>
                <c:pt idx="65">
                  <c:v>628.60551297807297</c:v>
                </c:pt>
                <c:pt idx="66">
                  <c:v>646.7690497316205</c:v>
                </c:pt>
                <c:pt idx="67">
                  <c:v>664.92206640019344</c:v>
                </c:pt>
                <c:pt idx="68">
                  <c:v>683.06489038449229</c:v>
                </c:pt>
                <c:pt idx="69">
                  <c:v>701.19783029087921</c:v>
                </c:pt>
                <c:pt idx="70">
                  <c:v>719.32117747825214</c:v>
                </c:pt>
                <c:pt idx="71">
                  <c:v>615.56382698883374</c:v>
                </c:pt>
                <c:pt idx="72">
                  <c:v>631.38416072508016</c:v>
                </c:pt>
                <c:pt idx="73">
                  <c:v>647.19629906762532</c:v>
                </c:pt>
                <c:pt idx="74">
                  <c:v>663.0004703114696</c:v>
                </c:pt>
                <c:pt idx="75">
                  <c:v>678.79689098808103</c:v>
                </c:pt>
                <c:pt idx="76">
                  <c:v>694.58576673681318</c:v>
                </c:pt>
                <c:pt idx="77">
                  <c:v>710.36729309302621</c:v>
                </c:pt>
                <c:pt idx="78">
                  <c:v>726.14165620258984</c:v>
                </c:pt>
                <c:pt idx="79">
                  <c:v>741.90903347112101</c:v>
                </c:pt>
                <c:pt idx="80">
                  <c:v>757.6695941552083</c:v>
                </c:pt>
                <c:pt idx="81">
                  <c:v>652.32283847201791</c:v>
                </c:pt>
                <c:pt idx="82">
                  <c:v>666.41656212645069</c:v>
                </c:pt>
                <c:pt idx="83">
                  <c:v>680.50415665378739</c:v>
                </c:pt>
                <c:pt idx="84">
                  <c:v>694.58576673681318</c:v>
                </c:pt>
                <c:pt idx="85">
                  <c:v>708.66153071735243</c:v>
                </c:pt>
                <c:pt idx="86">
                  <c:v>722.73158099720592</c:v>
                </c:pt>
                <c:pt idx="87">
                  <c:v>736.79604440626406</c:v>
                </c:pt>
                <c:pt idx="88">
                  <c:v>750.85504254107457</c:v>
                </c:pt>
                <c:pt idx="89">
                  <c:v>764.90869207675394</c:v>
                </c:pt>
                <c:pt idx="90">
                  <c:v>778.95710505480292</c:v>
                </c:pt>
                <c:pt idx="91">
                  <c:v>672.18040143052701</c:v>
                </c:pt>
                <c:pt idx="92">
                  <c:v>684.7719367254922</c:v>
                </c:pt>
                <c:pt idx="93">
                  <c:v>697.35872378940837</c:v>
                </c:pt>
                <c:pt idx="94">
                  <c:v>709.94086035598673</c:v>
                </c:pt>
                <c:pt idx="95">
                  <c:v>722.51844041418633</c:v>
                </c:pt>
                <c:pt idx="96">
                  <c:v>735.09155441574785</c:v>
                </c:pt>
                <c:pt idx="97">
                  <c:v>747.66028946779886</c:v>
                </c:pt>
                <c:pt idx="98">
                  <c:v>760.22472951184284</c:v>
                </c:pt>
                <c:pt idx="99">
                  <c:v>772.78495549031049</c:v>
                </c:pt>
                <c:pt idx="100">
                  <c:v>785.34104550172606</c:v>
                </c:pt>
                <c:pt idx="101">
                  <c:v>679.22371566061327</c:v>
                </c:pt>
                <c:pt idx="102">
                  <c:v>690.31923574953692</c:v>
                </c:pt>
                <c:pt idx="103">
                  <c:v>701.41110134898702</c:v>
                </c:pt>
                <c:pt idx="104">
                  <c:v>712.49937837079051</c:v>
                </c:pt>
                <c:pt idx="105">
                  <c:v>723.58413050890897</c:v>
                </c:pt>
                <c:pt idx="106">
                  <c:v>734.66541934761528</c:v>
                </c:pt>
                <c:pt idx="107">
                  <c:v>745.74330446280658</c:v>
                </c:pt>
                <c:pt idx="108">
                  <c:v>756.81784351698661</c:v>
                </c:pt>
                <c:pt idx="109">
                  <c:v>767.88909234840776</c:v>
                </c:pt>
                <c:pt idx="110">
                  <c:v>778.95710505480213</c:v>
                </c:pt>
                <c:pt idx="111">
                  <c:v>681.78454819307092</c:v>
                </c:pt>
                <c:pt idx="112">
                  <c:v>693.30586397512445</c:v>
                </c:pt>
                <c:pt idx="113">
                  <c:v>704.82325810985765</c:v>
                </c:pt>
                <c:pt idx="114">
                  <c:v>716.33680368243904</c:v>
                </c:pt>
                <c:pt idx="115">
                  <c:v>727.84657123825502</c:v>
                </c:pt>
                <c:pt idx="116">
                  <c:v>739.3526289107798</c:v>
                </c:pt>
                <c:pt idx="117">
                  <c:v>750.85504254107354</c:v>
                </c:pt>
                <c:pt idx="118">
                  <c:v>762.35387578958614</c:v>
                </c:pt>
                <c:pt idx="119">
                  <c:v>773.84919024086503</c:v>
                </c:pt>
                <c:pt idx="120">
                  <c:v>785.34104550172526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Normal="100" workbookViewId="0">
      <selection activeCell="C19" sqref="C1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31.51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0.47516103710707902</v>
      </c>
      <c r="D9" s="33">
        <f t="shared" ref="D9:D18" si="0">C9*$C$5</f>
        <v>14.972324279244061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0.114547213788534</v>
      </c>
      <c r="D10" s="33">
        <f t="shared" si="0"/>
        <v>3.6093827064767066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81</v>
      </c>
      <c r="C11" s="32">
        <v>0.107630916154993</v>
      </c>
      <c r="D11" s="33">
        <f t="shared" si="0"/>
        <v>3.3914501680438294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13</v>
      </c>
      <c r="C12" s="32">
        <v>0.121889212714033</v>
      </c>
      <c r="D12" s="33">
        <f t="shared" si="0"/>
        <v>3.8407290926191799</v>
      </c>
      <c r="E12" s="34">
        <v>70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45</v>
      </c>
      <c r="C13" s="32">
        <v>6.3579176411084903E-2</v>
      </c>
      <c r="D13" s="33">
        <f t="shared" si="0"/>
        <v>2.0033798487132852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23</v>
      </c>
      <c r="C14" s="32">
        <v>6.3579176411084903E-2</v>
      </c>
      <c r="D14" s="33">
        <f t="shared" si="0"/>
        <v>2.0033798487132852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35</v>
      </c>
      <c r="C15" s="32">
        <v>1.4594022529490601E-2</v>
      </c>
      <c r="D15" s="33">
        <f t="shared" si="0"/>
        <v>0.45985764990424882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12</v>
      </c>
      <c r="C16" s="32">
        <v>1.30064149612335E-2</v>
      </c>
      <c r="D16" s="33">
        <f t="shared" si="0"/>
        <v>0.40983213542846758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164</v>
      </c>
      <c r="C17" s="32">
        <v>1.30064149612335E-2</v>
      </c>
      <c r="D17" s="33">
        <f t="shared" si="0"/>
        <v>0.40983213542846758</v>
      </c>
      <c r="E17" s="34">
        <v>100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36</v>
      </c>
      <c r="C18" s="32">
        <v>6.5032074806167604E-3</v>
      </c>
      <c r="D18" s="33">
        <f t="shared" si="0"/>
        <v>0.20491606771423412</v>
      </c>
      <c r="E18" s="34">
        <v>62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0.99349679251938305</v>
      </c>
      <c r="D19" s="38">
        <f>SUM(D9:D18)</f>
        <v>31.305083932285761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10</v>
      </c>
      <c r="B36" s="60">
        <v>20</v>
      </c>
      <c r="C36" s="60"/>
      <c r="D36" s="60">
        <v>0</v>
      </c>
      <c r="E36" s="51"/>
      <c r="F36" s="51"/>
      <c r="G36" s="51"/>
      <c r="H36" s="51"/>
      <c r="I36" s="49">
        <f>IFERROR(B36/A36,"")</f>
        <v>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195</v>
      </c>
      <c r="C37" s="60">
        <v>1</v>
      </c>
      <c r="D37" s="60">
        <f>21+63</f>
        <v>84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17.5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360</v>
      </c>
      <c r="C38" s="60">
        <v>2</v>
      </c>
      <c r="D38" s="60">
        <f>63+63</f>
        <v>126</v>
      </c>
      <c r="E38" s="51">
        <v>0.2</v>
      </c>
      <c r="F38" s="51">
        <v>0.4</v>
      </c>
      <c r="G38" s="51">
        <v>0.4</v>
      </c>
      <c r="H38" s="51"/>
      <c r="I38" s="53">
        <f t="shared" si="1"/>
        <v>24.9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40</v>
      </c>
      <c r="B39" s="60">
        <v>477</v>
      </c>
      <c r="C39" s="60">
        <v>3</v>
      </c>
      <c r="D39" s="60">
        <f>63+63</f>
        <v>126</v>
      </c>
      <c r="E39" s="51"/>
      <c r="F39" s="51"/>
      <c r="G39" s="51"/>
      <c r="H39" s="51"/>
      <c r="I39" s="49">
        <f t="shared" si="1"/>
        <v>24.3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50</v>
      </c>
      <c r="B40" s="60">
        <v>561</v>
      </c>
      <c r="C40" s="60">
        <v>4</v>
      </c>
      <c r="D40" s="60">
        <f>63+56</f>
        <v>119</v>
      </c>
      <c r="E40" s="51"/>
      <c r="F40" s="51"/>
      <c r="G40" s="51"/>
      <c r="H40" s="51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60</v>
      </c>
      <c r="B41" s="60">
        <v>622</v>
      </c>
      <c r="C41" s="60">
        <v>5</v>
      </c>
      <c r="D41" s="60">
        <f>48+42</f>
        <v>90</v>
      </c>
      <c r="E41" s="51"/>
      <c r="F41" s="51"/>
      <c r="G41" s="51"/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70</v>
      </c>
      <c r="B42" s="60">
        <v>677</v>
      </c>
      <c r="C42" s="60">
        <v>6</v>
      </c>
      <c r="D42" s="60">
        <f>39+36</f>
        <v>75</v>
      </c>
      <c r="E42" s="51"/>
      <c r="F42" s="51"/>
      <c r="G42" s="51"/>
      <c r="H42" s="51"/>
      <c r="I42" s="53">
        <f t="shared" si="1"/>
        <v>14.5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80</v>
      </c>
      <c r="B43" s="60">
        <f>654+65</f>
        <v>719</v>
      </c>
      <c r="C43" s="60">
        <v>7</v>
      </c>
      <c r="D43" s="60">
        <f>B43</f>
        <v>719</v>
      </c>
      <c r="E43" s="51"/>
      <c r="F43" s="51"/>
      <c r="G43" s="51"/>
      <c r="H43" s="51"/>
      <c r="I43" s="49">
        <f t="shared" si="1"/>
        <v>11.7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101</v>
      </c>
      <c r="C62" s="60">
        <v>1</v>
      </c>
      <c r="D62" s="60">
        <f>6+28</f>
        <v>34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5.05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149</v>
      </c>
      <c r="C63" s="60">
        <v>2</v>
      </c>
      <c r="D63" s="60">
        <f>28+28</f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203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259</v>
      </c>
      <c r="C65" s="60">
        <v>4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301</v>
      </c>
      <c r="C66" s="60">
        <v>5</v>
      </c>
      <c r="D66" s="60">
        <f t="shared" ref="D66:D69" si="2">28+28</f>
        <v>56</v>
      </c>
      <c r="E66" s="51"/>
      <c r="F66" s="51"/>
      <c r="G66" s="51"/>
      <c r="H66" s="51"/>
      <c r="I66" s="49">
        <f t="shared" ref="I66:I81" si="3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330</v>
      </c>
      <c r="C67" s="60">
        <v>6</v>
      </c>
      <c r="D67" s="60">
        <f t="shared" si="2"/>
        <v>56</v>
      </c>
      <c r="E67" s="51"/>
      <c r="F67" s="51"/>
      <c r="G67" s="51"/>
      <c r="H67" s="51"/>
      <c r="I67" s="49">
        <f t="shared" si="3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348</v>
      </c>
      <c r="C68" s="60">
        <v>7</v>
      </c>
      <c r="D68" s="60">
        <f t="shared" si="2"/>
        <v>56</v>
      </c>
      <c r="E68" s="51"/>
      <c r="F68" s="51"/>
      <c r="G68" s="51"/>
      <c r="H68" s="51"/>
      <c r="I68" s="49">
        <f t="shared" si="3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358</v>
      </c>
      <c r="C69" s="50">
        <v>8</v>
      </c>
      <c r="D69" s="50">
        <f t="shared" si="2"/>
        <v>56</v>
      </c>
      <c r="E69" s="51"/>
      <c r="F69" s="51"/>
      <c r="G69" s="51"/>
      <c r="H69" s="51"/>
      <c r="I69" s="49">
        <f t="shared" si="3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361</v>
      </c>
      <c r="C70" s="50">
        <v>9</v>
      </c>
      <c r="D70" s="50">
        <f>28+27</f>
        <v>55</v>
      </c>
      <c r="E70" s="51"/>
      <c r="F70" s="51"/>
      <c r="G70" s="51"/>
      <c r="H70" s="51"/>
      <c r="I70" s="49">
        <f t="shared" si="3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358</v>
      </c>
      <c r="C71" s="50">
        <v>10</v>
      </c>
      <c r="D71" s="50">
        <f>26+25</f>
        <v>51</v>
      </c>
      <c r="E71" s="51"/>
      <c r="F71" s="51"/>
      <c r="G71" s="51"/>
      <c r="H71" s="51"/>
      <c r="I71" s="49">
        <f t="shared" si="3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306+27+28</f>
        <v>361</v>
      </c>
      <c r="C72" s="50">
        <v>11</v>
      </c>
      <c r="D72" s="50">
        <f>B72</f>
        <v>361</v>
      </c>
      <c r="E72" s="51"/>
      <c r="F72" s="51"/>
      <c r="G72" s="51"/>
      <c r="H72" s="51"/>
      <c r="I72" s="49">
        <f t="shared" si="3"/>
        <v>5.4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Mélèze hybride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51</v>
      </c>
      <c r="C88" s="60">
        <v>1</v>
      </c>
      <c r="D88" s="60">
        <f>8</f>
        <v>8</v>
      </c>
      <c r="E88" s="51"/>
      <c r="F88" s="51">
        <v>0.5</v>
      </c>
      <c r="G88" s="51">
        <v>0.5</v>
      </c>
      <c r="H88" s="87"/>
      <c r="I88" s="53">
        <f>IFERROR(B88/A88,"")</f>
        <v>5.0999999999999996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210</v>
      </c>
      <c r="C89" s="60">
        <v>2</v>
      </c>
      <c r="D89" s="60">
        <f>49+49</f>
        <v>98</v>
      </c>
      <c r="E89" s="51"/>
      <c r="F89" s="51">
        <v>0.5</v>
      </c>
      <c r="G89" s="51">
        <v>0.5</v>
      </c>
      <c r="H89" s="87"/>
      <c r="I89" s="53">
        <f t="shared" ref="I89:I107" si="4">IF(A89&lt;&gt;0,(B89-(B88-D88))/(A89-A88),"")</f>
        <v>16.7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297</v>
      </c>
      <c r="C90" s="60">
        <v>3</v>
      </c>
      <c r="D90" s="60">
        <f>49+49</f>
        <v>98</v>
      </c>
      <c r="E90" s="87">
        <v>0.2</v>
      </c>
      <c r="F90" s="87">
        <v>0.4</v>
      </c>
      <c r="G90" s="87">
        <v>0.4</v>
      </c>
      <c r="H90" s="87"/>
      <c r="I90" s="53">
        <f t="shared" si="4"/>
        <v>18.5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356</v>
      </c>
      <c r="C91" s="60">
        <v>4</v>
      </c>
      <c r="D91" s="60">
        <f>49+43</f>
        <v>92</v>
      </c>
      <c r="E91" s="87"/>
      <c r="F91" s="87"/>
      <c r="G91" s="87"/>
      <c r="H91" s="87"/>
      <c r="I91" s="53">
        <f t="shared" si="4"/>
        <v>15.7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395</v>
      </c>
      <c r="C92" s="60">
        <v>5</v>
      </c>
      <c r="D92" s="60">
        <f>39+36</f>
        <v>75</v>
      </c>
      <c r="E92" s="87"/>
      <c r="F92" s="87"/>
      <c r="G92" s="87"/>
      <c r="H92" s="87"/>
      <c r="I92" s="53">
        <f t="shared" si="4"/>
        <v>13.1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433</v>
      </c>
      <c r="C93" s="60">
        <v>6</v>
      </c>
      <c r="D93" s="60">
        <f>34+33</f>
        <v>67</v>
      </c>
      <c r="E93" s="87"/>
      <c r="F93" s="87"/>
      <c r="G93" s="87"/>
      <c r="H93" s="87"/>
      <c r="I93" s="53">
        <f t="shared" si="4"/>
        <v>11.3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464</v>
      </c>
      <c r="C94" s="60">
        <v>7</v>
      </c>
      <c r="D94" s="60">
        <f>32+31</f>
        <v>63</v>
      </c>
      <c r="E94" s="87"/>
      <c r="F94" s="87"/>
      <c r="G94" s="87"/>
      <c r="H94" s="87"/>
      <c r="I94" s="53">
        <f t="shared" si="4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f>425+31+31</f>
        <v>487</v>
      </c>
      <c r="C95" s="60">
        <v>8</v>
      </c>
      <c r="D95" s="60">
        <f>B95</f>
        <v>487</v>
      </c>
      <c r="E95" s="87"/>
      <c r="F95" s="87"/>
      <c r="G95" s="87"/>
      <c r="H95" s="87"/>
      <c r="I95" s="53">
        <f t="shared" si="4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87</v>
      </c>
      <c r="C114" s="50">
        <v>1</v>
      </c>
      <c r="D114" s="60">
        <v>21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5.8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137</v>
      </c>
      <c r="C115" s="50">
        <v>2</v>
      </c>
      <c r="D115" s="60">
        <v>43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228</v>
      </c>
      <c r="C116" s="50">
        <v>3</v>
      </c>
      <c r="D116" s="60">
        <v>88</v>
      </c>
      <c r="E116" s="51">
        <v>0.2</v>
      </c>
      <c r="F116" s="51">
        <v>0.4</v>
      </c>
      <c r="G116" s="51">
        <v>0.4</v>
      </c>
      <c r="H116" s="51"/>
      <c r="I116" s="53">
        <f t="shared" si="5"/>
        <v>13.4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255</v>
      </c>
      <c r="C117" s="50">
        <v>4</v>
      </c>
      <c r="D117" s="60">
        <v>81</v>
      </c>
      <c r="E117" s="51"/>
      <c r="F117" s="51"/>
      <c r="G117" s="51"/>
      <c r="H117" s="51"/>
      <c r="I117" s="53">
        <f t="shared" si="5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268</v>
      </c>
      <c r="C118" s="50">
        <v>5</v>
      </c>
      <c r="D118" s="60">
        <v>69</v>
      </c>
      <c r="E118" s="51"/>
      <c r="F118" s="51"/>
      <c r="G118" s="51"/>
      <c r="H118" s="51"/>
      <c r="I118" s="53">
        <f t="shared" si="5"/>
        <v>9.4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60</v>
      </c>
      <c r="B119" s="60">
        <v>271</v>
      </c>
      <c r="C119" s="50">
        <v>6</v>
      </c>
      <c r="D119" s="60">
        <v>55</v>
      </c>
      <c r="E119" s="51"/>
      <c r="F119" s="51"/>
      <c r="G119" s="51"/>
      <c r="H119" s="51"/>
      <c r="I119" s="53">
        <f t="shared" si="5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70</v>
      </c>
      <c r="B120" s="60">
        <v>272</v>
      </c>
      <c r="C120" s="60">
        <v>7</v>
      </c>
      <c r="D120" s="60">
        <v>272</v>
      </c>
      <c r="E120" s="87"/>
      <c r="F120" s="87"/>
      <c r="G120" s="87"/>
      <c r="H120" s="87"/>
      <c r="I120" s="53">
        <f t="shared" si="5"/>
        <v>5.6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Sapin de Nordmann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96</v>
      </c>
      <c r="C140" s="50"/>
      <c r="D140" s="60">
        <v>0</v>
      </c>
      <c r="E140" s="51"/>
      <c r="F140" s="51">
        <v>0.5</v>
      </c>
      <c r="G140" s="51">
        <v>0.5</v>
      </c>
      <c r="H140" s="51"/>
      <c r="I140" s="57">
        <f>IFERROR(B140/A140,"")</f>
        <v>4.8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318</v>
      </c>
      <c r="C141" s="50">
        <v>1</v>
      </c>
      <c r="D141" s="60">
        <v>96</v>
      </c>
      <c r="E141" s="51">
        <v>0.2</v>
      </c>
      <c r="F141" s="51">
        <v>0.4</v>
      </c>
      <c r="G141" s="51">
        <v>0.4</v>
      </c>
      <c r="H141" s="51"/>
      <c r="I141" s="57">
        <f t="shared" ref="I141:I159" si="6">IF(A141&lt;&gt;0,(B141-(B140-D140))/(A141-A140),"")</f>
        <v>22.2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v>468</v>
      </c>
      <c r="C142" s="50">
        <v>2</v>
      </c>
      <c r="D142" s="60">
        <v>132</v>
      </c>
      <c r="E142" s="51"/>
      <c r="F142" s="51"/>
      <c r="G142" s="51"/>
      <c r="H142" s="51"/>
      <c r="I142" s="57">
        <f t="shared" si="6"/>
        <v>24.6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570</v>
      </c>
      <c r="C143" s="50">
        <v>3</v>
      </c>
      <c r="D143" s="60">
        <v>132</v>
      </c>
      <c r="E143" s="51"/>
      <c r="F143" s="51"/>
      <c r="G143" s="51"/>
      <c r="H143" s="51"/>
      <c r="I143" s="57">
        <f t="shared" si="6"/>
        <v>23.4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v>630</v>
      </c>
      <c r="C144" s="50">
        <v>4</v>
      </c>
      <c r="D144" s="60">
        <v>106</v>
      </c>
      <c r="E144" s="51"/>
      <c r="F144" s="51"/>
      <c r="G144" s="51"/>
      <c r="H144" s="51"/>
      <c r="I144" s="57">
        <f t="shared" si="6"/>
        <v>19.2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v>694</v>
      </c>
      <c r="C145" s="50">
        <v>5</v>
      </c>
      <c r="D145" s="60">
        <v>88</v>
      </c>
      <c r="E145" s="51"/>
      <c r="F145" s="51"/>
      <c r="G145" s="51"/>
      <c r="H145" s="51"/>
      <c r="I145" s="57">
        <f t="shared" si="6"/>
        <v>17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80</v>
      </c>
      <c r="B146" s="60">
        <f>670+83</f>
        <v>753</v>
      </c>
      <c r="C146" s="50">
        <v>6</v>
      </c>
      <c r="D146" s="60">
        <f>B146</f>
        <v>753</v>
      </c>
      <c r="E146" s="51"/>
      <c r="F146" s="51"/>
      <c r="G146" s="51"/>
      <c r="H146" s="51"/>
      <c r="I146" s="57">
        <f t="shared" si="6"/>
        <v>14.7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Erable sycomore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134</v>
      </c>
      <c r="C167" s="60">
        <v>2</v>
      </c>
      <c r="D167" s="60">
        <f>32+35</f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7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212</v>
      </c>
      <c r="C168" s="60">
        <v>3</v>
      </c>
      <c r="D168" s="60">
        <f>35+35</f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7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40</v>
      </c>
      <c r="B169" s="60">
        <v>263</v>
      </c>
      <c r="C169" s="60">
        <v>4</v>
      </c>
      <c r="D169" s="60">
        <f>35+35</f>
        <v>70</v>
      </c>
      <c r="E169" s="51"/>
      <c r="F169" s="51"/>
      <c r="G169" s="51"/>
      <c r="H169" s="51"/>
      <c r="I169" s="49">
        <f t="shared" si="7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50</v>
      </c>
      <c r="B170" s="60">
        <v>285</v>
      </c>
      <c r="C170" s="60">
        <v>5</v>
      </c>
      <c r="D170" s="60">
        <f>24+19</f>
        <v>43</v>
      </c>
      <c r="E170" s="51"/>
      <c r="F170" s="51"/>
      <c r="G170" s="51"/>
      <c r="H170" s="51"/>
      <c r="I170" s="49">
        <f t="shared" si="7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60</v>
      </c>
      <c r="B171" s="60">
        <v>310</v>
      </c>
      <c r="C171" s="60">
        <v>6</v>
      </c>
      <c r="D171" s="60">
        <f>16+14</f>
        <v>30</v>
      </c>
      <c r="E171" s="51"/>
      <c r="F171" s="51"/>
      <c r="G171" s="51"/>
      <c r="H171" s="51"/>
      <c r="I171" s="49">
        <f t="shared" si="7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70</v>
      </c>
      <c r="B172" s="60">
        <v>329</v>
      </c>
      <c r="C172" s="60">
        <v>7</v>
      </c>
      <c r="D172" s="60">
        <f>13+13</f>
        <v>26</v>
      </c>
      <c r="E172" s="51"/>
      <c r="F172" s="51"/>
      <c r="G172" s="51"/>
      <c r="H172" s="51"/>
      <c r="I172" s="49">
        <f t="shared" si="7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f>319+12+11</f>
        <v>342</v>
      </c>
      <c r="C173" s="50">
        <v>8</v>
      </c>
      <c r="D173" s="50">
        <f>B173</f>
        <v>342</v>
      </c>
      <c r="E173" s="51"/>
      <c r="F173" s="51"/>
      <c r="G173" s="51"/>
      <c r="H173" s="51"/>
      <c r="I173" s="49">
        <f t="shared" si="7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Pin laricio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20</v>
      </c>
      <c r="B192" s="60">
        <v>122</v>
      </c>
      <c r="C192" s="60">
        <v>1</v>
      </c>
      <c r="D192" s="60">
        <v>23</v>
      </c>
      <c r="E192" s="51"/>
      <c r="F192" s="51">
        <v>0.5</v>
      </c>
      <c r="G192" s="51">
        <v>0.5</v>
      </c>
      <c r="H192" s="51"/>
      <c r="I192" s="49">
        <f>IFERROR(B192/A192,"")</f>
        <v>6.1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30</v>
      </c>
      <c r="B193" s="60">
        <v>257</v>
      </c>
      <c r="C193" s="60">
        <v>2</v>
      </c>
      <c r="D193" s="60">
        <v>84</v>
      </c>
      <c r="E193" s="51"/>
      <c r="F193" s="51">
        <v>0.5</v>
      </c>
      <c r="G193" s="51">
        <v>0.5</v>
      </c>
      <c r="H193" s="51"/>
      <c r="I193" s="49">
        <f t="shared" ref="I193:I211" si="8">IF(A193&lt;&gt;0,(B193-(B192-D192))/(A193-A192),"")</f>
        <v>15.8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40</v>
      </c>
      <c r="B194" s="60">
        <v>297</v>
      </c>
      <c r="C194" s="60">
        <v>3</v>
      </c>
      <c r="D194" s="60">
        <v>84</v>
      </c>
      <c r="E194" s="51"/>
      <c r="F194" s="51"/>
      <c r="G194" s="51"/>
      <c r="H194" s="51"/>
      <c r="I194" s="49">
        <f t="shared" si="8"/>
        <v>12.4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50</v>
      </c>
      <c r="B195" s="60">
        <v>401</v>
      </c>
      <c r="C195" s="60">
        <v>4</v>
      </c>
      <c r="D195" s="60">
        <v>82</v>
      </c>
      <c r="E195" s="51"/>
      <c r="F195" s="51"/>
      <c r="G195" s="51"/>
      <c r="H195" s="51"/>
      <c r="I195" s="49">
        <f t="shared" si="8"/>
        <v>18.8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60</v>
      </c>
      <c r="B196" s="60">
        <v>447</v>
      </c>
      <c r="C196" s="60">
        <v>5</v>
      </c>
      <c r="D196" s="60">
        <v>64</v>
      </c>
      <c r="E196" s="51"/>
      <c r="F196" s="51"/>
      <c r="G196" s="51"/>
      <c r="H196" s="51"/>
      <c r="I196" s="49">
        <f t="shared" si="8"/>
        <v>12.8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70</v>
      </c>
      <c r="B197" s="60">
        <v>490</v>
      </c>
      <c r="C197" s="60">
        <v>6</v>
      </c>
      <c r="D197" s="60">
        <v>50</v>
      </c>
      <c r="E197" s="51"/>
      <c r="F197" s="51"/>
      <c r="G197" s="51"/>
      <c r="H197" s="51"/>
      <c r="I197" s="49">
        <f t="shared" si="8"/>
        <v>10.7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80</v>
      </c>
      <c r="B198" s="60">
        <v>522</v>
      </c>
      <c r="C198" s="60">
        <v>7</v>
      </c>
      <c r="D198" s="60">
        <f>B198</f>
        <v>522</v>
      </c>
      <c r="E198" s="51"/>
      <c r="F198" s="51"/>
      <c r="G198" s="51"/>
      <c r="H198" s="51"/>
      <c r="I198" s="49">
        <f t="shared" si="8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Chêne pubescent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20</v>
      </c>
      <c r="B218" s="60">
        <v>101</v>
      </c>
      <c r="C218" s="50">
        <v>1</v>
      </c>
      <c r="D218" s="60">
        <f>6+28</f>
        <v>34</v>
      </c>
      <c r="E218" s="63"/>
      <c r="F218" s="63">
        <v>0.25</v>
      </c>
      <c r="G218" s="63">
        <v>0.25</v>
      </c>
      <c r="H218" s="63">
        <v>0.5</v>
      </c>
      <c r="I218" s="53">
        <f>IFERROR(B218/A218,"")</f>
        <v>5.05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30</v>
      </c>
      <c r="B219" s="60">
        <v>149</v>
      </c>
      <c r="C219" s="50">
        <v>2</v>
      </c>
      <c r="D219" s="60">
        <f>28+28</f>
        <v>56</v>
      </c>
      <c r="E219" s="63">
        <v>0.1</v>
      </c>
      <c r="F219" s="63">
        <v>0.45</v>
      </c>
      <c r="G219" s="63">
        <v>0.45</v>
      </c>
      <c r="H219" s="63"/>
      <c r="I219" s="53">
        <f t="shared" ref="I219:I237" si="9">IF(A219&lt;&gt;0,(B219-(B218-D218))/(A219-A218),"")</f>
        <v>8.1999999999999993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40</v>
      </c>
      <c r="B220" s="60">
        <v>203</v>
      </c>
      <c r="C220" s="50">
        <v>3</v>
      </c>
      <c r="D220" s="60">
        <f>28+28</f>
        <v>56</v>
      </c>
      <c r="E220" s="63"/>
      <c r="F220" s="63"/>
      <c r="G220" s="63"/>
      <c r="H220" s="63"/>
      <c r="I220" s="53">
        <f t="shared" si="9"/>
        <v>11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50</v>
      </c>
      <c r="B221" s="55">
        <v>259</v>
      </c>
      <c r="C221" s="55">
        <v>4</v>
      </c>
      <c r="D221" s="55">
        <f>28+28</f>
        <v>56</v>
      </c>
      <c r="E221" s="63"/>
      <c r="F221" s="63"/>
      <c r="G221" s="63"/>
      <c r="H221" s="63"/>
      <c r="I221" s="53">
        <f t="shared" si="9"/>
        <v>11.2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60</v>
      </c>
      <c r="B222" s="55">
        <v>301</v>
      </c>
      <c r="C222" s="55">
        <v>5</v>
      </c>
      <c r="D222" s="55">
        <f t="shared" ref="D222:D225" si="10">28+28</f>
        <v>56</v>
      </c>
      <c r="E222" s="63"/>
      <c r="F222" s="63"/>
      <c r="G222" s="63"/>
      <c r="H222" s="63"/>
      <c r="I222" s="53">
        <f t="shared" si="9"/>
        <v>9.8000000000000007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70</v>
      </c>
      <c r="B223" s="55">
        <v>330</v>
      </c>
      <c r="C223" s="55">
        <v>6</v>
      </c>
      <c r="D223" s="55">
        <f t="shared" si="10"/>
        <v>56</v>
      </c>
      <c r="E223" s="63"/>
      <c r="F223" s="63"/>
      <c r="G223" s="63"/>
      <c r="H223" s="63"/>
      <c r="I223" s="53">
        <f t="shared" si="9"/>
        <v>8.5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80</v>
      </c>
      <c r="B224" s="55">
        <v>348</v>
      </c>
      <c r="C224" s="55">
        <v>7</v>
      </c>
      <c r="D224" s="55">
        <f t="shared" si="10"/>
        <v>56</v>
      </c>
      <c r="E224" s="63"/>
      <c r="F224" s="63"/>
      <c r="G224" s="63"/>
      <c r="H224" s="63"/>
      <c r="I224" s="53">
        <f t="shared" si="9"/>
        <v>7.4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90</v>
      </c>
      <c r="B225" s="55">
        <v>358</v>
      </c>
      <c r="C225" s="55">
        <v>8</v>
      </c>
      <c r="D225" s="55">
        <f t="shared" si="10"/>
        <v>56</v>
      </c>
      <c r="E225" s="63"/>
      <c r="F225" s="63"/>
      <c r="G225" s="63"/>
      <c r="H225" s="63"/>
      <c r="I225" s="53">
        <f t="shared" si="9"/>
        <v>6.6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100</v>
      </c>
      <c r="B226" s="55">
        <v>361</v>
      </c>
      <c r="C226" s="55">
        <v>9</v>
      </c>
      <c r="D226" s="55">
        <f>28+27</f>
        <v>55</v>
      </c>
      <c r="E226" s="63"/>
      <c r="F226" s="63"/>
      <c r="G226" s="63"/>
      <c r="H226" s="63"/>
      <c r="I226" s="53">
        <f t="shared" si="9"/>
        <v>5.9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110</v>
      </c>
      <c r="B227" s="55">
        <v>358</v>
      </c>
      <c r="C227" s="55">
        <v>10</v>
      </c>
      <c r="D227" s="55">
        <f>26+25</f>
        <v>51</v>
      </c>
      <c r="E227" s="63"/>
      <c r="F227" s="63"/>
      <c r="G227" s="63"/>
      <c r="H227" s="63"/>
      <c r="I227" s="53">
        <f t="shared" si="9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120</v>
      </c>
      <c r="B228" s="55">
        <f>306+27+28</f>
        <v>361</v>
      </c>
      <c r="C228" s="55">
        <v>11</v>
      </c>
      <c r="D228" s="55">
        <f>B228</f>
        <v>361</v>
      </c>
      <c r="E228" s="63"/>
      <c r="F228" s="63"/>
      <c r="G228" s="63"/>
      <c r="H228" s="63"/>
      <c r="I228" s="53">
        <f t="shared" si="9"/>
        <v>5.4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Cèdre de l'Atlas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20</v>
      </c>
      <c r="B244" s="60">
        <v>158</v>
      </c>
      <c r="C244" s="60">
        <v>1</v>
      </c>
      <c r="D244" s="60">
        <v>12.5</v>
      </c>
      <c r="E244" s="51"/>
      <c r="F244" s="51">
        <v>0.5</v>
      </c>
      <c r="G244" s="51">
        <v>0.5</v>
      </c>
      <c r="H244" s="63"/>
      <c r="I244" s="53">
        <f>IFERROR(B244/A244,"")</f>
        <v>7.9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30</v>
      </c>
      <c r="B245" s="60">
        <f>250-D244</f>
        <v>237.5</v>
      </c>
      <c r="C245" s="60">
        <v>2</v>
      </c>
      <c r="D245" s="60">
        <v>45.9</v>
      </c>
      <c r="E245" s="63">
        <v>0.2</v>
      </c>
      <c r="F245" s="63">
        <v>0.4</v>
      </c>
      <c r="G245" s="63">
        <v>0.4</v>
      </c>
      <c r="H245" s="63"/>
      <c r="I245" s="53">
        <f>IF(A245&lt;&gt;0,(B245-(B244-D244))/(A245-A244),"")</f>
        <v>9.1999999999999993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40</v>
      </c>
      <c r="B246" s="60">
        <f>350-SUM(D244:D245)</f>
        <v>291.60000000000002</v>
      </c>
      <c r="C246" s="60">
        <v>3</v>
      </c>
      <c r="D246" s="60">
        <v>83.4</v>
      </c>
      <c r="E246" s="63"/>
      <c r="F246" s="63"/>
      <c r="G246" s="63"/>
      <c r="H246" s="63"/>
      <c r="I246" s="53">
        <f>IF(A246&lt;&gt;0,(B246-(B245-D245))/(A246-A245),"")</f>
        <v>10.000000000000004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50</v>
      </c>
      <c r="B247" s="60">
        <f>465-SUM(D244:D246)</f>
        <v>323.2</v>
      </c>
      <c r="C247" s="60">
        <v>4</v>
      </c>
      <c r="D247" s="60">
        <v>83.4</v>
      </c>
      <c r="E247" s="63"/>
      <c r="F247" s="63"/>
      <c r="G247" s="63"/>
      <c r="H247" s="63"/>
      <c r="I247" s="53">
        <f t="shared" ref="I247:I263" si="11">IF(A247&lt;&gt;0,(B247-(B246-D246))/(A247-A246),"")</f>
        <v>11.499999999999996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60</v>
      </c>
      <c r="B248" s="60">
        <f>600-SUM(D244:D247)</f>
        <v>374.79999999999995</v>
      </c>
      <c r="C248" s="60">
        <v>5</v>
      </c>
      <c r="D248" s="60">
        <v>83.4</v>
      </c>
      <c r="E248" s="63"/>
      <c r="F248" s="63"/>
      <c r="G248" s="63"/>
      <c r="H248" s="63"/>
      <c r="I248" s="53">
        <f t="shared" si="11"/>
        <v>13.499999999999996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70</v>
      </c>
      <c r="B249" s="60">
        <f>755-SUM(D244:D248)</f>
        <v>446.4</v>
      </c>
      <c r="C249" s="60">
        <v>6</v>
      </c>
      <c r="D249" s="60">
        <v>83.4</v>
      </c>
      <c r="E249" s="63"/>
      <c r="F249" s="63"/>
      <c r="G249" s="63"/>
      <c r="H249" s="63"/>
      <c r="I249" s="53">
        <f t="shared" si="11"/>
        <v>15.5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80</v>
      </c>
      <c r="B250" s="60">
        <f>925-SUM(D244:D249)</f>
        <v>533</v>
      </c>
      <c r="C250" s="60">
        <v>7</v>
      </c>
      <c r="D250" s="60">
        <v>83.4</v>
      </c>
      <c r="E250" s="63"/>
      <c r="F250" s="63"/>
      <c r="G250" s="63"/>
      <c r="H250" s="63"/>
      <c r="I250" s="53">
        <f t="shared" si="11"/>
        <v>17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90</v>
      </c>
      <c r="B251" s="55">
        <f>1100-SUM(D244:D250)</f>
        <v>624.6</v>
      </c>
      <c r="C251" s="55">
        <v>8</v>
      </c>
      <c r="D251" s="55">
        <v>83.4</v>
      </c>
      <c r="E251" s="63"/>
      <c r="F251" s="63"/>
      <c r="G251" s="63"/>
      <c r="H251" s="63"/>
      <c r="I251" s="53">
        <f t="shared" si="11"/>
        <v>17.5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100</v>
      </c>
      <c r="B252" s="55">
        <f>1285-SUM(D244:D251)</f>
        <v>726.2</v>
      </c>
      <c r="C252" s="55">
        <v>9</v>
      </c>
      <c r="D252" s="55">
        <v>726.2</v>
      </c>
      <c r="E252" s="63"/>
      <c r="F252" s="63"/>
      <c r="G252" s="63"/>
      <c r="H252" s="63"/>
      <c r="I252" s="53">
        <f t="shared" si="11"/>
        <v>18.5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maritime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12</v>
      </c>
      <c r="B270" s="60">
        <v>46</v>
      </c>
      <c r="C270" s="50"/>
      <c r="D270" s="60">
        <v>0</v>
      </c>
      <c r="E270" s="51"/>
      <c r="F270" s="51"/>
      <c r="G270" s="51"/>
      <c r="H270" s="51"/>
      <c r="I270" s="53">
        <f>IFERROR(B270/A270,"")</f>
        <v>3.8333333333333335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16</v>
      </c>
      <c r="B271" s="60">
        <v>107</v>
      </c>
      <c r="C271" s="50">
        <v>1</v>
      </c>
      <c r="D271" s="60">
        <v>25</v>
      </c>
      <c r="E271" s="51"/>
      <c r="F271" s="51">
        <v>0.5</v>
      </c>
      <c r="G271" s="51">
        <v>0.5</v>
      </c>
      <c r="H271" s="51"/>
      <c r="I271" s="53">
        <f>IF(A271&lt;&gt;0,(B271-(B270-D270))/(A271-A270),"")</f>
        <v>15.25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20</v>
      </c>
      <c r="B272" s="60">
        <v>151</v>
      </c>
      <c r="C272" s="50">
        <v>2</v>
      </c>
      <c r="D272" s="60">
        <v>34</v>
      </c>
      <c r="E272" s="51">
        <v>0.1</v>
      </c>
      <c r="F272" s="51">
        <v>0.45</v>
      </c>
      <c r="G272" s="51">
        <v>0.45</v>
      </c>
      <c r="H272" s="51"/>
      <c r="I272" s="53">
        <f t="shared" ref="I272:I289" si="12">IF(A272&lt;&gt;0,(B272-(B271-D271))/(A272-A271),"")</f>
        <v>17.25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24</v>
      </c>
      <c r="B273" s="60">
        <v>197</v>
      </c>
      <c r="C273" s="50">
        <v>3</v>
      </c>
      <c r="D273" s="60">
        <v>43</v>
      </c>
      <c r="E273" s="51">
        <v>0.2</v>
      </c>
      <c r="F273" s="51">
        <v>0.4</v>
      </c>
      <c r="G273" s="51">
        <v>0.4</v>
      </c>
      <c r="H273" s="51"/>
      <c r="I273" s="53">
        <f t="shared" si="12"/>
        <v>20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28</v>
      </c>
      <c r="B274" s="60">
        <v>233</v>
      </c>
      <c r="C274" s="50">
        <v>4</v>
      </c>
      <c r="D274" s="60">
        <v>41</v>
      </c>
      <c r="E274" s="51">
        <v>0.3</v>
      </c>
      <c r="F274" s="51">
        <v>0.35</v>
      </c>
      <c r="G274" s="51">
        <v>0.35</v>
      </c>
      <c r="H274" s="51"/>
      <c r="I274" s="53">
        <f t="shared" si="12"/>
        <v>19.75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34</v>
      </c>
      <c r="B275" s="60">
        <v>304</v>
      </c>
      <c r="C275" s="50">
        <v>5</v>
      </c>
      <c r="D275" s="60">
        <v>60</v>
      </c>
      <c r="E275" s="63"/>
      <c r="F275" s="63"/>
      <c r="G275" s="63"/>
      <c r="H275" s="63"/>
      <c r="I275" s="53">
        <f t="shared" si="12"/>
        <v>18.666666666666668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40</v>
      </c>
      <c r="B276" s="60">
        <v>333</v>
      </c>
      <c r="C276" s="50">
        <v>6</v>
      </c>
      <c r="D276" s="60">
        <v>34</v>
      </c>
      <c r="E276" s="63"/>
      <c r="F276" s="63"/>
      <c r="G276" s="63"/>
      <c r="H276" s="63"/>
      <c r="I276" s="53">
        <f t="shared" si="12"/>
        <v>14.833333333333334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>
        <v>46</v>
      </c>
      <c r="B277" s="55">
        <v>365</v>
      </c>
      <c r="C277" s="55">
        <v>7</v>
      </c>
      <c r="D277" s="55">
        <v>21</v>
      </c>
      <c r="E277" s="63"/>
      <c r="F277" s="63"/>
      <c r="G277" s="63"/>
      <c r="H277" s="63"/>
      <c r="I277" s="53">
        <f t="shared" si="12"/>
        <v>11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>
        <v>54</v>
      </c>
      <c r="B278" s="55">
        <v>402</v>
      </c>
      <c r="C278" s="55">
        <v>8</v>
      </c>
      <c r="D278" s="55">
        <v>17</v>
      </c>
      <c r="E278" s="63"/>
      <c r="F278" s="63"/>
      <c r="G278" s="63"/>
      <c r="H278" s="63"/>
      <c r="I278" s="53">
        <f t="shared" si="12"/>
        <v>7.25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>
        <v>62</v>
      </c>
      <c r="B279" s="55">
        <f>402+7</f>
        <v>409</v>
      </c>
      <c r="C279" s="55">
        <v>9</v>
      </c>
      <c r="D279" s="55">
        <f>B279</f>
        <v>409</v>
      </c>
      <c r="E279" s="63"/>
      <c r="F279" s="63"/>
      <c r="G279" s="63"/>
      <c r="H279" s="63"/>
      <c r="I279" s="53">
        <f t="shared" si="12"/>
        <v>3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hybride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Sapin de Nordmann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sycomore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laricio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pubescent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Cèdre de l'Atlas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maritime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370.69652285220093</v>
      </c>
      <c r="T3" s="59">
        <f>IF('Données projet'!E9&gt;30,$R$33-$H$33,LOOKUP('Données projet'!$E$9,$A$3:$A$203,R3:R203)-LOOKUP('Données projet'!$E$9,$A$3:$A$203,$H$3:$H$203))</f>
        <v>376.53494965377718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321.03881567735544</v>
      </c>
      <c r="AO3" s="59">
        <f>IF('Données projet'!E10&gt;30,$AM$33-$H$33,LOOKUP('Données projet'!$E$10,$A$3:$A$203,AM3:AM203)-LOOKUP('Données projet'!$E$10,$A$3:$A$203,$H$3:$H$203))</f>
        <v>234.87694492493506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248.1486444660062</v>
      </c>
      <c r="BJ3" s="59">
        <f>IF('Données projet'!E11&gt;30,$BH$33-$H$33,LOOKUP('Données projet'!$E$11,$A$3:$A$203,BH3:BH203)-LOOKUP('Données projet'!$E$11,$A$3:$A$203,$H$3:$H$203))</f>
        <v>293.34458072322127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243.38048563215585</v>
      </c>
      <c r="CE3" s="59">
        <f>IF('Données projet'!E12&gt;30,$CC$33-$H$33,LOOKUP('Données projet'!$E$12,$A$3:$A$203,CC3:CC203)-LOOKUP('Données projet'!$E$12,$A$3:$A$203,$H$3:$H$203))</f>
        <v>372.1604147006675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297.21955661193238</v>
      </c>
      <c r="CZ3" s="59">
        <f>IF('Données projet'!E13&gt;30,$CX$33-$H$33,LOOKUP('Données projet'!$E$13,$A$3:$A$203,CX3:CX203)-LOOKUP('Données projet'!$E$13,$A$3:$A$203,$H$3:$H$203))</f>
        <v>273.69206144662144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260.20517190557814</v>
      </c>
      <c r="DU3" s="59">
        <f>IF('Données projet'!E14&gt;30,$DS$33-$H$33,LOOKUP('Données projet'!$E$14,$A$3:$A$203,DS3:DS203)-LOOKUP('Données projet'!$E$14,$A$3:$A$203,$H$3:$H$203))</f>
        <v>307.22009971147133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259.30247982593914</v>
      </c>
      <c r="EP3" s="59">
        <f>IF('Données projet'!E15&gt;30,$EN$33-$H$33,LOOKUP('Données projet'!$E$15,$A$3:$A$203,EN3:EN203)-LOOKUP('Données projet'!$E$15,$A$3:$A$203,$H$3:$H$203))</f>
        <v>275.24740346220779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372.91317851957336</v>
      </c>
      <c r="FK3" s="59">
        <f>IF('Données projet'!E16&gt;30,$FI$33-$H$33,LOOKUP('Données projet'!$E$16,$A$3:$A$203,FI3:FI203)-LOOKUP('Données projet'!$E$16,$A$3:$A$203,$H$3:$H$203))</f>
        <v>269.69187715858413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215.23235148064941</v>
      </c>
      <c r="GF3" s="59">
        <f>IF('Données projet'!E17&gt;30,$GD$33-$H$33,LOOKUP('Données projet'!$E$17,$A$3:$A$203,GD3:GD203)-LOOKUP('Données projet'!$E$17,$A$3:$A$203,$H$3:$H$203))</f>
        <v>184.07239726900434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227.89848316900191</v>
      </c>
      <c r="HA3" s="59">
        <f>IF('Données projet'!E18&gt;30,$GY$33-$H$33,LOOKUP('Données projet'!$E$18,$A$3:$A$203,GY3:GY203)-LOOKUP('Données projet'!$E$18,$A$3:$A$203,$H$3:$H$203))</f>
        <v>239.85955661394541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</v>
      </c>
      <c r="N4" s="13">
        <f>IF('Données projet'!$A$36&gt;35,N3+M4-V3,IF(A4&lt;'Données projet'!$A$36,$K$205^A4,IF(A4='Données projet'!$A$36,'Données projet'!$B$36,N3+M4-V3)))</f>
        <v>1.3492828476735632</v>
      </c>
      <c r="O4" s="13">
        <f>N4*VLOOKUP('Données projet'!$B$9,Paramètres!$A$1:$I$89,3,0)*VLOOKUP('Données projet'!$B$9,Paramètres!$A$1:$I$89,5,0)</f>
        <v>0.75424911184952181</v>
      </c>
      <c r="P4" s="13">
        <f>EXP(-1.0587+0.8836*LN(O4)+0.284)</f>
        <v>0.3591899268142314</v>
      </c>
      <c r="Q4" s="20">
        <f t="shared" ref="Q4:Q34" si="2">(O4+P4)*0.475*44/12</f>
        <v>1.9392396590060368</v>
      </c>
      <c r="R4" s="59">
        <f t="shared" si="0"/>
        <v>295.27257299233935</v>
      </c>
      <c r="S4" s="59">
        <f ca="1">AVERAGE(OFFSET($R$3,0,0,'Données projet'!$E$9+1,1))-AVERAGE(OFFSET($H$3,0,0,'Données projet'!$E$9+1,1))</f>
        <v>370.69652285220093</v>
      </c>
      <c r="T4" s="59">
        <f>$T$3</f>
        <v>376.53494965377718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5.05</v>
      </c>
      <c r="AI4" s="13">
        <f>IF('Données projet'!$A$62&gt;35,AI3+AH4-AQ3,IF(A4&lt;'Données projet'!$A$62,$AF$205^A4,IF(A4='Données projet'!$A$62,'Données projet'!$B$62,AI3+AH4-AQ3)))</f>
        <v>1.2595519038446648</v>
      </c>
      <c r="AJ4" s="13">
        <f>AI4*VLOOKUP('Données projet'!$B$10,Paramètres!$A$1:$I$89,3,0)*VLOOKUP('Données projet'!$B$10,Paramètres!$A$1:$I$89,5,0)</f>
        <v>1.1396425625986528</v>
      </c>
      <c r="AK4" s="13">
        <f>EXP(-1.0587+0.8836*LN(AJ4)+0.284)</f>
        <v>0.51726471402530638</v>
      </c>
      <c r="AL4" s="20">
        <f t="shared" ref="AL4:AL67" si="4">(AJ4+AK4)*0.475*44/12</f>
        <v>2.8857801734533957</v>
      </c>
      <c r="AM4" s="59">
        <f t="shared" ref="AM4:AM67" si="5">AL4+(AD4+AE4)*44/12</f>
        <v>296.2191135067867</v>
      </c>
      <c r="AN4" s="59">
        <f ca="1">AVERAGE(OFFSET($AM$3,0,0,'Données projet'!$E$10+1,1))-AVERAGE(OFFSET($H$3,0,0,'Données projet'!$E$10+1,1))</f>
        <v>321.03881567735544</v>
      </c>
      <c r="AO4" s="59">
        <f>$AO$3</f>
        <v>234.87694492493506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5.0999999999999996</v>
      </c>
      <c r="BD4" s="12">
        <f>IF('Données projet'!$A$88&gt;35,BD3+BC4-BL3,IF(A4&lt;'Données projet'!$A$88,$BA$205^A4,IF(A4='Données projet'!$A$88,'Données projet'!$B$88,BD3+BC4-BL3)))</f>
        <v>1.4816888666071193</v>
      </c>
      <c r="BE4" s="13">
        <f>BD4*VLOOKUP('Données projet'!$B$11,Paramètres!$A$1:$I$89,3,0)*VLOOKUP('Données projet'!$B$11,Paramètres!$A$1:$I$89,5,0)</f>
        <v>0.80900212116748715</v>
      </c>
      <c r="BF4" s="13">
        <f>EXP(-1.0587+0.8836*LN(BE4)+0.284)</f>
        <v>0.38213461978866009</v>
      </c>
      <c r="BG4" s="20">
        <f t="shared" ref="BG4:BG67" si="7">(BE4+BF4)*0.475*44/12</f>
        <v>2.0745631571652896</v>
      </c>
      <c r="BH4" s="59">
        <f t="shared" ref="BH4:BH67" si="8">BG4+(AY4+AZ4)*44/12</f>
        <v>295.40789649049862</v>
      </c>
      <c r="BI4" s="59">
        <f ca="1">AVERAGE(OFFSET($BH$3,0,0,'Données projet'!$E$11+1,1))-AVERAGE(OFFSET($H$3,0,0,'Données projet'!$E$11+1,1))</f>
        <v>248.1486444660062</v>
      </c>
      <c r="BJ4" s="59">
        <f>$BJ$3</f>
        <v>293.34458072322127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</v>
      </c>
      <c r="BY4" s="12">
        <f>IF('Données projet'!$A$114&gt;35,BY3+BX4-CG3,IF(A4&lt;'Données projet'!$A$114,$BV$205^A4,IF(A4='Données projet'!$A$114,'Données projet'!$B$114,BY3+BX4-CG3)))</f>
        <v>1.3467943429205997</v>
      </c>
      <c r="BZ4" s="13">
        <f>BY4*VLOOKUP('Données projet'!$B$12,Paramètres!$A$1:$I$89,3,0)*VLOOKUP('Données projet'!$B$12,Paramètres!$A$1:$I$89,5,0)</f>
        <v>1.1765595379754361</v>
      </c>
      <c r="CA4" s="13">
        <f>EXP(-1.0587+0.8836*LN(BZ4)+0.284)</f>
        <v>0.53204273185561757</v>
      </c>
      <c r="CB4" s="20">
        <f t="shared" ref="CB4:CB67" si="10">(BZ4+CA4)*0.475*44/12</f>
        <v>2.9758156199557515</v>
      </c>
      <c r="CC4" s="59">
        <f t="shared" ref="CC4:CC67" si="11">CB4+(BT4+BU4)*44/12</f>
        <v>296.30914895328908</v>
      </c>
      <c r="CD4" s="59">
        <f ca="1">AVERAGE(OFFSET($CC$3,0,0,'Données projet'!$E$12+1,1))-AVERAGE(OFFSET($H$3,0,0,'Données projet'!$E$12+1,1))</f>
        <v>243.38048563215585</v>
      </c>
      <c r="CE4" s="59">
        <f>$CE$3</f>
        <v>372.1604147006675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4.8</v>
      </c>
      <c r="CT4" s="12">
        <f>IF('Données projet'!$A$140&gt;35,CT3+CS4-DB3,IF(A4&lt;'Données projet'!$A$140,$CQ$205^A4,IF(A4='Données projet'!$A$140,'Données projet'!$B$140,CT3+CS4-DB3)))</f>
        <v>1.2563584400948855</v>
      </c>
      <c r="CU4" s="17">
        <f>CT4*VLOOKUP('Données projet'!$B$13,Paramètres!$A$1:$I$89,3,0)*VLOOKUP('Données projet'!$B$13,Paramètres!$A$1:$I$89,5,0)</f>
        <v>0.60430840968563992</v>
      </c>
      <c r="CV4" s="13">
        <f>EXP(-1.0587+0.8836*LN(CU4)+0.284)</f>
        <v>0.29530594996755061</v>
      </c>
      <c r="CW4" s="20">
        <f t="shared" ref="CW4:CW67" si="13">(CU4+CV4)*0.475*44/12</f>
        <v>1.56682834306264</v>
      </c>
      <c r="CX4" s="59">
        <f t="shared" ref="CX4:CX67" si="14">CW4+(CO4+CP4)*44/12</f>
        <v>294.90016167639595</v>
      </c>
      <c r="CY4" s="59">
        <f ca="1">AVERAGE(OFFSET($CX$3,0,0,'Données projet'!$E$13+1,1))-AVERAGE(OFFSET($H$3,0,0,'Données projet'!$E$13+1,1))</f>
        <v>297.21955661193238</v>
      </c>
      <c r="CZ4" s="59">
        <f>$CZ$3</f>
        <v>273.69206144662144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1.0111929730611879</v>
      </c>
      <c r="DQ4" s="13">
        <f>EXP(-1.0587+0.8836*LN(DP4)+0.284)</f>
        <v>0.46539683474213156</v>
      </c>
      <c r="DR4" s="20">
        <f t="shared" ref="DR4:DR67" si="16">(DP4+DQ4)*0.475*44/12</f>
        <v>2.5717272485907814</v>
      </c>
      <c r="DS4" s="59">
        <f t="shared" ref="DS4:DS67" si="17">DR4+(DJ4+DK4)*44/12</f>
        <v>295.90506058192409</v>
      </c>
      <c r="DT4" s="59">
        <f ca="1">AVERAGE(OFFSET($DS$3,0,0,'Données projet'!$E$14+1,1))-AVERAGE(OFFSET($H$3,0,0,'Données projet'!$E$14+1,1))</f>
        <v>260.20517190557814</v>
      </c>
      <c r="DU4" s="59">
        <f>$DU$3</f>
        <v>307.22009971147133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6.1</v>
      </c>
      <c r="EJ4" s="12">
        <f>IF('Données projet'!$A$192&gt;35,EJ3+EI4-ER3,IF(A4&lt;'Données projet'!$A$192,$EG$205^A4,IF(A4='Données projet'!$A$192,'Données projet'!$B$192,EJ3+EI4-ER3)))</f>
        <v>1.2715047635013723</v>
      </c>
      <c r="EK4" s="17">
        <f>EJ4*VLOOKUP('Données projet'!$B$15,Paramètres!$A$1:$I$89,3,0)*VLOOKUP('Données projet'!$B$15,Paramètres!$A$1:$I$89,5,0)</f>
        <v>0.76035984857382066</v>
      </c>
      <c r="EL4" s="13">
        <f>EXP(-1.0587+0.8836*LN(EK4)+0.284)</f>
        <v>0.36176005277751561</v>
      </c>
      <c r="EM4" s="20">
        <f t="shared" ref="EM4:EM67" si="19">(EK4+EL4)*0.475*44/12</f>
        <v>1.9543588281869109</v>
      </c>
      <c r="EN4" s="59">
        <f t="shared" ref="EN4:EN67" si="20">EM4+(EE4+EF4)*44/12</f>
        <v>295.28769216152023</v>
      </c>
      <c r="EO4" s="59">
        <f ca="1">AVERAGE(OFFSET($EN$3,0,0,'Données projet'!$E$15+1,1))-AVERAGE(OFFSET($H$3,0,0,'Données projet'!$E$15+1,1))</f>
        <v>259.30247982593914</v>
      </c>
      <c r="EP4" s="59">
        <f>$EP$3</f>
        <v>275.24740346220779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5.05</v>
      </c>
      <c r="FE4" s="12">
        <f>IF('Données projet'!$A$218&gt;35,FE3+FD4-FM3,IF(A4&lt;'Données projet'!$A$218,$FB$205^A4,IF(A4='Données projet'!$A$218,'Données projet'!$B$218,FE3+FD4-FM3)))</f>
        <v>1.2595519038446648</v>
      </c>
      <c r="FF4" s="17">
        <f>FE4*VLOOKUP('Données projet'!$B$16,Paramètres!$A$1:$I$89,3,0)*VLOOKUP('Données projet'!$B$16,Paramètres!$A$1:$I$89,5,0)</f>
        <v>1.2771856304984903</v>
      </c>
      <c r="FG4" s="13">
        <f>EXP(-1.0587+0.8836*LN(FF4)+0.284)</f>
        <v>0.57205544037957134</v>
      </c>
      <c r="FH4" s="20">
        <f t="shared" ref="FH4:FH67" si="22">(FF4+FG4)*0.475*44/12</f>
        <v>3.2207615317792908</v>
      </c>
      <c r="FI4" s="59">
        <f t="shared" ref="FI4:FI67" si="23">FH4+(EZ4+FA4)*44/12</f>
        <v>296.55409486511263</v>
      </c>
      <c r="FJ4" s="59">
        <f ca="1">AVERAGE(OFFSET($FI$3,0,0,'Données projet'!$E$16+1,1))-AVERAGE(OFFSET($H$3,0,0,'Données projet'!$E$16+1,1))</f>
        <v>372.91317851957336</v>
      </c>
      <c r="FK4" s="59">
        <f>$FK$3</f>
        <v>269.69187715858413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7.9</v>
      </c>
      <c r="FZ4" s="12">
        <f>IF('Données projet'!$A$244&gt;35,FZ3+FY4-GH3,IF(A4&lt;'Données projet'!$A$244,$FW$205^A4,IF(A4='Données projet'!$A$244,'Données projet'!$B$244,FZ3+FY4-GH3)))</f>
        <v>1.2880503926580862</v>
      </c>
      <c r="GA4" s="17">
        <f>FZ4*VLOOKUP('Données projet'!$B$17,Paramètres!$A$1:$I$89,3,0)*VLOOKUP('Données projet'!$B$17,Paramètres!$A$1:$I$89,5,0)</f>
        <v>0.60280758376398436</v>
      </c>
      <c r="GB4" s="13">
        <f>EXP(-1.0587+0.8836*LN(GA4)+0.284)</f>
        <v>0.29465781953181042</v>
      </c>
      <c r="GC4" s="20">
        <f t="shared" ref="GC4:GC67" si="25">(GA4+GB4)*0.475*44/12</f>
        <v>1.5630855774068424</v>
      </c>
      <c r="GD4" s="59">
        <f t="shared" ref="GD4:GD67" si="26">GC4+(FU4+FV4)*44/12</f>
        <v>294.89641891074018</v>
      </c>
      <c r="GE4" s="59">
        <f ca="1">AVERAGE(OFFSET($GD$3,0,0,'Données projet'!$E$17+1,1))-AVERAGE(OFFSET($H$3,0,0,'Données projet'!$E$17+1,1))</f>
        <v>215.23235148064941</v>
      </c>
      <c r="GF4" s="59">
        <f>$GF$3</f>
        <v>184.07239726900434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3.8333333333333335</v>
      </c>
      <c r="GU4" s="12">
        <f>IF('Données projet'!$A$270&gt;35,GU3+GT4-HC3,IF(A4&lt;'Données projet'!$A$270,$GR$205^A4,IF(A4='Données projet'!$A$270,'Données projet'!$B$270,GU3+GT4-HC3)))</f>
        <v>1.3758248603770518</v>
      </c>
      <c r="GV4" s="17">
        <f>GU4*VLOOKUP('Données projet'!$B$18,Paramètres!$A$1:$I$89,3,0)*VLOOKUP('Données projet'!$B$18,Paramètres!$A$1:$I$89,5,0)</f>
        <v>0.82274326650547702</v>
      </c>
      <c r="GW4" s="13">
        <f>EXP(-1.0587+0.8836*LN(GV4)+0.284)</f>
        <v>0.3878641435528864</v>
      </c>
      <c r="GX4" s="20">
        <f t="shared" ref="GX4:GX67" si="28">(GV4+GW4)*0.475*44/12</f>
        <v>2.108474572518316</v>
      </c>
      <c r="GY4" s="59">
        <f t="shared" ref="GY4:GY67" si="29">GX4+(GP4+GQ4)*44/12</f>
        <v>295.44180790585165</v>
      </c>
      <c r="GZ4" s="59">
        <f ca="1">AVERAGE(OFFSET($GY$3,0,0,'Données projet'!$E$18+1,1))-AVERAGE(OFFSET($H$3,0,0,'Données projet'!$E$18+1,1))</f>
        <v>227.89848316900191</v>
      </c>
      <c r="HA4" s="59">
        <f>$HA$3</f>
        <v>239.85955661394541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</v>
      </c>
      <c r="N5" s="13">
        <f>IF('Données projet'!$A$36&gt;35,N4+M5-V4,IF(A5&lt;'Données projet'!$A$36,$K$205^A5,IF(A5='Données projet'!$A$36,'Données projet'!$B$36,N4+M5-V4)))</f>
        <v>1.82056420302608</v>
      </c>
      <c r="O5" s="13">
        <f>N5*VLOOKUP('Données projet'!$B$9,Paramètres!$A$1:$I$89,3,0)*VLOOKUP('Données projet'!$B$9,Paramètres!$A$1:$I$89,5,0)</f>
        <v>1.0176953894915788</v>
      </c>
      <c r="P5" s="13">
        <f t="shared" ref="P5:P68" si="33">EXP(-1.0587+0.8836*LN(O5)+0.284)</f>
        <v>0.46804020312241645</v>
      </c>
      <c r="Q5" s="20">
        <f t="shared" si="2"/>
        <v>2.5876561571360415</v>
      </c>
      <c r="R5" s="59">
        <f t="shared" si="0"/>
        <v>295.92098949046937</v>
      </c>
      <c r="S5" s="59">
        <f ca="1">AVERAGE(OFFSET($R$3,0,0,'Données projet'!$E$9+1,1))-AVERAGE(OFFSET($H$3,0,0,'Données projet'!$E$9+1,1))</f>
        <v>370.69652285220093</v>
      </c>
      <c r="T5" s="59">
        <f t="shared" ref="T5:T68" si="34">$T$3</f>
        <v>376.53494965377718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5.05</v>
      </c>
      <c r="AI5" s="13">
        <f>IF('Données projet'!$A$62&gt;35,AI4+AH5-AQ4,IF(A5&lt;'Données projet'!$A$62,$AF$205^A5,IF(A5='Données projet'!$A$62,'Données projet'!$B$62,AI4+AH5-AQ4)))</f>
        <v>1.5864709984787195</v>
      </c>
      <c r="AJ5" s="13">
        <f>AI5*VLOOKUP('Données projet'!$B$10,Paramètres!$A$1:$I$89,3,0)*VLOOKUP('Données projet'!$B$10,Paramètres!$A$1:$I$89,5,0)</f>
        <v>1.4354389594235453</v>
      </c>
      <c r="AK5" s="13">
        <f t="shared" ref="AK5:AK68" si="35">EXP(-1.0587+0.8836*LN(AJ5)+0.284)</f>
        <v>0.63425481322556687</v>
      </c>
      <c r="AL5" s="20">
        <f t="shared" si="4"/>
        <v>3.6047166540305375</v>
      </c>
      <c r="AM5" s="59">
        <f t="shared" si="5"/>
        <v>296.93804998736385</v>
      </c>
      <c r="AN5" s="59">
        <f ca="1">AVERAGE(OFFSET($AM$3,0,0,'Données projet'!$E$10+1,1))-AVERAGE(OFFSET($H$3,0,0,'Données projet'!$E$10+1,1))</f>
        <v>321.03881567735544</v>
      </c>
      <c r="AO5" s="59">
        <f t="shared" ref="AO5:AO68" si="36">$AO$3</f>
        <v>234.87694492493506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5.0999999999999996</v>
      </c>
      <c r="BD5" s="12">
        <f>IF('Données projet'!$A$88&gt;35,BD4+BC5-BL4,IF(A5&lt;'Données projet'!$A$88,$BA$205^A5,IF(A5='Données projet'!$A$88,'Données projet'!$B$88,BD4+BC5-BL4)))</f>
        <v>2.1954018974274896</v>
      </c>
      <c r="BE5" s="13">
        <f>BD5*VLOOKUP('Données projet'!$B$11,Paramètres!$A$1:$I$89,3,0)*VLOOKUP('Données projet'!$B$11,Paramètres!$A$1:$I$89,5,0)</f>
        <v>1.1986894359954092</v>
      </c>
      <c r="BF5" s="13">
        <f t="shared" ref="BF5:BF68" si="37">EXP(-1.0587+0.8836*LN(BE5)+0.284)</f>
        <v>0.54087546986465163</v>
      </c>
      <c r="BG5" s="20">
        <f t="shared" si="7"/>
        <v>3.0297422110396059</v>
      </c>
      <c r="BH5" s="59">
        <f t="shared" si="8"/>
        <v>296.36307554437292</v>
      </c>
      <c r="BI5" s="59">
        <f ca="1">AVERAGE(OFFSET($BH$3,0,0,'Données projet'!$E$11+1,1))-AVERAGE(OFFSET($H$3,0,0,'Données projet'!$E$11+1,1))</f>
        <v>248.1486444660062</v>
      </c>
      <c r="BJ5" s="59">
        <f t="shared" ref="BJ5:BJ68" si="38">$BJ$3</f>
        <v>293.34458072322127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</v>
      </c>
      <c r="BY5" s="12">
        <f>IF('Données projet'!$A$114&gt;35,BY4+BX5-CG4,IF(A5&lt;'Données projet'!$A$114,$BV$205^A5,IF(A5='Données projet'!$A$114,'Données projet'!$B$114,BY4+BX5-CG4)))</f>
        <v>1.81385500212293</v>
      </c>
      <c r="BZ5" s="13">
        <f>BY5*VLOOKUP('Données projet'!$B$12,Paramètres!$A$1:$I$89,3,0)*VLOOKUP('Données projet'!$B$12,Paramètres!$A$1:$I$89,5,0)</f>
        <v>1.5845837298545919</v>
      </c>
      <c r="CA5" s="13">
        <f t="shared" ref="CA5:CA68" si="39">EXP(-1.0587+0.8836*LN(BZ5)+0.284)</f>
        <v>0.69214506839939893</v>
      </c>
      <c r="CB5" s="20">
        <f t="shared" si="10"/>
        <v>3.9653026569590337</v>
      </c>
      <c r="CC5" s="59">
        <f t="shared" si="11"/>
        <v>297.29863599029233</v>
      </c>
      <c r="CD5" s="59">
        <f ca="1">AVERAGE(OFFSET($CC$3,0,0,'Données projet'!$E$12+1,1))-AVERAGE(OFFSET($H$3,0,0,'Données projet'!$E$12+1,1))</f>
        <v>243.38048563215585</v>
      </c>
      <c r="CE5" s="59">
        <f t="shared" ref="CE5:CE68" si="40">$CE$3</f>
        <v>372.1604147006675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4.8</v>
      </c>
      <c r="CT5" s="12">
        <f>IF('Données projet'!$A$140&gt;35,CT4+CS5-DB4,IF(A5&lt;'Données projet'!$A$140,$CQ$205^A5,IF(A5='Données projet'!$A$140,'Données projet'!$B$140,CT4+CS5-DB4)))</f>
        <v>1.5784365299976539</v>
      </c>
      <c r="CU5" s="17">
        <f>CT5*VLOOKUP('Données projet'!$B$13,Paramètres!$A$1:$I$89,3,0)*VLOOKUP('Données projet'!$B$13,Paramètres!$A$1:$I$89,5,0)</f>
        <v>0.75922797092887162</v>
      </c>
      <c r="CV5" s="13">
        <f t="shared" ref="CV5:CV68" si="41">EXP(-1.0587+0.8836*LN(CU5)+0.284)</f>
        <v>0.3612841762676729</v>
      </c>
      <c r="CW5" s="20">
        <f t="shared" si="13"/>
        <v>1.9515586563673146</v>
      </c>
      <c r="CX5" s="59">
        <f t="shared" si="14"/>
        <v>295.28489198970061</v>
      </c>
      <c r="CY5" s="59">
        <f ca="1">AVERAGE(OFFSET($CX$3,0,0,'Données projet'!$E$13+1,1))-AVERAGE(OFFSET($H$3,0,0,'Données projet'!$E$13+1,1))</f>
        <v>297.21955661193238</v>
      </c>
      <c r="CZ5" s="59">
        <f t="shared" ref="CZ5:CZ68" si="42">$CZ$3</f>
        <v>273.69206144662144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1.2852076781904531</v>
      </c>
      <c r="DQ5" s="13">
        <f t="shared" ref="DQ5:DQ68" si="43">EXP(-1.0587+0.8836*LN(DP5)+0.284)</f>
        <v>0.57522914588482876</v>
      </c>
      <c r="DR5" s="20">
        <f t="shared" si="16"/>
        <v>3.2402608019311159</v>
      </c>
      <c r="DS5" s="59">
        <f t="shared" si="17"/>
        <v>296.57359413526444</v>
      </c>
      <c r="DT5" s="59">
        <f ca="1">AVERAGE(OFFSET($DS$3,0,0,'Données projet'!$E$14+1,1))-AVERAGE(OFFSET($H$3,0,0,'Données projet'!$E$14+1,1))</f>
        <v>260.20517190557814</v>
      </c>
      <c r="DU5" s="59">
        <f t="shared" ref="DU5:DU68" si="44">$DU$3</f>
        <v>307.22009971147133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6.1</v>
      </c>
      <c r="EJ5" s="12">
        <f>IF('Données projet'!$A$192&gt;35,EJ4+EI5-ER4,IF(A5&lt;'Données projet'!$A$192,$EG$205^A5,IF(A5='Données projet'!$A$192,'Données projet'!$B$192,EJ4+EI5-ER4)))</f>
        <v>1.6167243636066808</v>
      </c>
      <c r="EK5" s="17">
        <f>EJ5*VLOOKUP('Données projet'!$B$15,Paramètres!$A$1:$I$89,3,0)*VLOOKUP('Données projet'!$B$15,Paramètres!$A$1:$I$89,5,0)</f>
        <v>0.96680116943679517</v>
      </c>
      <c r="EL5" s="13">
        <f t="shared" ref="EL5:EL68" si="45">EXP(-1.0587+0.8836*LN(EK5)+0.284)</f>
        <v>0.44729700029912273</v>
      </c>
      <c r="EM5" s="20">
        <f t="shared" si="19"/>
        <v>2.4628876456233901</v>
      </c>
      <c r="EN5" s="59">
        <f t="shared" si="20"/>
        <v>295.79622097895668</v>
      </c>
      <c r="EO5" s="59">
        <f ca="1">AVERAGE(OFFSET($EN$3,0,0,'Données projet'!$E$15+1,1))-AVERAGE(OFFSET($H$3,0,0,'Données projet'!$E$15+1,1))</f>
        <v>259.30247982593914</v>
      </c>
      <c r="EP5" s="59">
        <f t="shared" ref="EP5:EP68" si="46">$EP$3</f>
        <v>275.24740346220779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5.05</v>
      </c>
      <c r="FE5" s="12">
        <f>IF('Données projet'!$A$218&gt;35,FE4+FD5-FM4,IF(A5&lt;'Données projet'!$A$218,$FB$205^A5,IF(A5='Données projet'!$A$218,'Données projet'!$B$218,FE4+FD5-FM4)))</f>
        <v>1.5864709984787195</v>
      </c>
      <c r="FF5" s="17">
        <f>FE5*VLOOKUP('Données projet'!$B$16,Paramètres!$A$1:$I$89,3,0)*VLOOKUP('Données projet'!$B$16,Paramètres!$A$1:$I$89,5,0)</f>
        <v>1.6086815924574216</v>
      </c>
      <c r="FG5" s="13">
        <f t="shared" ref="FG5:FG68" si="47">EXP(-1.0587+0.8836*LN(FF5)+0.284)</f>
        <v>0.70143759404950179</v>
      </c>
      <c r="FH5" s="20">
        <f t="shared" si="22"/>
        <v>4.0234575831662243</v>
      </c>
      <c r="FI5" s="59">
        <f t="shared" si="23"/>
        <v>297.35679091649956</v>
      </c>
      <c r="FJ5" s="59">
        <f ca="1">AVERAGE(OFFSET($FI$3,0,0,'Données projet'!$E$16+1,1))-AVERAGE(OFFSET($H$3,0,0,'Données projet'!$E$16+1,1))</f>
        <v>372.91317851957336</v>
      </c>
      <c r="FK5" s="59">
        <f t="shared" ref="FK5:FK68" si="48">$FK$3</f>
        <v>269.69187715858413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7.9</v>
      </c>
      <c r="FZ5" s="12">
        <f>IF('Données projet'!$A$244&gt;35,FZ4+FY5-GH4,IF(A5&lt;'Données projet'!$A$244,$FW$205^A5,IF(A5='Données projet'!$A$244,'Données projet'!$B$244,FZ4+FY5-GH4)))</f>
        <v>1.6590738140266501</v>
      </c>
      <c r="GA5" s="17">
        <f>FZ5*VLOOKUP('Données projet'!$B$17,Paramètres!$A$1:$I$89,3,0)*VLOOKUP('Données projet'!$B$17,Paramètres!$A$1:$I$89,5,0)</f>
        <v>0.77644654496447219</v>
      </c>
      <c r="GB5" s="13">
        <f t="shared" ref="GB5:GB68" si="49">EXP(-1.0587+0.8836*LN(GA5)+0.284)</f>
        <v>0.36851455096495994</v>
      </c>
      <c r="GC5" s="20">
        <f t="shared" si="25"/>
        <v>1.9941405754104276</v>
      </c>
      <c r="GD5" s="59">
        <f t="shared" si="26"/>
        <v>295.32747390874374</v>
      </c>
      <c r="GE5" s="59">
        <f ca="1">AVERAGE(OFFSET($GD$3,0,0,'Données projet'!$E$17+1,1))-AVERAGE(OFFSET($H$3,0,0,'Données projet'!$E$17+1,1))</f>
        <v>215.23235148064941</v>
      </c>
      <c r="GF5" s="59">
        <f t="shared" ref="GF5:GF68" si="50">$GF$3</f>
        <v>184.07239726900434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3.8333333333333335</v>
      </c>
      <c r="GU5" s="12">
        <f>IF('Données projet'!$A$270&gt;35,GU4+GT5-HC4,IF(A5&lt;'Données projet'!$A$270,$GR$205^A5,IF(A5='Données projet'!$A$270,'Données projet'!$B$270,GU4+GT5-HC4)))</f>
        <v>1.892894046431534</v>
      </c>
      <c r="GV5" s="17">
        <f>GU5*VLOOKUP('Données projet'!$B$18,Paramètres!$A$1:$I$89,3,0)*VLOOKUP('Données projet'!$B$18,Paramètres!$A$1:$I$89,5,0)</f>
        <v>1.1319506397660575</v>
      </c>
      <c r="GW5" s="13">
        <f t="shared" ref="GW5:GW68" si="51">EXP(-1.0587+0.8836*LN(GV5)+0.284)</f>
        <v>0.51417864374064992</v>
      </c>
      <c r="GX5" s="20">
        <f t="shared" si="28"/>
        <v>2.8670085021075149</v>
      </c>
      <c r="GY5" s="59">
        <f t="shared" si="29"/>
        <v>296.20034183544084</v>
      </c>
      <c r="GZ5" s="59">
        <f ca="1">AVERAGE(OFFSET($GY$3,0,0,'Données projet'!$E$18+1,1))-AVERAGE(OFFSET($H$3,0,0,'Données projet'!$E$18+1,1))</f>
        <v>227.89848316900191</v>
      </c>
      <c r="HA5" s="59">
        <f t="shared" ref="HA5:HA68" si="52">$HA$3</f>
        <v>239.85955661394541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</v>
      </c>
      <c r="N6" s="13">
        <f>IF('Données projet'!$A$36&gt;35,N5+M6-V5,IF(A6&lt;'Données projet'!$A$36,$K$205^A6,IF(A6='Données projet'!$A$36,'Données projet'!$B$36,N5+M6-V5)))</f>
        <v>2.4564560522315801</v>
      </c>
      <c r="O6" s="13">
        <f>N6*VLOOKUP('Données projet'!$B$9,Paramètres!$A$1:$I$89,3,0)*VLOOKUP('Données projet'!$B$9,Paramètres!$A$1:$I$89,5,0)</f>
        <v>1.3731589331974534</v>
      </c>
      <c r="P6" s="13">
        <f t="shared" si="33"/>
        <v>0.60987687957120462</v>
      </c>
      <c r="Q6" s="20">
        <f t="shared" si="2"/>
        <v>3.453787373905413</v>
      </c>
      <c r="R6" s="59">
        <f t="shared" si="0"/>
        <v>296.78712070723873</v>
      </c>
      <c r="S6" s="59">
        <f ca="1">AVERAGE(OFFSET($R$3,0,0,'Données projet'!$E$9+1,1))-AVERAGE(OFFSET($H$3,0,0,'Données projet'!$E$9+1,1))</f>
        <v>370.69652285220093</v>
      </c>
      <c r="T6" s="59">
        <f t="shared" si="34"/>
        <v>376.53494965377718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5.05</v>
      </c>
      <c r="AI6" s="13">
        <f>IF('Données projet'!$A$62&gt;35,AI5+AH6-AQ5,IF(A6&lt;'Données projet'!$A$62,$AF$205^A6,IF(A6='Données projet'!$A$62,'Données projet'!$B$62,AI5+AH6-AQ5)))</f>
        <v>1.9982425665282175</v>
      </c>
      <c r="AJ6" s="13">
        <f>AI6*VLOOKUP('Données projet'!$B$10,Paramètres!$A$1:$I$89,3,0)*VLOOKUP('Données projet'!$B$10,Paramètres!$A$1:$I$89,5,0)</f>
        <v>1.808009874194731</v>
      </c>
      <c r="AK6" s="13">
        <f t="shared" si="35"/>
        <v>0.77770463979516313</v>
      </c>
      <c r="AL6" s="20">
        <f t="shared" si="4"/>
        <v>4.5034527785323979</v>
      </c>
      <c r="AM6" s="59">
        <f t="shared" si="5"/>
        <v>297.83678611186571</v>
      </c>
      <c r="AN6" s="59">
        <f ca="1">AVERAGE(OFFSET($AM$3,0,0,'Données projet'!$E$10+1,1))-AVERAGE(OFFSET($H$3,0,0,'Données projet'!$E$10+1,1))</f>
        <v>321.03881567735544</v>
      </c>
      <c r="AO6" s="59">
        <f t="shared" si="36"/>
        <v>234.87694492493506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5.0999999999999996</v>
      </c>
      <c r="BD6" s="12">
        <f>IF('Données projet'!$A$88&gt;35,BD5+BC6-BL5,IF(A6&lt;'Données projet'!$A$88,$BA$205^A6,IF(A6='Données projet'!$A$88,'Données projet'!$B$88,BD5+BC6-BL5)))</f>
        <v>3.252902549146456</v>
      </c>
      <c r="BE6" s="13">
        <f>BD6*VLOOKUP('Données projet'!$B$11,Paramètres!$A$1:$I$89,3,0)*VLOOKUP('Données projet'!$B$11,Paramètres!$A$1:$I$89,5,0)</f>
        <v>1.7760847918339648</v>
      </c>
      <c r="BF6" s="13">
        <f t="shared" si="37"/>
        <v>0.76555815346722778</v>
      </c>
      <c r="BG6" s="20">
        <f t="shared" si="7"/>
        <v>4.426694796399576</v>
      </c>
      <c r="BH6" s="59">
        <f t="shared" si="8"/>
        <v>297.76002812973292</v>
      </c>
      <c r="BI6" s="59">
        <f ca="1">AVERAGE(OFFSET($BH$3,0,0,'Données projet'!$E$11+1,1))-AVERAGE(OFFSET($H$3,0,0,'Données projet'!$E$11+1,1))</f>
        <v>248.1486444660062</v>
      </c>
      <c r="BJ6" s="59">
        <f t="shared" si="38"/>
        <v>293.34458072322127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</v>
      </c>
      <c r="BY6" s="12">
        <f>IF('Données projet'!$A$114&gt;35,BY5+BX6-CG5,IF(A6&lt;'Données projet'!$A$114,$BV$205^A6,IF(A6='Données projet'!$A$114,'Données projet'!$B$114,BY5+BX6-CG5)))</f>
        <v>2.4428896557373947</v>
      </c>
      <c r="BZ6" s="13">
        <f>BY6*VLOOKUP('Données projet'!$B$12,Paramètres!$A$1:$I$89,3,0)*VLOOKUP('Données projet'!$B$12,Paramètres!$A$1:$I$89,5,0)</f>
        <v>2.1341084032521884</v>
      </c>
      <c r="CA6" s="13">
        <f t="shared" si="39"/>
        <v>0.90042541139273424</v>
      </c>
      <c r="CB6" s="20">
        <f t="shared" si="10"/>
        <v>5.2851463938399075</v>
      </c>
      <c r="CC6" s="59">
        <f t="shared" si="11"/>
        <v>298.61847972717322</v>
      </c>
      <c r="CD6" s="59">
        <f ca="1">AVERAGE(OFFSET($CC$3,0,0,'Données projet'!$E$12+1,1))-AVERAGE(OFFSET($H$3,0,0,'Données projet'!$E$12+1,1))</f>
        <v>243.38048563215585</v>
      </c>
      <c r="CE6" s="59">
        <f t="shared" si="40"/>
        <v>372.1604147006675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4.8</v>
      </c>
      <c r="CT6" s="12">
        <f>IF('Données projet'!$A$140&gt;35,CT5+CS6-DB5,IF(A6&lt;'Données projet'!$A$140,$CQ$205^A6,IF(A6='Données projet'!$A$140,'Données projet'!$B$140,CT5+CS6-DB5)))</f>
        <v>1.9830820566166365</v>
      </c>
      <c r="CU6" s="17">
        <f>CT6*VLOOKUP('Données projet'!$B$13,Paramètres!$A$1:$I$89,3,0)*VLOOKUP('Données projet'!$B$13,Paramètres!$A$1:$I$89,5,0)</f>
        <v>0.95386246923260221</v>
      </c>
      <c r="CV6" s="13">
        <f t="shared" si="41"/>
        <v>0.44200347482248059</v>
      </c>
      <c r="CW6" s="20">
        <f t="shared" si="13"/>
        <v>2.4311331858959355</v>
      </c>
      <c r="CX6" s="59">
        <f t="shared" si="14"/>
        <v>295.76446651922925</v>
      </c>
      <c r="CY6" s="59">
        <f ca="1">AVERAGE(OFFSET($CX$3,0,0,'Données projet'!$E$13+1,1))-AVERAGE(OFFSET($H$3,0,0,'Données projet'!$E$13+1,1))</f>
        <v>297.21955661193238</v>
      </c>
      <c r="CZ6" s="59">
        <f t="shared" si="42"/>
        <v>273.69206144662144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1.6334753307069771</v>
      </c>
      <c r="DQ6" s="13">
        <f t="shared" si="43"/>
        <v>0.71098156578295024</v>
      </c>
      <c r="DR6" s="20">
        <f t="shared" si="16"/>
        <v>4.0832624280532892</v>
      </c>
      <c r="DS6" s="59">
        <f t="shared" si="17"/>
        <v>297.41659576138659</v>
      </c>
      <c r="DT6" s="59">
        <f ca="1">AVERAGE(OFFSET($DS$3,0,0,'Données projet'!$E$14+1,1))-AVERAGE(OFFSET($H$3,0,0,'Données projet'!$E$14+1,1))</f>
        <v>260.20517190557814</v>
      </c>
      <c r="DU6" s="59">
        <f t="shared" si="44"/>
        <v>307.22009971147133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6.1</v>
      </c>
      <c r="EJ6" s="12">
        <f>IF('Données projet'!$A$192&gt;35,EJ5+EI6-ER5,IF(A6&lt;'Données projet'!$A$192,$EG$205^A6,IF(A6='Données projet'!$A$192,'Données projet'!$B$192,EJ5+EI6-ER5)))</f>
        <v>2.0556727295946193</v>
      </c>
      <c r="EK6" s="17">
        <f>EJ6*VLOOKUP('Données projet'!$B$15,Paramètres!$A$1:$I$89,3,0)*VLOOKUP('Données projet'!$B$15,Paramètres!$A$1:$I$89,5,0)</f>
        <v>1.2292922922975824</v>
      </c>
      <c r="EL6" s="13">
        <f t="shared" si="45"/>
        <v>0.55305887131667453</v>
      </c>
      <c r="EM6" s="20">
        <f t="shared" si="19"/>
        <v>3.1042616099614975</v>
      </c>
      <c r="EN6" s="59">
        <f t="shared" si="20"/>
        <v>296.43759494329481</v>
      </c>
      <c r="EO6" s="59">
        <f ca="1">AVERAGE(OFFSET($EN$3,0,0,'Données projet'!$E$15+1,1))-AVERAGE(OFFSET($H$3,0,0,'Données projet'!$E$15+1,1))</f>
        <v>259.30247982593914</v>
      </c>
      <c r="EP6" s="59">
        <f t="shared" si="46"/>
        <v>275.24740346220779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5.05</v>
      </c>
      <c r="FE6" s="12">
        <f>IF('Données projet'!$A$218&gt;35,FE5+FD6-FM5,IF(A6&lt;'Données projet'!$A$218,$FB$205^A6,IF(A6='Données projet'!$A$218,'Données projet'!$B$218,FE5+FD6-FM5)))</f>
        <v>1.9982425665282175</v>
      </c>
      <c r="FF6" s="17">
        <f>FE6*VLOOKUP('Données projet'!$B$16,Paramètres!$A$1:$I$89,3,0)*VLOOKUP('Données projet'!$B$16,Paramètres!$A$1:$I$89,5,0)</f>
        <v>2.0262179624596128</v>
      </c>
      <c r="FG6" s="13">
        <f t="shared" si="47"/>
        <v>0.86008219416546627</v>
      </c>
      <c r="FH6" s="20">
        <f t="shared" si="22"/>
        <v>5.026972772788679</v>
      </c>
      <c r="FI6" s="59">
        <f t="shared" si="23"/>
        <v>298.36030610612198</v>
      </c>
      <c r="FJ6" s="59">
        <f ca="1">AVERAGE(OFFSET($FI$3,0,0,'Données projet'!$E$16+1,1))-AVERAGE(OFFSET($H$3,0,0,'Données projet'!$E$16+1,1))</f>
        <v>372.91317851957336</v>
      </c>
      <c r="FK6" s="59">
        <f t="shared" si="48"/>
        <v>269.69187715858413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7.9</v>
      </c>
      <c r="FZ6" s="12">
        <f>IF('Données projet'!$A$244&gt;35,FZ5+FY6-GH5,IF(A6&lt;'Données projet'!$A$244,$FW$205^A6,IF(A6='Données projet'!$A$244,'Données projet'!$B$244,FZ5+FY6-GH5)))</f>
        <v>2.1369706776057753</v>
      </c>
      <c r="GA6" s="17">
        <f>FZ6*VLOOKUP('Données projet'!$B$17,Paramètres!$A$1:$I$89,3,0)*VLOOKUP('Données projet'!$B$17,Paramètres!$A$1:$I$89,5,0)</f>
        <v>1.0001022771195029</v>
      </c>
      <c r="GB6" s="13">
        <f t="shared" si="49"/>
        <v>0.46088365986243646</v>
      </c>
      <c r="GC6" s="20">
        <f t="shared" si="25"/>
        <v>2.5445505069102112</v>
      </c>
      <c r="GD6" s="59">
        <f t="shared" si="26"/>
        <v>295.8778838402435</v>
      </c>
      <c r="GE6" s="59">
        <f ca="1">AVERAGE(OFFSET($GD$3,0,0,'Données projet'!$E$17+1,1))-AVERAGE(OFFSET($H$3,0,0,'Données projet'!$E$17+1,1))</f>
        <v>215.23235148064941</v>
      </c>
      <c r="GF6" s="59">
        <f t="shared" si="50"/>
        <v>184.07239726900434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3.8333333333333335</v>
      </c>
      <c r="GU6" s="12">
        <f>IF('Données projet'!$A$270&gt;35,GU5+GT6-HC5,IF(A6&lt;'Données projet'!$A$270,$GR$205^A6,IF(A6='Données projet'!$A$270,'Données projet'!$B$270,GU5+GT6-HC5)))</f>
        <v>2.6042906871402178</v>
      </c>
      <c r="GV6" s="17">
        <f>GU6*VLOOKUP('Données projet'!$B$18,Paramètres!$A$1:$I$89,3,0)*VLOOKUP('Données projet'!$B$18,Paramètres!$A$1:$I$89,5,0)</f>
        <v>1.5573658309098504</v>
      </c>
      <c r="GW6" s="13">
        <f t="shared" si="51"/>
        <v>0.68162959137501489</v>
      </c>
      <c r="GX6" s="20">
        <f t="shared" si="28"/>
        <v>3.8995836938128075</v>
      </c>
      <c r="GY6" s="59">
        <f t="shared" si="29"/>
        <v>297.23291702714613</v>
      </c>
      <c r="GZ6" s="59">
        <f ca="1">AVERAGE(OFFSET($GY$3,0,0,'Données projet'!$E$18+1,1))-AVERAGE(OFFSET($H$3,0,0,'Données projet'!$E$18+1,1))</f>
        <v>227.89848316900191</v>
      </c>
      <c r="HA6" s="59">
        <f t="shared" si="52"/>
        <v>239.85955661394541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</v>
      </c>
      <c r="N7" s="13">
        <f>IF('Données projet'!$A$36&gt;35,N6+M7-V6,IF(A7&lt;'Données projet'!$A$36,$K$205^A7,IF(A7='Données projet'!$A$36,'Données projet'!$B$36,N6+M7-V6)))</f>
        <v>3.3144540173399859</v>
      </c>
      <c r="O7" s="13">
        <f>N7*VLOOKUP('Données projet'!$B$9,Paramètres!$A$1:$I$89,3,0)*VLOOKUP('Données projet'!$B$9,Paramètres!$A$1:$I$89,5,0)</f>
        <v>1.8527797956930523</v>
      </c>
      <c r="P7" s="13">
        <f t="shared" si="33"/>
        <v>0.79469627983693913</v>
      </c>
      <c r="Q7" s="20">
        <f t="shared" si="2"/>
        <v>4.6110208315480676</v>
      </c>
      <c r="R7" s="59">
        <f t="shared" si="0"/>
        <v>297.94435416488136</v>
      </c>
      <c r="S7" s="59">
        <f ca="1">AVERAGE(OFFSET($R$3,0,0,'Données projet'!$E$9+1,1))-AVERAGE(OFFSET($H$3,0,0,'Données projet'!$E$9+1,1))</f>
        <v>370.69652285220093</v>
      </c>
      <c r="T7" s="59">
        <f t="shared" si="34"/>
        <v>376.53494965377718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5.05</v>
      </c>
      <c r="AI7" s="13">
        <f>IF('Données projet'!$A$62&gt;35,AI6+AH7-AQ6,IF(A7&lt;'Données projet'!$A$62,$AF$205^A7,IF(A7='Données projet'!$A$62,'Données projet'!$B$62,AI6+AH7-AQ6)))</f>
        <v>2.5168902290140651</v>
      </c>
      <c r="AJ7" s="13">
        <f>AI7*VLOOKUP('Données projet'!$B$10,Paramètres!$A$1:$I$89,3,0)*VLOOKUP('Données projet'!$B$10,Paramètres!$A$1:$I$89,5,0)</f>
        <v>2.2772822792119261</v>
      </c>
      <c r="AK7" s="13">
        <f t="shared" si="35"/>
        <v>0.95359860760540094</v>
      </c>
      <c r="AL7" s="20">
        <f t="shared" si="4"/>
        <v>5.6271175445401775</v>
      </c>
      <c r="AM7" s="59">
        <f t="shared" si="5"/>
        <v>298.96045087787348</v>
      </c>
      <c r="AN7" s="59">
        <f ca="1">AVERAGE(OFFSET($AM$3,0,0,'Données projet'!$E$10+1,1))-AVERAGE(OFFSET($H$3,0,0,'Données projet'!$E$10+1,1))</f>
        <v>321.03881567735544</v>
      </c>
      <c r="AO7" s="59">
        <f t="shared" si="36"/>
        <v>234.87694492493506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5.0999999999999996</v>
      </c>
      <c r="BD7" s="12">
        <f>IF('Données projet'!$A$88&gt;35,BD6+BC7-BL6,IF(A7&lt;'Données projet'!$A$88,$BA$205^A7,IF(A7='Données projet'!$A$88,'Données projet'!$B$88,BD6+BC7-BL6)))</f>
        <v>4.8197894912282218</v>
      </c>
      <c r="BE7" s="13">
        <f>BD7*VLOOKUP('Données projet'!$B$11,Paramètres!$A$1:$I$89,3,0)*VLOOKUP('Données projet'!$B$11,Paramètres!$A$1:$I$89,5,0)</f>
        <v>2.6316050622106091</v>
      </c>
      <c r="BF7" s="13">
        <f t="shared" si="37"/>
        <v>1.0835752756301034</v>
      </c>
      <c r="BG7" s="20">
        <f t="shared" si="7"/>
        <v>6.4706057550725733</v>
      </c>
      <c r="BH7" s="59">
        <f t="shared" si="8"/>
        <v>299.80393908840591</v>
      </c>
      <c r="BI7" s="59">
        <f ca="1">AVERAGE(OFFSET($BH$3,0,0,'Données projet'!$E$11+1,1))-AVERAGE(OFFSET($H$3,0,0,'Données projet'!$E$11+1,1))</f>
        <v>248.1486444660062</v>
      </c>
      <c r="BJ7" s="59">
        <f t="shared" si="38"/>
        <v>293.34458072322127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</v>
      </c>
      <c r="BY7" s="12">
        <f>IF('Données projet'!$A$114&gt;35,BY6+BX7-CG6,IF(A7&lt;'Données projet'!$A$114,$BV$205^A7,IF(A7='Données projet'!$A$114,'Données projet'!$B$114,BY6+BX7-CG6)))</f>
        <v>3.2900699687263746</v>
      </c>
      <c r="BZ7" s="13">
        <f>BY7*VLOOKUP('Données projet'!$B$12,Paramètres!$A$1:$I$89,3,0)*VLOOKUP('Données projet'!$B$12,Paramètres!$A$1:$I$89,5,0)</f>
        <v>2.874205124679361</v>
      </c>
      <c r="CA7" s="13">
        <f t="shared" si="39"/>
        <v>1.1713814899478936</v>
      </c>
      <c r="CB7" s="20">
        <f t="shared" si="10"/>
        <v>7.0460633538091342</v>
      </c>
      <c r="CC7" s="59">
        <f t="shared" si="11"/>
        <v>300.37939668714245</v>
      </c>
      <c r="CD7" s="59">
        <f ca="1">AVERAGE(OFFSET($CC$3,0,0,'Données projet'!$E$12+1,1))-AVERAGE(OFFSET($H$3,0,0,'Données projet'!$E$12+1,1))</f>
        <v>243.38048563215585</v>
      </c>
      <c r="CE7" s="59">
        <f t="shared" si="40"/>
        <v>372.1604147006675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4.8</v>
      </c>
      <c r="CT7" s="12">
        <f>IF('Données projet'!$A$140&gt;35,CT6+CS7-DB6,IF(A7&lt;'Données projet'!$A$140,$CQ$205^A7,IF(A7='Données projet'!$A$140,'Données projet'!$B$140,CT6+CS7-DB6)))</f>
        <v>2.4914618792310348</v>
      </c>
      <c r="CU7" s="17">
        <f>CT7*VLOOKUP('Données projet'!$B$13,Paramètres!$A$1:$I$89,3,0)*VLOOKUP('Données projet'!$B$13,Paramètres!$A$1:$I$89,5,0)</f>
        <v>1.1983931639101277</v>
      </c>
      <c r="CV7" s="13">
        <f t="shared" si="41"/>
        <v>0.54075734446338186</v>
      </c>
      <c r="CW7" s="20">
        <f t="shared" si="13"/>
        <v>3.0290204687505287</v>
      </c>
      <c r="CX7" s="59">
        <f t="shared" si="14"/>
        <v>296.36235380208382</v>
      </c>
      <c r="CY7" s="59">
        <f ca="1">AVERAGE(OFFSET($CX$3,0,0,'Données projet'!$E$13+1,1))-AVERAGE(OFFSET($H$3,0,0,'Données projet'!$E$13+1,1))</f>
        <v>297.21955661193238</v>
      </c>
      <c r="CZ7" s="59">
        <f t="shared" si="42"/>
        <v>273.69206144662144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2.0761171142278725</v>
      </c>
      <c r="DQ7" s="13">
        <f t="shared" si="43"/>
        <v>0.87877116536856548</v>
      </c>
      <c r="DR7" s="20">
        <f t="shared" si="16"/>
        <v>5.14643042029713</v>
      </c>
      <c r="DS7" s="59">
        <f t="shared" si="17"/>
        <v>298.47976375363044</v>
      </c>
      <c r="DT7" s="59">
        <f ca="1">AVERAGE(OFFSET($DS$3,0,0,'Données projet'!$E$14+1,1))-AVERAGE(OFFSET($H$3,0,0,'Données projet'!$E$14+1,1))</f>
        <v>260.20517190557814</v>
      </c>
      <c r="DU7" s="59">
        <f t="shared" si="44"/>
        <v>307.22009971147133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6.1</v>
      </c>
      <c r="EJ7" s="12">
        <f>IF('Données projet'!$A$192&gt;35,EJ6+EI7-ER6,IF(A7&lt;'Données projet'!$A$192,$EG$205^A7,IF(A7='Données projet'!$A$192,'Données projet'!$B$192,EJ6+EI7-ER6)))</f>
        <v>2.6137976678794272</v>
      </c>
      <c r="EK7" s="17">
        <f>EJ7*VLOOKUP('Données projet'!$B$15,Paramètres!$A$1:$I$89,3,0)*VLOOKUP('Données projet'!$B$15,Paramètres!$A$1:$I$89,5,0)</f>
        <v>1.5630510053918976</v>
      </c>
      <c r="EL7" s="13">
        <f t="shared" si="45"/>
        <v>0.6838277809543224</v>
      </c>
      <c r="EM7" s="20">
        <f t="shared" si="19"/>
        <v>3.9133138862196657</v>
      </c>
      <c r="EN7" s="59">
        <f t="shared" si="20"/>
        <v>297.24664721955298</v>
      </c>
      <c r="EO7" s="59">
        <f ca="1">AVERAGE(OFFSET($EN$3,0,0,'Données projet'!$E$15+1,1))-AVERAGE(OFFSET($H$3,0,0,'Données projet'!$E$15+1,1))</f>
        <v>259.30247982593914</v>
      </c>
      <c r="EP7" s="59">
        <f t="shared" si="46"/>
        <v>275.24740346220779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5.05</v>
      </c>
      <c r="FE7" s="12">
        <f>IF('Données projet'!$A$218&gt;35,FE6+FD7-FM6,IF(A7&lt;'Données projet'!$A$218,$FB$205^A7,IF(A7='Données projet'!$A$218,'Données projet'!$B$218,FE6+FD7-FM6)))</f>
        <v>2.5168902290140651</v>
      </c>
      <c r="FF7" s="17">
        <f>FE7*VLOOKUP('Données projet'!$B$16,Paramètres!$A$1:$I$89,3,0)*VLOOKUP('Données projet'!$B$16,Paramètres!$A$1:$I$89,5,0)</f>
        <v>2.5521266922202623</v>
      </c>
      <c r="FG7" s="13">
        <f t="shared" si="47"/>
        <v>1.0546075474082413</v>
      </c>
      <c r="FH7" s="20">
        <f t="shared" si="22"/>
        <v>6.2817288006863095</v>
      </c>
      <c r="FI7" s="59">
        <f t="shared" si="23"/>
        <v>299.61506213401964</v>
      </c>
      <c r="FJ7" s="59">
        <f ca="1">AVERAGE(OFFSET($FI$3,0,0,'Données projet'!$E$16+1,1))-AVERAGE(OFFSET($H$3,0,0,'Données projet'!$E$16+1,1))</f>
        <v>372.91317851957336</v>
      </c>
      <c r="FK7" s="59">
        <f t="shared" si="48"/>
        <v>269.69187715858413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7.9</v>
      </c>
      <c r="FZ7" s="12">
        <f>IF('Données projet'!$A$244&gt;35,FZ6+FY7-GH6,IF(A7&lt;'Données projet'!$A$244,$FW$205^A7,IF(A7='Données projet'!$A$244,'Données projet'!$B$244,FZ6+FY7-GH6)))</f>
        <v>2.7525259203889356</v>
      </c>
      <c r="GA7" s="17">
        <f>FZ7*VLOOKUP('Données projet'!$B$17,Paramètres!$A$1:$I$89,3,0)*VLOOKUP('Données projet'!$B$17,Paramètres!$A$1:$I$89,5,0)</f>
        <v>1.2881821307420218</v>
      </c>
      <c r="GB7" s="13">
        <f t="shared" si="49"/>
        <v>0.57640532069082717</v>
      </c>
      <c r="GC7" s="20">
        <f t="shared" si="25"/>
        <v>3.2474898112455457</v>
      </c>
      <c r="GD7" s="59">
        <f t="shared" si="26"/>
        <v>296.58082314457886</v>
      </c>
      <c r="GE7" s="59">
        <f ca="1">AVERAGE(OFFSET($GD$3,0,0,'Données projet'!$E$17+1,1))-AVERAGE(OFFSET($H$3,0,0,'Données projet'!$E$17+1,1))</f>
        <v>215.23235148064941</v>
      </c>
      <c r="GF7" s="59">
        <f t="shared" si="50"/>
        <v>184.07239726900434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3.8333333333333335</v>
      </c>
      <c r="GU7" s="12">
        <f>IF('Données projet'!$A$270&gt;35,GU6+GT7-HC6,IF(A7&lt;'Données projet'!$A$270,$GR$205^A7,IF(A7='Données projet'!$A$270,'Données projet'!$B$270,GU6+GT7-HC6)))</f>
        <v>3.5830478710159466</v>
      </c>
      <c r="GV7" s="17">
        <f>GU7*VLOOKUP('Données projet'!$B$18,Paramètres!$A$1:$I$89,3,0)*VLOOKUP('Données projet'!$B$18,Paramètres!$A$1:$I$89,5,0)</f>
        <v>2.1426626268675362</v>
      </c>
      <c r="GW7" s="13">
        <f t="shared" si="51"/>
        <v>0.9036137643873482</v>
      </c>
      <c r="GX7" s="20">
        <f t="shared" si="28"/>
        <v>5.3055980481022571</v>
      </c>
      <c r="GY7" s="59">
        <f t="shared" si="29"/>
        <v>298.63893138143555</v>
      </c>
      <c r="GZ7" s="59">
        <f ca="1">AVERAGE(OFFSET($GY$3,0,0,'Données projet'!$E$18+1,1))-AVERAGE(OFFSET($H$3,0,0,'Données projet'!$E$18+1,1))</f>
        <v>227.89848316900191</v>
      </c>
      <c r="HA7" s="59">
        <f t="shared" si="52"/>
        <v>239.85955661394541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</v>
      </c>
      <c r="N8" s="13">
        <f>IF('Données projet'!$A$36&gt;35,N7+M8-V7,IF(A8&lt;'Données projet'!$A$36,$K$205^A8,IF(A8='Données projet'!$A$36,'Données projet'!$B$36,N7+M8-V7)))</f>
        <v>4.4721359549995778</v>
      </c>
      <c r="O8" s="13">
        <f>N8*VLOOKUP('Données projet'!$B$9,Paramètres!$A$1:$I$89,3,0)*VLOOKUP('Données projet'!$B$9,Paramètres!$A$1:$I$89,5,0)</f>
        <v>2.4999239988447641</v>
      </c>
      <c r="P8" s="13">
        <f t="shared" si="33"/>
        <v>1.035524051396568</v>
      </c>
      <c r="Q8" s="20">
        <f t="shared" si="2"/>
        <v>6.1575720208369864</v>
      </c>
      <c r="R8" s="59">
        <f t="shared" si="0"/>
        <v>299.49090535417031</v>
      </c>
      <c r="S8" s="59">
        <f ca="1">AVERAGE(OFFSET($R$3,0,0,'Données projet'!$E$9+1,1))-AVERAGE(OFFSET($H$3,0,0,'Données projet'!$E$9+1,1))</f>
        <v>370.69652285220093</v>
      </c>
      <c r="T8" s="59">
        <f t="shared" si="34"/>
        <v>376.53494965377718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5.05</v>
      </c>
      <c r="AI8" s="13">
        <f>IF('Données projet'!$A$62&gt;35,AI7+AH8-AQ7,IF(A8&lt;'Données projet'!$A$62,$AF$205^A8,IF(A8='Données projet'!$A$62,'Données projet'!$B$62,AI7+AH8-AQ7)))</f>
        <v>3.1701538797227</v>
      </c>
      <c r="AJ8" s="13">
        <f>AI8*VLOOKUP('Données projet'!$B$10,Paramètres!$A$1:$I$89,3,0)*VLOOKUP('Données projet'!$B$10,Paramètres!$A$1:$I$89,5,0)</f>
        <v>2.868355230373099</v>
      </c>
      <c r="AK8" s="13">
        <f t="shared" si="35"/>
        <v>1.1692746293328919</v>
      </c>
      <c r="AL8" s="20">
        <f t="shared" si="4"/>
        <v>7.0322053389879331</v>
      </c>
      <c r="AM8" s="59">
        <f t="shared" si="5"/>
        <v>300.36553867232124</v>
      </c>
      <c r="AN8" s="59">
        <f ca="1">AVERAGE(OFFSET($AM$3,0,0,'Données projet'!$E$10+1,1))-AVERAGE(OFFSET($H$3,0,0,'Données projet'!$E$10+1,1))</f>
        <v>321.03881567735544</v>
      </c>
      <c r="AO8" s="59">
        <f t="shared" si="36"/>
        <v>234.87694492493506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5.0999999999999996</v>
      </c>
      <c r="BD8" s="12">
        <f>IF('Données projet'!$A$88&gt;35,BD7+BC8-BL7,IF(A8&lt;'Données projet'!$A$88,$BA$205^A8,IF(A8='Données projet'!$A$88,'Données projet'!$B$88,BD7+BC8-BL7)))</f>
        <v>7.1414284285428478</v>
      </c>
      <c r="BE8" s="13">
        <f>BD8*VLOOKUP('Données projet'!$B$11,Paramètres!$A$1:$I$89,3,0)*VLOOKUP('Données projet'!$B$11,Paramètres!$A$1:$I$89,5,0)</f>
        <v>3.8992199219843946</v>
      </c>
      <c r="BF8" s="13">
        <f t="shared" si="37"/>
        <v>1.5336984821325097</v>
      </c>
      <c r="BG8" s="20">
        <f t="shared" si="7"/>
        <v>9.462332887170275</v>
      </c>
      <c r="BH8" s="59">
        <f t="shared" si="8"/>
        <v>302.79566622050356</v>
      </c>
      <c r="BI8" s="59">
        <f ca="1">AVERAGE(OFFSET($BH$3,0,0,'Données projet'!$E$11+1,1))-AVERAGE(OFFSET($H$3,0,0,'Données projet'!$E$11+1,1))</f>
        <v>248.1486444660062</v>
      </c>
      <c r="BJ8" s="59">
        <f t="shared" si="38"/>
        <v>293.34458072322127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</v>
      </c>
      <c r="BY8" s="12">
        <f>IF('Données projet'!$A$114&gt;35,BY7+BX8-CG7,IF(A8&lt;'Données projet'!$A$114,$BV$205^A8,IF(A8='Données projet'!$A$114,'Données projet'!$B$114,BY7+BX8-CG7)))</f>
        <v>4.4310476216936356</v>
      </c>
      <c r="BZ8" s="13">
        <f>BY8*VLOOKUP('Données projet'!$B$12,Paramètres!$A$1:$I$89,3,0)*VLOOKUP('Données projet'!$B$12,Paramètres!$A$1:$I$89,5,0)</f>
        <v>3.8709632023115605</v>
      </c>
      <c r="CA8" s="13">
        <f t="shared" si="39"/>
        <v>1.5238736908481918</v>
      </c>
      <c r="CB8" s="20">
        <f t="shared" si="10"/>
        <v>9.3960075889199022</v>
      </c>
      <c r="CC8" s="59">
        <f t="shared" si="11"/>
        <v>302.72934092225324</v>
      </c>
      <c r="CD8" s="59">
        <f ca="1">AVERAGE(OFFSET($CC$3,0,0,'Données projet'!$E$12+1,1))-AVERAGE(OFFSET($H$3,0,0,'Données projet'!$E$12+1,1))</f>
        <v>243.38048563215585</v>
      </c>
      <c r="CE8" s="59">
        <f t="shared" si="40"/>
        <v>372.1604147006675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4.8</v>
      </c>
      <c r="CT8" s="12">
        <f>IF('Données projet'!$A$140&gt;35,CT7+CS8-DB7,IF(A8&lt;'Données projet'!$A$140,$CQ$205^A8,IF(A8='Données projet'!$A$140,'Données projet'!$B$140,CT7+CS8-DB7)))</f>
        <v>3.1301691601465751</v>
      </c>
      <c r="CU8" s="17">
        <f>CT8*VLOOKUP('Données projet'!$B$13,Paramètres!$A$1:$I$89,3,0)*VLOOKUP('Données projet'!$B$13,Paramètres!$A$1:$I$89,5,0)</f>
        <v>1.5056113660305028</v>
      </c>
      <c r="CV8" s="13">
        <f t="shared" si="41"/>
        <v>0.66157512835963828</v>
      </c>
      <c r="CW8" s="20">
        <f t="shared" si="13"/>
        <v>3.7745164777294953</v>
      </c>
      <c r="CX8" s="59">
        <f t="shared" si="14"/>
        <v>297.10784981106281</v>
      </c>
      <c r="CY8" s="59">
        <f ca="1">AVERAGE(OFFSET($CX$3,0,0,'Données projet'!$E$13+1,1))-AVERAGE(OFFSET($H$3,0,0,'Données projet'!$E$13+1,1))</f>
        <v>297.21955661193238</v>
      </c>
      <c r="CZ8" s="59">
        <f t="shared" si="42"/>
        <v>273.69206144662144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2.6387066832067574</v>
      </c>
      <c r="DQ8" s="13">
        <f t="shared" si="43"/>
        <v>1.0861586266766543</v>
      </c>
      <c r="DR8" s="20">
        <f t="shared" si="16"/>
        <v>6.4874737480469413</v>
      </c>
      <c r="DS8" s="59">
        <f t="shared" si="17"/>
        <v>299.82080708138028</v>
      </c>
      <c r="DT8" s="59">
        <f ca="1">AVERAGE(OFFSET($DS$3,0,0,'Données projet'!$E$14+1,1))-AVERAGE(OFFSET($H$3,0,0,'Données projet'!$E$14+1,1))</f>
        <v>260.20517190557814</v>
      </c>
      <c r="DU8" s="59">
        <f t="shared" si="44"/>
        <v>307.22009971147133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6.1</v>
      </c>
      <c r="EJ8" s="12">
        <f>IF('Données projet'!$A$192&gt;35,EJ7+EI8-ER7,IF(A8&lt;'Données projet'!$A$192,$EG$205^A8,IF(A8='Données projet'!$A$192,'Données projet'!$B$192,EJ7+EI8-ER7)))</f>
        <v>3.3234561855374696</v>
      </c>
      <c r="EK8" s="17">
        <f>EJ8*VLOOKUP('Données projet'!$B$15,Paramètres!$A$1:$I$89,3,0)*VLOOKUP('Données projet'!$B$15,Paramètres!$A$1:$I$89,5,0)</f>
        <v>1.9874267989514072</v>
      </c>
      <c r="EL8" s="13">
        <f t="shared" si="45"/>
        <v>0.8455165593703301</v>
      </c>
      <c r="EM8" s="20">
        <f t="shared" si="19"/>
        <v>4.9340430157436925</v>
      </c>
      <c r="EN8" s="59">
        <f t="shared" si="20"/>
        <v>298.26737634907698</v>
      </c>
      <c r="EO8" s="59">
        <f ca="1">AVERAGE(OFFSET($EN$3,0,0,'Données projet'!$E$15+1,1))-AVERAGE(OFFSET($H$3,0,0,'Données projet'!$E$15+1,1))</f>
        <v>259.30247982593914</v>
      </c>
      <c r="EP8" s="59">
        <f t="shared" si="46"/>
        <v>275.24740346220779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5.05</v>
      </c>
      <c r="FE8" s="12">
        <f>IF('Données projet'!$A$218&gt;35,FE7+FD8-FM7,IF(A8&lt;'Données projet'!$A$218,$FB$205^A8,IF(A8='Données projet'!$A$218,'Données projet'!$B$218,FE7+FD8-FM7)))</f>
        <v>3.1701538797227</v>
      </c>
      <c r="FF8" s="17">
        <f>FE8*VLOOKUP('Données projet'!$B$16,Paramètres!$A$1:$I$89,3,0)*VLOOKUP('Données projet'!$B$16,Paramètres!$A$1:$I$89,5,0)</f>
        <v>3.2145360340388178</v>
      </c>
      <c r="FG8" s="13">
        <f t="shared" si="47"/>
        <v>1.2931288272158517</v>
      </c>
      <c r="FH8" s="20">
        <f t="shared" si="22"/>
        <v>7.8508496333518822</v>
      </c>
      <c r="FI8" s="59">
        <f t="shared" si="23"/>
        <v>301.18418296668517</v>
      </c>
      <c r="FJ8" s="59">
        <f ca="1">AVERAGE(OFFSET($FI$3,0,0,'Données projet'!$E$16+1,1))-AVERAGE(OFFSET($H$3,0,0,'Données projet'!$E$16+1,1))</f>
        <v>372.91317851957336</v>
      </c>
      <c r="FK8" s="59">
        <f t="shared" si="48"/>
        <v>269.69187715858413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7.9</v>
      </c>
      <c r="FZ8" s="12">
        <f>IF('Données projet'!$A$244&gt;35,FZ7+FY8-GH7,IF(A8&lt;'Données projet'!$A$244,$FW$205^A8,IF(A8='Données projet'!$A$244,'Données projet'!$B$244,FZ7+FY8-GH7)))</f>
        <v>3.5453920925585285</v>
      </c>
      <c r="GA8" s="17">
        <f>FZ8*VLOOKUP('Données projet'!$B$17,Paramètres!$A$1:$I$89,3,0)*VLOOKUP('Données projet'!$B$17,Paramètres!$A$1:$I$89,5,0)</f>
        <v>1.6592434993173915</v>
      </c>
      <c r="GB8" s="13">
        <f t="shared" si="49"/>
        <v>0.72088277944126433</v>
      </c>
      <c r="GC8" s="20">
        <f t="shared" si="25"/>
        <v>4.1453866021713255</v>
      </c>
      <c r="GD8" s="59">
        <f t="shared" si="26"/>
        <v>297.47871993550461</v>
      </c>
      <c r="GE8" s="59">
        <f ca="1">AVERAGE(OFFSET($GD$3,0,0,'Données projet'!$E$17+1,1))-AVERAGE(OFFSET($H$3,0,0,'Données projet'!$E$17+1,1))</f>
        <v>215.23235148064941</v>
      </c>
      <c r="GF8" s="59">
        <f t="shared" si="50"/>
        <v>184.07239726900434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3.8333333333333335</v>
      </c>
      <c r="GU8" s="12">
        <f>IF('Données projet'!$A$270&gt;35,GU7+GT8-HC7,IF(A8&lt;'Données projet'!$A$270,$GR$205^A8,IF(A8='Données projet'!$A$270,'Données projet'!$B$270,GU7+GT8-HC7)))</f>
        <v>4.9296463368648071</v>
      </c>
      <c r="GV8" s="17">
        <f>GU8*VLOOKUP('Données projet'!$B$18,Paramètres!$A$1:$I$89,3,0)*VLOOKUP('Données projet'!$B$18,Paramètres!$A$1:$I$89,5,0)</f>
        <v>2.9479285094451551</v>
      </c>
      <c r="GW8" s="13">
        <f t="shared" si="51"/>
        <v>1.1978908273966751</v>
      </c>
      <c r="GX8" s="20">
        <f t="shared" si="28"/>
        <v>7.2206353449995211</v>
      </c>
      <c r="GY8" s="59">
        <f t="shared" si="29"/>
        <v>300.55396867833281</v>
      </c>
      <c r="GZ8" s="59">
        <f ca="1">AVERAGE(OFFSET($GY$3,0,0,'Données projet'!$E$18+1,1))-AVERAGE(OFFSET($H$3,0,0,'Données projet'!$E$18+1,1))</f>
        <v>227.89848316900191</v>
      </c>
      <c r="HA8" s="59">
        <f t="shared" si="52"/>
        <v>239.85955661394541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</v>
      </c>
      <c r="N9" s="13">
        <f>IF('Données projet'!$A$36&gt;35,N8+M9-V8,IF(A9&lt;'Données projet'!$A$36,$K$205^A9,IF(A9='Données projet'!$A$36,'Données projet'!$B$36,N8+M9-V8)))</f>
        <v>6.0341763365451611</v>
      </c>
      <c r="O9" s="13">
        <f>N9*VLOOKUP('Données projet'!$B$9,Paramètres!$A$1:$I$89,3,0)*VLOOKUP('Données projet'!$B$9,Paramètres!$A$1:$I$89,5,0)</f>
        <v>3.3731045721287449</v>
      </c>
      <c r="P9" s="13">
        <f t="shared" si="33"/>
        <v>1.3493331832895774</v>
      </c>
      <c r="Q9" s="20">
        <f t="shared" si="2"/>
        <v>8.2249124240202445</v>
      </c>
      <c r="R9" s="59">
        <f t="shared" si="0"/>
        <v>301.55824575735357</v>
      </c>
      <c r="S9" s="59">
        <f ca="1">AVERAGE(OFFSET($R$3,0,0,'Données projet'!$E$9+1,1))-AVERAGE(OFFSET($H$3,0,0,'Données projet'!$E$9+1,1))</f>
        <v>370.69652285220093</v>
      </c>
      <c r="T9" s="59">
        <f t="shared" si="34"/>
        <v>376.53494965377718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5.05</v>
      </c>
      <c r="AI9" s="13">
        <f>IF('Données projet'!$A$62&gt;35,AI8+AH9-AQ8,IF(A9&lt;'Données projet'!$A$62,$AF$205^A9,IF(A9='Données projet'!$A$62,'Données projet'!$B$62,AI8+AH9-AQ8)))</f>
        <v>3.9929733546852768</v>
      </c>
      <c r="AJ9" s="13">
        <f>AI9*VLOOKUP('Données projet'!$B$10,Paramètres!$A$1:$I$89,3,0)*VLOOKUP('Données projet'!$B$10,Paramètres!$A$1:$I$89,5,0)</f>
        <v>3.6128422913192382</v>
      </c>
      <c r="AK9" s="13">
        <f t="shared" si="35"/>
        <v>1.4337302381709434</v>
      </c>
      <c r="AL9" s="20">
        <f t="shared" si="4"/>
        <v>8.7894471555287339</v>
      </c>
      <c r="AM9" s="59">
        <f t="shared" si="5"/>
        <v>302.12278048886208</v>
      </c>
      <c r="AN9" s="59">
        <f ca="1">AVERAGE(OFFSET($AM$3,0,0,'Données projet'!$E$10+1,1))-AVERAGE(OFFSET($H$3,0,0,'Données projet'!$E$10+1,1))</f>
        <v>321.03881567735544</v>
      </c>
      <c r="AO9" s="59">
        <f t="shared" si="36"/>
        <v>234.87694492493506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5.0999999999999996</v>
      </c>
      <c r="BD9" s="12">
        <f>IF('Données projet'!$A$88&gt;35,BD8+BC9-BL8,IF(A9&lt;'Données projet'!$A$88,$BA$205^A9,IF(A9='Données projet'!$A$88,'Données projet'!$B$88,BD8+BC9-BL8)))</f>
        <v>10.581374994243513</v>
      </c>
      <c r="BE9" s="13">
        <f>BD9*VLOOKUP('Données projet'!$B$11,Paramètres!$A$1:$I$89,3,0)*VLOOKUP('Données projet'!$B$11,Paramètres!$A$1:$I$89,5,0)</f>
        <v>5.7774307468569575</v>
      </c>
      <c r="BF9" s="13">
        <f t="shared" si="37"/>
        <v>2.1708053764218018</v>
      </c>
      <c r="BG9" s="20">
        <f t="shared" si="7"/>
        <v>13.843177914710504</v>
      </c>
      <c r="BH9" s="59">
        <f t="shared" si="8"/>
        <v>307.17651124804382</v>
      </c>
      <c r="BI9" s="59">
        <f ca="1">AVERAGE(OFFSET($BH$3,0,0,'Données projet'!$E$11+1,1))-AVERAGE(OFFSET($H$3,0,0,'Données projet'!$E$11+1,1))</f>
        <v>248.1486444660062</v>
      </c>
      <c r="BJ9" s="59">
        <f t="shared" si="38"/>
        <v>293.34458072322127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</v>
      </c>
      <c r="BY9" s="12">
        <f>IF('Données projet'!$A$114&gt;35,BY8+BX9-CG8,IF(A9&lt;'Données projet'!$A$114,$BV$205^A9,IF(A9='Données projet'!$A$114,'Données projet'!$B$114,BY8+BX9-CG8)))</f>
        <v>5.9677098701087665</v>
      </c>
      <c r="BZ9" s="13">
        <f>BY9*VLOOKUP('Données projet'!$B$12,Paramètres!$A$1:$I$89,3,0)*VLOOKUP('Données projet'!$B$12,Paramètres!$A$1:$I$89,5,0)</f>
        <v>5.2133913425270189</v>
      </c>
      <c r="CA9" s="13">
        <f t="shared" si="39"/>
        <v>1.9824378698032765</v>
      </c>
      <c r="CB9" s="20">
        <f t="shared" si="10"/>
        <v>12.53273587814193</v>
      </c>
      <c r="CC9" s="59">
        <f t="shared" si="11"/>
        <v>305.86606921147524</v>
      </c>
      <c r="CD9" s="59">
        <f ca="1">AVERAGE(OFFSET($CC$3,0,0,'Données projet'!$E$12+1,1))-AVERAGE(OFFSET($H$3,0,0,'Données projet'!$E$12+1,1))</f>
        <v>243.38048563215585</v>
      </c>
      <c r="CE9" s="59">
        <f t="shared" si="40"/>
        <v>372.1604147006675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4.8</v>
      </c>
      <c r="CT9" s="12">
        <f>IF('Données projet'!$A$140&gt;35,CT8+CS9-DB8,IF(A9&lt;'Données projet'!$A$140,$CQ$205^A9,IF(A9='Données projet'!$A$140,'Données projet'!$B$140,CT8+CS9-DB8)))</f>
        <v>3.9326144432748684</v>
      </c>
      <c r="CU9" s="17">
        <f>CT9*VLOOKUP('Données projet'!$B$13,Paramètres!$A$1:$I$89,3,0)*VLOOKUP('Données projet'!$B$13,Paramètres!$A$1:$I$89,5,0)</f>
        <v>1.8915875472152117</v>
      </c>
      <c r="CV9" s="13">
        <f t="shared" si="41"/>
        <v>0.80938641877976369</v>
      </c>
      <c r="CW9" s="20">
        <f t="shared" si="13"/>
        <v>4.7041963241079152</v>
      </c>
      <c r="CX9" s="59">
        <f t="shared" si="14"/>
        <v>298.03752965744121</v>
      </c>
      <c r="CY9" s="59">
        <f ca="1">AVERAGE(OFFSET($CX$3,0,0,'Données projet'!$E$13+1,1))-AVERAGE(OFFSET($H$3,0,0,'Données projet'!$E$13+1,1))</f>
        <v>297.21955661193238</v>
      </c>
      <c r="CZ9" s="59">
        <f t="shared" si="42"/>
        <v>273.69206144662144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3.353747682287918</v>
      </c>
      <c r="DQ9" s="13">
        <f t="shared" si="43"/>
        <v>1.3424889309030987</v>
      </c>
      <c r="DR9" s="20">
        <f t="shared" si="16"/>
        <v>8.1792787679743544</v>
      </c>
      <c r="DS9" s="59">
        <f t="shared" si="17"/>
        <v>301.5126121013077</v>
      </c>
      <c r="DT9" s="59">
        <f ca="1">AVERAGE(OFFSET($DS$3,0,0,'Données projet'!$E$14+1,1))-AVERAGE(OFFSET($H$3,0,0,'Données projet'!$E$14+1,1))</f>
        <v>260.20517190557814</v>
      </c>
      <c r="DU9" s="59">
        <f t="shared" si="44"/>
        <v>307.22009971147133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6.1</v>
      </c>
      <c r="EJ9" s="12">
        <f>IF('Données projet'!$A$192&gt;35,EJ8+EI9-ER8,IF(A9&lt;'Données projet'!$A$192,$EG$205^A9,IF(A9='Données projet'!$A$192,'Données projet'!$B$192,EJ8+EI9-ER8)))</f>
        <v>4.2257903711989933</v>
      </c>
      <c r="EK9" s="17">
        <f>EJ9*VLOOKUP('Données projet'!$B$15,Paramètres!$A$1:$I$89,3,0)*VLOOKUP('Données projet'!$B$15,Paramètres!$A$1:$I$89,5,0)</f>
        <v>2.5270226419769983</v>
      </c>
      <c r="EL9" s="13">
        <f t="shared" si="45"/>
        <v>1.0454361055231738</v>
      </c>
      <c r="EM9" s="20">
        <f t="shared" si="19"/>
        <v>6.2220323185627997</v>
      </c>
      <c r="EN9" s="59">
        <f t="shared" si="20"/>
        <v>299.55536565189612</v>
      </c>
      <c r="EO9" s="59">
        <f ca="1">AVERAGE(OFFSET($EN$3,0,0,'Données projet'!$E$15+1,1))-AVERAGE(OFFSET($H$3,0,0,'Données projet'!$E$15+1,1))</f>
        <v>259.30247982593914</v>
      </c>
      <c r="EP9" s="59">
        <f t="shared" si="46"/>
        <v>275.24740346220779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5.05</v>
      </c>
      <c r="FE9" s="12">
        <f>IF('Données projet'!$A$218&gt;35,FE8+FD9-FM8,IF(A9&lt;'Données projet'!$A$218,$FB$205^A9,IF(A9='Données projet'!$A$218,'Données projet'!$B$218,FE8+FD9-FM8)))</f>
        <v>3.9929733546852768</v>
      </c>
      <c r="FF9" s="17">
        <f>FE9*VLOOKUP('Données projet'!$B$16,Paramètres!$A$1:$I$89,3,0)*VLOOKUP('Données projet'!$B$16,Paramètres!$A$1:$I$89,5,0)</f>
        <v>4.0488749816508705</v>
      </c>
      <c r="FG9" s="13">
        <f t="shared" si="47"/>
        <v>1.5855966211185653</v>
      </c>
      <c r="FH9" s="20">
        <f t="shared" si="22"/>
        <v>9.8133713748234346</v>
      </c>
      <c r="FI9" s="59">
        <f t="shared" si="23"/>
        <v>303.14670470815673</v>
      </c>
      <c r="FJ9" s="59">
        <f ca="1">AVERAGE(OFFSET($FI$3,0,0,'Données projet'!$E$16+1,1))-AVERAGE(OFFSET($H$3,0,0,'Données projet'!$E$16+1,1))</f>
        <v>372.91317851957336</v>
      </c>
      <c r="FK9" s="59">
        <f t="shared" si="48"/>
        <v>269.69187715858413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7.9</v>
      </c>
      <c r="FZ9" s="12">
        <f>IF('Données projet'!$A$244&gt;35,FZ8+FY9-GH8,IF(A9&lt;'Données projet'!$A$244,$FW$205^A9,IF(A9='Données projet'!$A$244,'Données projet'!$B$244,FZ8+FY9-GH8)))</f>
        <v>4.566643676946887</v>
      </c>
      <c r="GA9" s="17">
        <f>FZ9*VLOOKUP('Données projet'!$B$17,Paramètres!$A$1:$I$89,3,0)*VLOOKUP('Données projet'!$B$17,Paramètres!$A$1:$I$89,5,0)</f>
        <v>2.1371892408111433</v>
      </c>
      <c r="GB9" s="13">
        <f t="shared" si="49"/>
        <v>0.9015738804633705</v>
      </c>
      <c r="GC9" s="20">
        <f t="shared" si="25"/>
        <v>5.292512436219778</v>
      </c>
      <c r="GD9" s="59">
        <f t="shared" si="26"/>
        <v>298.62584576955311</v>
      </c>
      <c r="GE9" s="59">
        <f ca="1">AVERAGE(OFFSET($GD$3,0,0,'Données projet'!$E$17+1,1))-AVERAGE(OFFSET($H$3,0,0,'Données projet'!$E$17+1,1))</f>
        <v>215.23235148064941</v>
      </c>
      <c r="GF9" s="59">
        <f t="shared" si="50"/>
        <v>184.07239726900434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3.8333333333333335</v>
      </c>
      <c r="GU9" s="12">
        <f>IF('Données projet'!$A$270&gt;35,GU8+GT9-HC8,IF(A9&lt;'Données projet'!$A$270,$GR$205^A9,IF(A9='Données projet'!$A$270,'Données projet'!$B$270,GU8+GT9-HC8)))</f>
        <v>6.7823299831252681</v>
      </c>
      <c r="GV9" s="17">
        <f>GU9*VLOOKUP('Données projet'!$B$18,Paramètres!$A$1:$I$89,3,0)*VLOOKUP('Données projet'!$B$18,Paramètres!$A$1:$I$89,5,0)</f>
        <v>4.0558333299089107</v>
      </c>
      <c r="GW9" s="13">
        <f t="shared" si="51"/>
        <v>1.5880041793453468</v>
      </c>
      <c r="GX9" s="20">
        <f t="shared" si="28"/>
        <v>9.8296836619511652</v>
      </c>
      <c r="GY9" s="59">
        <f t="shared" si="29"/>
        <v>303.16301699528447</v>
      </c>
      <c r="GZ9" s="59">
        <f ca="1">AVERAGE(OFFSET($GY$3,0,0,'Données projet'!$E$18+1,1))-AVERAGE(OFFSET($H$3,0,0,'Données projet'!$E$18+1,1))</f>
        <v>227.89848316900191</v>
      </c>
      <c r="HA9" s="59">
        <f t="shared" si="52"/>
        <v>239.85955661394541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</v>
      </c>
      <c r="N10" s="13">
        <f>IF('Données projet'!$A$36&gt;35,N9+M10-V9,IF(A10&lt;'Données projet'!$A$36,$K$205^A10,IF(A10='Données projet'!$A$36,'Données projet'!$B$36,N9+M10-V9)))</f>
        <v>8.1418106307380835</v>
      </c>
      <c r="O10" s="13">
        <f>N10*VLOOKUP('Données projet'!$B$9,Paramètres!$A$1:$I$89,3,0)*VLOOKUP('Données projet'!$B$9,Paramètres!$A$1:$I$89,5,0)</f>
        <v>4.5512721425825893</v>
      </c>
      <c r="P10" s="13">
        <f t="shared" si="33"/>
        <v>1.7582402234606553</v>
      </c>
      <c r="Q10" s="20">
        <f t="shared" si="2"/>
        <v>10.989067370858649</v>
      </c>
      <c r="R10" s="59">
        <f t="shared" si="0"/>
        <v>304.32240070419198</v>
      </c>
      <c r="S10" s="59">
        <f ca="1">AVERAGE(OFFSET($R$3,0,0,'Données projet'!$E$9+1,1))-AVERAGE(OFFSET($H$3,0,0,'Données projet'!$E$9+1,1))</f>
        <v>370.69652285220093</v>
      </c>
      <c r="T10" s="59">
        <f t="shared" si="34"/>
        <v>376.53494965377718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5.05</v>
      </c>
      <c r="AI10" s="13">
        <f>IF('Données projet'!$A$62&gt;35,AI9+AH10-AQ9,IF(A10&lt;'Données projet'!$A$62,$AF$205^A10,IF(A10='Données projet'!$A$62,'Données projet'!$B$62,AI9+AH10-AQ9)))</f>
        <v>5.0293571908948582</v>
      </c>
      <c r="AJ10" s="13">
        <f>AI10*VLOOKUP('Données projet'!$B$10,Paramètres!$A$1:$I$89,3,0)*VLOOKUP('Données projet'!$B$10,Paramètres!$A$1:$I$89,5,0)</f>
        <v>4.5505623863216673</v>
      </c>
      <c r="AK10" s="13">
        <f t="shared" si="35"/>
        <v>1.7579979452889398</v>
      </c>
      <c r="AL10" s="20">
        <f t="shared" si="4"/>
        <v>10.987409244221809</v>
      </c>
      <c r="AM10" s="59">
        <f t="shared" si="5"/>
        <v>304.32074257755511</v>
      </c>
      <c r="AN10" s="59">
        <f ca="1">AVERAGE(OFFSET($AM$3,0,0,'Données projet'!$E$10+1,1))-AVERAGE(OFFSET($H$3,0,0,'Données projet'!$E$10+1,1))</f>
        <v>321.03881567735544</v>
      </c>
      <c r="AO10" s="59">
        <f t="shared" si="36"/>
        <v>234.87694492493506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5.0999999999999996</v>
      </c>
      <c r="BD10" s="12">
        <f>IF('Données projet'!$A$88&gt;35,BD9+BC10-BL9,IF(A10&lt;'Données projet'!$A$88,$BA$205^A10,IF(A10='Données projet'!$A$88,'Données projet'!$B$88,BD9+BC10-BL9)))</f>
        <v>15.678305522365584</v>
      </c>
      <c r="BE10" s="13">
        <f>BD10*VLOOKUP('Données projet'!$B$11,Paramètres!$A$1:$I$89,3,0)*VLOOKUP('Données projet'!$B$11,Paramètres!$A$1:$I$89,5,0)</f>
        <v>8.5603548152116087</v>
      </c>
      <c r="BF10" s="13">
        <f t="shared" si="37"/>
        <v>3.0725700241611493</v>
      </c>
      <c r="BG10" s="20">
        <f t="shared" si="7"/>
        <v>20.260677428574223</v>
      </c>
      <c r="BH10" s="59">
        <f t="shared" si="8"/>
        <v>313.59401076190755</v>
      </c>
      <c r="BI10" s="59">
        <f ca="1">AVERAGE(OFFSET($BH$3,0,0,'Données projet'!$E$11+1,1))-AVERAGE(OFFSET($H$3,0,0,'Données projet'!$E$11+1,1))</f>
        <v>248.1486444660062</v>
      </c>
      <c r="BJ10" s="59">
        <f t="shared" si="38"/>
        <v>293.34458072322127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</v>
      </c>
      <c r="BY10" s="12">
        <f>IF('Données projet'!$A$114&gt;35,BY9+BX10-CG9,IF(A10&lt;'Données projet'!$A$114,$BV$205^A10,IF(A10='Données projet'!$A$114,'Données projet'!$B$114,BY9+BX10-CG9)))</f>
        <v>8.0372778932539148</v>
      </c>
      <c r="BZ10" s="13">
        <f>BY10*VLOOKUP('Données projet'!$B$12,Paramètres!$A$1:$I$89,3,0)*VLOOKUP('Données projet'!$B$12,Paramètres!$A$1:$I$89,5,0)</f>
        <v>7.0213659675466209</v>
      </c>
      <c r="CA10" s="13">
        <f t="shared" si="39"/>
        <v>2.5789932139603198</v>
      </c>
      <c r="CB10" s="20">
        <f t="shared" si="10"/>
        <v>16.72062557445792</v>
      </c>
      <c r="CC10" s="59">
        <f t="shared" si="11"/>
        <v>310.05395890779124</v>
      </c>
      <c r="CD10" s="59">
        <f ca="1">AVERAGE(OFFSET($CC$3,0,0,'Données projet'!$E$12+1,1))-AVERAGE(OFFSET($H$3,0,0,'Données projet'!$E$12+1,1))</f>
        <v>243.38048563215585</v>
      </c>
      <c r="CE10" s="59">
        <f t="shared" si="40"/>
        <v>372.1604147006675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4.8</v>
      </c>
      <c r="CT10" s="12">
        <f>IF('Données projet'!$A$140&gt;35,CT9+CS10-DB9,IF(A10&lt;'Données projet'!$A$140,$CQ$205^A10,IF(A10='Données projet'!$A$140,'Données projet'!$B$140,CT9+CS10-DB9)))</f>
        <v>4.9407733474474309</v>
      </c>
      <c r="CU10" s="17">
        <f>CT10*VLOOKUP('Données projet'!$B$13,Paramètres!$A$1:$I$89,3,0)*VLOOKUP('Données projet'!$B$13,Paramètres!$A$1:$I$89,5,0)</f>
        <v>2.3765119801222143</v>
      </c>
      <c r="CV10" s="13">
        <f t="shared" si="41"/>
        <v>0.99022219370527698</v>
      </c>
      <c r="CW10" s="20">
        <f t="shared" si="13"/>
        <v>5.8637286860828803</v>
      </c>
      <c r="CX10" s="59">
        <f t="shared" si="14"/>
        <v>299.19706201941619</v>
      </c>
      <c r="CY10" s="59">
        <f ca="1">AVERAGE(OFFSET($CX$3,0,0,'Données projet'!$E$13+1,1))-AVERAGE(OFFSET($H$3,0,0,'Données projet'!$E$13+1,1))</f>
        <v>297.21955661193238</v>
      </c>
      <c r="CZ10" s="59">
        <f t="shared" si="42"/>
        <v>273.69206144662144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4.2625516462415645</v>
      </c>
      <c r="DQ10" s="13">
        <f t="shared" si="43"/>
        <v>1.6593124478620722</v>
      </c>
      <c r="DR10" s="20">
        <f t="shared" si="16"/>
        <v>10.313913297230501</v>
      </c>
      <c r="DS10" s="59">
        <f t="shared" si="17"/>
        <v>303.64724663056381</v>
      </c>
      <c r="DT10" s="59">
        <f ca="1">AVERAGE(OFFSET($DS$3,0,0,'Données projet'!$E$14+1,1))-AVERAGE(OFFSET($H$3,0,0,'Données projet'!$E$14+1,1))</f>
        <v>260.20517190557814</v>
      </c>
      <c r="DU10" s="59">
        <f t="shared" si="44"/>
        <v>307.22009971147133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6.1</v>
      </c>
      <c r="EJ10" s="12">
        <f>IF('Données projet'!$A$192&gt;35,EJ9+EI10-ER9,IF(A10&lt;'Données projet'!$A$192,$EG$205^A10,IF(A10='Données projet'!$A$192,'Données projet'!$B$192,EJ9+EI10-ER9)))</f>
        <v>5.3731125865377525</v>
      </c>
      <c r="EK10" s="17">
        <f>EJ10*VLOOKUP('Données projet'!$B$15,Paramètres!$A$1:$I$89,3,0)*VLOOKUP('Données projet'!$B$15,Paramètres!$A$1:$I$89,5,0)</f>
        <v>3.213121326749576</v>
      </c>
      <c r="EL10" s="13">
        <f t="shared" si="45"/>
        <v>1.2926259558362623</v>
      </c>
      <c r="EM10" s="20">
        <f t="shared" si="19"/>
        <v>7.8475098505036698</v>
      </c>
      <c r="EN10" s="59">
        <f t="shared" si="20"/>
        <v>301.180843183837</v>
      </c>
      <c r="EO10" s="59">
        <f ca="1">AVERAGE(OFFSET($EN$3,0,0,'Données projet'!$E$15+1,1))-AVERAGE(OFFSET($H$3,0,0,'Données projet'!$E$15+1,1))</f>
        <v>259.30247982593914</v>
      </c>
      <c r="EP10" s="59">
        <f t="shared" si="46"/>
        <v>275.24740346220779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5.05</v>
      </c>
      <c r="FE10" s="12">
        <f>IF('Données projet'!$A$218&gt;35,FE9+FD10-FM9,IF(A10&lt;'Données projet'!$A$218,$FB$205^A10,IF(A10='Données projet'!$A$218,'Données projet'!$B$218,FE9+FD10-FM9)))</f>
        <v>5.0293571908948582</v>
      </c>
      <c r="FF10" s="17">
        <f>FE10*VLOOKUP('Données projet'!$B$16,Paramètres!$A$1:$I$89,3,0)*VLOOKUP('Données projet'!$B$16,Paramètres!$A$1:$I$89,5,0)</f>
        <v>5.0997681915673869</v>
      </c>
      <c r="FG10" s="13">
        <f t="shared" si="47"/>
        <v>1.9442120475464038</v>
      </c>
      <c r="FH10" s="20">
        <f t="shared" si="22"/>
        <v>12.268265583123187</v>
      </c>
      <c r="FI10" s="59">
        <f t="shared" si="23"/>
        <v>305.60159891645651</v>
      </c>
      <c r="FJ10" s="59">
        <f ca="1">AVERAGE(OFFSET($FI$3,0,0,'Données projet'!$E$16+1,1))-AVERAGE(OFFSET($H$3,0,0,'Données projet'!$E$16+1,1))</f>
        <v>372.91317851957336</v>
      </c>
      <c r="FK10" s="59">
        <f t="shared" si="48"/>
        <v>269.69187715858413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7.9</v>
      </c>
      <c r="FZ10" s="12">
        <f>IF('Données projet'!$A$244&gt;35,FZ9+FY10-GH9,IF(A10&lt;'Données projet'!$A$244,$FW$205^A10,IF(A10='Données projet'!$A$244,'Données projet'!$B$244,FZ9+FY10-GH9)))</f>
        <v>5.8820671812210037</v>
      </c>
      <c r="GA10" s="17">
        <f>FZ10*VLOOKUP('Données projet'!$B$17,Paramètres!$A$1:$I$89,3,0)*VLOOKUP('Données projet'!$B$17,Paramètres!$A$1:$I$89,5,0)</f>
        <v>2.7528074408114294</v>
      </c>
      <c r="GB10" s="13">
        <f t="shared" si="49"/>
        <v>1.1275556652411438</v>
      </c>
      <c r="GC10" s="20">
        <f t="shared" si="25"/>
        <v>6.7582990763748976</v>
      </c>
      <c r="GD10" s="59">
        <f t="shared" si="26"/>
        <v>300.09163240970821</v>
      </c>
      <c r="GE10" s="59">
        <f ca="1">AVERAGE(OFFSET($GD$3,0,0,'Données projet'!$E$17+1,1))-AVERAGE(OFFSET($H$3,0,0,'Données projet'!$E$17+1,1))</f>
        <v>215.23235148064941</v>
      </c>
      <c r="GF10" s="59">
        <f t="shared" si="50"/>
        <v>184.07239726900434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3.8333333333333335</v>
      </c>
      <c r="GU10" s="12">
        <f>IF('Données projet'!$A$270&gt;35,GU9+GT10-HC9,IF(A10&lt;'Données projet'!$A$270,$GR$205^A10,IF(A10='Données projet'!$A$270,'Données projet'!$B$270,GU9+GT10-HC9)))</f>
        <v>9.3312982020644135</v>
      </c>
      <c r="GV10" s="17">
        <f>GU10*VLOOKUP('Données projet'!$B$18,Paramètres!$A$1:$I$89,3,0)*VLOOKUP('Données projet'!$B$18,Paramètres!$A$1:$I$89,5,0)</f>
        <v>5.5801163248345196</v>
      </c>
      <c r="GW10" s="13">
        <f t="shared" si="51"/>
        <v>2.1051645241317321</v>
      </c>
      <c r="GX10" s="20">
        <f t="shared" si="28"/>
        <v>13.38519747861622</v>
      </c>
      <c r="GY10" s="59">
        <f t="shared" si="29"/>
        <v>306.71853081194956</v>
      </c>
      <c r="GZ10" s="59">
        <f ca="1">AVERAGE(OFFSET($GY$3,0,0,'Données projet'!$E$18+1,1))-AVERAGE(OFFSET($H$3,0,0,'Données projet'!$E$18+1,1))</f>
        <v>227.89848316900191</v>
      </c>
      <c r="HA10" s="59">
        <f t="shared" si="52"/>
        <v>239.85955661394541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</v>
      </c>
      <c r="N11" s="13">
        <f>IF('Données projet'!$A$36&gt;35,N10+M11-V10,IF(A11&lt;'Données projet'!$A$36,$K$205^A11,IF(A11='Données projet'!$A$36,'Données projet'!$B$36,N10+M11-V10)))</f>
        <v>10.985605433061172</v>
      </c>
      <c r="O11" s="13">
        <f>N11*VLOOKUP('Données projet'!$B$9,Paramètres!$A$1:$I$89,3,0)*VLOOKUP('Données projet'!$B$9,Paramètres!$A$1:$I$89,5,0)</f>
        <v>6.1409534370811958</v>
      </c>
      <c r="P11" s="13">
        <f t="shared" si="33"/>
        <v>2.29106400233806</v>
      </c>
      <c r="Q11" s="20">
        <f t="shared" si="2"/>
        <v>14.685763706988537</v>
      </c>
      <c r="R11" s="59">
        <f t="shared" si="0"/>
        <v>308.01909704032187</v>
      </c>
      <c r="S11" s="59">
        <f ca="1">AVERAGE(OFFSET($R$3,0,0,'Données projet'!$E$9+1,1))-AVERAGE(OFFSET($H$3,0,0,'Données projet'!$E$9+1,1))</f>
        <v>370.69652285220093</v>
      </c>
      <c r="T11" s="59">
        <f t="shared" si="34"/>
        <v>376.53494965377718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5.05</v>
      </c>
      <c r="AI11" s="13">
        <f>IF('Données projet'!$A$62&gt;35,AI10+AH11-AQ10,IF(A11&lt;'Données projet'!$A$62,$AF$205^A11,IF(A11='Données projet'!$A$62,'Données projet'!$B$62,AI10+AH11-AQ10)))</f>
        <v>6.334736424906473</v>
      </c>
      <c r="AJ11" s="13">
        <f>AI11*VLOOKUP('Données projet'!$B$10,Paramètres!$A$1:$I$89,3,0)*VLOOKUP('Données projet'!$B$10,Paramètres!$A$1:$I$89,5,0)</f>
        <v>5.7316695172553764</v>
      </c>
      <c r="AK11" s="13">
        <f t="shared" si="35"/>
        <v>2.1556054921341814</v>
      </c>
      <c r="AL11" s="20">
        <f t="shared" si="4"/>
        <v>13.737003974686814</v>
      </c>
      <c r="AM11" s="59">
        <f t="shared" si="5"/>
        <v>307.07033730802016</v>
      </c>
      <c r="AN11" s="59">
        <f ca="1">AVERAGE(OFFSET($AM$3,0,0,'Données projet'!$E$10+1,1))-AVERAGE(OFFSET($H$3,0,0,'Données projet'!$E$10+1,1))</f>
        <v>321.03881567735544</v>
      </c>
      <c r="AO11" s="59">
        <f t="shared" si="36"/>
        <v>234.87694492493506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5.0999999999999996</v>
      </c>
      <c r="BD11" s="12">
        <f>IF('Données projet'!$A$88&gt;35,BD10+BC11-BL10,IF(A11&lt;'Données projet'!$A$88,$BA$205^A11,IF(A11='Données projet'!$A$88,'Données projet'!$B$88,BD10+BC11-BL10)))</f>
        <v>23.230370739754001</v>
      </c>
      <c r="BE11" s="13">
        <f>BD11*VLOOKUP('Données projet'!$B$11,Paramètres!$A$1:$I$89,3,0)*VLOOKUP('Données projet'!$B$11,Paramètres!$A$1:$I$89,5,0)</f>
        <v>12.683782423905685</v>
      </c>
      <c r="BF11" s="13">
        <f t="shared" si="37"/>
        <v>4.348932730641649</v>
      </c>
      <c r="BG11" s="20">
        <f t="shared" si="7"/>
        <v>29.665312227503268</v>
      </c>
      <c r="BH11" s="59">
        <f t="shared" si="8"/>
        <v>322.99864556083656</v>
      </c>
      <c r="BI11" s="59">
        <f ca="1">AVERAGE(OFFSET($BH$3,0,0,'Données projet'!$E$11+1,1))-AVERAGE(OFFSET($H$3,0,0,'Données projet'!$E$11+1,1))</f>
        <v>248.1486444660062</v>
      </c>
      <c r="BJ11" s="59">
        <f t="shared" si="38"/>
        <v>293.34458072322127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</v>
      </c>
      <c r="BY11" s="12">
        <f>IF('Données projet'!$A$114&gt;35,BY10+BX11-CG10,IF(A11&lt;'Données projet'!$A$114,$BV$205^A11,IF(A11='Données projet'!$A$114,'Données projet'!$B$114,BY10+BX11-CG10)))</f>
        <v>10.824560399115168</v>
      </c>
      <c r="BZ11" s="13">
        <f>BY11*VLOOKUP('Données projet'!$B$12,Paramètres!$A$1:$I$89,3,0)*VLOOKUP('Données projet'!$B$12,Paramètres!$A$1:$I$89,5,0)</f>
        <v>9.4563359646670122</v>
      </c>
      <c r="CA11" s="13">
        <f t="shared" si="39"/>
        <v>3.3550640345230081</v>
      </c>
      <c r="CB11" s="20">
        <f t="shared" si="10"/>
        <v>22.313188331922618</v>
      </c>
      <c r="CC11" s="59">
        <f t="shared" si="11"/>
        <v>315.64652166525593</v>
      </c>
      <c r="CD11" s="59">
        <f ca="1">AVERAGE(OFFSET($CC$3,0,0,'Données projet'!$E$12+1,1))-AVERAGE(OFFSET($H$3,0,0,'Données projet'!$E$12+1,1))</f>
        <v>243.38048563215585</v>
      </c>
      <c r="CE11" s="59">
        <f t="shared" si="40"/>
        <v>372.1604147006675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4.8</v>
      </c>
      <c r="CT11" s="12">
        <f>IF('Données projet'!$A$140&gt;35,CT10+CS11-DB10,IF(A11&lt;'Données projet'!$A$140,$CQ$205^A11,IF(A11='Données projet'!$A$140,'Données projet'!$B$140,CT10+CS11-DB10)))</f>
        <v>6.2073822956614393</v>
      </c>
      <c r="CU11" s="17">
        <f>CT11*VLOOKUP('Données projet'!$B$13,Paramètres!$A$1:$I$89,3,0)*VLOOKUP('Données projet'!$B$13,Paramètres!$A$1:$I$89,5,0)</f>
        <v>2.9857508842131524</v>
      </c>
      <c r="CV11" s="13">
        <f t="shared" si="41"/>
        <v>1.2114608920480276</v>
      </c>
      <c r="CW11" s="20">
        <f t="shared" si="13"/>
        <v>7.3101438436548882</v>
      </c>
      <c r="CX11" s="59">
        <f t="shared" si="14"/>
        <v>300.6434771769882</v>
      </c>
      <c r="CY11" s="59">
        <f ca="1">AVERAGE(OFFSET($CX$3,0,0,'Données projet'!$E$13+1,1))-AVERAGE(OFFSET($H$3,0,0,'Données projet'!$E$13+1,1))</f>
        <v>297.21955661193238</v>
      </c>
      <c r="CZ11" s="59">
        <f t="shared" si="42"/>
        <v>273.69206144662144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5.4176247762567487</v>
      </c>
      <c r="DQ11" s="13">
        <f t="shared" si="43"/>
        <v>2.0509054013412618</v>
      </c>
      <c r="DR11" s="20">
        <f t="shared" si="16"/>
        <v>13.007690059316532</v>
      </c>
      <c r="DS11" s="59">
        <f t="shared" si="17"/>
        <v>306.34102339264984</v>
      </c>
      <c r="DT11" s="59">
        <f ca="1">AVERAGE(OFFSET($DS$3,0,0,'Données projet'!$E$14+1,1))-AVERAGE(OFFSET($H$3,0,0,'Données projet'!$E$14+1,1))</f>
        <v>260.20517190557814</v>
      </c>
      <c r="DU11" s="59">
        <f t="shared" si="44"/>
        <v>307.22009971147133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6.1</v>
      </c>
      <c r="EJ11" s="12">
        <f>IF('Données projet'!$A$192&gt;35,EJ10+EI11-ER10,IF(A11&lt;'Données projet'!$A$192,$EG$205^A11,IF(A11='Données projet'!$A$192,'Données projet'!$B$192,EJ10+EI11-ER10)))</f>
        <v>6.8319382486119329</v>
      </c>
      <c r="EK11" s="17">
        <f>EJ11*VLOOKUP('Données projet'!$B$15,Paramètres!$A$1:$I$89,3,0)*VLOOKUP('Données projet'!$B$15,Paramètres!$A$1:$I$89,5,0)</f>
        <v>4.0854990726699363</v>
      </c>
      <c r="EL11" s="13">
        <f t="shared" si="45"/>
        <v>1.5982630147113981</v>
      </c>
      <c r="EM11" s="20">
        <f t="shared" si="19"/>
        <v>9.8992189688558234</v>
      </c>
      <c r="EN11" s="59">
        <f t="shared" si="20"/>
        <v>303.23255230218916</v>
      </c>
      <c r="EO11" s="59">
        <f ca="1">AVERAGE(OFFSET($EN$3,0,0,'Données projet'!$E$15+1,1))-AVERAGE(OFFSET($H$3,0,0,'Données projet'!$E$15+1,1))</f>
        <v>259.30247982593914</v>
      </c>
      <c r="EP11" s="59">
        <f t="shared" si="46"/>
        <v>275.24740346220779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5.05</v>
      </c>
      <c r="FE11" s="12">
        <f>IF('Données projet'!$A$218&gt;35,FE10+FD11-FM10,IF(A11&lt;'Données projet'!$A$218,$FB$205^A11,IF(A11='Données projet'!$A$218,'Données projet'!$B$218,FE10+FD11-FM10)))</f>
        <v>6.334736424906473</v>
      </c>
      <c r="FF11" s="17">
        <f>FE11*VLOOKUP('Données projet'!$B$16,Paramètres!$A$1:$I$89,3,0)*VLOOKUP('Données projet'!$B$16,Paramètres!$A$1:$I$89,5,0)</f>
        <v>6.4234227348551638</v>
      </c>
      <c r="FG11" s="13">
        <f t="shared" si="47"/>
        <v>2.3839357598769295</v>
      </c>
      <c r="FH11" s="20">
        <f t="shared" si="22"/>
        <v>15.339482711658391</v>
      </c>
      <c r="FI11" s="59">
        <f t="shared" si="23"/>
        <v>308.67281604499169</v>
      </c>
      <c r="FJ11" s="59">
        <f ca="1">AVERAGE(OFFSET($FI$3,0,0,'Données projet'!$E$16+1,1))-AVERAGE(OFFSET($H$3,0,0,'Données projet'!$E$16+1,1))</f>
        <v>372.91317851957336</v>
      </c>
      <c r="FK11" s="59">
        <f t="shared" si="48"/>
        <v>269.69187715858413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7.9</v>
      </c>
      <c r="FZ11" s="12">
        <f>IF('Données projet'!$A$244&gt;35,FZ10+FY11-GH10,IF(A11&lt;'Données projet'!$A$244,$FW$205^A11,IF(A11='Données projet'!$A$244,'Données projet'!$B$244,FZ10+FY11-GH10)))</f>
        <v>7.5763989424129567</v>
      </c>
      <c r="GA11" s="17">
        <f>FZ11*VLOOKUP('Données projet'!$B$17,Paramètres!$A$1:$I$89,3,0)*VLOOKUP('Données projet'!$B$17,Paramètres!$A$1:$I$89,5,0)</f>
        <v>3.5457547050492639</v>
      </c>
      <c r="GB11" s="13">
        <f t="shared" si="49"/>
        <v>1.4101803587787649</v>
      </c>
      <c r="GC11" s="20">
        <f t="shared" si="25"/>
        <v>8.631586902833817</v>
      </c>
      <c r="GD11" s="59">
        <f t="shared" si="26"/>
        <v>301.96492023616713</v>
      </c>
      <c r="GE11" s="59">
        <f ca="1">AVERAGE(OFFSET($GD$3,0,0,'Données projet'!$E$17+1,1))-AVERAGE(OFFSET($H$3,0,0,'Données projet'!$E$17+1,1))</f>
        <v>215.23235148064941</v>
      </c>
      <c r="GF11" s="59">
        <f t="shared" si="50"/>
        <v>184.07239726900434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3.8333333333333335</v>
      </c>
      <c r="GU11" s="12">
        <f>IF('Données projet'!$A$270&gt;35,GU10+GT11-HC10,IF(A11&lt;'Données projet'!$A$270,$GR$205^A11,IF(A11='Données projet'!$A$270,'Données projet'!$B$270,GU10+GT11-HC10)))</f>
        <v>12.838232045991907</v>
      </c>
      <c r="GV11" s="17">
        <f>GU11*VLOOKUP('Données projet'!$B$18,Paramètres!$A$1:$I$89,3,0)*VLOOKUP('Données projet'!$B$18,Paramètres!$A$1:$I$89,5,0)</f>
        <v>7.6772627635031609</v>
      </c>
      <c r="GW11" s="13">
        <f t="shared" si="51"/>
        <v>2.7907468577883434</v>
      </c>
      <c r="GX11" s="20">
        <f t="shared" si="28"/>
        <v>18.23178342374937</v>
      </c>
      <c r="GY11" s="59">
        <f t="shared" si="29"/>
        <v>311.56511675708271</v>
      </c>
      <c r="GZ11" s="59">
        <f ca="1">AVERAGE(OFFSET($GY$3,0,0,'Données projet'!$E$18+1,1))-AVERAGE(OFFSET($H$3,0,0,'Données projet'!$E$18+1,1))</f>
        <v>227.89848316900191</v>
      </c>
      <c r="HA11" s="59">
        <f t="shared" si="52"/>
        <v>239.85955661394541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</v>
      </c>
      <c r="N12" s="13">
        <f>IF('Données projet'!$A$36&gt;35,N11+M12-V11,IF(A12&lt;'Données projet'!$A$36,$K$205^A12,IF(A12='Données projet'!$A$36,'Données projet'!$B$36,N11+M12-V11)))</f>
        <v>14.822688982138946</v>
      </c>
      <c r="O12" s="13">
        <f>N12*VLOOKUP('Données projet'!$B$9,Paramètres!$A$1:$I$89,3,0)*VLOOKUP('Données projet'!$B$9,Paramètres!$A$1:$I$89,5,0)</f>
        <v>8.2858831410156704</v>
      </c>
      <c r="P12" s="13">
        <f t="shared" si="33"/>
        <v>2.9853567179108209</v>
      </c>
      <c r="Q12" s="20">
        <f t="shared" si="2"/>
        <v>19.630742754296975</v>
      </c>
      <c r="R12" s="59">
        <f t="shared" si="0"/>
        <v>312.9640760876303</v>
      </c>
      <c r="S12" s="59">
        <f ca="1">AVERAGE(OFFSET($R$3,0,0,'Données projet'!$E$9+1,1))-AVERAGE(OFFSET($H$3,0,0,'Données projet'!$E$9+1,1))</f>
        <v>370.69652285220093</v>
      </c>
      <c r="T12" s="59">
        <f t="shared" si="34"/>
        <v>376.53494965377718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5.05</v>
      </c>
      <c r="AI12" s="13">
        <f>IF('Données projet'!$A$62&gt;35,AI11+AH12-AQ11,IF(A12&lt;'Données projet'!$A$62,$AF$205^A12,IF(A12='Données projet'!$A$62,'Données projet'!$B$62,AI11+AH12-AQ11)))</f>
        <v>7.9789293243450929</v>
      </c>
      <c r="AJ12" s="13">
        <f>AI12*VLOOKUP('Données projet'!$B$10,Paramètres!$A$1:$I$89,3,0)*VLOOKUP('Données projet'!$B$10,Paramètres!$A$1:$I$89,5,0)</f>
        <v>7.2193352526674399</v>
      </c>
      <c r="AK12" s="13">
        <f t="shared" si="35"/>
        <v>2.6431401982983194</v>
      </c>
      <c r="AL12" s="20">
        <f t="shared" si="4"/>
        <v>17.177144743765361</v>
      </c>
      <c r="AM12" s="59">
        <f t="shared" si="5"/>
        <v>310.5104780770987</v>
      </c>
      <c r="AN12" s="59">
        <f ca="1">AVERAGE(OFFSET($AM$3,0,0,'Données projet'!$E$10+1,1))-AVERAGE(OFFSET($H$3,0,0,'Données projet'!$E$10+1,1))</f>
        <v>321.03881567735544</v>
      </c>
      <c r="AO12" s="59">
        <f t="shared" si="36"/>
        <v>234.87694492493506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5.0999999999999996</v>
      </c>
      <c r="BD12" s="12">
        <f>IF('Données projet'!$A$88&gt;35,BD11+BC12-BL11,IF(A12&lt;'Données projet'!$A$88,$BA$205^A12,IF(A12='Données projet'!$A$88,'Données projet'!$B$88,BD11+BC12-BL11)))</f>
        <v>34.420181692249294</v>
      </c>
      <c r="BE12" s="13">
        <f>BD12*VLOOKUP('Données projet'!$B$11,Paramètres!$A$1:$I$89,3,0)*VLOOKUP('Données projet'!$B$11,Paramètres!$A$1:$I$89,5,0)</f>
        <v>18.793419203968114</v>
      </c>
      <c r="BF12" s="13">
        <f t="shared" si="37"/>
        <v>6.1555036164911439</v>
      </c>
      <c r="BG12" s="20">
        <f t="shared" si="7"/>
        <v>43.452707245633206</v>
      </c>
      <c r="BH12" s="59">
        <f t="shared" si="8"/>
        <v>336.78604057896655</v>
      </c>
      <c r="BI12" s="59">
        <f ca="1">AVERAGE(OFFSET($BH$3,0,0,'Données projet'!$E$11+1,1))-AVERAGE(OFFSET($H$3,0,0,'Données projet'!$E$11+1,1))</f>
        <v>248.1486444660062</v>
      </c>
      <c r="BJ12" s="59">
        <f t="shared" si="38"/>
        <v>293.34458072322127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</v>
      </c>
      <c r="BY12" s="12">
        <f>IF('Données projet'!$A$114&gt;35,BY11+BX12-CG11,IF(A12&lt;'Données projet'!$A$114,$BV$205^A12,IF(A12='Données projet'!$A$114,'Données projet'!$B$114,BY11+BX12-CG11)))</f>
        <v>14.578456710130657</v>
      </c>
      <c r="BZ12" s="13">
        <f>BY12*VLOOKUP('Données projet'!$B$12,Paramètres!$A$1:$I$89,3,0)*VLOOKUP('Données projet'!$B$12,Paramètres!$A$1:$I$89,5,0)</f>
        <v>12.735739781970144</v>
      </c>
      <c r="CA12" s="13">
        <f t="shared" si="39"/>
        <v>4.364670141362768</v>
      </c>
      <c r="CB12" s="20">
        <f t="shared" si="10"/>
        <v>29.783213949804821</v>
      </c>
      <c r="CC12" s="59">
        <f t="shared" si="11"/>
        <v>323.11654728313812</v>
      </c>
      <c r="CD12" s="59">
        <f ca="1">AVERAGE(OFFSET($CC$3,0,0,'Données projet'!$E$12+1,1))-AVERAGE(OFFSET($H$3,0,0,'Données projet'!$E$12+1,1))</f>
        <v>243.38048563215585</v>
      </c>
      <c r="CE12" s="59">
        <f t="shared" si="40"/>
        <v>372.1604147006675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4.8</v>
      </c>
      <c r="CT12" s="12">
        <f>IF('Données projet'!$A$140&gt;35,CT11+CS12-DB11,IF(A12&lt;'Données projet'!$A$140,$CQ$205^A12,IF(A12='Données projet'!$A$140,'Données projet'!$B$140,CT11+CS12-DB11)))</f>
        <v>7.7986971380498149</v>
      </c>
      <c r="CU12" s="17">
        <f>CT12*VLOOKUP('Données projet'!$B$13,Paramètres!$A$1:$I$89,3,0)*VLOOKUP('Données projet'!$B$13,Paramètres!$A$1:$I$89,5,0)</f>
        <v>3.7511733234019609</v>
      </c>
      <c r="CV12" s="13">
        <f t="shared" si="41"/>
        <v>1.4821294678016681</v>
      </c>
      <c r="CW12" s="20">
        <f t="shared" si="13"/>
        <v>9.1146690280129867</v>
      </c>
      <c r="CX12" s="59">
        <f t="shared" si="14"/>
        <v>302.44800236134631</v>
      </c>
      <c r="CY12" s="59">
        <f ca="1">AVERAGE(OFFSET($CX$3,0,0,'Données projet'!$E$13+1,1))-AVERAGE(OFFSET($H$3,0,0,'Données projet'!$E$13+1,1))</f>
        <v>297.21955661193238</v>
      </c>
      <c r="CZ12" s="59">
        <f t="shared" si="42"/>
        <v>273.69206144662144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6.8857014887292793</v>
      </c>
      <c r="DQ12" s="13">
        <f t="shared" si="43"/>
        <v>2.5349131627802968</v>
      </c>
      <c r="DR12" s="20">
        <f t="shared" si="16"/>
        <v>16.407570518045844</v>
      </c>
      <c r="DS12" s="59">
        <f t="shared" si="17"/>
        <v>309.74090385137913</v>
      </c>
      <c r="DT12" s="59">
        <f ca="1">AVERAGE(OFFSET($DS$3,0,0,'Données projet'!$E$14+1,1))-AVERAGE(OFFSET($H$3,0,0,'Données projet'!$E$14+1,1))</f>
        <v>260.20517190557814</v>
      </c>
      <c r="DU12" s="59">
        <f t="shared" si="44"/>
        <v>307.22009971147133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6.1</v>
      </c>
      <c r="EJ12" s="12">
        <f>IF('Données projet'!$A$192&gt;35,EJ11+EI12-ER11,IF(A12&lt;'Données projet'!$A$192,$EG$205^A12,IF(A12='Données projet'!$A$192,'Données projet'!$B$192,EJ11+EI12-ER11)))</f>
        <v>8.6868420270572955</v>
      </c>
      <c r="EK12" s="17">
        <f>EJ12*VLOOKUP('Données projet'!$B$15,Paramètres!$A$1:$I$89,3,0)*VLOOKUP('Données projet'!$B$15,Paramètres!$A$1:$I$89,5,0)</f>
        <v>5.1947315321802625</v>
      </c>
      <c r="EL12" s="13">
        <f t="shared" si="45"/>
        <v>1.9761669279971803</v>
      </c>
      <c r="EM12" s="20">
        <f t="shared" si="19"/>
        <v>12.489314818142381</v>
      </c>
      <c r="EN12" s="59">
        <f t="shared" si="20"/>
        <v>305.82264815147568</v>
      </c>
      <c r="EO12" s="59">
        <f ca="1">AVERAGE(OFFSET($EN$3,0,0,'Données projet'!$E$15+1,1))-AVERAGE(OFFSET($H$3,0,0,'Données projet'!$E$15+1,1))</f>
        <v>259.30247982593914</v>
      </c>
      <c r="EP12" s="59">
        <f t="shared" si="46"/>
        <v>275.24740346220779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5.05</v>
      </c>
      <c r="FE12" s="12">
        <f>IF('Données projet'!$A$218&gt;35,FE11+FD12-FM11,IF(A12&lt;'Données projet'!$A$218,$FB$205^A12,IF(A12='Données projet'!$A$218,'Données projet'!$B$218,FE11+FD12-FM11)))</f>
        <v>7.9789293243450929</v>
      </c>
      <c r="FF12" s="17">
        <f>FE12*VLOOKUP('Données projet'!$B$16,Paramètres!$A$1:$I$89,3,0)*VLOOKUP('Données projet'!$B$16,Paramètres!$A$1:$I$89,5,0)</f>
        <v>8.0906343348859249</v>
      </c>
      <c r="FG12" s="13">
        <f t="shared" si="47"/>
        <v>2.9231120722619393</v>
      </c>
      <c r="FH12" s="20">
        <f t="shared" si="22"/>
        <v>19.182274992449194</v>
      </c>
      <c r="FI12" s="59">
        <f t="shared" si="23"/>
        <v>312.51560832578252</v>
      </c>
      <c r="FJ12" s="59">
        <f ca="1">AVERAGE(OFFSET($FI$3,0,0,'Données projet'!$E$16+1,1))-AVERAGE(OFFSET($H$3,0,0,'Données projet'!$E$16+1,1))</f>
        <v>372.91317851957336</v>
      </c>
      <c r="FK12" s="59">
        <f t="shared" si="48"/>
        <v>269.69187715858413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7.9</v>
      </c>
      <c r="FZ12" s="12">
        <f>IF('Données projet'!$A$244&gt;35,FZ11+FY12-GH11,IF(A12&lt;'Données projet'!$A$244,$FW$205^A12,IF(A12='Données projet'!$A$244,'Données projet'!$B$244,FZ11+FY12-GH11)))</f>
        <v>9.7587836327093171</v>
      </c>
      <c r="GA12" s="17">
        <f>FZ12*VLOOKUP('Données projet'!$B$17,Paramètres!$A$1:$I$89,3,0)*VLOOKUP('Données projet'!$B$17,Paramètres!$A$1:$I$89,5,0)</f>
        <v>4.5671107401079603</v>
      </c>
      <c r="GB12" s="13">
        <f t="shared" si="49"/>
        <v>1.763645650133036</v>
      </c>
      <c r="GC12" s="20">
        <f t="shared" si="25"/>
        <v>11.026067379669733</v>
      </c>
      <c r="GD12" s="59">
        <f t="shared" si="26"/>
        <v>304.35940071300303</v>
      </c>
      <c r="GE12" s="59">
        <f ca="1">AVERAGE(OFFSET($GD$3,0,0,'Données projet'!$E$17+1,1))-AVERAGE(OFFSET($H$3,0,0,'Données projet'!$E$17+1,1))</f>
        <v>215.23235148064941</v>
      </c>
      <c r="GF12" s="59">
        <f t="shared" si="50"/>
        <v>184.07239726900434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3.8333333333333335</v>
      </c>
      <c r="GU12" s="12">
        <f>IF('Données projet'!$A$270&gt;35,GU11+GT12-HC11,IF(A12&lt;'Données projet'!$A$270,$GR$205^A12,IF(A12='Données projet'!$A$270,'Données projet'!$B$270,GU11+GT12-HC11)))</f>
        <v>17.663158812165008</v>
      </c>
      <c r="GV12" s="17">
        <f>GU12*VLOOKUP('Données projet'!$B$18,Paramètres!$A$1:$I$89,3,0)*VLOOKUP('Données projet'!$B$18,Paramètres!$A$1:$I$89,5,0)</f>
        <v>10.562568969674675</v>
      </c>
      <c r="GW12" s="13">
        <f t="shared" si="51"/>
        <v>3.6996006416494942</v>
      </c>
      <c r="GX12" s="20">
        <f t="shared" si="28"/>
        <v>24.839945406389592</v>
      </c>
      <c r="GY12" s="59">
        <f t="shared" si="29"/>
        <v>318.17327873972289</v>
      </c>
      <c r="GZ12" s="59">
        <f ca="1">AVERAGE(OFFSET($GY$3,0,0,'Données projet'!$E$18+1,1))-AVERAGE(OFFSET($H$3,0,0,'Données projet'!$E$18+1,1))</f>
        <v>227.89848316900191</v>
      </c>
      <c r="HA12" s="59">
        <f t="shared" si="52"/>
        <v>239.85955661394541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20</v>
      </c>
      <c r="L13" s="12">
        <f>VLOOKUP(A13,'Données projet'!$A$35:$I$55,9,0)</f>
        <v>2</v>
      </c>
      <c r="M13" s="12">
        <f t="array" ref="M13">INDEX(L:L,MIN(IF(ISNUMBER(L13:L209),ROW(L13:L209),"")))</f>
        <v>2</v>
      </c>
      <c r="N13" s="13">
        <f>IF('Données projet'!$A$36&gt;35,N12+M13-V12,IF(A13&lt;'Données projet'!$A$36,$K$205^A13,IF(A13='Données projet'!$A$36,'Données projet'!$B$36,N12+M13-V12)))</f>
        <v>20</v>
      </c>
      <c r="O13" s="13">
        <f>N13*VLOOKUP('Données projet'!$B$9,Paramètres!$A$1:$I$89,3,0)*VLOOKUP('Données projet'!$B$9,Paramètres!$A$1:$I$89,5,0)</f>
        <v>11.18</v>
      </c>
      <c r="P13" s="13">
        <f t="shared" si="33"/>
        <v>3.8900505285230369</v>
      </c>
      <c r="Q13" s="20">
        <f t="shared" si="2"/>
        <v>26.247004670510957</v>
      </c>
      <c r="R13" s="59">
        <f t="shared" si="0"/>
        <v>319.58033800384425</v>
      </c>
      <c r="S13" s="59">
        <f ca="1">AVERAGE(OFFSET($R$3,0,0,'Données projet'!$E$9+1,1))-AVERAGE(OFFSET($H$3,0,0,'Données projet'!$E$9+1,1))</f>
        <v>370.69652285220093</v>
      </c>
      <c r="T13" s="59">
        <f t="shared" si="34"/>
        <v>376.53494965377718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5.05</v>
      </c>
      <c r="AI13" s="13">
        <f>IF('Données projet'!$A$62&gt;35,AI12+AH13-AQ12,IF(A13&lt;'Données projet'!$A$62,$AF$205^A13,IF(A13='Données projet'!$A$62,'Données projet'!$B$62,AI12+AH13-AQ12)))</f>
        <v>10.049875621120886</v>
      </c>
      <c r="AJ13" s="13">
        <f>AI13*VLOOKUP('Données projet'!$B$10,Paramètres!$A$1:$I$89,3,0)*VLOOKUP('Données projet'!$B$10,Paramètres!$A$1:$I$89,5,0)</f>
        <v>9.0931274619901785</v>
      </c>
      <c r="AK13" s="13">
        <f t="shared" si="35"/>
        <v>3.2409409483104086</v>
      </c>
      <c r="AL13" s="20">
        <f t="shared" si="4"/>
        <v>21.481835814606853</v>
      </c>
      <c r="AM13" s="59">
        <f t="shared" si="5"/>
        <v>314.8151691479402</v>
      </c>
      <c r="AN13" s="59">
        <f ca="1">AVERAGE(OFFSET($AM$3,0,0,'Données projet'!$E$10+1,1))-AVERAGE(OFFSET($H$3,0,0,'Données projet'!$E$10+1,1))</f>
        <v>321.03881567735544</v>
      </c>
      <c r="AO13" s="59">
        <f t="shared" si="36"/>
        <v>234.87694492493506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51</v>
      </c>
      <c r="BB13" s="12">
        <f>VLOOKUP(A13,'Données projet'!$A$87:$I$107,9,0)</f>
        <v>5.0999999999999996</v>
      </c>
      <c r="BC13" s="12">
        <f t="array" ref="BC13">INDEX(BB:BB,MIN(IF(ISNUMBER(BB13:BB209),ROW(BB13:BB209),"")))</f>
        <v>5.0999999999999996</v>
      </c>
      <c r="BD13" s="12">
        <f>IF('Données projet'!$A$88&gt;35,BD12+BC13-BL12,IF(A13&lt;'Données projet'!$A$88,$BA$205^A13,IF(A13='Données projet'!$A$88,'Données projet'!$B$88,BD12+BC13-BL12)))</f>
        <v>51</v>
      </c>
      <c r="BE13" s="13">
        <f>BD13*VLOOKUP('Données projet'!$B$11,Paramètres!$A$1:$I$89,3,0)*VLOOKUP('Données projet'!$B$11,Paramètres!$A$1:$I$89,5,0)</f>
        <v>27.846</v>
      </c>
      <c r="BF13" s="13">
        <f t="shared" si="37"/>
        <v>8.7125341134088217</v>
      </c>
      <c r="BG13" s="20">
        <f t="shared" si="7"/>
        <v>63.672780247520365</v>
      </c>
      <c r="BH13" s="59">
        <f t="shared" si="8"/>
        <v>357.00611358085371</v>
      </c>
      <c r="BI13" s="59">
        <f ca="1">AVERAGE(OFFSET($BH$3,0,0,'Données projet'!$E$11+1,1))-AVERAGE(OFFSET($H$3,0,0,'Données projet'!$E$11+1,1))</f>
        <v>248.1486444660062</v>
      </c>
      <c r="BJ13" s="59">
        <f t="shared" si="38"/>
        <v>293.34458072322127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8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0.3</v>
      </c>
      <c r="BO13" s="16">
        <f>IF(ISNA(VLOOKUP(A13,'Données projet'!$A$87:$I$107,7,0)),0%,VLOOKUP(A13,'Données projet'!$A$87:$I$107,7,0))</f>
        <v>0.5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1.7314855945965917</v>
      </c>
      <c r="BR13" s="21">
        <f>EXP(-LN(2)/2)*BR12+(1-EXP(-LN(2)/2))/(LN(2)/2)*BL13*BO13*VLOOKUP('Données projet'!$B$11,Paramètres!$A$1:$I$89,3,0)*0.475*44/12</f>
        <v>2.4727953377978014</v>
      </c>
      <c r="BS13" s="22">
        <f t="shared" si="9"/>
        <v>4.2042809323943935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</v>
      </c>
      <c r="BY13" s="12">
        <f>IF('Données projet'!$A$114&gt;35,BY12+BX13-CG12,IF(A13&lt;'Données projet'!$A$114,$BV$205^A13,IF(A13='Données projet'!$A$114,'Données projet'!$B$114,BY12+BX13-CG12)))</f>
        <v>19.634183025716826</v>
      </c>
      <c r="BZ13" s="13">
        <f>BY13*VLOOKUP('Données projet'!$B$12,Paramètres!$A$1:$I$89,3,0)*VLOOKUP('Données projet'!$B$12,Paramètres!$A$1:$I$89,5,0)</f>
        <v>17.152422291266223</v>
      </c>
      <c r="CA13" s="13">
        <f t="shared" si="39"/>
        <v>5.678086989362658</v>
      </c>
      <c r="CB13" s="20">
        <f t="shared" si="10"/>
        <v>39.763136997095295</v>
      </c>
      <c r="CC13" s="59">
        <f t="shared" si="11"/>
        <v>333.09647033042859</v>
      </c>
      <c r="CD13" s="59">
        <f ca="1">AVERAGE(OFFSET($CC$3,0,0,'Données projet'!$E$12+1,1))-AVERAGE(OFFSET($H$3,0,0,'Données projet'!$E$12+1,1))</f>
        <v>243.38048563215585</v>
      </c>
      <c r="CE13" s="59">
        <f t="shared" si="40"/>
        <v>372.1604147006675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4.8</v>
      </c>
      <c r="CT13" s="12">
        <f>IF('Données projet'!$A$140&gt;35,CT12+CS13-DB12,IF(A13&lt;'Données projet'!$A$140,$CQ$205^A13,IF(A13='Données projet'!$A$140,'Données projet'!$B$140,CT12+CS13-DB12)))</f>
        <v>9.7979589711327133</v>
      </c>
      <c r="CU13" s="17">
        <f>CT13*VLOOKUP('Données projet'!$B$13,Paramètres!$A$1:$I$89,3,0)*VLOOKUP('Données projet'!$B$13,Paramètres!$A$1:$I$89,5,0)</f>
        <v>4.7128182651148354</v>
      </c>
      <c r="CV13" s="13">
        <f t="shared" si="41"/>
        <v>1.8132717067015065</v>
      </c>
      <c r="CW13" s="20">
        <f t="shared" si="13"/>
        <v>11.36627336758013</v>
      </c>
      <c r="CX13" s="59">
        <f t="shared" si="14"/>
        <v>304.69960670091342</v>
      </c>
      <c r="CY13" s="59">
        <f ca="1">AVERAGE(OFFSET($CX$3,0,0,'Données projet'!$E$13+1,1))-AVERAGE(OFFSET($H$3,0,0,'Données projet'!$E$13+1,1))</f>
        <v>297.21955661193238</v>
      </c>
      <c r="CZ13" s="59">
        <f t="shared" si="42"/>
        <v>273.69206144662144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8.7516000000000016</v>
      </c>
      <c r="DQ13" s="13">
        <f t="shared" si="43"/>
        <v>3.1331453604025001</v>
      </c>
      <c r="DR13" s="20">
        <f t="shared" si="16"/>
        <v>20.699264836034356</v>
      </c>
      <c r="DS13" s="59">
        <f t="shared" si="17"/>
        <v>314.03259816936765</v>
      </c>
      <c r="DT13" s="59">
        <f ca="1">AVERAGE(OFFSET($DS$3,0,0,'Données projet'!$E$14+1,1))-AVERAGE(OFFSET($H$3,0,0,'Données projet'!$E$14+1,1))</f>
        <v>260.20517190557814</v>
      </c>
      <c r="DU13" s="59">
        <f t="shared" si="44"/>
        <v>307.22009971147133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0.13250000000000001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6.1</v>
      </c>
      <c r="EJ13" s="12">
        <f>IF('Données projet'!$A$192&gt;35,EJ12+EI13-ER12,IF(A13&lt;'Données projet'!$A$192,$EG$205^A13,IF(A13='Données projet'!$A$192,'Données projet'!$B$192,EJ12+EI13-ER12)))</f>
        <v>11.045361017187268</v>
      </c>
      <c r="EK13" s="17">
        <f>EJ13*VLOOKUP('Données projet'!$B$15,Paramètres!$A$1:$I$89,3,0)*VLOOKUP('Données projet'!$B$15,Paramètres!$A$1:$I$89,5,0)</f>
        <v>6.6051258882779864</v>
      </c>
      <c r="EL13" s="13">
        <f t="shared" si="45"/>
        <v>2.4434249503139451</v>
      </c>
      <c r="EM13" s="20">
        <f t="shared" si="19"/>
        <v>15.759559377214282</v>
      </c>
      <c r="EN13" s="59">
        <f t="shared" si="20"/>
        <v>309.09289271054757</v>
      </c>
      <c r="EO13" s="59">
        <f ca="1">AVERAGE(OFFSET($EN$3,0,0,'Données projet'!$E$15+1,1))-AVERAGE(OFFSET($H$3,0,0,'Données projet'!$E$15+1,1))</f>
        <v>259.30247982593914</v>
      </c>
      <c r="EP13" s="59">
        <f t="shared" si="46"/>
        <v>275.24740346220779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5.05</v>
      </c>
      <c r="FE13" s="12">
        <f>IF('Données projet'!$A$218&gt;35,FE12+FD13-FM12,IF(A13&lt;'Données projet'!$A$218,$FB$205^A13,IF(A13='Données projet'!$A$218,'Données projet'!$B$218,FE12+FD13-FM12)))</f>
        <v>10.049875621120886</v>
      </c>
      <c r="FF13" s="17">
        <f>FE13*VLOOKUP('Données projet'!$B$16,Paramètres!$A$1:$I$89,3,0)*VLOOKUP('Données projet'!$B$16,Paramètres!$A$1:$I$89,5,0)</f>
        <v>10.190573879816579</v>
      </c>
      <c r="FG13" s="13">
        <f t="shared" si="47"/>
        <v>3.5842342444012001</v>
      </c>
      <c r="FH13" s="20">
        <f t="shared" si="22"/>
        <v>23.991124149679298</v>
      </c>
      <c r="FI13" s="59">
        <f t="shared" si="23"/>
        <v>317.32445748301262</v>
      </c>
      <c r="FJ13" s="59">
        <f ca="1">AVERAGE(OFFSET($FI$3,0,0,'Données projet'!$E$16+1,1))-AVERAGE(OFFSET($H$3,0,0,'Données projet'!$E$16+1,1))</f>
        <v>372.91317851957336</v>
      </c>
      <c r="FK13" s="59">
        <f t="shared" si="48"/>
        <v>269.69187715858413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7.9</v>
      </c>
      <c r="FZ13" s="12">
        <f>IF('Données projet'!$A$244&gt;35,FZ12+FY13-GH12,IF(A13&lt;'Données projet'!$A$244,$FW$205^A13,IF(A13='Données projet'!$A$244,'Données projet'!$B$244,FZ12+FY13-GH12)))</f>
        <v>12.569805089976542</v>
      </c>
      <c r="GA13" s="17">
        <f>FZ13*VLOOKUP('Données projet'!$B$17,Paramètres!$A$1:$I$89,3,0)*VLOOKUP('Données projet'!$B$17,Paramètres!$A$1:$I$89,5,0)</f>
        <v>5.8826687821090227</v>
      </c>
      <c r="GB13" s="13">
        <f t="shared" si="49"/>
        <v>2.2057079152108381</v>
      </c>
      <c r="GC13" s="20">
        <f t="shared" si="25"/>
        <v>14.087256081165423</v>
      </c>
      <c r="GD13" s="59">
        <f t="shared" si="26"/>
        <v>307.42058941449875</v>
      </c>
      <c r="GE13" s="59">
        <f ca="1">AVERAGE(OFFSET($GD$3,0,0,'Données projet'!$E$17+1,1))-AVERAGE(OFFSET($H$3,0,0,'Données projet'!$E$17+1,1))</f>
        <v>215.23235148064941</v>
      </c>
      <c r="GF13" s="59">
        <f t="shared" si="50"/>
        <v>184.07239726900434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3.8333333333333335</v>
      </c>
      <c r="GU13" s="12">
        <f>IF('Données projet'!$A$270&gt;35,GU12+GT13-HC12,IF(A13&lt;'Données projet'!$A$270,$GR$205^A13,IF(A13='Données projet'!$A$270,'Données projet'!$B$270,GU12+GT13-HC12)))</f>
        <v>24.301413006564612</v>
      </c>
      <c r="GV13" s="17">
        <f>GU13*VLOOKUP('Données projet'!$B$18,Paramètres!$A$1:$I$89,3,0)*VLOOKUP('Données projet'!$B$18,Paramètres!$A$1:$I$89,5,0)</f>
        <v>14.53224497792564</v>
      </c>
      <c r="GW13" s="13">
        <f t="shared" si="51"/>
        <v>4.9044379892414502</v>
      </c>
      <c r="GX13" s="20">
        <f t="shared" si="28"/>
        <v>33.852222834482681</v>
      </c>
      <c r="GY13" s="59">
        <f t="shared" si="29"/>
        <v>327.185556167816</v>
      </c>
      <c r="GZ13" s="59">
        <f ca="1">AVERAGE(OFFSET($GY$3,0,0,'Données projet'!$E$18+1,1))-AVERAGE(OFFSET($H$3,0,0,'Données projet'!$E$18+1,1))</f>
        <v>227.89848316900191</v>
      </c>
      <c r="HA13" s="59">
        <f t="shared" si="52"/>
        <v>239.85955661394541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17.5</v>
      </c>
      <c r="N14" s="13">
        <f>IF('Données projet'!$A$36&gt;35,N13+M14-V13,IF(A14&lt;'Données projet'!$A$36,$K$205^A14,IF(A14='Données projet'!$A$36,'Données projet'!$B$36,N13+M14-V13)))</f>
        <v>37.5</v>
      </c>
      <c r="O14" s="13">
        <f>N14*VLOOKUP('Données projet'!$B$9,Paramètres!$A$1:$I$89,3,0)*VLOOKUP('Données projet'!$B$9,Paramètres!$A$1:$I$89,5,0)</f>
        <v>20.962500000000002</v>
      </c>
      <c r="P14" s="13">
        <f t="shared" si="33"/>
        <v>6.7792112362552857</v>
      </c>
      <c r="Q14" s="20">
        <f t="shared" si="2"/>
        <v>48.316813736477961</v>
      </c>
      <c r="R14" s="59">
        <f t="shared" si="0"/>
        <v>341.65014706981128</v>
      </c>
      <c r="S14" s="59">
        <f ca="1">AVERAGE(OFFSET($R$3,0,0,'Données projet'!$E$9+1,1))-AVERAGE(OFFSET($H$3,0,0,'Données projet'!$E$9+1,1))</f>
        <v>370.69652285220093</v>
      </c>
      <c r="T14" s="59">
        <f t="shared" si="34"/>
        <v>376.53494965377718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5.05</v>
      </c>
      <c r="AI14" s="13">
        <f>IF('Données projet'!$A$62&gt;35,AI13+AH14-AQ13,IF(A14&lt;'Données projet'!$A$62,$AF$205^A14,IF(A14='Données projet'!$A$62,'Données projet'!$B$62,AI13+AH14-AQ13)))</f>
        <v>12.658339971984896</v>
      </c>
      <c r="AJ14" s="13">
        <f>AI14*VLOOKUP('Données projet'!$B$10,Paramètres!$A$1:$I$89,3,0)*VLOOKUP('Données projet'!$B$10,Paramètres!$A$1:$I$89,5,0)</f>
        <v>11.453266006651933</v>
      </c>
      <c r="AK14" s="13">
        <f t="shared" si="35"/>
        <v>3.9739466855362284</v>
      </c>
      <c r="AL14" s="20">
        <f t="shared" si="4"/>
        <v>26.869062105561046</v>
      </c>
      <c r="AM14" s="59">
        <f t="shared" si="5"/>
        <v>320.20239543889437</v>
      </c>
      <c r="AN14" s="59">
        <f ca="1">AVERAGE(OFFSET($AM$3,0,0,'Données projet'!$E$10+1,1))-AVERAGE(OFFSET($H$3,0,0,'Données projet'!$E$10+1,1))</f>
        <v>321.03881567735544</v>
      </c>
      <c r="AO14" s="59">
        <f t="shared" si="36"/>
        <v>234.87694492493506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16.7</v>
      </c>
      <c r="BD14" s="12">
        <f>IF('Données projet'!$A$88&gt;35,BD13+BC14-BL13,IF(A14&lt;'Données projet'!$A$88,$BA$205^A14,IF(A14='Données projet'!$A$88,'Données projet'!$B$88,BD13+BC14-BL13)))</f>
        <v>59.7</v>
      </c>
      <c r="BE14" s="13">
        <f>BD14*VLOOKUP('Données projet'!$B$11,Paramètres!$A$1:$I$89,3,0)*VLOOKUP('Données projet'!$B$11,Paramètres!$A$1:$I$89,5,0)</f>
        <v>32.596200000000003</v>
      </c>
      <c r="BF14" s="13">
        <f t="shared" si="37"/>
        <v>10.013511546777837</v>
      </c>
      <c r="BG14" s="20">
        <f t="shared" si="7"/>
        <v>74.211914277304729</v>
      </c>
      <c r="BH14" s="59">
        <f t="shared" si="8"/>
        <v>367.54524761063806</v>
      </c>
      <c r="BI14" s="59">
        <f ca="1">AVERAGE(OFFSET($BH$3,0,0,'Données projet'!$E$11+1,1))-AVERAGE(OFFSET($H$3,0,0,'Données projet'!$E$11+1,1))</f>
        <v>248.1486444660062</v>
      </c>
      <c r="BJ14" s="59">
        <f t="shared" si="38"/>
        <v>293.34458072322127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1.6841380299574777</v>
      </c>
      <c r="BR14" s="21">
        <f>EXP(-LN(2)/2)*BR13+(1-EXP(-LN(2)/2))/(LN(2)/2)*BL14*BO14*VLOOKUP('Données projet'!$B$11,Paramètres!$A$1:$I$89,3,0)*0.475*44/12</f>
        <v>1.7485303518433049</v>
      </c>
      <c r="BS14" s="22">
        <f t="shared" si="9"/>
        <v>3.4326683818007826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26.443206626903088</v>
      </c>
      <c r="BZ14" s="13">
        <f>BY14*VLOOKUP('Données projet'!$B$12,Paramètres!$A$1:$I$89,3,0)*VLOOKUP('Données projet'!$B$12,Paramètres!$A$1:$I$89,5,0)</f>
        <v>23.100785309262541</v>
      </c>
      <c r="CA14" s="13">
        <f t="shared" si="39"/>
        <v>7.3867373282653306</v>
      </c>
      <c r="CB14" s="20">
        <f t="shared" si="10"/>
        <v>53.099101927027704</v>
      </c>
      <c r="CC14" s="59">
        <f t="shared" si="11"/>
        <v>346.43243526036099</v>
      </c>
      <c r="CD14" s="59">
        <f ca="1">AVERAGE(OFFSET($CC$3,0,0,'Données projet'!$E$12+1,1))-AVERAGE(OFFSET($H$3,0,0,'Données projet'!$E$12+1,1))</f>
        <v>243.38048563215585</v>
      </c>
      <c r="CE14" s="59">
        <f t="shared" si="40"/>
        <v>372.1604147006675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4.8</v>
      </c>
      <c r="CT14" s="12">
        <f>IF('Données projet'!$A$140&gt;35,CT13+CS14-DB13,IF(A14&lt;'Données projet'!$A$140,$CQ$205^A14,IF(A14='Données projet'!$A$140,'Données projet'!$B$140,CT13+CS14-DB13)))</f>
        <v>12.309748449085985</v>
      </c>
      <c r="CU14" s="17">
        <f>CT14*VLOOKUP('Données projet'!$B$13,Paramètres!$A$1:$I$89,3,0)*VLOOKUP('Données projet'!$B$13,Paramètres!$A$1:$I$89,5,0)</f>
        <v>5.9209890040103588</v>
      </c>
      <c r="CV14" s="13">
        <f t="shared" si="41"/>
        <v>2.2183988334035152</v>
      </c>
      <c r="CW14" s="20">
        <f t="shared" si="13"/>
        <v>14.17610048349583</v>
      </c>
      <c r="CX14" s="59">
        <f t="shared" si="14"/>
        <v>307.50943381682913</v>
      </c>
      <c r="CY14" s="59">
        <f ca="1">AVERAGE(OFFSET($CX$3,0,0,'Données projet'!$E$13+1,1))-AVERAGE(OFFSET($H$3,0,0,'Données projet'!$E$13+1,1))</f>
        <v>297.21955661193238</v>
      </c>
      <c r="CZ14" s="59">
        <f t="shared" si="42"/>
        <v>273.69206144662144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18.537480000000002</v>
      </c>
      <c r="DQ14" s="13">
        <f t="shared" si="43"/>
        <v>6.0813732490407499</v>
      </c>
      <c r="DR14" s="20">
        <f t="shared" si="16"/>
        <v>42.877836075412638</v>
      </c>
      <c r="DS14" s="59">
        <f t="shared" si="17"/>
        <v>336.21116940874595</v>
      </c>
      <c r="DT14" s="59">
        <f ca="1">AVERAGE(OFFSET($DS$3,0,0,'Données projet'!$E$14+1,1))-AVERAGE(OFFSET($H$3,0,0,'Données projet'!$E$14+1,1))</f>
        <v>260.20517190557814</v>
      </c>
      <c r="DU14" s="59">
        <f t="shared" si="44"/>
        <v>307.22009971147133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6.1</v>
      </c>
      <c r="EJ14" s="12">
        <f>IF('Données projet'!$A$192&gt;35,EJ13+EI14-ER13,IF(A14&lt;'Données projet'!$A$192,$EG$205^A14,IF(A14='Données projet'!$A$192,'Données projet'!$B$192,EJ13+EI14-ER13)))</f>
        <v>14.044229147945975</v>
      </c>
      <c r="EK14" s="17">
        <f>EJ14*VLOOKUP('Données projet'!$B$15,Paramètres!$A$1:$I$89,3,0)*VLOOKUP('Données projet'!$B$15,Paramètres!$A$1:$I$89,5,0)</f>
        <v>8.3984490304716939</v>
      </c>
      <c r="EL14" s="13">
        <f t="shared" si="45"/>
        <v>3.0211645601556314</v>
      </c>
      <c r="EM14" s="20">
        <f t="shared" si="19"/>
        <v>19.889160337009255</v>
      </c>
      <c r="EN14" s="59">
        <f t="shared" si="20"/>
        <v>313.22249367034254</v>
      </c>
      <c r="EO14" s="59">
        <f ca="1">AVERAGE(OFFSET($EN$3,0,0,'Données projet'!$E$15+1,1))-AVERAGE(OFFSET($H$3,0,0,'Données projet'!$E$15+1,1))</f>
        <v>259.30247982593914</v>
      </c>
      <c r="EP14" s="59">
        <f t="shared" si="46"/>
        <v>275.24740346220779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5.05</v>
      </c>
      <c r="FE14" s="12">
        <f>IF('Données projet'!$A$218&gt;35,FE13+FD14-FM13,IF(A14&lt;'Données projet'!$A$218,$FB$205^A14,IF(A14='Données projet'!$A$218,'Données projet'!$B$218,FE13+FD14-FM13)))</f>
        <v>12.658339971984896</v>
      </c>
      <c r="FF14" s="17">
        <f>FE14*VLOOKUP('Données projet'!$B$16,Paramètres!$A$1:$I$89,3,0)*VLOOKUP('Données projet'!$B$16,Paramètres!$A$1:$I$89,5,0)</f>
        <v>12.835556731592686</v>
      </c>
      <c r="FG14" s="13">
        <f t="shared" si="47"/>
        <v>4.3948828512747644</v>
      </c>
      <c r="FH14" s="20">
        <f t="shared" si="22"/>
        <v>30.009682273494146</v>
      </c>
      <c r="FI14" s="59">
        <f t="shared" si="23"/>
        <v>323.34301560682746</v>
      </c>
      <c r="FJ14" s="59">
        <f ca="1">AVERAGE(OFFSET($FI$3,0,0,'Données projet'!$E$16+1,1))-AVERAGE(OFFSET($H$3,0,0,'Données projet'!$E$16+1,1))</f>
        <v>372.91317851957336</v>
      </c>
      <c r="FK14" s="59">
        <f t="shared" si="48"/>
        <v>269.69187715858413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7.9</v>
      </c>
      <c r="FZ14" s="12">
        <f>IF('Données projet'!$A$244&gt;35,FZ13+FY14-GH13,IF(A14&lt;'Données projet'!$A$244,$FW$205^A14,IF(A14='Données projet'!$A$244,'Données projet'!$B$244,FZ13+FY14-GH13)))</f>
        <v>16.190542381779895</v>
      </c>
      <c r="GA14" s="17">
        <f>FZ14*VLOOKUP('Données projet'!$B$17,Paramètres!$A$1:$I$89,3,0)*VLOOKUP('Données projet'!$B$17,Paramètres!$A$1:$I$89,5,0)</f>
        <v>7.5771738346729904</v>
      </c>
      <c r="GB14" s="13">
        <f t="shared" si="49"/>
        <v>2.7585742106736397</v>
      </c>
      <c r="GC14" s="20">
        <f t="shared" si="25"/>
        <v>18.001427845645381</v>
      </c>
      <c r="GD14" s="59">
        <f t="shared" si="26"/>
        <v>311.33476117897868</v>
      </c>
      <c r="GE14" s="59">
        <f ca="1">AVERAGE(OFFSET($GD$3,0,0,'Données projet'!$E$17+1,1))-AVERAGE(OFFSET($H$3,0,0,'Données projet'!$E$17+1,1))</f>
        <v>215.23235148064941</v>
      </c>
      <c r="GF14" s="59">
        <f t="shared" si="50"/>
        <v>184.07239726900434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3.8333333333333335</v>
      </c>
      <c r="GU14" s="12">
        <f>IF('Données projet'!$A$270&gt;35,GU13+GT14-HC13,IF(A14&lt;'Données projet'!$A$270,$GR$205^A14,IF(A14='Données projet'!$A$270,'Données projet'!$B$270,GU13+GT14-HC13)))</f>
        <v>33.434488156721827</v>
      </c>
      <c r="GV14" s="17">
        <f>GU14*VLOOKUP('Données projet'!$B$18,Paramètres!$A$1:$I$89,3,0)*VLOOKUP('Données projet'!$B$18,Paramètres!$A$1:$I$89,5,0)</f>
        <v>19.993823917719652</v>
      </c>
      <c r="GW14" s="13">
        <f t="shared" si="51"/>
        <v>6.5016509402458835</v>
      </c>
      <c r="GX14" s="20">
        <f t="shared" si="28"/>
        <v>46.146285377623315</v>
      </c>
      <c r="GY14" s="59">
        <f t="shared" si="29"/>
        <v>339.47961871095663</v>
      </c>
      <c r="GZ14" s="59">
        <f ca="1">AVERAGE(OFFSET($GY$3,0,0,'Données projet'!$E$18+1,1))-AVERAGE(OFFSET($H$3,0,0,'Données projet'!$E$18+1,1))</f>
        <v>227.89848316900191</v>
      </c>
      <c r="HA14" s="59">
        <f t="shared" si="52"/>
        <v>239.85955661394541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17.5</v>
      </c>
      <c r="N15" s="13">
        <f>IF('Données projet'!$A$36&gt;35,N14+M15-V14,IF(A15&lt;'Données projet'!$A$36,$K$205^A15,IF(A15='Données projet'!$A$36,'Données projet'!$B$36,N14+M15-V14)))</f>
        <v>55</v>
      </c>
      <c r="O15" s="13">
        <f>N15*VLOOKUP('Données projet'!$B$9,Paramètres!$A$1:$I$89,3,0)*VLOOKUP('Données projet'!$B$9,Paramètres!$A$1:$I$89,5,0)</f>
        <v>30.744999999999997</v>
      </c>
      <c r="P15" s="13">
        <f t="shared" si="33"/>
        <v>9.5093232533499226</v>
      </c>
      <c r="Q15" s="20">
        <f t="shared" si="2"/>
        <v>70.109612999584456</v>
      </c>
      <c r="R15" s="59">
        <f t="shared" si="0"/>
        <v>363.44294633291776</v>
      </c>
      <c r="S15" s="59">
        <f ca="1">AVERAGE(OFFSET($R$3,0,0,'Données projet'!$E$9+1,1))-AVERAGE(OFFSET($H$3,0,0,'Données projet'!$E$9+1,1))</f>
        <v>370.69652285220093</v>
      </c>
      <c r="T15" s="59">
        <f t="shared" si="34"/>
        <v>376.53494965377718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5.05</v>
      </c>
      <c r="AI15" s="13">
        <f>IF('Données projet'!$A$62&gt;35,AI14+AH15-AQ14,IF(A15&lt;'Données projet'!$A$62,$AF$205^A15,IF(A15='Données projet'!$A$62,'Données projet'!$B$62,AI14+AH15-AQ14)))</f>
        <v>15.943836211226593</v>
      </c>
      <c r="AJ15" s="13">
        <f>AI15*VLOOKUP('Données projet'!$B$10,Paramètres!$A$1:$I$89,3,0)*VLOOKUP('Données projet'!$B$10,Paramètres!$A$1:$I$89,5,0)</f>
        <v>14.425983003917821</v>
      </c>
      <c r="AK15" s="13">
        <f t="shared" si="35"/>
        <v>4.8727368104985969</v>
      </c>
      <c r="AL15" s="20">
        <f t="shared" si="4"/>
        <v>33.611937010108598</v>
      </c>
      <c r="AM15" s="59">
        <f t="shared" si="5"/>
        <v>326.9452703434419</v>
      </c>
      <c r="AN15" s="59">
        <f ca="1">AVERAGE(OFFSET($AM$3,0,0,'Données projet'!$E$10+1,1))-AVERAGE(OFFSET($H$3,0,0,'Données projet'!$E$10+1,1))</f>
        <v>321.03881567735544</v>
      </c>
      <c r="AO15" s="59">
        <f t="shared" si="36"/>
        <v>234.87694492493506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16.7</v>
      </c>
      <c r="BD15" s="12">
        <f>IF('Données projet'!$A$88&gt;35,BD14+BC15-BL14,IF(A15&lt;'Données projet'!$A$88,$BA$205^A15,IF(A15='Données projet'!$A$88,'Données projet'!$B$88,BD14+BC15-BL14)))</f>
        <v>76.400000000000006</v>
      </c>
      <c r="BE15" s="13">
        <f>BD15*VLOOKUP('Données projet'!$B$11,Paramètres!$A$1:$I$89,3,0)*VLOOKUP('Données projet'!$B$11,Paramètres!$A$1:$I$89,5,0)</f>
        <v>41.714400000000005</v>
      </c>
      <c r="BF15" s="13">
        <f t="shared" si="37"/>
        <v>12.451933011137459</v>
      </c>
      <c r="BG15" s="20">
        <f t="shared" si="7"/>
        <v>94.339696661064423</v>
      </c>
      <c r="BH15" s="59">
        <f t="shared" si="8"/>
        <v>387.67302999439772</v>
      </c>
      <c r="BI15" s="59">
        <f ca="1">AVERAGE(OFFSET($BH$3,0,0,'Données projet'!$E$11+1,1))-AVERAGE(OFFSET($H$3,0,0,'Données projet'!$E$11+1,1))</f>
        <v>248.1486444660062</v>
      </c>
      <c r="BJ15" s="59">
        <f t="shared" si="38"/>
        <v>293.34458072322127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1.6380851869633206</v>
      </c>
      <c r="BR15" s="21">
        <f>EXP(-LN(2)/2)*BR14+(1-EXP(-LN(2)/2))/(LN(2)/2)*BL15*BO15*VLOOKUP('Données projet'!$B$11,Paramètres!$A$1:$I$89,3,0)*0.475*44/12</f>
        <v>1.2363976688989009</v>
      </c>
      <c r="BS15" s="22">
        <f t="shared" si="9"/>
        <v>2.8744828558622215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35.613561093793592</v>
      </c>
      <c r="BZ15" s="13">
        <f>BY15*VLOOKUP('Données projet'!$B$12,Paramètres!$A$1:$I$89,3,0)*VLOOKUP('Données projet'!$B$12,Paramètres!$A$1:$I$89,5,0)</f>
        <v>31.112006971538086</v>
      </c>
      <c r="CA15" s="13">
        <f t="shared" si="39"/>
        <v>9.6095548481396289</v>
      </c>
      <c r="CB15" s="20">
        <f t="shared" si="10"/>
        <v>70.9233868359387</v>
      </c>
      <c r="CC15" s="59">
        <f t="shared" si="11"/>
        <v>364.256720169272</v>
      </c>
      <c r="CD15" s="59">
        <f ca="1">AVERAGE(OFFSET($CC$3,0,0,'Données projet'!$E$12+1,1))-AVERAGE(OFFSET($H$3,0,0,'Données projet'!$E$12+1,1))</f>
        <v>243.38048563215585</v>
      </c>
      <c r="CE15" s="59">
        <f t="shared" si="40"/>
        <v>372.1604147006675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4.8</v>
      </c>
      <c r="CT15" s="12">
        <f>IF('Données projet'!$A$140&gt;35,CT14+CS15-DB14,IF(A15&lt;'Données projet'!$A$140,$CQ$205^A15,IF(A15='Données projet'!$A$140,'Données projet'!$B$140,CT14+CS15-DB14)))</f>
        <v>15.465456359454105</v>
      </c>
      <c r="CU15" s="17">
        <f>CT15*VLOOKUP('Données projet'!$B$13,Paramètres!$A$1:$I$89,3,0)*VLOOKUP('Données projet'!$B$13,Paramètres!$A$1:$I$89,5,0)</f>
        <v>7.4388845088974245</v>
      </c>
      <c r="CV15" s="13">
        <f t="shared" si="41"/>
        <v>2.7140407948008654</v>
      </c>
      <c r="CW15" s="20">
        <f t="shared" si="13"/>
        <v>17.683011570607853</v>
      </c>
      <c r="CX15" s="59">
        <f t="shared" si="14"/>
        <v>311.01634490394116</v>
      </c>
      <c r="CY15" s="59">
        <f ca="1">AVERAGE(OFFSET($CX$3,0,0,'Données projet'!$E$13+1,1))-AVERAGE(OFFSET($H$3,0,0,'Données projet'!$E$13+1,1))</f>
        <v>297.21955661193238</v>
      </c>
      <c r="CZ15" s="59">
        <f t="shared" si="42"/>
        <v>273.69206144662144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28.323360000000005</v>
      </c>
      <c r="DQ15" s="13">
        <f t="shared" si="43"/>
        <v>8.8443757631773217</v>
      </c>
      <c r="DR15" s="20">
        <f t="shared" si="16"/>
        <v>64.733806454200504</v>
      </c>
      <c r="DS15" s="59">
        <f t="shared" si="17"/>
        <v>358.06713978753385</v>
      </c>
      <c r="DT15" s="59">
        <f ca="1">AVERAGE(OFFSET($DS$3,0,0,'Données projet'!$E$14+1,1))-AVERAGE(OFFSET($H$3,0,0,'Données projet'!$E$14+1,1))</f>
        <v>260.20517190557814</v>
      </c>
      <c r="DU15" s="59">
        <f t="shared" si="44"/>
        <v>307.22009971147133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6.1</v>
      </c>
      <c r="EJ15" s="12">
        <f>IF('Données projet'!$A$192&gt;35,EJ14+EI15-ER14,IF(A15&lt;'Données projet'!$A$192,$EG$205^A15,IF(A15='Données projet'!$A$192,'Données projet'!$B$192,EJ14+EI15-ER14)))</f>
        <v>17.857304261318127</v>
      </c>
      <c r="EK15" s="17">
        <f>EJ15*VLOOKUP('Données projet'!$B$15,Paramètres!$A$1:$I$89,3,0)*VLOOKUP('Données projet'!$B$15,Paramètres!$A$1:$I$89,5,0)</f>
        <v>10.678667948268242</v>
      </c>
      <c r="EL15" s="13">
        <f t="shared" si="45"/>
        <v>3.7355087572334162</v>
      </c>
      <c r="EM15" s="20">
        <f t="shared" si="19"/>
        <v>25.10469109541539</v>
      </c>
      <c r="EN15" s="59">
        <f t="shared" si="20"/>
        <v>318.43802442874869</v>
      </c>
      <c r="EO15" s="59">
        <f ca="1">AVERAGE(OFFSET($EN$3,0,0,'Données projet'!$E$15+1,1))-AVERAGE(OFFSET($H$3,0,0,'Données projet'!$E$15+1,1))</f>
        <v>259.30247982593914</v>
      </c>
      <c r="EP15" s="59">
        <f t="shared" si="46"/>
        <v>275.24740346220779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5.05</v>
      </c>
      <c r="FE15" s="12">
        <f>IF('Données projet'!$A$218&gt;35,FE14+FD15-FM14,IF(A15&lt;'Données projet'!$A$218,$FB$205^A15,IF(A15='Données projet'!$A$218,'Données projet'!$B$218,FE14+FD15-FM14)))</f>
        <v>15.943836211226593</v>
      </c>
      <c r="FF15" s="17">
        <f>FE15*VLOOKUP('Données projet'!$B$16,Paramètres!$A$1:$I$89,3,0)*VLOOKUP('Données projet'!$B$16,Paramètres!$A$1:$I$89,5,0)</f>
        <v>16.167049918183768</v>
      </c>
      <c r="FG15" s="13">
        <f t="shared" si="47"/>
        <v>5.3888763845723124</v>
      </c>
      <c r="FH15" s="20">
        <f t="shared" si="22"/>
        <v>37.543238310633505</v>
      </c>
      <c r="FI15" s="59">
        <f t="shared" si="23"/>
        <v>330.87657164396683</v>
      </c>
      <c r="FJ15" s="59">
        <f ca="1">AVERAGE(OFFSET($FI$3,0,0,'Données projet'!$E$16+1,1))-AVERAGE(OFFSET($H$3,0,0,'Données projet'!$E$16+1,1))</f>
        <v>372.91317851957336</v>
      </c>
      <c r="FK15" s="59">
        <f t="shared" si="48"/>
        <v>269.69187715858413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7.9</v>
      </c>
      <c r="FZ15" s="12">
        <f>IF('Données projet'!$A$244&gt;35,FZ14+FY15-GH14,IF(A15&lt;'Données projet'!$A$244,$FW$205^A15,IF(A15='Données projet'!$A$244,'Données projet'!$B$244,FZ14+FY15-GH14)))</f>
        <v>20.854234472198982</v>
      </c>
      <c r="GA15" s="17">
        <f>FZ15*VLOOKUP('Données projet'!$B$17,Paramètres!$A$1:$I$89,3,0)*VLOOKUP('Données projet'!$B$17,Paramètres!$A$1:$I$89,5,0)</f>
        <v>9.7597817329891239</v>
      </c>
      <c r="GB15" s="13">
        <f t="shared" si="49"/>
        <v>3.4500178483814818</v>
      </c>
      <c r="GC15" s="20">
        <f t="shared" si="25"/>
        <v>23.00706760422047</v>
      </c>
      <c r="GD15" s="59">
        <f t="shared" si="26"/>
        <v>316.3404009375538</v>
      </c>
      <c r="GE15" s="59">
        <f ca="1">AVERAGE(OFFSET($GD$3,0,0,'Données projet'!$E$17+1,1))-AVERAGE(OFFSET($H$3,0,0,'Données projet'!$E$17+1,1))</f>
        <v>215.23235148064941</v>
      </c>
      <c r="GF15" s="59">
        <f t="shared" si="50"/>
        <v>184.07239726900434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>
        <f>VLOOKUP(A15,'Données projet'!$A$269:$I$289,2,0)</f>
        <v>46</v>
      </c>
      <c r="GS15" s="12">
        <f>VLOOKUP(A15,'Données projet'!$A$269:$I$289,9,0)</f>
        <v>3.8333333333333335</v>
      </c>
      <c r="GT15" s="12">
        <f t="array" ref="GT15">INDEX(GS:GS,MIN(IF(ISNUMBER(GS15:GS211),ROW(GS15:GS211),"")))</f>
        <v>3.8333333333333335</v>
      </c>
      <c r="GU15" s="12">
        <f>IF('Données projet'!$A$270&gt;35,GU14+GT15-HC14,IF(A15&lt;'Données projet'!$A$270,$GR$205^A15,IF(A15='Données projet'!$A$270,'Données projet'!$B$270,GU14+GT15-HC14)))</f>
        <v>46</v>
      </c>
      <c r="GV15" s="17">
        <f>GU15*VLOOKUP('Données projet'!$B$18,Paramètres!$A$1:$I$89,3,0)*VLOOKUP('Données projet'!$B$18,Paramètres!$A$1:$I$89,5,0)</f>
        <v>27.508000000000003</v>
      </c>
      <c r="GW15" s="13">
        <f t="shared" si="51"/>
        <v>8.619023227845549</v>
      </c>
      <c r="GX15" s="20">
        <f t="shared" si="28"/>
        <v>62.921232121831004</v>
      </c>
      <c r="GY15" s="59">
        <f t="shared" si="29"/>
        <v>356.25456545516431</v>
      </c>
      <c r="GZ15" s="59">
        <f ca="1">AVERAGE(OFFSET($GY$3,0,0,'Données projet'!$E$18+1,1))-AVERAGE(OFFSET($H$3,0,0,'Données projet'!$E$18+1,1))</f>
        <v>227.89848316900191</v>
      </c>
      <c r="HA15" s="59">
        <f t="shared" si="52"/>
        <v>239.85955661394541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17.5</v>
      </c>
      <c r="N16" s="13">
        <f>IF('Données projet'!$A$36&gt;35,N15+M16-V15,IF(A16&lt;'Données projet'!$A$36,$K$205^A16,IF(A16='Données projet'!$A$36,'Données projet'!$B$36,N15+M16-V15)))</f>
        <v>72.5</v>
      </c>
      <c r="O16" s="13">
        <f>N16*VLOOKUP('Données projet'!$B$9,Paramètres!$A$1:$I$89,3,0)*VLOOKUP('Données projet'!$B$9,Paramètres!$A$1:$I$89,5,0)</f>
        <v>40.527500000000003</v>
      </c>
      <c r="P16" s="13">
        <f t="shared" si="33"/>
        <v>12.13835405384425</v>
      </c>
      <c r="Q16" s="20">
        <f t="shared" si="2"/>
        <v>91.726362477112062</v>
      </c>
      <c r="R16" s="59">
        <f t="shared" si="0"/>
        <v>385.05969581044536</v>
      </c>
      <c r="S16" s="59">
        <f ca="1">AVERAGE(OFFSET($R$3,0,0,'Données projet'!$E$9+1,1))-AVERAGE(OFFSET($H$3,0,0,'Données projet'!$E$9+1,1))</f>
        <v>370.69652285220093</v>
      </c>
      <c r="T16" s="59">
        <f t="shared" si="34"/>
        <v>376.53494965377718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5.05</v>
      </c>
      <c r="AI16" s="13">
        <f>IF('Données projet'!$A$62&gt;35,AI15+AH16-AQ15,IF(A16&lt;'Données projet'!$A$62,$AF$205^A16,IF(A16='Données projet'!$A$62,'Données projet'!$B$62,AI15+AH16-AQ15)))</f>
        <v>20.08208925443796</v>
      </c>
      <c r="AJ16" s="13">
        <f>AI16*VLOOKUP('Données projet'!$B$10,Paramètres!$A$1:$I$89,3,0)*VLOOKUP('Données projet'!$B$10,Paramètres!$A$1:$I$89,5,0)</f>
        <v>18.170274357415465</v>
      </c>
      <c r="AK16" s="13">
        <f t="shared" si="35"/>
        <v>5.9748068867673298</v>
      </c>
      <c r="AL16" s="20">
        <f t="shared" si="4"/>
        <v>42.052683166951695</v>
      </c>
      <c r="AM16" s="59">
        <f t="shared" si="5"/>
        <v>335.386016500285</v>
      </c>
      <c r="AN16" s="59">
        <f ca="1">AVERAGE(OFFSET($AM$3,0,0,'Données projet'!$E$10+1,1))-AVERAGE(OFFSET($H$3,0,0,'Données projet'!$E$10+1,1))</f>
        <v>321.03881567735544</v>
      </c>
      <c r="AO16" s="59">
        <f t="shared" si="36"/>
        <v>234.87694492493506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16.7</v>
      </c>
      <c r="BD16" s="12">
        <f>IF('Données projet'!$A$88&gt;35,BD15+BC16-BL15,IF(A16&lt;'Données projet'!$A$88,$BA$205^A16,IF(A16='Données projet'!$A$88,'Données projet'!$B$88,BD15+BC16-BL15)))</f>
        <v>93.100000000000009</v>
      </c>
      <c r="BE16" s="13">
        <f>BD16*VLOOKUP('Données projet'!$B$11,Paramètres!$A$1:$I$89,3,0)*VLOOKUP('Données projet'!$B$11,Paramètres!$A$1:$I$89,5,0)</f>
        <v>50.832600000000006</v>
      </c>
      <c r="BF16" s="13">
        <f t="shared" si="37"/>
        <v>14.828575135945847</v>
      </c>
      <c r="BG16" s="20">
        <f t="shared" si="7"/>
        <v>114.35988002843902</v>
      </c>
      <c r="BH16" s="59">
        <f t="shared" si="8"/>
        <v>407.69321336177234</v>
      </c>
      <c r="BI16" s="59">
        <f ca="1">AVERAGE(OFFSET($BH$3,0,0,'Données projet'!$E$11+1,1))-AVERAGE(OFFSET($H$3,0,0,'Données projet'!$E$11+1,1))</f>
        <v>248.1486444660062</v>
      </c>
      <c r="BJ16" s="59">
        <f t="shared" si="38"/>
        <v>293.34458072322127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1.5932916613826524</v>
      </c>
      <c r="BR16" s="21">
        <f>EXP(-LN(2)/2)*BR15+(1-EXP(-LN(2)/2))/(LN(2)/2)*BL16*BO16*VLOOKUP('Données projet'!$B$11,Paramètres!$A$1:$I$89,3,0)*0.475*44/12</f>
        <v>0.87426517592165265</v>
      </c>
      <c r="BS16" s="22">
        <f t="shared" si="9"/>
        <v>2.4675568373043051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47.964142612378375</v>
      </c>
      <c r="BZ16" s="13">
        <f>BY16*VLOOKUP('Données projet'!$B$12,Paramètres!$A$1:$I$89,3,0)*VLOOKUP('Données projet'!$B$12,Paramètres!$A$1:$I$89,5,0)</f>
        <v>41.901474986173753</v>
      </c>
      <c r="CA16" s="13">
        <f t="shared" si="39"/>
        <v>12.501262773491545</v>
      </c>
      <c r="CB16" s="20">
        <f t="shared" si="10"/>
        <v>94.751434931417066</v>
      </c>
      <c r="CC16" s="59">
        <f t="shared" si="11"/>
        <v>388.08476826475038</v>
      </c>
      <c r="CD16" s="59">
        <f ca="1">AVERAGE(OFFSET($CC$3,0,0,'Données projet'!$E$12+1,1))-AVERAGE(OFFSET($H$3,0,0,'Données projet'!$E$12+1,1))</f>
        <v>243.38048563215585</v>
      </c>
      <c r="CE16" s="59">
        <f t="shared" si="40"/>
        <v>372.1604147006675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4.8</v>
      </c>
      <c r="CT16" s="12">
        <f>IF('Données projet'!$A$140&gt;35,CT15+CS16-DB15,IF(A16&lt;'Données projet'!$A$140,$CQ$205^A16,IF(A16='Données projet'!$A$140,'Données projet'!$B$140,CT15+CS16-DB15)))</f>
        <v>19.430156627119288</v>
      </c>
      <c r="CU16" s="17">
        <f>CT16*VLOOKUP('Données projet'!$B$13,Paramètres!$A$1:$I$89,3,0)*VLOOKUP('Données projet'!$B$13,Paramètres!$A$1:$I$89,5,0)</f>
        <v>9.3459053376443784</v>
      </c>
      <c r="CV16" s="13">
        <f t="shared" si="41"/>
        <v>3.3204207128716408</v>
      </c>
      <c r="CW16" s="20">
        <f t="shared" si="13"/>
        <v>22.060517871315398</v>
      </c>
      <c r="CX16" s="59">
        <f t="shared" si="14"/>
        <v>315.39385120464874</v>
      </c>
      <c r="CY16" s="59">
        <f ca="1">AVERAGE(OFFSET($CX$3,0,0,'Données projet'!$E$13+1,1))-AVERAGE(OFFSET($H$3,0,0,'Données projet'!$E$13+1,1))</f>
        <v>297.21955661193238</v>
      </c>
      <c r="CZ16" s="59">
        <f t="shared" si="42"/>
        <v>273.69206144662144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38.109240000000007</v>
      </c>
      <c r="DQ16" s="13">
        <f t="shared" si="43"/>
        <v>11.496097202870512</v>
      </c>
      <c r="DR16" s="20">
        <f t="shared" si="16"/>
        <v>86.395962294999478</v>
      </c>
      <c r="DS16" s="59">
        <f t="shared" si="17"/>
        <v>379.72929562833281</v>
      </c>
      <c r="DT16" s="59">
        <f ca="1">AVERAGE(OFFSET($DS$3,0,0,'Données projet'!$E$14+1,1))-AVERAGE(OFFSET($H$3,0,0,'Données projet'!$E$14+1,1))</f>
        <v>260.20517190557814</v>
      </c>
      <c r="DU16" s="59">
        <f t="shared" si="44"/>
        <v>307.22009971147133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6.1</v>
      </c>
      <c r="EJ16" s="12">
        <f>IF('Données projet'!$A$192&gt;35,EJ15+EI16-ER15,IF(A16&lt;'Données projet'!$A$192,$EG$205^A16,IF(A16='Données projet'!$A$192,'Données projet'!$B$192,EJ15+EI16-ER15)))</f>
        <v>22.705647431559356</v>
      </c>
      <c r="EK16" s="17">
        <f>EJ16*VLOOKUP('Données projet'!$B$15,Paramètres!$A$1:$I$89,3,0)*VLOOKUP('Données projet'!$B$15,Paramètres!$A$1:$I$89,5,0)</f>
        <v>13.577977164072495</v>
      </c>
      <c r="EL16" s="13">
        <f t="shared" si="45"/>
        <v>4.6187572366626446</v>
      </c>
      <c r="EM16" s="20">
        <f t="shared" si="19"/>
        <v>31.692645747947029</v>
      </c>
      <c r="EN16" s="59">
        <f t="shared" si="20"/>
        <v>325.02597908128035</v>
      </c>
      <c r="EO16" s="59">
        <f ca="1">AVERAGE(OFFSET($EN$3,0,0,'Données projet'!$E$15+1,1))-AVERAGE(OFFSET($H$3,0,0,'Données projet'!$E$15+1,1))</f>
        <v>259.30247982593914</v>
      </c>
      <c r="EP16" s="59">
        <f t="shared" si="46"/>
        <v>275.24740346220779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5.05</v>
      </c>
      <c r="FE16" s="12">
        <f>IF('Données projet'!$A$218&gt;35,FE15+FD16-FM15,IF(A16&lt;'Données projet'!$A$218,$FB$205^A16,IF(A16='Données projet'!$A$218,'Données projet'!$B$218,FE15+FD16-FM15)))</f>
        <v>20.08208925443796</v>
      </c>
      <c r="FF16" s="17">
        <f>FE16*VLOOKUP('Données projet'!$B$16,Paramètres!$A$1:$I$89,3,0)*VLOOKUP('Données projet'!$B$16,Paramètres!$A$1:$I$89,5,0)</f>
        <v>20.363238504000094</v>
      </c>
      <c r="FG16" s="13">
        <f t="shared" si="47"/>
        <v>6.6076820864014403</v>
      </c>
      <c r="FH16" s="20">
        <f t="shared" si="22"/>
        <v>46.974353361616004</v>
      </c>
      <c r="FI16" s="59">
        <f t="shared" si="23"/>
        <v>340.30768669494933</v>
      </c>
      <c r="FJ16" s="59">
        <f ca="1">AVERAGE(OFFSET($FI$3,0,0,'Données projet'!$E$16+1,1))-AVERAGE(OFFSET($H$3,0,0,'Données projet'!$E$16+1,1))</f>
        <v>372.91317851957336</v>
      </c>
      <c r="FK16" s="59">
        <f t="shared" si="48"/>
        <v>269.69187715858413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7.9</v>
      </c>
      <c r="FZ16" s="12">
        <f>IF('Données projet'!$A$244&gt;35,FZ15+FY16-GH15,IF(A16&lt;'Données projet'!$A$244,$FW$205^A16,IF(A16='Données projet'!$A$244,'Données projet'!$B$244,FZ15+FY16-GH15)))</f>
        <v>26.861304900499697</v>
      </c>
      <c r="GA16" s="17">
        <f>FZ16*VLOOKUP('Données projet'!$B$17,Paramètres!$A$1:$I$89,3,0)*VLOOKUP('Données projet'!$B$17,Paramètres!$A$1:$I$89,5,0)</f>
        <v>12.571090693433858</v>
      </c>
      <c r="GB16" s="13">
        <f t="shared" si="49"/>
        <v>4.3147735914069099</v>
      </c>
      <c r="GC16" s="20">
        <f t="shared" si="25"/>
        <v>29.409546962764335</v>
      </c>
      <c r="GD16" s="59">
        <f t="shared" si="26"/>
        <v>322.74288029609767</v>
      </c>
      <c r="GE16" s="59">
        <f ca="1">AVERAGE(OFFSET($GD$3,0,0,'Données projet'!$E$17+1,1))-AVERAGE(OFFSET($H$3,0,0,'Données projet'!$E$17+1,1))</f>
        <v>215.23235148064941</v>
      </c>
      <c r="GF16" s="59">
        <f t="shared" si="50"/>
        <v>184.07239726900434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15.25</v>
      </c>
      <c r="GU16" s="12">
        <f>IF('Données projet'!$A$270&gt;35,GU15+GT16-HC15,IF(A16&lt;'Données projet'!$A$270,$GR$205^A16,IF(A16='Données projet'!$A$270,'Données projet'!$B$270,GU15+GT16-HC15)))</f>
        <v>61.25</v>
      </c>
      <c r="GV16" s="17">
        <f>GU16*VLOOKUP('Données projet'!$B$18,Paramètres!$A$1:$I$89,3,0)*VLOOKUP('Données projet'!$B$18,Paramètres!$A$1:$I$89,5,0)</f>
        <v>36.627500000000005</v>
      </c>
      <c r="GW16" s="13">
        <f t="shared" si="51"/>
        <v>11.100235041832279</v>
      </c>
      <c r="GX16" s="20">
        <f t="shared" si="28"/>
        <v>83.125805197857886</v>
      </c>
      <c r="GY16" s="59">
        <f t="shared" si="29"/>
        <v>376.45913853119123</v>
      </c>
      <c r="GZ16" s="59">
        <f ca="1">AVERAGE(OFFSET($GY$3,0,0,'Données projet'!$E$18+1,1))-AVERAGE(OFFSET($H$3,0,0,'Données projet'!$E$18+1,1))</f>
        <v>227.89848316900191</v>
      </c>
      <c r="HA16" s="59">
        <f t="shared" si="52"/>
        <v>239.85955661394541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17.5</v>
      </c>
      <c r="N17" s="13">
        <f>IF('Données projet'!$A$36&gt;35,N16+M17-V16,IF(A17&lt;'Données projet'!$A$36,$K$205^A17,IF(A17='Données projet'!$A$36,'Données projet'!$B$36,N16+M17-V16)))</f>
        <v>90</v>
      </c>
      <c r="O17" s="13">
        <f>N17*VLOOKUP('Données projet'!$B$9,Paramètres!$A$1:$I$89,3,0)*VLOOKUP('Données projet'!$B$9,Paramètres!$A$1:$I$89,5,0)</f>
        <v>50.31</v>
      </c>
      <c r="P17" s="13">
        <f t="shared" si="33"/>
        <v>14.693789693291551</v>
      </c>
      <c r="Q17" s="20">
        <f t="shared" si="2"/>
        <v>113.21493371581612</v>
      </c>
      <c r="R17" s="59">
        <f t="shared" si="0"/>
        <v>406.54826704914944</v>
      </c>
      <c r="S17" s="59">
        <f ca="1">AVERAGE(OFFSET($R$3,0,0,'Données projet'!$E$9+1,1))-AVERAGE(OFFSET($H$3,0,0,'Données projet'!$E$9+1,1))</f>
        <v>370.69652285220093</v>
      </c>
      <c r="T17" s="59">
        <f t="shared" si="34"/>
        <v>376.53494965377718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5.05</v>
      </c>
      <c r="AI17" s="13">
        <f>IF('Données projet'!$A$62&gt;35,AI16+AH17-AQ16,IF(A17&lt;'Données projet'!$A$62,$AF$205^A17,IF(A17='Données projet'!$A$62,'Données projet'!$B$62,AI16+AH17-AQ16)))</f>
        <v>25.294433753605816</v>
      </c>
      <c r="AJ17" s="13">
        <f>AI17*VLOOKUP('Données projet'!$B$10,Paramètres!$A$1:$I$89,3,0)*VLOOKUP('Données projet'!$B$10,Paramètres!$A$1:$I$89,5,0)</f>
        <v>22.886403660262541</v>
      </c>
      <c r="AK17" s="13">
        <f t="shared" si="35"/>
        <v>7.3261328740859097</v>
      </c>
      <c r="AL17" s="20">
        <f t="shared" si="4"/>
        <v>52.620167797323553</v>
      </c>
      <c r="AM17" s="59">
        <f t="shared" si="5"/>
        <v>345.95350113065689</v>
      </c>
      <c r="AN17" s="59">
        <f ca="1">AVERAGE(OFFSET($AM$3,0,0,'Données projet'!$E$10+1,1))-AVERAGE(OFFSET($H$3,0,0,'Données projet'!$E$10+1,1))</f>
        <v>321.03881567735544</v>
      </c>
      <c r="AO17" s="59">
        <f t="shared" si="36"/>
        <v>234.87694492493506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16.7</v>
      </c>
      <c r="BD17" s="12">
        <f>IF('Données projet'!$A$88&gt;35,BD16+BC17-BL16,IF(A17&lt;'Données projet'!$A$88,$BA$205^A17,IF(A17='Données projet'!$A$88,'Données projet'!$B$88,BD16+BC17-BL16)))</f>
        <v>109.80000000000001</v>
      </c>
      <c r="BE17" s="13">
        <f>BD17*VLOOKUP('Données projet'!$B$11,Paramètres!$A$1:$I$89,3,0)*VLOOKUP('Données projet'!$B$11,Paramètres!$A$1:$I$89,5,0)</f>
        <v>59.950800000000001</v>
      </c>
      <c r="BF17" s="13">
        <f t="shared" si="37"/>
        <v>17.155829115013216</v>
      </c>
      <c r="BG17" s="20">
        <f t="shared" si="7"/>
        <v>134.29404570864804</v>
      </c>
      <c r="BH17" s="59">
        <f t="shared" si="8"/>
        <v>427.62737904198138</v>
      </c>
      <c r="BI17" s="59">
        <f ca="1">AVERAGE(OFFSET($BH$3,0,0,'Données projet'!$E$11+1,1))-AVERAGE(OFFSET($H$3,0,0,'Données projet'!$E$11+1,1))</f>
        <v>248.1486444660062</v>
      </c>
      <c r="BJ17" s="59">
        <f t="shared" si="38"/>
        <v>293.34458072322127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1.5497230171145768</v>
      </c>
      <c r="BR17" s="21">
        <f>EXP(-LN(2)/2)*BR16+(1-EXP(-LN(2)/2))/(LN(2)/2)*BL17*BO17*VLOOKUP('Données projet'!$B$11,Paramètres!$A$1:$I$89,3,0)*0.475*44/12</f>
        <v>0.61819883444945056</v>
      </c>
      <c r="BS17" s="22">
        <f t="shared" si="9"/>
        <v>2.1679218515640275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64.597835933388069</v>
      </c>
      <c r="BZ17" s="13">
        <f>BY17*VLOOKUP('Données projet'!$B$12,Paramètres!$A$1:$I$89,3,0)*VLOOKUP('Données projet'!$B$12,Paramètres!$A$1:$I$89,5,0)</f>
        <v>56.432669471407827</v>
      </c>
      <c r="CA17" s="13">
        <f t="shared" si="39"/>
        <v>16.263143652501352</v>
      </c>
      <c r="CB17" s="20">
        <f t="shared" si="10"/>
        <v>126.61187452414181</v>
      </c>
      <c r="CC17" s="59">
        <f t="shared" si="11"/>
        <v>419.94520785747511</v>
      </c>
      <c r="CD17" s="59">
        <f ca="1">AVERAGE(OFFSET($CC$3,0,0,'Données projet'!$E$12+1,1))-AVERAGE(OFFSET($H$3,0,0,'Données projet'!$E$12+1,1))</f>
        <v>243.38048563215585</v>
      </c>
      <c r="CE17" s="59">
        <f t="shared" si="40"/>
        <v>372.1604147006675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4.8</v>
      </c>
      <c r="CT17" s="12">
        <f>IF('Données projet'!$A$140&gt;35,CT16+CS17-DB16,IF(A17&lt;'Données projet'!$A$140,$CQ$205^A17,IF(A17='Données projet'!$A$140,'Données projet'!$B$140,CT16+CS17-DB16)))</f>
        <v>24.411241270846887</v>
      </c>
      <c r="CU17" s="17">
        <f>CT17*VLOOKUP('Données projet'!$B$13,Paramètres!$A$1:$I$89,3,0)*VLOOKUP('Données projet'!$B$13,Paramètres!$A$1:$I$89,5,0)</f>
        <v>11.741807051277354</v>
      </c>
      <c r="CV17" s="13">
        <f t="shared" si="41"/>
        <v>4.0622800259993692</v>
      </c>
      <c r="CW17" s="20">
        <f t="shared" si="13"/>
        <v>27.525451659590289</v>
      </c>
      <c r="CX17" s="59">
        <f t="shared" si="14"/>
        <v>320.85878499292357</v>
      </c>
      <c r="CY17" s="59">
        <f ca="1">AVERAGE(OFFSET($CX$3,0,0,'Données projet'!$E$13+1,1))-AVERAGE(OFFSET($H$3,0,0,'Données projet'!$E$13+1,1))</f>
        <v>297.21955661193238</v>
      </c>
      <c r="CZ17" s="59">
        <f t="shared" si="42"/>
        <v>273.69206144662144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47.895120000000006</v>
      </c>
      <c r="DQ17" s="13">
        <f t="shared" si="43"/>
        <v>14.068812032564205</v>
      </c>
      <c r="DR17" s="20">
        <f t="shared" si="16"/>
        <v>107.92051495671599</v>
      </c>
      <c r="DS17" s="59">
        <f t="shared" si="17"/>
        <v>401.25384829004929</v>
      </c>
      <c r="DT17" s="59">
        <f ca="1">AVERAGE(OFFSET($DS$3,0,0,'Données projet'!$E$14+1,1))-AVERAGE(OFFSET($H$3,0,0,'Données projet'!$E$14+1,1))</f>
        <v>260.20517190557814</v>
      </c>
      <c r="DU17" s="59">
        <f t="shared" si="44"/>
        <v>307.22009971147133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6.1</v>
      </c>
      <c r="EJ17" s="12">
        <f>IF('Données projet'!$A$192&gt;35,EJ16+EI17-ER16,IF(A17&lt;'Données projet'!$A$192,$EG$205^A17,IF(A17='Données projet'!$A$192,'Données projet'!$B$192,EJ16+EI17-ER16)))</f>
        <v>28.870338867610421</v>
      </c>
      <c r="EK17" s="17">
        <f>EJ17*VLOOKUP('Données projet'!$B$15,Paramètres!$A$1:$I$89,3,0)*VLOOKUP('Données projet'!$B$15,Paramètres!$A$1:$I$89,5,0)</f>
        <v>17.264462642831035</v>
      </c>
      <c r="EL17" s="13">
        <f t="shared" si="45"/>
        <v>5.7108468478127987</v>
      </c>
      <c r="EM17" s="20">
        <f t="shared" si="19"/>
        <v>40.015330696204671</v>
      </c>
      <c r="EN17" s="59">
        <f t="shared" si="20"/>
        <v>333.34866402953799</v>
      </c>
      <c r="EO17" s="59">
        <f ca="1">AVERAGE(OFFSET($EN$3,0,0,'Données projet'!$E$15+1,1))-AVERAGE(OFFSET($H$3,0,0,'Données projet'!$E$15+1,1))</f>
        <v>259.30247982593914</v>
      </c>
      <c r="EP17" s="59">
        <f t="shared" si="46"/>
        <v>275.24740346220779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5.05</v>
      </c>
      <c r="FE17" s="12">
        <f>IF('Données projet'!$A$218&gt;35,FE16+FD17-FM16,IF(A17&lt;'Données projet'!$A$218,$FB$205^A17,IF(A17='Données projet'!$A$218,'Données projet'!$B$218,FE16+FD17-FM16)))</f>
        <v>25.294433753605816</v>
      </c>
      <c r="FF17" s="17">
        <f>FE17*VLOOKUP('Données projet'!$B$16,Paramètres!$A$1:$I$89,3,0)*VLOOKUP('Données projet'!$B$16,Paramètres!$A$1:$I$89,5,0)</f>
        <v>25.648555826156297</v>
      </c>
      <c r="FG17" s="13">
        <f t="shared" si="47"/>
        <v>8.102145872179932</v>
      </c>
      <c r="FH17" s="20">
        <f t="shared" si="22"/>
        <v>58.782472124602265</v>
      </c>
      <c r="FI17" s="59">
        <f t="shared" si="23"/>
        <v>352.11580545793561</v>
      </c>
      <c r="FJ17" s="59">
        <f ca="1">AVERAGE(OFFSET($FI$3,0,0,'Données projet'!$E$16+1,1))-AVERAGE(OFFSET($H$3,0,0,'Données projet'!$E$16+1,1))</f>
        <v>372.91317851957336</v>
      </c>
      <c r="FK17" s="59">
        <f t="shared" si="48"/>
        <v>269.69187715858413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7.9</v>
      </c>
      <c r="FZ17" s="12">
        <f>IF('Données projet'!$A$244&gt;35,FZ16+FY17-GH16,IF(A17&lt;'Données projet'!$A$244,$FW$205^A17,IF(A17='Données projet'!$A$244,'Données projet'!$B$244,FZ16+FY17-GH16)))</f>
        <v>34.598714324397214</v>
      </c>
      <c r="GA17" s="17">
        <f>FZ17*VLOOKUP('Données projet'!$B$17,Paramètres!$A$1:$I$89,3,0)*VLOOKUP('Données projet'!$B$17,Paramètres!$A$1:$I$89,5,0)</f>
        <v>16.192198303817896</v>
      </c>
      <c r="GB17" s="13">
        <f t="shared" si="49"/>
        <v>5.3962825594761723</v>
      </c>
      <c r="GC17" s="20">
        <f t="shared" si="25"/>
        <v>37.599937503570509</v>
      </c>
      <c r="GD17" s="59">
        <f t="shared" si="26"/>
        <v>330.93327083690383</v>
      </c>
      <c r="GE17" s="59">
        <f ca="1">AVERAGE(OFFSET($GD$3,0,0,'Données projet'!$E$17+1,1))-AVERAGE(OFFSET($H$3,0,0,'Données projet'!$E$17+1,1))</f>
        <v>215.23235148064941</v>
      </c>
      <c r="GF17" s="59">
        <f t="shared" si="50"/>
        <v>184.07239726900434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15.25</v>
      </c>
      <c r="GU17" s="12">
        <f>IF('Données projet'!$A$270&gt;35,GU16+GT17-HC16,IF(A17&lt;'Données projet'!$A$270,$GR$205^A17,IF(A17='Données projet'!$A$270,'Données projet'!$B$270,GU16+GT17-HC16)))</f>
        <v>76.5</v>
      </c>
      <c r="GV17" s="17">
        <f>GU17*VLOOKUP('Données projet'!$B$18,Paramètres!$A$1:$I$89,3,0)*VLOOKUP('Données projet'!$B$18,Paramètres!$A$1:$I$89,5,0)</f>
        <v>45.747000000000007</v>
      </c>
      <c r="GW17" s="13">
        <f t="shared" si="51"/>
        <v>13.509786169595499</v>
      </c>
      <c r="GX17" s="20">
        <f t="shared" si="28"/>
        <v>103.20556924537884</v>
      </c>
      <c r="GY17" s="59">
        <f t="shared" si="29"/>
        <v>396.53890257871217</v>
      </c>
      <c r="GZ17" s="59">
        <f ca="1">AVERAGE(OFFSET($GY$3,0,0,'Données projet'!$E$18+1,1))-AVERAGE(OFFSET($H$3,0,0,'Données projet'!$E$18+1,1))</f>
        <v>227.89848316900191</v>
      </c>
      <c r="HA17" s="59">
        <f t="shared" si="52"/>
        <v>239.85955661394541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17.5</v>
      </c>
      <c r="N18" s="13">
        <f>IF('Données projet'!$A$36&gt;35,N17+M18-V17,IF(A18&lt;'Données projet'!$A$36,$K$205^A18,IF(A18='Données projet'!$A$36,'Données projet'!$B$36,N17+M18-V17)))</f>
        <v>107.5</v>
      </c>
      <c r="O18" s="13">
        <f>N18*VLOOKUP('Données projet'!$B$9,Paramètres!$A$1:$I$89,3,0)*VLOOKUP('Données projet'!$B$9,Paramètres!$A$1:$I$89,5,0)</f>
        <v>60.092500000000001</v>
      </c>
      <c r="P18" s="13">
        <f t="shared" si="33"/>
        <v>17.191653817497027</v>
      </c>
      <c r="Q18" s="20">
        <f t="shared" si="2"/>
        <v>134.603234565474</v>
      </c>
      <c r="R18" s="59">
        <f t="shared" si="0"/>
        <v>427.93656789880731</v>
      </c>
      <c r="S18" s="59">
        <f ca="1">AVERAGE(OFFSET($R$3,0,0,'Données projet'!$E$9+1,1))-AVERAGE(OFFSET($H$3,0,0,'Données projet'!$E$9+1,1))</f>
        <v>370.69652285220093</v>
      </c>
      <c r="T18" s="59">
        <f t="shared" si="34"/>
        <v>376.53494965377718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5.05</v>
      </c>
      <c r="AI18" s="13">
        <f>IF('Données projet'!$A$62&gt;35,AI17+AH18-AQ17,IF(A18&lt;'Données projet'!$A$62,$AF$205^A18,IF(A18='Données projet'!$A$62,'Données projet'!$B$62,AI17+AH18-AQ17)))</f>
        <v>31.859652191026957</v>
      </c>
      <c r="AJ18" s="13">
        <f>AI18*VLOOKUP('Données projet'!$B$10,Paramètres!$A$1:$I$89,3,0)*VLOOKUP('Données projet'!$B$10,Paramètres!$A$1:$I$89,5,0)</f>
        <v>28.826613302441189</v>
      </c>
      <c r="AK18" s="13">
        <f t="shared" si="35"/>
        <v>8.9830891451291155</v>
      </c>
      <c r="AL18" s="20">
        <f t="shared" si="4"/>
        <v>65.851898429518272</v>
      </c>
      <c r="AM18" s="59">
        <f t="shared" si="5"/>
        <v>359.18523176285157</v>
      </c>
      <c r="AN18" s="59">
        <f ca="1">AVERAGE(OFFSET($AM$3,0,0,'Données projet'!$E$10+1,1))-AVERAGE(OFFSET($H$3,0,0,'Données projet'!$E$10+1,1))</f>
        <v>321.03881567735544</v>
      </c>
      <c r="AO18" s="59">
        <f t="shared" si="36"/>
        <v>234.87694492493506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16.7</v>
      </c>
      <c r="BD18" s="12">
        <f>IF('Données projet'!$A$88&gt;35,BD17+BC18-BL17,IF(A18&lt;'Données projet'!$A$88,$BA$205^A18,IF(A18='Données projet'!$A$88,'Données projet'!$B$88,BD17+BC18-BL17)))</f>
        <v>126.50000000000001</v>
      </c>
      <c r="BE18" s="13">
        <f>BD18*VLOOKUP('Données projet'!$B$11,Paramètres!$A$1:$I$89,3,0)*VLOOKUP('Données projet'!$B$11,Paramètres!$A$1:$I$89,5,0)</f>
        <v>69.069000000000003</v>
      </c>
      <c r="BF18" s="13">
        <f t="shared" si="37"/>
        <v>19.442077604017239</v>
      </c>
      <c r="BG18" s="20">
        <f t="shared" si="7"/>
        <v>154.15679349366337</v>
      </c>
      <c r="BH18" s="59">
        <f t="shared" si="8"/>
        <v>447.49012682699669</v>
      </c>
      <c r="BI18" s="59">
        <f ca="1">AVERAGE(OFFSET($BH$3,0,0,'Données projet'!$E$11+1,1))-AVERAGE(OFFSET($H$3,0,0,'Données projet'!$E$11+1,1))</f>
        <v>248.1486444660062</v>
      </c>
      <c r="BJ18" s="59">
        <f t="shared" si="38"/>
        <v>293.34458072322127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1.5073457597151871</v>
      </c>
      <c r="BR18" s="21">
        <f>EXP(-LN(2)/2)*BR17+(1-EXP(-LN(2)/2))/(LN(2)/2)*BL18*BO18*VLOOKUP('Données projet'!$B$11,Paramètres!$A$1:$I$89,3,0)*0.475*44/12</f>
        <v>0.43713258796082638</v>
      </c>
      <c r="BS18" s="22">
        <f t="shared" si="9"/>
        <v>1.9444783476760135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87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87</v>
      </c>
      <c r="BZ18" s="13">
        <f>BY18*VLOOKUP('Données projet'!$B$12,Paramètres!$A$1:$I$89,3,0)*VLOOKUP('Données projet'!$B$12,Paramètres!$A$1:$I$89,5,0)</f>
        <v>76.003200000000007</v>
      </c>
      <c r="CA18" s="13">
        <f t="shared" si="39"/>
        <v>21.157049992000456</v>
      </c>
      <c r="CB18" s="20">
        <f t="shared" si="10"/>
        <v>169.22076873606747</v>
      </c>
      <c r="CC18" s="59">
        <f t="shared" si="11"/>
        <v>462.55410206940076</v>
      </c>
      <c r="CD18" s="59">
        <f ca="1">AVERAGE(OFFSET($CC$3,0,0,'Données projet'!$E$12+1,1))-AVERAGE(OFFSET($H$3,0,0,'Données projet'!$E$12+1,1))</f>
        <v>243.38048563215585</v>
      </c>
      <c r="CE18" s="59">
        <f t="shared" si="40"/>
        <v>372.1604147006675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21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2.1715715165565586</v>
      </c>
      <c r="CM18" s="21">
        <f>EXP(-LN(2)/2)*CM17+(1-EXP(-LN(2)/2))/(LN(2)/2)*CG18*CJ18*VLOOKUP('Données projet'!$B$12,Paramètres!$A$1:$I$89,3,0)*0.475*44/12</f>
        <v>4.3273918411461532</v>
      </c>
      <c r="CN18" s="22">
        <f t="shared" si="12"/>
        <v>6.4989633577027117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4.8</v>
      </c>
      <c r="CT18" s="12">
        <f>IF('Données projet'!$A$140&gt;35,CT17+CS18-DB17,IF(A18&lt;'Données projet'!$A$140,$CQ$205^A18,IF(A18='Données projet'!$A$140,'Données projet'!$B$140,CT17+CS18-DB17)))</f>
        <v>30.669269003821089</v>
      </c>
      <c r="CU18" s="17">
        <f>CT18*VLOOKUP('Données projet'!$B$13,Paramètres!$A$1:$I$89,3,0)*VLOOKUP('Données projet'!$B$13,Paramètres!$A$1:$I$89,5,0)</f>
        <v>14.751918390837945</v>
      </c>
      <c r="CV18" s="13">
        <f t="shared" si="41"/>
        <v>4.9698879860804466</v>
      </c>
      <c r="CW18" s="20">
        <f t="shared" si="13"/>
        <v>34.348812773132863</v>
      </c>
      <c r="CX18" s="59">
        <f t="shared" si="14"/>
        <v>327.68214610646618</v>
      </c>
      <c r="CY18" s="59">
        <f ca="1">AVERAGE(OFFSET($CX$3,0,0,'Données projet'!$E$13+1,1))-AVERAGE(OFFSET($H$3,0,0,'Données projet'!$E$13+1,1))</f>
        <v>297.21955661193238</v>
      </c>
      <c r="CZ18" s="59">
        <f t="shared" si="42"/>
        <v>273.69206144662144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57.681000000000004</v>
      </c>
      <c r="DQ18" s="13">
        <f t="shared" si="43"/>
        <v>16.580614810327479</v>
      </c>
      <c r="DR18" s="20">
        <f t="shared" si="16"/>
        <v>129.33897912798705</v>
      </c>
      <c r="DS18" s="59">
        <f t="shared" si="17"/>
        <v>422.67231246132036</v>
      </c>
      <c r="DT18" s="59">
        <f ca="1">AVERAGE(OFFSET($DS$3,0,0,'Données projet'!$E$14+1,1))-AVERAGE(OFFSET($H$3,0,0,'Données projet'!$E$14+1,1))</f>
        <v>260.20517190557814</v>
      </c>
      <c r="DU18" s="59">
        <f t="shared" si="44"/>
        <v>307.22009971147133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6.1</v>
      </c>
      <c r="EJ18" s="12">
        <f>IF('Données projet'!$A$192&gt;35,EJ17+EI18-ER17,IF(A18&lt;'Données projet'!$A$192,$EG$205^A18,IF(A18='Données projet'!$A$192,'Données projet'!$B$192,EJ17+EI18-ER17)))</f>
        <v>36.708773394065467</v>
      </c>
      <c r="EK18" s="17">
        <f>EJ18*VLOOKUP('Données projet'!$B$15,Paramètres!$A$1:$I$89,3,0)*VLOOKUP('Données projet'!$B$15,Paramètres!$A$1:$I$89,5,0)</f>
        <v>21.95184648965115</v>
      </c>
      <c r="EL18" s="13">
        <f t="shared" si="45"/>
        <v>7.061157373739559</v>
      </c>
      <c r="EM18" s="20">
        <f t="shared" si="19"/>
        <v>50.530981728738816</v>
      </c>
      <c r="EN18" s="59">
        <f t="shared" si="20"/>
        <v>343.86431506207214</v>
      </c>
      <c r="EO18" s="59">
        <f ca="1">AVERAGE(OFFSET($EN$3,0,0,'Données projet'!$E$15+1,1))-AVERAGE(OFFSET($H$3,0,0,'Données projet'!$E$15+1,1))</f>
        <v>259.30247982593914</v>
      </c>
      <c r="EP18" s="59">
        <f t="shared" si="46"/>
        <v>275.24740346220779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5.05</v>
      </c>
      <c r="FE18" s="12">
        <f>IF('Données projet'!$A$218&gt;35,FE17+FD18-FM17,IF(A18&lt;'Données projet'!$A$218,$FB$205^A18,IF(A18='Données projet'!$A$218,'Données projet'!$B$218,FE17+FD18-FM17)))</f>
        <v>31.859652191026957</v>
      </c>
      <c r="FF18" s="17">
        <f>FE18*VLOOKUP('Données projet'!$B$16,Paramètres!$A$1:$I$89,3,0)*VLOOKUP('Données projet'!$B$16,Paramètres!$A$1:$I$89,5,0)</f>
        <v>32.305687321701335</v>
      </c>
      <c r="FG18" s="13">
        <f t="shared" si="47"/>
        <v>9.934613511321734</v>
      </c>
      <c r="FH18" s="20">
        <f t="shared" si="22"/>
        <v>73.568523950848515</v>
      </c>
      <c r="FI18" s="59">
        <f t="shared" si="23"/>
        <v>366.9018572841818</v>
      </c>
      <c r="FJ18" s="59">
        <f ca="1">AVERAGE(OFFSET($FI$3,0,0,'Données projet'!$E$16+1,1))-AVERAGE(OFFSET($H$3,0,0,'Données projet'!$E$16+1,1))</f>
        <v>372.91317851957336</v>
      </c>
      <c r="FK18" s="59">
        <f t="shared" si="48"/>
        <v>269.69187715858413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7.9</v>
      </c>
      <c r="FZ18" s="12">
        <f>IF('Données projet'!$A$244&gt;35,FZ17+FY18-GH17,IF(A18&lt;'Données projet'!$A$244,$FW$205^A18,IF(A18='Données projet'!$A$244,'Données projet'!$B$244,FZ17+FY18-GH17)))</f>
        <v>44.564887571004775</v>
      </c>
      <c r="GA18" s="17">
        <f>FZ18*VLOOKUP('Données projet'!$B$17,Paramètres!$A$1:$I$89,3,0)*VLOOKUP('Données projet'!$B$17,Paramètres!$A$1:$I$89,5,0)</f>
        <v>20.856367383230236</v>
      </c>
      <c r="GB18" s="13">
        <f t="shared" si="49"/>
        <v>6.7488744993944465</v>
      </c>
      <c r="GC18" s="20">
        <f t="shared" si="25"/>
        <v>48.079129612237985</v>
      </c>
      <c r="GD18" s="59">
        <f t="shared" si="26"/>
        <v>341.41246294557129</v>
      </c>
      <c r="GE18" s="59">
        <f ca="1">AVERAGE(OFFSET($GD$3,0,0,'Données projet'!$E$17+1,1))-AVERAGE(OFFSET($H$3,0,0,'Données projet'!$E$17+1,1))</f>
        <v>215.23235148064941</v>
      </c>
      <c r="GF18" s="59">
        <f t="shared" si="50"/>
        <v>184.07239726900434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15.25</v>
      </c>
      <c r="GU18" s="12">
        <f>IF('Données projet'!$A$270&gt;35,GU17+GT18-HC17,IF(A18&lt;'Données projet'!$A$270,$GR$205^A18,IF(A18='Données projet'!$A$270,'Données projet'!$B$270,GU17+GT18-HC17)))</f>
        <v>91.75</v>
      </c>
      <c r="GV18" s="17">
        <f>GU18*VLOOKUP('Données projet'!$B$18,Paramètres!$A$1:$I$89,3,0)*VLOOKUP('Données projet'!$B$18,Paramètres!$A$1:$I$89,5,0)</f>
        <v>54.866500000000002</v>
      </c>
      <c r="GW18" s="13">
        <f t="shared" si="51"/>
        <v>15.863680596172721</v>
      </c>
      <c r="GX18" s="20">
        <f t="shared" si="28"/>
        <v>123.18839787166746</v>
      </c>
      <c r="GY18" s="59">
        <f t="shared" si="29"/>
        <v>416.52173120500078</v>
      </c>
      <c r="GZ18" s="59">
        <f ca="1">AVERAGE(OFFSET($GY$3,0,0,'Données projet'!$E$18+1,1))-AVERAGE(OFFSET($H$3,0,0,'Données projet'!$E$18+1,1))</f>
        <v>227.89848316900191</v>
      </c>
      <c r="HA18" s="59">
        <f t="shared" si="52"/>
        <v>239.85955661394541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17.5</v>
      </c>
      <c r="N19" s="13">
        <f>IF('Données projet'!$A$36&gt;35,N18+M19-V18,IF(A19&lt;'Données projet'!$A$36,$K$205^A19,IF(A19='Données projet'!$A$36,'Données projet'!$B$36,N18+M19-V18)))</f>
        <v>125</v>
      </c>
      <c r="O19" s="13">
        <f>N19*VLOOKUP('Données projet'!$B$9,Paramètres!$A$1:$I$89,3,0)*VLOOKUP('Données projet'!$B$9,Paramètres!$A$1:$I$89,5,0)</f>
        <v>69.875</v>
      </c>
      <c r="P19" s="13">
        <f t="shared" si="33"/>
        <v>19.64241243753855</v>
      </c>
      <c r="Q19" s="20">
        <f t="shared" si="2"/>
        <v>155.90949332871295</v>
      </c>
      <c r="R19" s="59">
        <f t="shared" si="0"/>
        <v>449.24282666204624</v>
      </c>
      <c r="S19" s="59">
        <f ca="1">AVERAGE(OFFSET($R$3,0,0,'Données projet'!$E$9+1,1))-AVERAGE(OFFSET($H$3,0,0,'Données projet'!$E$9+1,1))</f>
        <v>370.69652285220093</v>
      </c>
      <c r="T19" s="59">
        <f t="shared" si="34"/>
        <v>376.53494965377718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5.05</v>
      </c>
      <c r="AI19" s="13">
        <f>IF('Données projet'!$A$62&gt;35,AI18+AH19-AQ18,IF(A19&lt;'Données projet'!$A$62,$AF$205^A19,IF(A19='Données projet'!$A$62,'Données projet'!$B$62,AI18+AH19-AQ18)))</f>
        <v>40.128885573036847</v>
      </c>
      <c r="AJ19" s="13">
        <f>AI19*VLOOKUP('Données projet'!$B$10,Paramètres!$A$1:$I$89,3,0)*VLOOKUP('Données projet'!$B$10,Paramètres!$A$1:$I$89,5,0)</f>
        <v>36.308615666483739</v>
      </c>
      <c r="AK19" s="13">
        <f t="shared" si="35"/>
        <v>11.014800301367055</v>
      </c>
      <c r="AL19" s="20">
        <f t="shared" si="4"/>
        <v>82.421616144006791</v>
      </c>
      <c r="AM19" s="59">
        <f t="shared" si="5"/>
        <v>375.75494947734012</v>
      </c>
      <c r="AN19" s="59">
        <f ca="1">AVERAGE(OFFSET($AM$3,0,0,'Données projet'!$E$10+1,1))-AVERAGE(OFFSET($H$3,0,0,'Données projet'!$E$10+1,1))</f>
        <v>321.03881567735544</v>
      </c>
      <c r="AO19" s="59">
        <f t="shared" si="36"/>
        <v>234.87694492493506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16.7</v>
      </c>
      <c r="BD19" s="12">
        <f>IF('Données projet'!$A$88&gt;35,BD18+BC19-BL18,IF(A19&lt;'Données projet'!$A$88,$BA$205^A19,IF(A19='Données projet'!$A$88,'Données projet'!$B$88,BD18+BC19-BL18)))</f>
        <v>143.20000000000002</v>
      </c>
      <c r="BE19" s="13">
        <f>BD19*VLOOKUP('Données projet'!$B$11,Paramètres!$A$1:$I$89,3,0)*VLOOKUP('Données projet'!$B$11,Paramètres!$A$1:$I$89,5,0)</f>
        <v>78.187200000000004</v>
      </c>
      <c r="BF19" s="13">
        <f t="shared" si="37"/>
        <v>21.693355566332489</v>
      </c>
      <c r="BG19" s="20">
        <f t="shared" si="7"/>
        <v>173.95863427802908</v>
      </c>
      <c r="BH19" s="59">
        <f t="shared" si="8"/>
        <v>467.2919676113624</v>
      </c>
      <c r="BI19" s="59">
        <f ca="1">AVERAGE(OFFSET($BH$3,0,0,'Données projet'!$E$11+1,1))-AVERAGE(OFFSET($H$3,0,0,'Données projet'!$E$11+1,1))</f>
        <v>248.1486444660062</v>
      </c>
      <c r="BJ19" s="59">
        <f t="shared" si="38"/>
        <v>293.34458072322127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1.4661273106479069</v>
      </c>
      <c r="BR19" s="21">
        <f>EXP(-LN(2)/2)*BR18+(1-EXP(-LN(2)/2))/(LN(2)/2)*BL19*BO19*VLOOKUP('Données projet'!$B$11,Paramètres!$A$1:$I$89,3,0)*0.475*44/12</f>
        <v>0.30909941722472534</v>
      </c>
      <c r="BS19" s="22">
        <f t="shared" si="9"/>
        <v>1.7752267278726324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14.2</v>
      </c>
      <c r="BY19" s="12">
        <f>IF('Données projet'!$A$114&gt;35,BY18+BX19-CG18,IF(A19&lt;'Données projet'!$A$114,$BV$205^A19,IF(A19='Données projet'!$A$114,'Données projet'!$B$114,BY18+BX19-CG18)))</f>
        <v>80.2</v>
      </c>
      <c r="BZ19" s="13">
        <f>BY19*VLOOKUP('Données projet'!$B$12,Paramètres!$A$1:$I$89,3,0)*VLOOKUP('Données projet'!$B$12,Paramètres!$A$1:$I$89,5,0)</f>
        <v>70.062720000000013</v>
      </c>
      <c r="CA19" s="13">
        <f t="shared" si="39"/>
        <v>19.689032345957123</v>
      </c>
      <c r="CB19" s="20">
        <f t="shared" si="10"/>
        <v>156.31763533587534</v>
      </c>
      <c r="CC19" s="59">
        <f t="shared" si="11"/>
        <v>449.65096866920862</v>
      </c>
      <c r="CD19" s="59">
        <f ca="1">AVERAGE(OFFSET($CC$3,0,0,'Données projet'!$E$12+1,1))-AVERAGE(OFFSET($H$3,0,0,'Données projet'!$E$12+1,1))</f>
        <v>243.38048563215585</v>
      </c>
      <c r="CE19" s="59">
        <f t="shared" si="40"/>
        <v>372.1604147006675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2.1121897792383364</v>
      </c>
      <c r="CM19" s="21">
        <f>EXP(-LN(2)/2)*CM18+(1-EXP(-LN(2)/2))/(LN(2)/2)*CG19*CJ19*VLOOKUP('Données projet'!$B$12,Paramètres!$A$1:$I$89,3,0)*0.475*44/12</f>
        <v>3.0599281157257843</v>
      </c>
      <c r="CN19" s="22">
        <f t="shared" si="12"/>
        <v>5.1721178949641207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4.8</v>
      </c>
      <c r="CT19" s="12">
        <f>IF('Données projet'!$A$140&gt;35,CT18+CS19-DB18,IF(A19&lt;'Données projet'!$A$140,$CQ$205^A19,IF(A19='Données projet'!$A$140,'Données projet'!$B$140,CT18+CS19-DB18)))</f>
        <v>38.531594964491077</v>
      </c>
      <c r="CU19" s="17">
        <f>CT19*VLOOKUP('Données projet'!$B$13,Paramètres!$A$1:$I$89,3,0)*VLOOKUP('Données projet'!$B$13,Paramètres!$A$1:$I$89,5,0)</f>
        <v>18.533697177920207</v>
      </c>
      <c r="CV19" s="13">
        <f t="shared" si="41"/>
        <v>6.0802767007944762</v>
      </c>
      <c r="CW19" s="20">
        <f t="shared" si="13"/>
        <v>42.869337838761396</v>
      </c>
      <c r="CX19" s="59">
        <f t="shared" si="14"/>
        <v>336.20267117209471</v>
      </c>
      <c r="CY19" s="59">
        <f ca="1">AVERAGE(OFFSET($CX$3,0,0,'Données projet'!$E$13+1,1))-AVERAGE(OFFSET($H$3,0,0,'Données projet'!$E$13+1,1))</f>
        <v>297.21955661193238</v>
      </c>
      <c r="CZ19" s="59">
        <f t="shared" si="42"/>
        <v>273.69206144662144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67.466880000000003</v>
      </c>
      <c r="DQ19" s="13">
        <f t="shared" si="43"/>
        <v>19.043051531232432</v>
      </c>
      <c r="DR19" s="20">
        <f t="shared" si="16"/>
        <v>150.67146408356317</v>
      </c>
      <c r="DS19" s="59">
        <f t="shared" si="17"/>
        <v>444.00479741689651</v>
      </c>
      <c r="DT19" s="59">
        <f ca="1">AVERAGE(OFFSET($DS$3,0,0,'Données projet'!$E$14+1,1))-AVERAGE(OFFSET($H$3,0,0,'Données projet'!$E$14+1,1))</f>
        <v>260.20517190557814</v>
      </c>
      <c r="DU19" s="59">
        <f t="shared" si="44"/>
        <v>307.22009971147133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6.1</v>
      </c>
      <c r="EJ19" s="12">
        <f>IF('Données projet'!$A$192&gt;35,EJ18+EI19-ER18,IF(A19&lt;'Données projet'!$A$192,$EG$205^A19,IF(A19='Données projet'!$A$192,'Données projet'!$B$192,EJ18+EI19-ER18)))</f>
        <v>46.675380232846685</v>
      </c>
      <c r="EK19" s="17">
        <f>EJ19*VLOOKUP('Données projet'!$B$15,Paramètres!$A$1:$I$89,3,0)*VLOOKUP('Données projet'!$B$15,Paramètres!$A$1:$I$89,5,0)</f>
        <v>27.91187737924232</v>
      </c>
      <c r="EL19" s="13">
        <f t="shared" si="45"/>
        <v>8.7307442810889597</v>
      </c>
      <c r="EM19" s="20">
        <f t="shared" si="19"/>
        <v>63.819232725076979</v>
      </c>
      <c r="EN19" s="59">
        <f t="shared" si="20"/>
        <v>357.15256605841029</v>
      </c>
      <c r="EO19" s="59">
        <f ca="1">AVERAGE(OFFSET($EN$3,0,0,'Données projet'!$E$15+1,1))-AVERAGE(OFFSET($H$3,0,0,'Données projet'!$E$15+1,1))</f>
        <v>259.30247982593914</v>
      </c>
      <c r="EP19" s="59">
        <f t="shared" si="46"/>
        <v>275.24740346220779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5.05</v>
      </c>
      <c r="FE19" s="12">
        <f>IF('Données projet'!$A$218&gt;35,FE18+FD19-FM18,IF(A19&lt;'Données projet'!$A$218,$FB$205^A19,IF(A19='Données projet'!$A$218,'Données projet'!$B$218,FE18+FD19-FM18)))</f>
        <v>40.128885573036847</v>
      </c>
      <c r="FF19" s="17">
        <f>FE19*VLOOKUP('Données projet'!$B$16,Paramètres!$A$1:$I$89,3,0)*VLOOKUP('Données projet'!$B$16,Paramètres!$A$1:$I$89,5,0)</f>
        <v>40.690689971059363</v>
      </c>
      <c r="FG19" s="13">
        <f t="shared" si="47"/>
        <v>12.181531556748123</v>
      </c>
      <c r="FH19" s="20">
        <f t="shared" si="22"/>
        <v>92.085785827598031</v>
      </c>
      <c r="FI19" s="59">
        <f t="shared" si="23"/>
        <v>385.41911916093136</v>
      </c>
      <c r="FJ19" s="59">
        <f ca="1">AVERAGE(OFFSET($FI$3,0,0,'Données projet'!$E$16+1,1))-AVERAGE(OFFSET($H$3,0,0,'Données projet'!$E$16+1,1))</f>
        <v>372.91317851957336</v>
      </c>
      <c r="FK19" s="59">
        <f t="shared" si="48"/>
        <v>269.69187715858413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7.9</v>
      </c>
      <c r="FZ19" s="12">
        <f>IF('Données projet'!$A$244&gt;35,FZ18+FY19-GH18,IF(A19&lt;'Données projet'!$A$244,$FW$205^A19,IF(A19='Données projet'!$A$244,'Données projet'!$B$244,FZ18+FY19-GH18)))</f>
        <v>57.401820934596167</v>
      </c>
      <c r="GA19" s="17">
        <f>FZ19*VLOOKUP('Données projet'!$B$17,Paramètres!$A$1:$I$89,3,0)*VLOOKUP('Données projet'!$B$17,Paramètres!$A$1:$I$89,5,0)</f>
        <v>26.864052197391008</v>
      </c>
      <c r="GB19" s="13">
        <f t="shared" si="49"/>
        <v>8.4404970471001413</v>
      </c>
      <c r="GC19" s="20">
        <f t="shared" si="25"/>
        <v>61.488756600822086</v>
      </c>
      <c r="GD19" s="59">
        <f t="shared" si="26"/>
        <v>354.82208993415543</v>
      </c>
      <c r="GE19" s="59">
        <f ca="1">AVERAGE(OFFSET($GD$3,0,0,'Données projet'!$E$17+1,1))-AVERAGE(OFFSET($H$3,0,0,'Données projet'!$E$17+1,1))</f>
        <v>215.23235148064941</v>
      </c>
      <c r="GF19" s="59">
        <f t="shared" si="50"/>
        <v>184.07239726900434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>
        <f>VLOOKUP(A19,'Données projet'!$A$269:$I$289,2,0)</f>
        <v>107</v>
      </c>
      <c r="GS19" s="12">
        <f>VLOOKUP(A19,'Données projet'!$A$269:$I$289,9,0)</f>
        <v>15.25</v>
      </c>
      <c r="GT19" s="12">
        <f t="array" ref="GT19">INDEX(GS:GS,MIN(IF(ISNUMBER(GS19:GS215),ROW(GS19:GS215),"")))</f>
        <v>15.25</v>
      </c>
      <c r="GU19" s="12">
        <f>IF('Données projet'!$A$270&gt;35,GU18+GT19-HC18,IF(A19&lt;'Données projet'!$A$270,$GR$205^A19,IF(A19='Données projet'!$A$270,'Données projet'!$B$270,GU18+GT19-HC18)))</f>
        <v>107</v>
      </c>
      <c r="GV19" s="17">
        <f>GU19*VLOOKUP('Données projet'!$B$18,Paramètres!$A$1:$I$89,3,0)*VLOOKUP('Données projet'!$B$18,Paramètres!$A$1:$I$89,5,0)</f>
        <v>63.986000000000004</v>
      </c>
      <c r="GW19" s="13">
        <f t="shared" si="51"/>
        <v>18.172251427996663</v>
      </c>
      <c r="GX19" s="20">
        <f t="shared" si="28"/>
        <v>143.09228790376088</v>
      </c>
      <c r="GY19" s="59">
        <f t="shared" si="29"/>
        <v>436.42562123709422</v>
      </c>
      <c r="GZ19" s="59">
        <f ca="1">AVERAGE(OFFSET($GY$3,0,0,'Données projet'!$E$18+1,1))-AVERAGE(OFFSET($H$3,0,0,'Données projet'!$E$18+1,1))</f>
        <v>227.89848316900191</v>
      </c>
      <c r="HA19" s="59">
        <f t="shared" si="52"/>
        <v>239.85955661394541</v>
      </c>
      <c r="HB19" s="15">
        <f>IF(ISNA(VLOOKUP(A19,'Données projet'!$A$269:$I$289,3,0)),0,VLOOKUP(A19,'Données projet'!$A$269:$I$289,3,0))</f>
        <v>1</v>
      </c>
      <c r="HC19" s="15">
        <f>IF(ISNA(VLOOKUP(A19,'Données projet'!$A$269:$I$289,4,0)),0,VLOOKUP(A19,'Données projet'!$A$269:$I$289,4,0))</f>
        <v>25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0.22500000000000001</v>
      </c>
      <c r="HF19" s="16">
        <f>IF(ISNA(VLOOKUP(A19,'Données projet'!$A$269:$I$289,7,0)),0%,VLOOKUP(A19,'Données projet'!$A$269:$I$289,7,0))</f>
        <v>0.5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4.4446616825582153</v>
      </c>
      <c r="HI19" s="21">
        <f>EXP(-LN(2)/2)*HI18+(1-EXP(-LN(2)/2))/(LN(2)/2)*HC19*HF19*VLOOKUP('Données projet'!$B$18,Paramètres!$A$1:$I$89,3,0)*0.475*44/12</f>
        <v>8.4634364240103324</v>
      </c>
      <c r="HJ19" s="22">
        <f t="shared" si="30"/>
        <v>12.908098106568549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17.5</v>
      </c>
      <c r="N20" s="13">
        <f>IF('Données projet'!$A$36&gt;35,N19+M20-V19,IF(A20&lt;'Données projet'!$A$36,$K$205^A20,IF(A20='Données projet'!$A$36,'Données projet'!$B$36,N19+M20-V19)))</f>
        <v>142.5</v>
      </c>
      <c r="O20" s="13">
        <f>N20*VLOOKUP('Données projet'!$B$9,Paramètres!$A$1:$I$89,3,0)*VLOOKUP('Données projet'!$B$9,Paramètres!$A$1:$I$89,5,0)</f>
        <v>79.657499999999999</v>
      </c>
      <c r="P20" s="13">
        <f t="shared" si="33"/>
        <v>22.05342019864063</v>
      </c>
      <c r="Q20" s="20">
        <f t="shared" si="2"/>
        <v>177.14651934596574</v>
      </c>
      <c r="R20" s="59">
        <f t="shared" si="0"/>
        <v>470.47985267929903</v>
      </c>
      <c r="S20" s="59">
        <f ca="1">AVERAGE(OFFSET($R$3,0,0,'Données projet'!$E$9+1,1))-AVERAGE(OFFSET($H$3,0,0,'Données projet'!$E$9+1,1))</f>
        <v>370.69652285220093</v>
      </c>
      <c r="T20" s="59">
        <f t="shared" si="34"/>
        <v>376.53494965377718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5.05</v>
      </c>
      <c r="AI20" s="13">
        <f>IF('Données projet'!$A$62&gt;35,AI19+AH20-AQ19,IF(A20&lt;'Données projet'!$A$62,$AF$205^A20,IF(A20='Données projet'!$A$62,'Données projet'!$B$62,AI19+AH20-AQ19)))</f>
        <v>50.544414222683258</v>
      </c>
      <c r="AJ20" s="13">
        <f>AI20*VLOOKUP('Données projet'!$B$10,Paramètres!$A$1:$I$89,3,0)*VLOOKUP('Données projet'!$B$10,Paramètres!$A$1:$I$89,5,0)</f>
        <v>45.732585988683809</v>
      </c>
      <c r="AK20" s="13">
        <f t="shared" si="35"/>
        <v>13.506024900663702</v>
      </c>
      <c r="AL20" s="20">
        <f t="shared" si="4"/>
        <v>103.17391396561358</v>
      </c>
      <c r="AM20" s="59">
        <f t="shared" si="5"/>
        <v>396.50724729894688</v>
      </c>
      <c r="AN20" s="59">
        <f ca="1">AVERAGE(OFFSET($AM$3,0,0,'Données projet'!$E$10+1,1))-AVERAGE(OFFSET($H$3,0,0,'Données projet'!$E$10+1,1))</f>
        <v>321.03881567735544</v>
      </c>
      <c r="AO20" s="59">
        <f t="shared" si="36"/>
        <v>234.87694492493506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16.7</v>
      </c>
      <c r="BD20" s="12">
        <f>IF('Données projet'!$A$88&gt;35,BD19+BC20-BL19,IF(A20&lt;'Données projet'!$A$88,$BA$205^A20,IF(A20='Données projet'!$A$88,'Données projet'!$B$88,BD19+BC20-BL19)))</f>
        <v>159.9</v>
      </c>
      <c r="BE20" s="13">
        <f>BD20*VLOOKUP('Données projet'!$B$11,Paramètres!$A$1:$I$89,3,0)*VLOOKUP('Données projet'!$B$11,Paramètres!$A$1:$I$89,5,0)</f>
        <v>87.305400000000006</v>
      </c>
      <c r="BF20" s="13">
        <f t="shared" si="37"/>
        <v>23.914207130877781</v>
      </c>
      <c r="BG20" s="20">
        <f t="shared" si="7"/>
        <v>193.70748241961215</v>
      </c>
      <c r="BH20" s="59">
        <f t="shared" si="8"/>
        <v>487.04081575294549</v>
      </c>
      <c r="BI20" s="59">
        <f ca="1">AVERAGE(OFFSET($BH$3,0,0,'Données projet'!$E$11+1,1))-AVERAGE(OFFSET($H$3,0,0,'Données projet'!$E$11+1,1))</f>
        <v>248.1486444660062</v>
      </c>
      <c r="BJ20" s="59">
        <f t="shared" si="38"/>
        <v>293.34458072322127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1.4260359822379556</v>
      </c>
      <c r="BR20" s="21">
        <f>EXP(-LN(2)/2)*BR19+(1-EXP(-LN(2)/2))/(LN(2)/2)*BL20*BO20*VLOOKUP('Données projet'!$B$11,Paramètres!$A$1:$I$89,3,0)*0.475*44/12</f>
        <v>0.21856629398041325</v>
      </c>
      <c r="BS20" s="22">
        <f t="shared" si="9"/>
        <v>1.6446022762183687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14.2</v>
      </c>
      <c r="BY20" s="12">
        <f>IF('Données projet'!$A$114&gt;35,BY19+BX20-CG19,IF(A20&lt;'Données projet'!$A$114,$BV$205^A20,IF(A20='Données projet'!$A$114,'Données projet'!$B$114,BY19+BX20-CG19)))</f>
        <v>94.4</v>
      </c>
      <c r="BZ20" s="13">
        <f>BY20*VLOOKUP('Données projet'!$B$12,Paramètres!$A$1:$I$89,3,0)*VLOOKUP('Données projet'!$B$12,Paramètres!$A$1:$I$89,5,0)</f>
        <v>82.467840000000024</v>
      </c>
      <c r="CA20" s="13">
        <f t="shared" si="39"/>
        <v>22.739512759227473</v>
      </c>
      <c r="CB20" s="20">
        <f t="shared" si="10"/>
        <v>183.23613938898788</v>
      </c>
      <c r="CC20" s="59">
        <f t="shared" si="11"/>
        <v>476.56947272232117</v>
      </c>
      <c r="CD20" s="59">
        <f ca="1">AVERAGE(OFFSET($CC$3,0,0,'Données projet'!$E$12+1,1))-AVERAGE(OFFSET($H$3,0,0,'Données projet'!$E$12+1,1))</f>
        <v>243.38048563215585</v>
      </c>
      <c r="CE20" s="59">
        <f t="shared" si="40"/>
        <v>372.1604147006675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2.054431838649831</v>
      </c>
      <c r="CM20" s="21">
        <f>EXP(-LN(2)/2)*CM19+(1-EXP(-LN(2)/2))/(LN(2)/2)*CG20*CJ20*VLOOKUP('Données projet'!$B$12,Paramètres!$A$1:$I$89,3,0)*0.475*44/12</f>
        <v>2.163695920573077</v>
      </c>
      <c r="CN20" s="22">
        <f t="shared" si="12"/>
        <v>4.2181277592229076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4.8</v>
      </c>
      <c r="CT20" s="12">
        <f>IF('Données projet'!$A$140&gt;35,CT19+CS20-DB19,IF(A20&lt;'Données projet'!$A$140,$CQ$205^A20,IF(A20='Données projet'!$A$140,'Données projet'!$B$140,CT19+CS20-DB19)))</f>
        <v>48.409494543955958</v>
      </c>
      <c r="CU20" s="17">
        <f>CT20*VLOOKUP('Données projet'!$B$13,Paramètres!$A$1:$I$89,3,0)*VLOOKUP('Données projet'!$B$13,Paramètres!$A$1:$I$89,5,0)</f>
        <v>23.284966875642816</v>
      </c>
      <c r="CV20" s="13">
        <f t="shared" si="41"/>
        <v>7.4387521130794694</v>
      </c>
      <c r="CW20" s="20">
        <f t="shared" si="13"/>
        <v>53.510477238691315</v>
      </c>
      <c r="CX20" s="59">
        <f t="shared" si="14"/>
        <v>346.84381057202461</v>
      </c>
      <c r="CY20" s="59">
        <f ca="1">AVERAGE(OFFSET($CX$3,0,0,'Données projet'!$E$13+1,1))-AVERAGE(OFFSET($H$3,0,0,'Données projet'!$E$13+1,1))</f>
        <v>297.21955661193238</v>
      </c>
      <c r="CZ20" s="59">
        <f t="shared" si="42"/>
        <v>273.69206144662144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77.252760000000009</v>
      </c>
      <c r="DQ20" s="13">
        <f t="shared" si="43"/>
        <v>21.4641096918828</v>
      </c>
      <c r="DR20" s="20">
        <f t="shared" si="16"/>
        <v>171.93188138002924</v>
      </c>
      <c r="DS20" s="59">
        <f t="shared" si="17"/>
        <v>465.26521471336252</v>
      </c>
      <c r="DT20" s="59">
        <f ca="1">AVERAGE(OFFSET($DS$3,0,0,'Données projet'!$E$14+1,1))-AVERAGE(OFFSET($H$3,0,0,'Données projet'!$E$14+1,1))</f>
        <v>260.20517190557814</v>
      </c>
      <c r="DU20" s="59">
        <f t="shared" si="44"/>
        <v>307.22009971147133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6.1</v>
      </c>
      <c r="EJ20" s="12">
        <f>IF('Données projet'!$A$192&gt;35,EJ19+EI20-ER19,IF(A20&lt;'Données projet'!$A$192,$EG$205^A20,IF(A20='Données projet'!$A$192,'Données projet'!$B$192,EJ19+EI20-ER19)))</f>
        <v>59.347968304302356</v>
      </c>
      <c r="EK20" s="17">
        <f>EJ20*VLOOKUP('Données projet'!$B$15,Paramètres!$A$1:$I$89,3,0)*VLOOKUP('Données projet'!$B$15,Paramètres!$A$1:$I$89,5,0)</f>
        <v>35.490085045972812</v>
      </c>
      <c r="EL20" s="13">
        <f t="shared" si="45"/>
        <v>10.795099396205458</v>
      </c>
      <c r="EM20" s="20">
        <f t="shared" si="19"/>
        <v>80.613362903460484</v>
      </c>
      <c r="EN20" s="59">
        <f t="shared" si="20"/>
        <v>373.9466962367938</v>
      </c>
      <c r="EO20" s="59">
        <f ca="1">AVERAGE(OFFSET($EN$3,0,0,'Données projet'!$E$15+1,1))-AVERAGE(OFFSET($H$3,0,0,'Données projet'!$E$15+1,1))</f>
        <v>259.30247982593914</v>
      </c>
      <c r="EP20" s="59">
        <f t="shared" si="46"/>
        <v>275.24740346220779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5.05</v>
      </c>
      <c r="FE20" s="12">
        <f>IF('Données projet'!$A$218&gt;35,FE19+FD20-FM19,IF(A20&lt;'Données projet'!$A$218,$FB$205^A20,IF(A20='Données projet'!$A$218,'Données projet'!$B$218,FE19+FD20-FM19)))</f>
        <v>50.544414222683258</v>
      </c>
      <c r="FF20" s="17">
        <f>FE20*VLOOKUP('Données projet'!$B$16,Paramètres!$A$1:$I$89,3,0)*VLOOKUP('Données projet'!$B$16,Paramètres!$A$1:$I$89,5,0)</f>
        <v>51.252036021800826</v>
      </c>
      <c r="FG20" s="13">
        <f t="shared" si="47"/>
        <v>14.936636528330139</v>
      </c>
      <c r="FH20" s="20">
        <f t="shared" si="22"/>
        <v>115.27860469147809</v>
      </c>
      <c r="FI20" s="59">
        <f t="shared" si="23"/>
        <v>408.61193802481142</v>
      </c>
      <c r="FJ20" s="59">
        <f ca="1">AVERAGE(OFFSET($FI$3,0,0,'Données projet'!$E$16+1,1))-AVERAGE(OFFSET($H$3,0,0,'Données projet'!$E$16+1,1))</f>
        <v>372.91317851957336</v>
      </c>
      <c r="FK20" s="59">
        <f t="shared" si="48"/>
        <v>269.69187715858413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7.9</v>
      </c>
      <c r="FZ20" s="12">
        <f>IF('Données projet'!$A$244&gt;35,FZ19+FY20-GH19,IF(A20&lt;'Données projet'!$A$244,$FW$205^A20,IF(A20='Données projet'!$A$244,'Données projet'!$B$244,FZ19+FY20-GH19)))</f>
        <v>73.936437994095741</v>
      </c>
      <c r="GA20" s="17">
        <f>FZ20*VLOOKUP('Données projet'!$B$17,Paramètres!$A$1:$I$89,3,0)*VLOOKUP('Données projet'!$B$17,Paramètres!$A$1:$I$89,5,0)</f>
        <v>34.602252981236802</v>
      </c>
      <c r="GB20" s="13">
        <f t="shared" si="49"/>
        <v>10.556129086190376</v>
      </c>
      <c r="GC20" s="20">
        <f t="shared" si="25"/>
        <v>78.650848767435647</v>
      </c>
      <c r="GD20" s="59">
        <f t="shared" si="26"/>
        <v>371.98418210076898</v>
      </c>
      <c r="GE20" s="59">
        <f ca="1">AVERAGE(OFFSET($GD$3,0,0,'Données projet'!$E$17+1,1))-AVERAGE(OFFSET($H$3,0,0,'Données projet'!$E$17+1,1))</f>
        <v>215.23235148064941</v>
      </c>
      <c r="GF20" s="59">
        <f t="shared" si="50"/>
        <v>184.07239726900434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17.25</v>
      </c>
      <c r="GU20" s="12">
        <f>IF('Données projet'!$A$270&gt;35,GU19+GT20-HC19,IF(A20&lt;'Données projet'!$A$270,$GR$205^A20,IF(A20='Données projet'!$A$270,'Données projet'!$B$270,GU19+GT20-HC19)))</f>
        <v>99.25</v>
      </c>
      <c r="GV20" s="17">
        <f>GU20*VLOOKUP('Données projet'!$B$18,Paramètres!$A$1:$I$89,3,0)*VLOOKUP('Données projet'!$B$18,Paramètres!$A$1:$I$89,5,0)</f>
        <v>59.351500000000001</v>
      </c>
      <c r="GW20" s="13">
        <f t="shared" si="51"/>
        <v>17.004204309648518</v>
      </c>
      <c r="GX20" s="20">
        <f t="shared" si="28"/>
        <v>132.98618500597115</v>
      </c>
      <c r="GY20" s="59">
        <f t="shared" si="29"/>
        <v>426.31951833930447</v>
      </c>
      <c r="GZ20" s="59">
        <f ca="1">AVERAGE(OFFSET($GY$3,0,0,'Données projet'!$E$18+1,1))-AVERAGE(OFFSET($H$3,0,0,'Données projet'!$E$18+1,1))</f>
        <v>227.89848316900191</v>
      </c>
      <c r="HA20" s="59">
        <f t="shared" si="52"/>
        <v>239.85955661394541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4.3231221751140616</v>
      </c>
      <c r="HI20" s="21">
        <f>EXP(-LN(2)/2)*HI19+(1-EXP(-LN(2)/2))/(LN(2)/2)*HC20*HF20*VLOOKUP('Données projet'!$B$18,Paramètres!$A$1:$I$89,3,0)*0.475*44/12</f>
        <v>5.9845532875589305</v>
      </c>
      <c r="HJ20" s="22">
        <f t="shared" si="30"/>
        <v>10.307675462672993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17.5</v>
      </c>
      <c r="N21" s="13">
        <f>IF('Données projet'!$A$36&gt;35,N20+M21-V20,IF(A21&lt;'Données projet'!$A$36,$K$205^A21,IF(A21='Données projet'!$A$36,'Données projet'!$B$36,N20+M21-V20)))</f>
        <v>160</v>
      </c>
      <c r="O21" s="13">
        <f>N21*VLOOKUP('Données projet'!$B$9,Paramètres!$A$1:$I$89,3,0)*VLOOKUP('Données projet'!$B$9,Paramètres!$A$1:$I$89,5,0)</f>
        <v>89.44</v>
      </c>
      <c r="P21" s="13">
        <f t="shared" si="33"/>
        <v>24.430117455867048</v>
      </c>
      <c r="Q21" s="20">
        <f t="shared" si="2"/>
        <v>198.32378790230177</v>
      </c>
      <c r="R21" s="59">
        <f t="shared" si="0"/>
        <v>491.65712123563509</v>
      </c>
      <c r="S21" s="59">
        <f ca="1">AVERAGE(OFFSET($R$3,0,0,'Données projet'!$E$9+1,1))-AVERAGE(OFFSET($H$3,0,0,'Données projet'!$E$9+1,1))</f>
        <v>370.69652285220093</v>
      </c>
      <c r="T21" s="59">
        <f t="shared" si="34"/>
        <v>376.53494965377718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5.05</v>
      </c>
      <c r="AI21" s="13">
        <f>IF('Données projet'!$A$62&gt;35,AI20+AH21-AQ20,IF(A21&lt;'Données projet'!$A$62,$AF$205^A21,IF(A21='Données projet'!$A$62,'Données projet'!$B$62,AI20+AH21-AQ20)))</f>
        <v>63.663313162894049</v>
      </c>
      <c r="AJ21" s="13">
        <f>AI21*VLOOKUP('Données projet'!$B$10,Paramètres!$A$1:$I$89,3,0)*VLOOKUP('Données projet'!$B$10,Paramètres!$A$1:$I$89,5,0)</f>
        <v>57.602565749786528</v>
      </c>
      <c r="AK21" s="13">
        <f t="shared" si="35"/>
        <v>16.56069139943542</v>
      </c>
      <c r="AL21" s="20">
        <f t="shared" si="4"/>
        <v>129.16767286822821</v>
      </c>
      <c r="AM21" s="59">
        <f t="shared" si="5"/>
        <v>422.50100620156149</v>
      </c>
      <c r="AN21" s="59">
        <f ca="1">AVERAGE(OFFSET($AM$3,0,0,'Données projet'!$E$10+1,1))-AVERAGE(OFFSET($H$3,0,0,'Données projet'!$E$10+1,1))</f>
        <v>321.03881567735544</v>
      </c>
      <c r="AO21" s="59">
        <f t="shared" si="36"/>
        <v>234.87694492493506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16.7</v>
      </c>
      <c r="BD21" s="12">
        <f>IF('Données projet'!$A$88&gt;35,BD20+BC21-BL20,IF(A21&lt;'Données projet'!$A$88,$BA$205^A21,IF(A21='Données projet'!$A$88,'Données projet'!$B$88,BD20+BC21-BL20)))</f>
        <v>176.6</v>
      </c>
      <c r="BE21" s="13">
        <f>BD21*VLOOKUP('Données projet'!$B$11,Paramètres!$A$1:$I$89,3,0)*VLOOKUP('Données projet'!$B$11,Paramètres!$A$1:$I$89,5,0)</f>
        <v>96.423599999999993</v>
      </c>
      <c r="BF21" s="13">
        <f t="shared" si="37"/>
        <v>26.108172039585249</v>
      </c>
      <c r="BG21" s="20">
        <f t="shared" si="7"/>
        <v>213.40950296894428</v>
      </c>
      <c r="BH21" s="59">
        <f t="shared" si="8"/>
        <v>506.74283630227762</v>
      </c>
      <c r="BI21" s="59">
        <f ca="1">AVERAGE(OFFSET($BH$3,0,0,'Données projet'!$E$11+1,1))-AVERAGE(OFFSET($H$3,0,0,'Données projet'!$E$11+1,1))</f>
        <v>248.1486444660062</v>
      </c>
      <c r="BJ21" s="59">
        <f t="shared" si="38"/>
        <v>293.34458072322127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1.3870409533116856</v>
      </c>
      <c r="BR21" s="21">
        <f>EXP(-LN(2)/2)*BR20+(1-EXP(-LN(2)/2))/(LN(2)/2)*BL21*BO21*VLOOKUP('Données projet'!$B$11,Paramètres!$A$1:$I$89,3,0)*0.475*44/12</f>
        <v>0.1545497086123627</v>
      </c>
      <c r="BS21" s="22">
        <f t="shared" si="9"/>
        <v>1.5415906619240483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14.2</v>
      </c>
      <c r="BY21" s="12">
        <f>IF('Données projet'!$A$114&gt;35,BY20+BX21-CG20,IF(A21&lt;'Données projet'!$A$114,$BV$205^A21,IF(A21='Données projet'!$A$114,'Données projet'!$B$114,BY20+BX21-CG20)))</f>
        <v>108.60000000000001</v>
      </c>
      <c r="BZ21" s="13">
        <f>BY21*VLOOKUP('Données projet'!$B$12,Paramètres!$A$1:$I$89,3,0)*VLOOKUP('Données projet'!$B$12,Paramètres!$A$1:$I$89,5,0)</f>
        <v>94.87296000000002</v>
      </c>
      <c r="CA21" s="13">
        <f t="shared" si="39"/>
        <v>25.736834760472274</v>
      </c>
      <c r="CB21" s="20">
        <f t="shared" si="10"/>
        <v>210.06205920782259</v>
      </c>
      <c r="CC21" s="59">
        <f t="shared" si="11"/>
        <v>503.3953925411559</v>
      </c>
      <c r="CD21" s="59">
        <f ca="1">AVERAGE(OFFSET($CC$3,0,0,'Données projet'!$E$12+1,1))-AVERAGE(OFFSET($H$3,0,0,'Données projet'!$E$12+1,1))</f>
        <v>243.38048563215585</v>
      </c>
      <c r="CE21" s="59">
        <f t="shared" si="40"/>
        <v>372.1604147006675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1.9982532919840765</v>
      </c>
      <c r="CM21" s="21">
        <f>EXP(-LN(2)/2)*CM20+(1-EXP(-LN(2)/2))/(LN(2)/2)*CG21*CJ21*VLOOKUP('Données projet'!$B$12,Paramètres!$A$1:$I$89,3,0)*0.475*44/12</f>
        <v>1.5299640578628924</v>
      </c>
      <c r="CN21" s="22">
        <f t="shared" si="12"/>
        <v>3.5282173498469689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4.8</v>
      </c>
      <c r="CT21" s="12">
        <f>IF('Données projet'!$A$140&gt;35,CT20+CS21-DB20,IF(A21&lt;'Données projet'!$A$140,$CQ$205^A21,IF(A21='Données projet'!$A$140,'Données projet'!$B$140,CT20+CS21-DB20)))</f>
        <v>60.819677051026375</v>
      </c>
      <c r="CU21" s="17">
        <f>CT21*VLOOKUP('Données projet'!$B$13,Paramètres!$A$1:$I$89,3,0)*VLOOKUP('Données projet'!$B$13,Paramètres!$A$1:$I$89,5,0)</f>
        <v>29.254264661543687</v>
      </c>
      <c r="CV21" s="13">
        <f t="shared" si="41"/>
        <v>9.1007425686094034</v>
      </c>
      <c r="CW21" s="20">
        <f t="shared" si="13"/>
        <v>66.801637592516627</v>
      </c>
      <c r="CX21" s="59">
        <f t="shared" si="14"/>
        <v>360.13497092584993</v>
      </c>
      <c r="CY21" s="59">
        <f ca="1">AVERAGE(OFFSET($CX$3,0,0,'Données projet'!$E$13+1,1))-AVERAGE(OFFSET($H$3,0,0,'Données projet'!$E$13+1,1))</f>
        <v>297.21955661193238</v>
      </c>
      <c r="CZ21" s="59">
        <f t="shared" si="42"/>
        <v>273.69206144662144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87.038640000000001</v>
      </c>
      <c r="DQ21" s="13">
        <f t="shared" si="43"/>
        <v>23.849631507508057</v>
      </c>
      <c r="DR21" s="20">
        <f t="shared" si="16"/>
        <v>193.13040620890987</v>
      </c>
      <c r="DS21" s="59">
        <f t="shared" si="17"/>
        <v>486.46373954224316</v>
      </c>
      <c r="DT21" s="59">
        <f ca="1">AVERAGE(OFFSET($DS$3,0,0,'Données projet'!$E$14+1,1))-AVERAGE(OFFSET($H$3,0,0,'Données projet'!$E$14+1,1))</f>
        <v>260.20517190557814</v>
      </c>
      <c r="DU21" s="59">
        <f t="shared" si="44"/>
        <v>307.22009971147133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6.1</v>
      </c>
      <c r="EJ21" s="12">
        <f>IF('Données projet'!$A$192&gt;35,EJ20+EI21-ER20,IF(A21&lt;'Données projet'!$A$192,$EG$205^A21,IF(A21='Données projet'!$A$192,'Données projet'!$B$192,EJ20+EI21-ER20)))</f>
        <v>75.461224403048902</v>
      </c>
      <c r="EK21" s="17">
        <f>EJ21*VLOOKUP('Données projet'!$B$15,Paramètres!$A$1:$I$89,3,0)*VLOOKUP('Données projet'!$B$15,Paramètres!$A$1:$I$89,5,0)</f>
        <v>45.125812193023251</v>
      </c>
      <c r="EL21" s="13">
        <f t="shared" si="45"/>
        <v>13.347564333818791</v>
      </c>
      <c r="EM21" s="20">
        <f t="shared" si="19"/>
        <v>101.8411307842499</v>
      </c>
      <c r="EN21" s="59">
        <f t="shared" si="20"/>
        <v>395.17446411758323</v>
      </c>
      <c r="EO21" s="59">
        <f ca="1">AVERAGE(OFFSET($EN$3,0,0,'Données projet'!$E$15+1,1))-AVERAGE(OFFSET($H$3,0,0,'Données projet'!$E$15+1,1))</f>
        <v>259.30247982593914</v>
      </c>
      <c r="EP21" s="59">
        <f t="shared" si="46"/>
        <v>275.24740346220779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5.05</v>
      </c>
      <c r="FE21" s="12">
        <f>IF('Données projet'!$A$218&gt;35,FE20+FD21-FM20,IF(A21&lt;'Données projet'!$A$218,$FB$205^A21,IF(A21='Données projet'!$A$218,'Données projet'!$B$218,FE20+FD21-FM20)))</f>
        <v>63.663313162894049</v>
      </c>
      <c r="FF21" s="17">
        <f>FE21*VLOOKUP('Données projet'!$B$16,Paramètres!$A$1:$I$89,3,0)*VLOOKUP('Données projet'!$B$16,Paramètres!$A$1:$I$89,5,0)</f>
        <v>64.554599547174575</v>
      </c>
      <c r="FG21" s="13">
        <f t="shared" si="47"/>
        <v>18.314865396039242</v>
      </c>
      <c r="FH21" s="20">
        <f t="shared" si="22"/>
        <v>144.33098477609738</v>
      </c>
      <c r="FI21" s="59">
        <f t="shared" si="23"/>
        <v>437.66431810943072</v>
      </c>
      <c r="FJ21" s="59">
        <f ca="1">AVERAGE(OFFSET($FI$3,0,0,'Données projet'!$E$16+1,1))-AVERAGE(OFFSET($H$3,0,0,'Données projet'!$E$16+1,1))</f>
        <v>372.91317851957336</v>
      </c>
      <c r="FK21" s="59">
        <f t="shared" si="48"/>
        <v>269.69187715858413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7.9</v>
      </c>
      <c r="FZ21" s="12">
        <f>IF('Données projet'!$A$244&gt;35,FZ20+FY21-GH20,IF(A21&lt;'Données projet'!$A$244,$FW$205^A21,IF(A21='Données projet'!$A$244,'Données projet'!$B$244,FZ20+FY21-GH20)))</f>
        <v>95.233857990035276</v>
      </c>
      <c r="GA21" s="17">
        <f>FZ21*VLOOKUP('Données projet'!$B$17,Paramètres!$A$1:$I$89,3,0)*VLOOKUP('Données projet'!$B$17,Paramètres!$A$1:$I$89,5,0)</f>
        <v>44.569445539336513</v>
      </c>
      <c r="GB21" s="13">
        <f t="shared" si="49"/>
        <v>13.202049673437019</v>
      </c>
      <c r="GC21" s="20">
        <f t="shared" si="25"/>
        <v>100.61868749558056</v>
      </c>
      <c r="GD21" s="59">
        <f t="shared" si="26"/>
        <v>393.95202082891387</v>
      </c>
      <c r="GE21" s="59">
        <f ca="1">AVERAGE(OFFSET($GD$3,0,0,'Données projet'!$E$17+1,1))-AVERAGE(OFFSET($H$3,0,0,'Données projet'!$E$17+1,1))</f>
        <v>215.23235148064941</v>
      </c>
      <c r="GF21" s="59">
        <f t="shared" si="50"/>
        <v>184.07239726900434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17.25</v>
      </c>
      <c r="GU21" s="12">
        <f>IF('Données projet'!$A$270&gt;35,GU20+GT21-HC20,IF(A21&lt;'Données projet'!$A$270,$GR$205^A21,IF(A21='Données projet'!$A$270,'Données projet'!$B$270,GU20+GT21-HC20)))</f>
        <v>116.5</v>
      </c>
      <c r="GV21" s="17">
        <f>GU21*VLOOKUP('Données projet'!$B$18,Paramètres!$A$1:$I$89,3,0)*VLOOKUP('Données projet'!$B$18,Paramètres!$A$1:$I$89,5,0)</f>
        <v>69.667000000000002</v>
      </c>
      <c r="GW21" s="13">
        <f t="shared" si="51"/>
        <v>19.590738998763356</v>
      </c>
      <c r="GX21" s="20">
        <f t="shared" si="28"/>
        <v>155.45722875617952</v>
      </c>
      <c r="GY21" s="59">
        <f t="shared" si="29"/>
        <v>448.79056208951283</v>
      </c>
      <c r="GZ21" s="59">
        <f ca="1">AVERAGE(OFFSET($GY$3,0,0,'Données projet'!$E$18+1,1))-AVERAGE(OFFSET($H$3,0,0,'Données projet'!$E$18+1,1))</f>
        <v>227.89848316900191</v>
      </c>
      <c r="HA21" s="59">
        <f t="shared" si="52"/>
        <v>239.85955661394541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4.2049061718924534</v>
      </c>
      <c r="HI21" s="21">
        <f>EXP(-LN(2)/2)*HI20+(1-EXP(-LN(2)/2))/(LN(2)/2)*HC21*HF21*VLOOKUP('Données projet'!$B$18,Paramètres!$A$1:$I$89,3,0)*0.475*44/12</f>
        <v>4.2317182120051662</v>
      </c>
      <c r="HJ21" s="22">
        <f t="shared" si="30"/>
        <v>8.4366243838976196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17.5</v>
      </c>
      <c r="N22" s="13">
        <f>IF('Données projet'!$A$36&gt;35,N21+M22-V21,IF(A22&lt;'Données projet'!$A$36,$K$205^A22,IF(A22='Données projet'!$A$36,'Données projet'!$B$36,N21+M22-V21)))</f>
        <v>177.5</v>
      </c>
      <c r="O22" s="13">
        <f>N22*VLOOKUP('Données projet'!$B$9,Paramètres!$A$1:$I$89,3,0)*VLOOKUP('Données projet'!$B$9,Paramètres!$A$1:$I$89,5,0)</f>
        <v>99.222500000000011</v>
      </c>
      <c r="P22" s="13">
        <f t="shared" si="33"/>
        <v>26.776684834408954</v>
      </c>
      <c r="Q22" s="20">
        <f t="shared" si="2"/>
        <v>219.44858025326224</v>
      </c>
      <c r="R22" s="59">
        <f t="shared" si="0"/>
        <v>512.78191358659558</v>
      </c>
      <c r="S22" s="59">
        <f ca="1">AVERAGE(OFFSET($R$3,0,0,'Données projet'!$E$9+1,1))-AVERAGE(OFFSET($H$3,0,0,'Données projet'!$E$9+1,1))</f>
        <v>370.69652285220093</v>
      </c>
      <c r="T22" s="59">
        <f t="shared" si="34"/>
        <v>376.53494965377718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5.05</v>
      </c>
      <c r="AI22" s="13">
        <f>IF('Données projet'!$A$62&gt;35,AI21+AH22-AQ21,IF(A22&lt;'Données projet'!$A$62,$AF$205^A22,IF(A22='Données projet'!$A$62,'Données projet'!$B$62,AI21+AH22-AQ21)))</f>
        <v>80.187247299382307</v>
      </c>
      <c r="AJ22" s="13">
        <f>AI22*VLOOKUP('Données projet'!$B$10,Paramètres!$A$1:$I$89,3,0)*VLOOKUP('Données projet'!$B$10,Paramètres!$A$1:$I$89,5,0)</f>
        <v>72.55342135648111</v>
      </c>
      <c r="AK22" s="13">
        <f t="shared" si="35"/>
        <v>20.306233821163552</v>
      </c>
      <c r="AL22" s="20">
        <f t="shared" si="4"/>
        <v>161.73056610106445</v>
      </c>
      <c r="AM22" s="59">
        <f t="shared" si="5"/>
        <v>455.06389943439774</v>
      </c>
      <c r="AN22" s="59">
        <f ca="1">AVERAGE(OFFSET($AM$3,0,0,'Données projet'!$E$10+1,1))-AVERAGE(OFFSET($H$3,0,0,'Données projet'!$E$10+1,1))</f>
        <v>321.03881567735544</v>
      </c>
      <c r="AO22" s="59">
        <f t="shared" si="36"/>
        <v>234.87694492493506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16.7</v>
      </c>
      <c r="BD22" s="12">
        <f>IF('Données projet'!$A$88&gt;35,BD21+BC22-BL21,IF(A22&lt;'Données projet'!$A$88,$BA$205^A22,IF(A22='Données projet'!$A$88,'Données projet'!$B$88,BD21+BC22-BL21)))</f>
        <v>193.29999999999998</v>
      </c>
      <c r="BE22" s="13">
        <f>BD22*VLOOKUP('Données projet'!$B$11,Paramètres!$A$1:$I$89,3,0)*VLOOKUP('Données projet'!$B$11,Paramètres!$A$1:$I$89,5,0)</f>
        <v>105.54179999999999</v>
      </c>
      <c r="BF22" s="13">
        <f t="shared" si="37"/>
        <v>28.278082044462533</v>
      </c>
      <c r="BG22" s="20">
        <f t="shared" si="7"/>
        <v>233.06962789410557</v>
      </c>
      <c r="BH22" s="59">
        <f t="shared" si="8"/>
        <v>526.40296122743894</v>
      </c>
      <c r="BI22" s="59">
        <f ca="1">AVERAGE(OFFSET($BH$3,0,0,'Données projet'!$E$11+1,1))-AVERAGE(OFFSET($H$3,0,0,'Données projet'!$E$11+1,1))</f>
        <v>248.1486444660062</v>
      </c>
      <c r="BJ22" s="59">
        <f t="shared" si="38"/>
        <v>293.34458072322127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1.3491122455020639</v>
      </c>
      <c r="BR22" s="21">
        <f>EXP(-LN(2)/2)*BR21+(1-EXP(-LN(2)/2))/(LN(2)/2)*BL22*BO22*VLOOKUP('Données projet'!$B$11,Paramètres!$A$1:$I$89,3,0)*0.475*44/12</f>
        <v>0.10928314699020664</v>
      </c>
      <c r="BS22" s="22">
        <f t="shared" si="9"/>
        <v>1.4583953924922706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14.2</v>
      </c>
      <c r="BY22" s="12">
        <f>IF('Données projet'!$A$114&gt;35,BY21+BX22-CG21,IF(A22&lt;'Données projet'!$A$114,$BV$205^A22,IF(A22='Données projet'!$A$114,'Données projet'!$B$114,BY21+BX22-CG21)))</f>
        <v>122.80000000000001</v>
      </c>
      <c r="BZ22" s="13">
        <f>BY22*VLOOKUP('Données projet'!$B$12,Paramètres!$A$1:$I$89,3,0)*VLOOKUP('Données projet'!$B$12,Paramètres!$A$1:$I$89,5,0)</f>
        <v>107.27808000000003</v>
      </c>
      <c r="CA22" s="13">
        <f t="shared" si="39"/>
        <v>28.688746800886673</v>
      </c>
      <c r="CB22" s="20">
        <f t="shared" si="10"/>
        <v>236.80889001154432</v>
      </c>
      <c r="CC22" s="59">
        <f t="shared" si="11"/>
        <v>530.14222334487761</v>
      </c>
      <c r="CD22" s="59">
        <f ca="1">AVERAGE(OFFSET($CC$3,0,0,'Données projet'!$E$12+1,1))-AVERAGE(OFFSET($H$3,0,0,'Données projet'!$E$12+1,1))</f>
        <v>243.38048563215585</v>
      </c>
      <c r="CE22" s="59">
        <f t="shared" si="40"/>
        <v>372.1604147006675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1.9436109506311985</v>
      </c>
      <c r="CM22" s="21">
        <f>EXP(-LN(2)/2)*CM21+(1-EXP(-LN(2)/2))/(LN(2)/2)*CG22*CJ22*VLOOKUP('Données projet'!$B$12,Paramètres!$A$1:$I$89,3,0)*0.475*44/12</f>
        <v>1.0818479602865387</v>
      </c>
      <c r="CN22" s="22">
        <f t="shared" si="12"/>
        <v>3.0254589109177372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4.8</v>
      </c>
      <c r="CT22" s="12">
        <f>IF('Données projet'!$A$140&gt;35,CT21+CS22-DB21,IF(A22&lt;'Données projet'!$A$140,$CQ$205^A22,IF(A22='Données projet'!$A$140,'Données projet'!$B$140,CT21+CS22-DB21)))</f>
        <v>76.411314586902208</v>
      </c>
      <c r="CU22" s="17">
        <f>CT22*VLOOKUP('Données projet'!$B$13,Paramètres!$A$1:$I$89,3,0)*VLOOKUP('Données projet'!$B$13,Paramètres!$A$1:$I$89,5,0)</f>
        <v>36.753842316299966</v>
      </c>
      <c r="CV22" s="13">
        <f t="shared" si="41"/>
        <v>11.134060396295732</v>
      </c>
      <c r="CW22" s="20">
        <f t="shared" si="13"/>
        <v>83.404763891104167</v>
      </c>
      <c r="CX22" s="59">
        <f t="shared" si="14"/>
        <v>376.73809722443747</v>
      </c>
      <c r="CY22" s="59">
        <f ca="1">AVERAGE(OFFSET($CX$3,0,0,'Données projet'!$E$13+1,1))-AVERAGE(OFFSET($H$3,0,0,'Données projet'!$E$13+1,1))</f>
        <v>297.21955661193238</v>
      </c>
      <c r="CZ22" s="59">
        <f t="shared" si="42"/>
        <v>273.69206144662144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96.824519999999993</v>
      </c>
      <c r="DQ22" s="13">
        <f t="shared" si="43"/>
        <v>26.20406828580953</v>
      </c>
      <c r="DR22" s="20">
        <f t="shared" si="16"/>
        <v>214.27479126445158</v>
      </c>
      <c r="DS22" s="59">
        <f t="shared" si="17"/>
        <v>507.60812459778492</v>
      </c>
      <c r="DT22" s="59">
        <f ca="1">AVERAGE(OFFSET($DS$3,0,0,'Données projet'!$E$14+1,1))-AVERAGE(OFFSET($H$3,0,0,'Données projet'!$E$14+1,1))</f>
        <v>260.20517190557814</v>
      </c>
      <c r="DU22" s="59">
        <f t="shared" si="44"/>
        <v>307.22009971147133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6.1</v>
      </c>
      <c r="EJ22" s="12">
        <f>IF('Données projet'!$A$192&gt;35,EJ21+EI22-ER21,IF(A22&lt;'Données projet'!$A$192,$EG$205^A22,IF(A22='Données projet'!$A$192,'Données projet'!$B$192,EJ21+EI22-ER21)))</f>
        <v>95.949306288122685</v>
      </c>
      <c r="EK22" s="17">
        <f>EJ22*VLOOKUP('Données projet'!$B$15,Paramètres!$A$1:$I$89,3,0)*VLOOKUP('Données projet'!$B$15,Paramètres!$A$1:$I$89,5,0)</f>
        <v>57.377685160297375</v>
      </c>
      <c r="EL22" s="13">
        <f t="shared" si="45"/>
        <v>16.503551019461209</v>
      </c>
      <c r="EM22" s="20">
        <f t="shared" si="19"/>
        <v>128.67648634641287</v>
      </c>
      <c r="EN22" s="59">
        <f t="shared" si="20"/>
        <v>422.00981967974622</v>
      </c>
      <c r="EO22" s="59">
        <f ca="1">AVERAGE(OFFSET($EN$3,0,0,'Données projet'!$E$15+1,1))-AVERAGE(OFFSET($H$3,0,0,'Données projet'!$E$15+1,1))</f>
        <v>259.30247982593914</v>
      </c>
      <c r="EP22" s="59">
        <f t="shared" si="46"/>
        <v>275.24740346220779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5.05</v>
      </c>
      <c r="FE22" s="12">
        <f>IF('Données projet'!$A$218&gt;35,FE21+FD22-FM21,IF(A22&lt;'Données projet'!$A$218,$FB$205^A22,IF(A22='Données projet'!$A$218,'Données projet'!$B$218,FE21+FD22-FM21)))</f>
        <v>80.187247299382307</v>
      </c>
      <c r="FF22" s="17">
        <f>FE22*VLOOKUP('Données projet'!$B$16,Paramètres!$A$1:$I$89,3,0)*VLOOKUP('Données projet'!$B$16,Paramètres!$A$1:$I$89,5,0)</f>
        <v>81.309868761573668</v>
      </c>
      <c r="FG22" s="13">
        <f t="shared" si="47"/>
        <v>22.457150499633652</v>
      </c>
      <c r="FH22" s="20">
        <f t="shared" si="22"/>
        <v>180.72755854660275</v>
      </c>
      <c r="FI22" s="59">
        <f t="shared" si="23"/>
        <v>474.06089187993609</v>
      </c>
      <c r="FJ22" s="59">
        <f ca="1">AVERAGE(OFFSET($FI$3,0,0,'Données projet'!$E$16+1,1))-AVERAGE(OFFSET($H$3,0,0,'Données projet'!$E$16+1,1))</f>
        <v>372.91317851957336</v>
      </c>
      <c r="FK22" s="59">
        <f t="shared" si="48"/>
        <v>269.69187715858413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7.9</v>
      </c>
      <c r="FZ22" s="12">
        <f>IF('Données projet'!$A$244&gt;35,FZ21+FY22-GH21,IF(A22&lt;'Données projet'!$A$244,$FW$205^A22,IF(A22='Données projet'!$A$244,'Données projet'!$B$244,FZ21+FY22-GH21)))</f>
        <v>122.66600817840934</v>
      </c>
      <c r="GA22" s="17">
        <f>FZ22*VLOOKUP('Données projet'!$B$17,Paramètres!$A$1:$I$89,3,0)*VLOOKUP('Données projet'!$B$17,Paramètres!$A$1:$I$89,5,0)</f>
        <v>57.407691827495569</v>
      </c>
      <c r="GB22" s="13">
        <f t="shared" si="49"/>
        <v>16.511176981334152</v>
      </c>
      <c r="GC22" s="20">
        <f t="shared" si="25"/>
        <v>128.7420298420451</v>
      </c>
      <c r="GD22" s="59">
        <f t="shared" si="26"/>
        <v>422.07536317537841</v>
      </c>
      <c r="GE22" s="59">
        <f ca="1">AVERAGE(OFFSET($GD$3,0,0,'Données projet'!$E$17+1,1))-AVERAGE(OFFSET($H$3,0,0,'Données projet'!$E$17+1,1))</f>
        <v>215.23235148064941</v>
      </c>
      <c r="GF22" s="59">
        <f t="shared" si="50"/>
        <v>184.07239726900434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17.25</v>
      </c>
      <c r="GU22" s="12">
        <f>IF('Données projet'!$A$270&gt;35,GU21+GT22-HC21,IF(A22&lt;'Données projet'!$A$270,$GR$205^A22,IF(A22='Données projet'!$A$270,'Données projet'!$B$270,GU21+GT22-HC21)))</f>
        <v>133.75</v>
      </c>
      <c r="GV22" s="17">
        <f>GU22*VLOOKUP('Données projet'!$B$18,Paramètres!$A$1:$I$89,3,0)*VLOOKUP('Données projet'!$B$18,Paramètres!$A$1:$I$89,5,0)</f>
        <v>79.982500000000016</v>
      </c>
      <c r="GW22" s="13">
        <f t="shared" si="51"/>
        <v>22.132905233204649</v>
      </c>
      <c r="GX22" s="20">
        <f t="shared" si="28"/>
        <v>177.85099744783145</v>
      </c>
      <c r="GY22" s="59">
        <f t="shared" si="29"/>
        <v>471.18433078116476</v>
      </c>
      <c r="GZ22" s="59">
        <f ca="1">AVERAGE(OFFSET($GY$3,0,0,'Données projet'!$E$18+1,1))-AVERAGE(OFFSET($H$3,0,0,'Données projet'!$E$18+1,1))</f>
        <v>227.89848316900191</v>
      </c>
      <c r="HA22" s="59">
        <f t="shared" si="52"/>
        <v>239.85955661394541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4.0899227914956491</v>
      </c>
      <c r="HI22" s="21">
        <f>EXP(-LN(2)/2)*HI21+(1-EXP(-LN(2)/2))/(LN(2)/2)*HC22*HF22*VLOOKUP('Données projet'!$B$18,Paramètres!$A$1:$I$89,3,0)*0.475*44/12</f>
        <v>2.9922766437794652</v>
      </c>
      <c r="HJ22" s="22">
        <f t="shared" si="30"/>
        <v>7.0821994352751148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195</v>
      </c>
      <c r="L23" s="12">
        <f>VLOOKUP(A23,'Données projet'!$A$35:$I$55,9,0)</f>
        <v>17.5</v>
      </c>
      <c r="M23" s="12">
        <f t="array" ref="M23">INDEX(L:L,MIN(IF(ISNUMBER(L23:L219),ROW(L23:L219),"")))</f>
        <v>17.5</v>
      </c>
      <c r="N23" s="13">
        <f>IF('Données projet'!$A$36&gt;35,N22+M23-V22,IF(A23&lt;'Données projet'!$A$36,$K$205^A23,IF(A23='Données projet'!$A$36,'Données projet'!$B$36,N22+M23-V22)))</f>
        <v>195</v>
      </c>
      <c r="O23" s="13">
        <f>N23*VLOOKUP('Données projet'!$B$9,Paramètres!$A$1:$I$89,3,0)*VLOOKUP('Données projet'!$B$9,Paramètres!$A$1:$I$89,5,0)</f>
        <v>109.005</v>
      </c>
      <c r="P23" s="13">
        <f t="shared" si="33"/>
        <v>29.09643097993688</v>
      </c>
      <c r="Q23" s="20">
        <f t="shared" si="2"/>
        <v>240.52665895672337</v>
      </c>
      <c r="R23" s="59">
        <f t="shared" si="0"/>
        <v>533.85999229005665</v>
      </c>
      <c r="S23" s="59">
        <f ca="1">AVERAGE(OFFSET($R$3,0,0,'Données projet'!$E$9+1,1))-AVERAGE(OFFSET($H$3,0,0,'Données projet'!$E$9+1,1))</f>
        <v>370.69652285220093</v>
      </c>
      <c r="T23" s="59">
        <f t="shared" si="34"/>
        <v>376.53494965377718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84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17.062347630087249</v>
      </c>
      <c r="AB23" s="21">
        <f>EXP(-LN(2)/2)*AB22+(1-EXP(-LN(2)/2))/(LN(2)/2)*V23*Y23*VLOOKUP('Données projet'!$B$9,Paramètres!$A$1:$I$89,3,0)*0.475*44/12</f>
        <v>26.582549881326369</v>
      </c>
      <c r="AC23" s="22">
        <f t="shared" si="3"/>
        <v>43.644897511413618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101</v>
      </c>
      <c r="AG23" s="12">
        <f>VLOOKUP(A23,'Données projet'!$A$61:$I$81,9,0)</f>
        <v>5.05</v>
      </c>
      <c r="AH23" s="12">
        <f t="array" ref="AH23">INDEX(AG:AG,MIN(IF(ISNUMBER(AG23:AG219),ROW(AG23:AG219),"")))</f>
        <v>5.05</v>
      </c>
      <c r="AI23" s="13">
        <f>IF('Données projet'!$A$62&gt;35,AI22+AH23-AQ22,IF(A23&lt;'Données projet'!$A$62,$AF$205^A23,IF(A23='Données projet'!$A$62,'Données projet'!$B$62,AI22+AH23-AQ22)))</f>
        <v>101</v>
      </c>
      <c r="AJ23" s="13">
        <f>AI23*VLOOKUP('Données projet'!$B$10,Paramètres!$A$1:$I$89,3,0)*VLOOKUP('Données projet'!$B$10,Paramètres!$A$1:$I$89,5,0)</f>
        <v>91.384799999999998</v>
      </c>
      <c r="AK23" s="13">
        <f t="shared" si="35"/>
        <v>24.898908025894642</v>
      </c>
      <c r="AL23" s="20">
        <f t="shared" si="4"/>
        <v>202.52745814509981</v>
      </c>
      <c r="AM23" s="59">
        <f t="shared" si="5"/>
        <v>495.86079147843316</v>
      </c>
      <c r="AN23" s="59">
        <f ca="1">AVERAGE(OFFSET($AM$3,0,0,'Données projet'!$E$10+1,1))-AVERAGE(OFFSET($H$3,0,0,'Données projet'!$E$10+1,1))</f>
        <v>321.03881567735544</v>
      </c>
      <c r="AO23" s="59">
        <f t="shared" si="36"/>
        <v>234.87694492493506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3.6414447539536852</v>
      </c>
      <c r="AW23" s="21">
        <f>EXP(-LN(2)/2)*AW22+(1-EXP(-LN(2)/2))/(LN(2)/2)*AQ23*AT23*VLOOKUP('Données projet'!$B$10,Paramètres!$A$1:$I$89,3,0)*0.475*44/12</f>
        <v>7.2564767948471181</v>
      </c>
      <c r="AX23" s="21">
        <f t="shared" si="6"/>
        <v>10.897921548800802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210</v>
      </c>
      <c r="BB23" s="12">
        <f>VLOOKUP(A23,'Données projet'!$A$87:$I$107,9,0)</f>
        <v>16.7</v>
      </c>
      <c r="BC23" s="12">
        <f t="array" ref="BC23">INDEX(BB:BB,MIN(IF(ISNUMBER(BB23:BB219),ROW(BB23:BB219),"")))</f>
        <v>16.7</v>
      </c>
      <c r="BD23" s="12">
        <f>IF('Données projet'!$A$88&gt;35,BD22+BC23-BL22,IF(A23&lt;'Données projet'!$A$88,$BA$205^A23,IF(A23='Données projet'!$A$88,'Données projet'!$B$88,BD22+BC23-BL22)))</f>
        <v>209.99999999999997</v>
      </c>
      <c r="BE23" s="13">
        <f>BD23*VLOOKUP('Données projet'!$B$11,Paramètres!$A$1:$I$89,3,0)*VLOOKUP('Données projet'!$B$11,Paramètres!$A$1:$I$89,5,0)</f>
        <v>114.65999999999998</v>
      </c>
      <c r="BF23" s="13">
        <f t="shared" si="37"/>
        <v>30.426251641117418</v>
      </c>
      <c r="BG23" s="20">
        <f t="shared" si="7"/>
        <v>252.69188827494611</v>
      </c>
      <c r="BH23" s="59">
        <f t="shared" si="8"/>
        <v>546.02522160827948</v>
      </c>
      <c r="BI23" s="59">
        <f ca="1">AVERAGE(OFFSET($BH$3,0,0,'Données projet'!$E$11+1,1))-AVERAGE(OFFSET($H$3,0,0,'Données projet'!$E$11+1,1))</f>
        <v>248.1486444660062</v>
      </c>
      <c r="BJ23" s="59">
        <f t="shared" si="38"/>
        <v>293.34458072322127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98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22.522919234010324</v>
      </c>
      <c r="BR23" s="21">
        <f>EXP(-LN(2)/2)*BR22+(1-EXP(-LN(2)/2))/(LN(2)/2)*BL23*BO23*VLOOKUP('Données projet'!$B$11,Paramètres!$A$1:$I$89,3,0)*0.475*44/12</f>
        <v>30.369017742329248</v>
      </c>
      <c r="BS23" s="22">
        <f t="shared" si="9"/>
        <v>52.891936976339572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137</v>
      </c>
      <c r="BW23" s="12">
        <f>VLOOKUP(A23,'Données projet'!$A$113:$I$133,9,0)</f>
        <v>14.2</v>
      </c>
      <c r="BX23" s="12">
        <f t="array" ref="BX23">INDEX(BW:BW,MIN(IF(ISNUMBER(BW23:BW219),ROW(BW23:BW219),"")))</f>
        <v>14.2</v>
      </c>
      <c r="BY23" s="12">
        <f>IF('Données projet'!$A$114&gt;35,BY22+BX23-CG22,IF(A23&lt;'Données projet'!$A$114,$BV$205^A23,IF(A23='Données projet'!$A$114,'Données projet'!$B$114,BY22+BX23-CG22)))</f>
        <v>137</v>
      </c>
      <c r="BZ23" s="13">
        <f>BY23*VLOOKUP('Données projet'!$B$12,Paramètres!$A$1:$I$89,3,0)*VLOOKUP('Données projet'!$B$12,Paramètres!$A$1:$I$89,5,0)</f>
        <v>119.68320000000003</v>
      </c>
      <c r="CA23" s="13">
        <f t="shared" si="39"/>
        <v>31.601099532596194</v>
      </c>
      <c r="CB23" s="20">
        <f t="shared" si="10"/>
        <v>263.48682168593842</v>
      </c>
      <c r="CC23" s="59">
        <f t="shared" si="11"/>
        <v>556.82015501927174</v>
      </c>
      <c r="CD23" s="59">
        <f ca="1">AVERAGE(OFFSET($CC$3,0,0,'Données projet'!$E$12+1,1))-AVERAGE(OFFSET($H$3,0,0,'Données projet'!$E$12+1,1))</f>
        <v>243.38048563215585</v>
      </c>
      <c r="CE23" s="59">
        <f t="shared" si="40"/>
        <v>372.1604147006675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6.3370140075443224</v>
      </c>
      <c r="CM23" s="21">
        <f>EXP(-LN(2)/2)*CM22+(1-EXP(-LN(2)/2))/(LN(2)/2)*CG23*CJ23*VLOOKUP('Données projet'!$B$12,Paramètres!$A$1:$I$89,3,0)*0.475*44/12</f>
        <v>9.6258319893735695</v>
      </c>
      <c r="CN23" s="22">
        <f t="shared" si="12"/>
        <v>15.962845996917892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96</v>
      </c>
      <c r="CR23" s="12">
        <f>VLOOKUP(A23,'Données projet'!$A$139:$I$159,9,0)</f>
        <v>4.8</v>
      </c>
      <c r="CS23" s="12">
        <f t="array" ref="CS23">INDEX(CR:CR,MIN(IF(ISNUMBER(CR23:CR219),ROW(CR23:CR219),"")))</f>
        <v>4.8</v>
      </c>
      <c r="CT23" s="12">
        <f>IF('Données projet'!$A$140&gt;35,CT22+CS23-DB22,IF(A23&lt;'Données projet'!$A$140,$CQ$205^A23,IF(A23='Données projet'!$A$140,'Données projet'!$B$140,CT22+CS23-DB22)))</f>
        <v>96</v>
      </c>
      <c r="CU23" s="17">
        <f>CT23*VLOOKUP('Données projet'!$B$13,Paramètres!$A$1:$I$89,3,0)*VLOOKUP('Données projet'!$B$13,Paramètres!$A$1:$I$89,5,0)</f>
        <v>46.175999999999995</v>
      </c>
      <c r="CV23" s="13">
        <f t="shared" si="41"/>
        <v>13.621668778540489</v>
      </c>
      <c r="CW23" s="20">
        <f t="shared" si="13"/>
        <v>104.14760645595801</v>
      </c>
      <c r="CX23" s="59">
        <f t="shared" si="14"/>
        <v>397.48093978929131</v>
      </c>
      <c r="CY23" s="59">
        <f ca="1">AVERAGE(OFFSET($CX$3,0,0,'Données projet'!$E$13+1,1))-AVERAGE(OFFSET($H$3,0,0,'Données projet'!$E$13+1,1))</f>
        <v>297.21955661193238</v>
      </c>
      <c r="CZ23" s="59">
        <f t="shared" si="42"/>
        <v>273.69206144662144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0.27500000000000002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106.61040000000001</v>
      </c>
      <c r="DQ23" s="13">
        <f t="shared" si="43"/>
        <v>28.530919434405451</v>
      </c>
      <c r="DR23" s="20">
        <f t="shared" si="16"/>
        <v>235.3711313482562</v>
      </c>
      <c r="DS23" s="59">
        <f t="shared" si="17"/>
        <v>528.70446468158957</v>
      </c>
      <c r="DT23" s="59">
        <f ca="1">AVERAGE(OFFSET($DS$3,0,0,'Données projet'!$E$14+1,1))-AVERAGE(OFFSET($H$3,0,0,'Données projet'!$E$14+1,1))</f>
        <v>260.20517190557814</v>
      </c>
      <c r="DU23" s="59">
        <f t="shared" si="44"/>
        <v>307.22009971147133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7.7771272982896171</v>
      </c>
      <c r="EC23" s="21">
        <f>EXP(-LN(2)/2)*EC22+(1-EXP(-LN(2)/2))/(LN(2)/2)*DW23*DZ23*VLOOKUP('Données projet'!$B$14,Paramètres!$A$1:$I$89,3,0)*0.475*44/12</f>
        <v>12.573722722105785</v>
      </c>
      <c r="ED23" s="22">
        <f t="shared" si="18"/>
        <v>20.350850020395402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122</v>
      </c>
      <c r="EH23" s="12">
        <f>VLOOKUP(A23,'Données projet'!$A$191:$I$211,9,0)</f>
        <v>6.1</v>
      </c>
      <c r="EI23" s="12">
        <f t="array" ref="EI23">INDEX(EH:EH,MIN(IF(ISNUMBER(EH23:EH219),ROW(EH23:EH219),"")))</f>
        <v>6.1</v>
      </c>
      <c r="EJ23" s="12">
        <f>IF('Données projet'!$A$192&gt;35,EJ22+EI23-ER22,IF(A23&lt;'Données projet'!$A$192,$EG$205^A23,IF(A23='Données projet'!$A$192,'Données projet'!$B$192,EJ22+EI23-ER22)))</f>
        <v>122</v>
      </c>
      <c r="EK23" s="17">
        <f>EJ23*VLOOKUP('Données projet'!$B$15,Paramètres!$A$1:$I$89,3,0)*VLOOKUP('Données projet'!$B$15,Paramètres!$A$1:$I$89,5,0)</f>
        <v>72.956000000000003</v>
      </c>
      <c r="EL23" s="13">
        <f t="shared" si="45"/>
        <v>20.405760140212273</v>
      </c>
      <c r="EM23" s="20">
        <f t="shared" si="19"/>
        <v>162.60506557753638</v>
      </c>
      <c r="EN23" s="59">
        <f t="shared" si="20"/>
        <v>455.93839891086969</v>
      </c>
      <c r="EO23" s="59">
        <f ca="1">AVERAGE(OFFSET($EN$3,0,0,'Données projet'!$E$15+1,1))-AVERAGE(OFFSET($H$3,0,0,'Données projet'!$E$15+1,1))</f>
        <v>259.30247982593914</v>
      </c>
      <c r="EP23" s="59">
        <f t="shared" si="46"/>
        <v>275.24740346220779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23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0.22500000000000001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4.089088747953558</v>
      </c>
      <c r="EX23" s="21">
        <f>EXP(-LN(2)/2)*EX22+(1-EXP(-LN(2)/2))/(LN(2)/2)*ER23*EU23*VLOOKUP('Données projet'!$B$15,Paramètres!$A$1:$I$89,3,0)*0.475*44/12</f>
        <v>7.7863615100895052</v>
      </c>
      <c r="EY23" s="22">
        <f t="shared" si="21"/>
        <v>11.875450258043063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101</v>
      </c>
      <c r="FC23" s="12">
        <f>VLOOKUP(A23,'Données projet'!$A$217:$I$237,9,0)</f>
        <v>5.05</v>
      </c>
      <c r="FD23" s="12">
        <f t="array" ref="FD23">INDEX(FC:FC,MIN(IF(ISNUMBER(FC23:FC219),ROW(FC23:FC219),"")))</f>
        <v>5.05</v>
      </c>
      <c r="FE23" s="12">
        <f>IF('Données projet'!$A$218&gt;35,FE22+FD23-FM22,IF(A23&lt;'Données projet'!$A$218,$FB$205^A23,IF(A23='Données projet'!$A$218,'Données projet'!$B$218,FE22+FD23-FM22)))</f>
        <v>101</v>
      </c>
      <c r="FF23" s="17">
        <f>FE23*VLOOKUP('Données projet'!$B$16,Paramètres!$A$1:$I$89,3,0)*VLOOKUP('Données projet'!$B$16,Paramètres!$A$1:$I$89,5,0)</f>
        <v>102.41400000000002</v>
      </c>
      <c r="FG23" s="13">
        <f t="shared" si="47"/>
        <v>27.536298938471106</v>
      </c>
      <c r="FH23" s="20">
        <f t="shared" si="22"/>
        <v>226.33010398450384</v>
      </c>
      <c r="FI23" s="59">
        <f t="shared" si="23"/>
        <v>519.66343731783718</v>
      </c>
      <c r="FJ23" s="59">
        <f ca="1">AVERAGE(OFFSET($FI$3,0,0,'Données projet'!$E$16+1,1))-AVERAGE(OFFSET($H$3,0,0,'Données projet'!$E$16+1,1))</f>
        <v>372.91317851957336</v>
      </c>
      <c r="FK23" s="59">
        <f t="shared" si="48"/>
        <v>269.69187715858413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34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0.1075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4.0809294656377508</v>
      </c>
      <c r="FS23" s="21">
        <f>EXP(-LN(2)/2)*FS22+(1-EXP(-LN(2)/2))/(LN(2)/2)*FM23*FP23*VLOOKUP('Données projet'!$B$16,Paramètres!$A$1:$I$89,3,0)*0.475*44/12</f>
        <v>8.1322584769838411</v>
      </c>
      <c r="FT23" s="22">
        <f t="shared" si="24"/>
        <v>12.213187942621591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158</v>
      </c>
      <c r="FX23" s="12">
        <f>VLOOKUP(A23,'Données projet'!$A$243:$I$263,9,0)</f>
        <v>7.9</v>
      </c>
      <c r="FY23" s="12">
        <f t="array" ref="FY23">INDEX(FX:FX,MIN(IF(ISNUMBER(FX23:FX219),ROW(FX23:FX219),"")))</f>
        <v>7.9</v>
      </c>
      <c r="FZ23" s="12">
        <f>IF('Données projet'!$A$244&gt;35,FZ22+FY23-GH22,IF(A23&lt;'Données projet'!$A$244,$FW$205^A23,IF(A23='Données projet'!$A$244,'Données projet'!$B$244,FZ22+FY23-GH22)))</f>
        <v>158</v>
      </c>
      <c r="GA23" s="17">
        <f>FZ23*VLOOKUP('Données projet'!$B$17,Paramètres!$A$1:$I$89,3,0)*VLOOKUP('Données projet'!$B$17,Paramètres!$A$1:$I$89,5,0)</f>
        <v>73.944000000000003</v>
      </c>
      <c r="GB23" s="13">
        <f t="shared" si="49"/>
        <v>20.649745460165708</v>
      </c>
      <c r="GC23" s="20">
        <f t="shared" si="25"/>
        <v>164.75077334312192</v>
      </c>
      <c r="GD23" s="59">
        <f t="shared" si="26"/>
        <v>458.08410667645524</v>
      </c>
      <c r="GE23" s="59">
        <f ca="1">AVERAGE(OFFSET($GD$3,0,0,'Données projet'!$E$17+1,1))-AVERAGE(OFFSET($H$3,0,0,'Données projet'!$E$17+1,1))</f>
        <v>215.23235148064941</v>
      </c>
      <c r="GF23" s="59">
        <f t="shared" si="50"/>
        <v>184.07239726900434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12.5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0.27500000000000002</v>
      </c>
      <c r="GK23" s="16">
        <f>IF(ISNA(VLOOKUP(A23,'Données projet'!$A$243:$I$263,7,0)),0%,VLOOKUP(A23,'Données projet'!$A$243:$I$263,7,0))</f>
        <v>0.5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2.1257077612234943</v>
      </c>
      <c r="GN23" s="21">
        <f>EXP(-LN(2)/2)*GN22+(1-EXP(-LN(2)/2))/(LN(2)/2)*GH23*GK23*VLOOKUP('Données projet'!$B$17,Paramètres!$A$1:$I$89,3,0)*0.475*44/12</f>
        <v>3.3117794702649124</v>
      </c>
      <c r="GO23" s="21">
        <f t="shared" si="27"/>
        <v>5.4374872314884062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151</v>
      </c>
      <c r="GS23" s="12">
        <f>VLOOKUP(A23,'Données projet'!$A$269:$I$289,9,0)</f>
        <v>17.25</v>
      </c>
      <c r="GT23" s="12">
        <f t="array" ref="GT23">INDEX(GS:GS,MIN(IF(ISNUMBER(GS23:GS219),ROW(GS23:GS219),"")))</f>
        <v>17.25</v>
      </c>
      <c r="GU23" s="12">
        <f>IF('Données projet'!$A$270&gt;35,GU22+GT23-HC22,IF(A23&lt;'Données projet'!$A$270,$GR$205^A23,IF(A23='Données projet'!$A$270,'Données projet'!$B$270,GU22+GT23-HC22)))</f>
        <v>151</v>
      </c>
      <c r="GV23" s="17">
        <f>GU23*VLOOKUP('Données projet'!$B$18,Paramètres!$A$1:$I$89,3,0)*VLOOKUP('Données projet'!$B$18,Paramètres!$A$1:$I$89,5,0)</f>
        <v>90.298000000000016</v>
      </c>
      <c r="GW23" s="13">
        <f t="shared" si="51"/>
        <v>24.637081585210524</v>
      </c>
      <c r="GX23" s="20">
        <f t="shared" si="28"/>
        <v>200.17860042757502</v>
      </c>
      <c r="GY23" s="59">
        <f t="shared" si="29"/>
        <v>493.51193376090833</v>
      </c>
      <c r="GZ23" s="59">
        <f ca="1">AVERAGE(OFFSET($GY$3,0,0,'Données projet'!$E$18+1,1))-AVERAGE(OFFSET($H$3,0,0,'Données projet'!$E$18+1,1))</f>
        <v>227.89848316900191</v>
      </c>
      <c r="HA23" s="59">
        <f t="shared" si="52"/>
        <v>239.85955661394541</v>
      </c>
      <c r="HB23" s="15">
        <f>IF(ISNA(VLOOKUP(A23,'Données projet'!$A$269:$I$289,3,0)),0,VLOOKUP(A23,'Données projet'!$A$269:$I$289,3,0))</f>
        <v>2</v>
      </c>
      <c r="HC23" s="15">
        <f>IF(ISNA(VLOOKUP(A23,'Données projet'!$A$269:$I$289,4,0)),0,VLOOKUP(A23,'Données projet'!$A$269:$I$289,4,0))</f>
        <v>34</v>
      </c>
      <c r="HD23" s="16">
        <f>IF(ISNA(VLOOKUP(A23,'Données projet'!$A$269:$I$289,5,0)),0%,VLOOKUP(A23,'Données projet'!$A$269:$I$289,5,0)*VLOOKUP('Données projet'!$B$18,Paramètres!$A$1:$I$89,7,0))</f>
        <v>4.5000000000000005E-2</v>
      </c>
      <c r="HE23" s="16">
        <f>IF(ISNA(VLOOKUP(A23,'Données projet'!$A$269:$I$289,6,0)),0%,VLOOKUP(A23,'Données projet'!$A$269:$I$289,6,0)*VLOOKUP('Données projet'!$B$18,Paramètres!$A$1:$I$89,7,0))</f>
        <v>0.20250000000000001</v>
      </c>
      <c r="HF23" s="16">
        <f>IF(ISNA(VLOOKUP(A23,'Données projet'!$A$269:$I$289,7,0)),0%,VLOOKUP(A23,'Données projet'!$A$269:$I$289,7,0))</f>
        <v>0.45</v>
      </c>
      <c r="HG23" s="21">
        <f>EXP(-LN(2)/35)*HG22+(1-EXP(-LN(2)/35))/(LN(2)/35)*HC23*HD23*VLOOKUP('Données projet'!$B$18,Paramètres!$A$1:$I$89,3,0)*0.475*44/12</f>
        <v>1.2137268828598531</v>
      </c>
      <c r="HH23" s="21">
        <f>EXP(-LN(2)/25)*HH22+(1-EXP(-LN(2)/25))/(LN(2)/25)*Calculateur!HC23*Calculateur!HE23*VLOOKUP('Données projet'!$B$18,Paramètres!$A$1:$I$89,3,0)*0.475*44/12</f>
        <v>9.4183495371337642</v>
      </c>
      <c r="HI23" s="21">
        <f>EXP(-LN(2)/2)*HI22+(1-EXP(-LN(2)/2))/(LN(2)/2)*HC23*HF23*VLOOKUP('Données projet'!$B$18,Paramètres!$A$1:$I$89,3,0)*0.475*44/12</f>
        <v>12.47510528899123</v>
      </c>
      <c r="HJ23" s="22">
        <f t="shared" si="30"/>
        <v>23.107181708984847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24.9</v>
      </c>
      <c r="N24" s="13">
        <f>IF('Données projet'!$A$36&gt;35,N23+M24-V23,IF(A24&lt;'Données projet'!$A$36,$K$205^A24,IF(A24='Données projet'!$A$36,'Données projet'!$B$36,N23+M24-V23)))</f>
        <v>135.9</v>
      </c>
      <c r="O24" s="13">
        <f>N24*VLOOKUP('Données projet'!$B$9,Paramètres!$A$1:$I$89,3,0)*VLOOKUP('Données projet'!$B$9,Paramètres!$A$1:$I$89,5,0)</f>
        <v>75.968100000000007</v>
      </c>
      <c r="P24" s="13">
        <f t="shared" si="33"/>
        <v>21.148416276516436</v>
      </c>
      <c r="Q24" s="20">
        <f t="shared" si="2"/>
        <v>169.14459918159946</v>
      </c>
      <c r="R24" s="59">
        <f t="shared" si="0"/>
        <v>462.47793251493277</v>
      </c>
      <c r="S24" s="59">
        <f ca="1">AVERAGE(OFFSET($R$3,0,0,'Données projet'!$E$9+1,1))-AVERAGE(OFFSET($H$3,0,0,'Données projet'!$E$9+1,1))</f>
        <v>370.69652285220093</v>
      </c>
      <c r="T24" s="59">
        <f t="shared" si="34"/>
        <v>376.53494965377718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16.595776836872648</v>
      </c>
      <c r="AB24" s="21">
        <f>EXP(-LN(2)/2)*AB23+(1-EXP(-LN(2)/2))/(LN(2)/2)*V24*Y24*VLOOKUP('Données projet'!$B$9,Paramètres!$A$1:$I$89,3,0)*0.475*44/12</f>
        <v>18.796701282315532</v>
      </c>
      <c r="AC24" s="22">
        <f t="shared" si="3"/>
        <v>35.392478119188183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68.040959999999998</v>
      </c>
      <c r="AK24" s="13">
        <f t="shared" si="35"/>
        <v>19.186158107165539</v>
      </c>
      <c r="AL24" s="20">
        <f t="shared" si="4"/>
        <v>151.92056403664665</v>
      </c>
      <c r="AM24" s="59">
        <f t="shared" si="5"/>
        <v>445.25389736998</v>
      </c>
      <c r="AN24" s="59">
        <f ca="1">AVERAGE(OFFSET($AM$3,0,0,'Données projet'!$E$10+1,1))-AVERAGE(OFFSET($H$3,0,0,'Données projet'!$E$10+1,1))</f>
        <v>321.03881567735544</v>
      </c>
      <c r="AO24" s="59">
        <f t="shared" si="36"/>
        <v>234.87694492493506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3.5418692556615645</v>
      </c>
      <c r="AW24" s="21">
        <f>EXP(-LN(2)/2)*AW23+(1-EXP(-LN(2)/2))/(LN(2)/2)*AQ24*AT24*VLOOKUP('Données projet'!$B$10,Paramètres!$A$1:$I$89,3,0)*0.475*44/12</f>
        <v>5.131103949159221</v>
      </c>
      <c r="AX24" s="21">
        <f t="shared" si="6"/>
        <v>8.672973204820785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18.5</v>
      </c>
      <c r="BD24" s="12">
        <f>IF('Données projet'!$A$88&gt;35,BD23+BC24-BL23,IF(A24&lt;'Données projet'!$A$88,$BA$205^A24,IF(A24='Données projet'!$A$88,'Données projet'!$B$88,BD23+BC24-BL23)))</f>
        <v>130.49999999999997</v>
      </c>
      <c r="BE24" s="13">
        <f>BD24*VLOOKUP('Données projet'!$B$11,Paramètres!$A$1:$I$89,3,0)*VLOOKUP('Données projet'!$B$11,Paramètres!$A$1:$I$89,5,0)</f>
        <v>71.252999999999986</v>
      </c>
      <c r="BF24" s="13">
        <f t="shared" si="37"/>
        <v>19.98429960724846</v>
      </c>
      <c r="BG24" s="20">
        <f t="shared" si="7"/>
        <v>158.90496348262437</v>
      </c>
      <c r="BH24" s="59">
        <f t="shared" si="8"/>
        <v>452.23829681595771</v>
      </c>
      <c r="BI24" s="59">
        <f ca="1">AVERAGE(OFFSET($BH$3,0,0,'Données projet'!$E$11+1,1))-AVERAGE(OFFSET($H$3,0,0,'Données projet'!$E$11+1,1))</f>
        <v>248.1486444660062</v>
      </c>
      <c r="BJ24" s="59">
        <f t="shared" si="38"/>
        <v>293.34458072322127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21.907028823127465</v>
      </c>
      <c r="BR24" s="21">
        <f>EXP(-LN(2)/2)*BR23+(1-EXP(-LN(2)/2))/(LN(2)/2)*BL24*BO24*VLOOKUP('Données projet'!$B$11,Paramètres!$A$1:$I$89,3,0)*0.475*44/12</f>
        <v>21.474138383575589</v>
      </c>
      <c r="BS24" s="22">
        <f t="shared" si="9"/>
        <v>43.381167206703054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13.4</v>
      </c>
      <c r="BY24" s="12">
        <f>IF('Données projet'!$A$114&gt;35,BY23+BX24-CG23,IF(A24&lt;'Données projet'!$A$114,$BV$205^A24,IF(A24='Données projet'!$A$114,'Données projet'!$B$114,BY23+BX24-CG23)))</f>
        <v>107.4</v>
      </c>
      <c r="BZ24" s="13">
        <f>BY24*VLOOKUP('Données projet'!$B$12,Paramètres!$A$1:$I$89,3,0)*VLOOKUP('Données projet'!$B$12,Paramètres!$A$1:$I$89,5,0)</f>
        <v>93.824640000000016</v>
      </c>
      <c r="CA24" s="13">
        <f t="shared" si="39"/>
        <v>25.48538998338303</v>
      </c>
      <c r="CB24" s="20">
        <f t="shared" si="10"/>
        <v>207.79830222105878</v>
      </c>
      <c r="CC24" s="59">
        <f t="shared" si="11"/>
        <v>501.13163555439212</v>
      </c>
      <c r="CD24" s="59">
        <f ca="1">AVERAGE(OFFSET($CC$3,0,0,'Données projet'!$E$12+1,1))-AVERAGE(OFFSET($H$3,0,0,'Données projet'!$E$12+1,1))</f>
        <v>243.38048563215585</v>
      </c>
      <c r="CE24" s="59">
        <f t="shared" si="40"/>
        <v>372.1604147006675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6.1637280262589398</v>
      </c>
      <c r="CM24" s="21">
        <f>EXP(-LN(2)/2)*CM23+(1-EXP(-LN(2)/2))/(LN(2)/2)*CG24*CJ24*VLOOKUP('Données projet'!$B$12,Paramètres!$A$1:$I$89,3,0)*0.475*44/12</f>
        <v>6.8064910742484468</v>
      </c>
      <c r="CN24" s="22">
        <f t="shared" si="12"/>
        <v>12.970219100507386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22.2</v>
      </c>
      <c r="CT24" s="12">
        <f>IF('Données projet'!$A$140&gt;35,CT23+CS24-DB23,IF(A24&lt;'Données projet'!$A$140,$CQ$205^A24,IF(A24='Données projet'!$A$140,'Données projet'!$B$140,CT23+CS24-DB23)))</f>
        <v>118.2</v>
      </c>
      <c r="CU24" s="17">
        <f>CT24*VLOOKUP('Données projet'!$B$13,Paramètres!$A$1:$I$89,3,0)*VLOOKUP('Données projet'!$B$13,Paramètres!$A$1:$I$89,5,0)</f>
        <v>56.854200000000006</v>
      </c>
      <c r="CV24" s="13">
        <f t="shared" si="41"/>
        <v>16.370436389534291</v>
      </c>
      <c r="CW24" s="20">
        <f t="shared" si="13"/>
        <v>127.5329083784389</v>
      </c>
      <c r="CX24" s="59">
        <f t="shared" si="14"/>
        <v>420.8662417117722</v>
      </c>
      <c r="CY24" s="59">
        <f ca="1">AVERAGE(OFFSET($CX$3,0,0,'Données projet'!$E$13+1,1))-AVERAGE(OFFSET($H$3,0,0,'Données projet'!$E$13+1,1))</f>
        <v>297.21955661193238</v>
      </c>
      <c r="CZ24" s="59">
        <f t="shared" si="42"/>
        <v>273.69206144662144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64.841399999999993</v>
      </c>
      <c r="DQ24" s="13">
        <f t="shared" si="43"/>
        <v>18.386744053291277</v>
      </c>
      <c r="DR24" s="20">
        <f t="shared" si="16"/>
        <v>144.95568422614897</v>
      </c>
      <c r="DS24" s="59">
        <f t="shared" si="17"/>
        <v>438.28901755948232</v>
      </c>
      <c r="DT24" s="59">
        <f ca="1">AVERAGE(OFFSET($DS$3,0,0,'Données projet'!$E$14+1,1))-AVERAGE(OFFSET($H$3,0,0,'Données projet'!$E$14+1,1))</f>
        <v>260.20517190557814</v>
      </c>
      <c r="DU24" s="59">
        <f t="shared" si="44"/>
        <v>307.22009971147133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7.5644613433365375</v>
      </c>
      <c r="EC24" s="21">
        <f>EXP(-LN(2)/2)*EC23+(1-EXP(-LN(2)/2))/(LN(2)/2)*DW24*DZ24*VLOOKUP('Données projet'!$B$14,Paramètres!$A$1:$I$89,3,0)*0.475*44/12</f>
        <v>8.8909646015603769</v>
      </c>
      <c r="ED24" s="22">
        <f t="shared" si="18"/>
        <v>16.455425944896916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15.8</v>
      </c>
      <c r="EJ24" s="12">
        <f>IF('Données projet'!$A$192&gt;35,EJ23+EI24-ER23,IF(A24&lt;'Données projet'!$A$192,$EG$205^A24,IF(A24='Données projet'!$A$192,'Données projet'!$B$192,EJ23+EI24-ER23)))</f>
        <v>114.80000000000001</v>
      </c>
      <c r="EK24" s="17">
        <f>EJ24*VLOOKUP('Données projet'!$B$15,Paramètres!$A$1:$I$89,3,0)*VLOOKUP('Données projet'!$B$15,Paramètres!$A$1:$I$89,5,0)</f>
        <v>68.650400000000005</v>
      </c>
      <c r="EL24" s="13">
        <f t="shared" si="45"/>
        <v>19.337925525289805</v>
      </c>
      <c r="EM24" s="20">
        <f t="shared" si="19"/>
        <v>153.24633362321308</v>
      </c>
      <c r="EN24" s="59">
        <f t="shared" si="20"/>
        <v>446.57966695654636</v>
      </c>
      <c r="EO24" s="59">
        <f ca="1">AVERAGE(OFFSET($EN$3,0,0,'Données projet'!$E$15+1,1))-AVERAGE(OFFSET($H$3,0,0,'Données projet'!$E$15+1,1))</f>
        <v>259.30247982593914</v>
      </c>
      <c r="EP24" s="59">
        <f t="shared" si="46"/>
        <v>275.24740346220779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3.9772724011049365</v>
      </c>
      <c r="EX24" s="21">
        <f>EXP(-LN(2)/2)*EX23+(1-EXP(-LN(2)/2))/(LN(2)/2)*ER24*EU24*VLOOKUP('Données projet'!$B$15,Paramètres!$A$1:$I$89,3,0)*0.475*44/12</f>
        <v>5.5057890245542156</v>
      </c>
      <c r="EY24" s="22">
        <f t="shared" si="21"/>
        <v>9.4830614256591517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8.1999999999999993</v>
      </c>
      <c r="FE24" s="12">
        <f>IF('Données projet'!$A$218&gt;35,FE23+FD24-FM23,IF(A24&lt;'Données projet'!$A$218,$FB$205^A24,IF(A24='Données projet'!$A$218,'Données projet'!$B$218,FE23+FD24-FM23)))</f>
        <v>75.2</v>
      </c>
      <c r="FF24" s="17">
        <f>FE24*VLOOKUP('Données projet'!$B$16,Paramètres!$A$1:$I$89,3,0)*VLOOKUP('Données projet'!$B$16,Paramètres!$A$1:$I$89,5,0)</f>
        <v>76.252800000000008</v>
      </c>
      <c r="FG24" s="13">
        <f t="shared" si="47"/>
        <v>21.21843193164284</v>
      </c>
      <c r="FH24" s="20">
        <f t="shared" si="22"/>
        <v>169.76239561427795</v>
      </c>
      <c r="FI24" s="59">
        <f t="shared" si="23"/>
        <v>463.09572894761129</v>
      </c>
      <c r="FJ24" s="59">
        <f ca="1">AVERAGE(OFFSET($FI$3,0,0,'Données projet'!$E$16+1,1))-AVERAGE(OFFSET($H$3,0,0,'Données projet'!$E$16+1,1))</f>
        <v>372.91317851957336</v>
      </c>
      <c r="FK24" s="59">
        <f t="shared" si="48"/>
        <v>269.69187715858413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3.9693362347931331</v>
      </c>
      <c r="FS24" s="21">
        <f>EXP(-LN(2)/2)*FS23+(1-EXP(-LN(2)/2))/(LN(2)/2)*FM24*FP24*VLOOKUP('Données projet'!$B$16,Paramètres!$A$1:$I$89,3,0)*0.475*44/12</f>
        <v>5.7503751154370599</v>
      </c>
      <c r="FT24" s="22">
        <f t="shared" si="24"/>
        <v>9.7197113502301935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9.1999999999999993</v>
      </c>
      <c r="FZ24" s="12">
        <f>IF('Données projet'!$A$244&gt;35,FZ23+FY24-GH23,IF(A24&lt;'Données projet'!$A$244,$FW$205^A24,IF(A24='Données projet'!$A$244,'Données projet'!$B$244,FZ23+FY24-GH23)))</f>
        <v>154.69999999999999</v>
      </c>
      <c r="GA24" s="17">
        <f>FZ24*VLOOKUP('Données projet'!$B$17,Paramètres!$A$1:$I$89,3,0)*VLOOKUP('Données projet'!$B$17,Paramètres!$A$1:$I$89,5,0)</f>
        <v>72.399599999999992</v>
      </c>
      <c r="GB24" s="13">
        <f t="shared" si="49"/>
        <v>20.268188832715463</v>
      </c>
      <c r="GC24" s="20">
        <f t="shared" si="25"/>
        <v>161.3963988836461</v>
      </c>
      <c r="GD24" s="59">
        <f t="shared" si="26"/>
        <v>454.72973221697941</v>
      </c>
      <c r="GE24" s="59">
        <f ca="1">AVERAGE(OFFSET($GD$3,0,0,'Données projet'!$E$17+1,1))-AVERAGE(OFFSET($H$3,0,0,'Données projet'!$E$17+1,1))</f>
        <v>215.23235148064941</v>
      </c>
      <c r="GF24" s="59">
        <f t="shared" si="50"/>
        <v>184.07239726900434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2.0675801707067252</v>
      </c>
      <c r="GN24" s="21">
        <f>EXP(-LN(2)/2)*GN23+(1-EXP(-LN(2)/2))/(LN(2)/2)*GH24*GK24*VLOOKUP('Données projet'!$B$17,Paramètres!$A$1:$I$89,3,0)*0.475*44/12</f>
        <v>2.341781721218712</v>
      </c>
      <c r="GO24" s="21">
        <f t="shared" si="27"/>
        <v>4.4093618919254371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20</v>
      </c>
      <c r="GU24" s="12">
        <f>IF('Données projet'!$A$270&gt;35,GU23+GT24-HC23,IF(A24&lt;'Données projet'!$A$270,$GR$205^A24,IF(A24='Données projet'!$A$270,'Données projet'!$B$270,GU23+GT24-HC23)))</f>
        <v>137</v>
      </c>
      <c r="GV24" s="17">
        <f>GU24*VLOOKUP('Données projet'!$B$18,Paramètres!$A$1:$I$89,3,0)*VLOOKUP('Données projet'!$B$18,Paramètres!$A$1:$I$89,5,0)</f>
        <v>81.926000000000002</v>
      </c>
      <c r="GW24" s="13">
        <f t="shared" si="51"/>
        <v>22.607447146245146</v>
      </c>
      <c r="GX24" s="20">
        <f t="shared" si="28"/>
        <v>182.06242044637693</v>
      </c>
      <c r="GY24" s="59">
        <f t="shared" si="29"/>
        <v>475.39575377971028</v>
      </c>
      <c r="GZ24" s="59">
        <f ca="1">AVERAGE(OFFSET($GY$3,0,0,'Données projet'!$E$18+1,1))-AVERAGE(OFFSET($H$3,0,0,'Données projet'!$E$18+1,1))</f>
        <v>227.89848316900191</v>
      </c>
      <c r="HA24" s="59">
        <f t="shared" si="52"/>
        <v>239.85955661394541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1.1899264389872712</v>
      </c>
      <c r="HH24" s="21">
        <f>EXP(-LN(2)/25)*HH23+(1-EXP(-LN(2)/25))/(LN(2)/25)*Calculateur!HC24*Calculateur!HE24*VLOOKUP('Données projet'!$B$18,Paramètres!$A$1:$I$89,3,0)*0.475*44/12</f>
        <v>9.1608042737513653</v>
      </c>
      <c r="HI24" s="21">
        <f>EXP(-LN(2)/2)*HI23+(1-EXP(-LN(2)/2))/(LN(2)/2)*HC24*HF24*VLOOKUP('Données projet'!$B$18,Paramètres!$A$1:$I$89,3,0)*0.475*44/12</f>
        <v>8.8212315458618633</v>
      </c>
      <c r="HJ24" s="22">
        <f t="shared" si="30"/>
        <v>19.171962258600502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24.9</v>
      </c>
      <c r="N25" s="13">
        <f>IF('Données projet'!$A$36&gt;35,N24+M25-V24,IF(A25&lt;'Données projet'!$A$36,$K$205^A25,IF(A25='Données projet'!$A$36,'Données projet'!$B$36,N24+M25-V24)))</f>
        <v>160.80000000000001</v>
      </c>
      <c r="O25" s="13">
        <f>N25*VLOOKUP('Données projet'!$B$9,Paramètres!$A$1:$I$89,3,0)*VLOOKUP('Données projet'!$B$9,Paramètres!$A$1:$I$89,5,0)</f>
        <v>89.887200000000007</v>
      </c>
      <c r="P25" s="13">
        <f t="shared" si="33"/>
        <v>24.538018364785955</v>
      </c>
      <c r="Q25" s="20">
        <f t="shared" si="2"/>
        <v>199.29058865200219</v>
      </c>
      <c r="R25" s="59">
        <f t="shared" si="0"/>
        <v>492.62392198533553</v>
      </c>
      <c r="S25" s="59">
        <f ca="1">AVERAGE(OFFSET($R$3,0,0,'Données projet'!$E$9+1,1))-AVERAGE(OFFSET($H$3,0,0,'Données projet'!$E$9+1,1))</f>
        <v>370.69652285220093</v>
      </c>
      <c r="T25" s="59">
        <f t="shared" si="34"/>
        <v>376.53494965377718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16.141964446534391</v>
      </c>
      <c r="AB25" s="21">
        <f>EXP(-LN(2)/2)*AB24+(1-EXP(-LN(2)/2))/(LN(2)/2)*V25*Y25*VLOOKUP('Données projet'!$B$9,Paramètres!$A$1:$I$89,3,0)*0.475*44/12</f>
        <v>13.291274940663186</v>
      </c>
      <c r="AC25" s="22">
        <f t="shared" si="3"/>
        <v>29.433239387197577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75.460319999999996</v>
      </c>
      <c r="AK25" s="13">
        <f t="shared" si="35"/>
        <v>21.023463123249066</v>
      </c>
      <c r="AL25" s="20">
        <f t="shared" si="4"/>
        <v>168.04258893965877</v>
      </c>
      <c r="AM25" s="59">
        <f t="shared" si="5"/>
        <v>461.37592227299206</v>
      </c>
      <c r="AN25" s="59">
        <f ca="1">AVERAGE(OFFSET($AM$3,0,0,'Données projet'!$E$10+1,1))-AVERAGE(OFFSET($H$3,0,0,'Données projet'!$E$10+1,1))</f>
        <v>321.03881567735544</v>
      </c>
      <c r="AO25" s="59">
        <f t="shared" si="36"/>
        <v>234.87694492493506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3.44501665460669</v>
      </c>
      <c r="AW25" s="21">
        <f>EXP(-LN(2)/2)*AW24+(1-EXP(-LN(2)/2))/(LN(2)/2)*AQ25*AT25*VLOOKUP('Données projet'!$B$10,Paramètres!$A$1:$I$89,3,0)*0.475*44/12</f>
        <v>3.6282383974235595</v>
      </c>
      <c r="AX25" s="21">
        <f t="shared" si="6"/>
        <v>7.07325505203025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18.5</v>
      </c>
      <c r="BD25" s="12">
        <f>IF('Données projet'!$A$88&gt;35,BD24+BC25-BL24,IF(A25&lt;'Données projet'!$A$88,$BA$205^A25,IF(A25='Données projet'!$A$88,'Données projet'!$B$88,BD24+BC25-BL24)))</f>
        <v>148.99999999999997</v>
      </c>
      <c r="BE25" s="13">
        <f>BD25*VLOOKUP('Données projet'!$B$11,Paramètres!$A$1:$I$89,3,0)*VLOOKUP('Données projet'!$B$11,Paramètres!$A$1:$I$89,5,0)</f>
        <v>81.353999999999985</v>
      </c>
      <c r="BF25" s="13">
        <f t="shared" si="37"/>
        <v>22.467920097706006</v>
      </c>
      <c r="BG25" s="20">
        <f t="shared" si="7"/>
        <v>180.82317750350458</v>
      </c>
      <c r="BH25" s="59">
        <f t="shared" si="8"/>
        <v>474.15651083683792</v>
      </c>
      <c r="BI25" s="59">
        <f ca="1">AVERAGE(OFFSET($BH$3,0,0,'Données projet'!$E$11+1,1))-AVERAGE(OFFSET($H$3,0,0,'Données projet'!$E$11+1,1))</f>
        <v>248.1486444660062</v>
      </c>
      <c r="BJ25" s="59">
        <f t="shared" si="38"/>
        <v>293.34458072322127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21.307979967918467</v>
      </c>
      <c r="BR25" s="21">
        <f>EXP(-LN(2)/2)*BR24+(1-EXP(-LN(2)/2))/(LN(2)/2)*BL25*BO25*VLOOKUP('Données projet'!$B$11,Paramètres!$A$1:$I$89,3,0)*0.475*44/12</f>
        <v>15.184508871164626</v>
      </c>
      <c r="BS25" s="22">
        <f t="shared" si="9"/>
        <v>36.492488839083094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13.4</v>
      </c>
      <c r="BY25" s="12">
        <f>IF('Données projet'!$A$114&gt;35,BY24+BX25-CG24,IF(A25&lt;'Données projet'!$A$114,$BV$205^A25,IF(A25='Données projet'!$A$114,'Données projet'!$B$114,BY24+BX25-CG24)))</f>
        <v>120.80000000000001</v>
      </c>
      <c r="BZ25" s="13">
        <f>BY25*VLOOKUP('Données projet'!$B$12,Paramètres!$A$1:$I$89,3,0)*VLOOKUP('Données projet'!$B$12,Paramètres!$A$1:$I$89,5,0)</f>
        <v>105.53088000000002</v>
      </c>
      <c r="CA25" s="13">
        <f t="shared" si="39"/>
        <v>28.275496771440064</v>
      </c>
      <c r="CB25" s="20">
        <f t="shared" si="10"/>
        <v>233.04610621025813</v>
      </c>
      <c r="CC25" s="59">
        <f t="shared" si="11"/>
        <v>526.37943954359139</v>
      </c>
      <c r="CD25" s="59">
        <f ca="1">AVERAGE(OFFSET($CC$3,0,0,'Données projet'!$E$12+1,1))-AVERAGE(OFFSET($H$3,0,0,'Données projet'!$E$12+1,1))</f>
        <v>243.38048563215585</v>
      </c>
      <c r="CE25" s="59">
        <f t="shared" si="40"/>
        <v>372.1604147006675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5.9951805592445195</v>
      </c>
      <c r="CM25" s="21">
        <f>EXP(-LN(2)/2)*CM24+(1-EXP(-LN(2)/2))/(LN(2)/2)*CG25*CJ25*VLOOKUP('Données projet'!$B$12,Paramètres!$A$1:$I$89,3,0)*0.475*44/12</f>
        <v>4.8129159946867857</v>
      </c>
      <c r="CN25" s="22">
        <f t="shared" si="12"/>
        <v>10.808096553931305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22.2</v>
      </c>
      <c r="CT25" s="12">
        <f>IF('Données projet'!$A$140&gt;35,CT24+CS25-DB24,IF(A25&lt;'Données projet'!$A$140,$CQ$205^A25,IF(A25='Données projet'!$A$140,'Données projet'!$B$140,CT24+CS25-DB24)))</f>
        <v>140.4</v>
      </c>
      <c r="CU25" s="17">
        <f>CT25*VLOOKUP('Données projet'!$B$13,Paramètres!$A$1:$I$89,3,0)*VLOOKUP('Données projet'!$B$13,Paramètres!$A$1:$I$89,5,0)</f>
        <v>67.53240000000001</v>
      </c>
      <c r="CV25" s="13">
        <f t="shared" si="41"/>
        <v>19.059391490646973</v>
      </c>
      <c r="CW25" s="20">
        <f t="shared" si="13"/>
        <v>150.81403684621014</v>
      </c>
      <c r="CX25" s="59">
        <f t="shared" si="14"/>
        <v>444.14737017954349</v>
      </c>
      <c r="CY25" s="59">
        <f ca="1">AVERAGE(OFFSET($CX$3,0,0,'Données projet'!$E$13+1,1))-AVERAGE(OFFSET($H$3,0,0,'Données projet'!$E$13+1,1))</f>
        <v>297.21955661193238</v>
      </c>
      <c r="CZ25" s="59">
        <f t="shared" si="42"/>
        <v>273.69206144662144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76.377600000000001</v>
      </c>
      <c r="DQ25" s="13">
        <f t="shared" si="43"/>
        <v>21.249114127498419</v>
      </c>
      <c r="DR25" s="20">
        <f t="shared" si="16"/>
        <v>170.03319377205972</v>
      </c>
      <c r="DS25" s="59">
        <f t="shared" si="17"/>
        <v>463.36652710539306</v>
      </c>
      <c r="DT25" s="59">
        <f ca="1">AVERAGE(OFFSET($DS$3,0,0,'Données projet'!$E$14+1,1))-AVERAGE(OFFSET($H$3,0,0,'Données projet'!$E$14+1,1))</f>
        <v>260.20517190557814</v>
      </c>
      <c r="DU25" s="59">
        <f t="shared" si="44"/>
        <v>307.22009971147133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7.357610750105267</v>
      </c>
      <c r="EC25" s="21">
        <f>EXP(-LN(2)/2)*EC24+(1-EXP(-LN(2)/2))/(LN(2)/2)*DW25*DZ25*VLOOKUP('Données projet'!$B$14,Paramètres!$A$1:$I$89,3,0)*0.475*44/12</f>
        <v>6.2868613610528934</v>
      </c>
      <c r="ED25" s="22">
        <f t="shared" si="18"/>
        <v>13.64447211115816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15.8</v>
      </c>
      <c r="EJ25" s="12">
        <f>IF('Données projet'!$A$192&gt;35,EJ24+EI25-ER24,IF(A25&lt;'Données projet'!$A$192,$EG$205^A25,IF(A25='Données projet'!$A$192,'Données projet'!$B$192,EJ24+EI25-ER24)))</f>
        <v>130.60000000000002</v>
      </c>
      <c r="EK25" s="17">
        <f>EJ25*VLOOKUP('Données projet'!$B$15,Paramètres!$A$1:$I$89,3,0)*VLOOKUP('Données projet'!$B$15,Paramètres!$A$1:$I$89,5,0)</f>
        <v>78.098800000000026</v>
      </c>
      <c r="EL25" s="13">
        <f t="shared" si="45"/>
        <v>21.671682136967</v>
      </c>
      <c r="EM25" s="20">
        <f t="shared" si="19"/>
        <v>173.76692305521752</v>
      </c>
      <c r="EN25" s="59">
        <f t="shared" si="20"/>
        <v>467.10025638855086</v>
      </c>
      <c r="EO25" s="59">
        <f ca="1">AVERAGE(OFFSET($EN$3,0,0,'Données projet'!$E$15+1,1))-AVERAGE(OFFSET($H$3,0,0,'Données projet'!$E$15+1,1))</f>
        <v>259.30247982593914</v>
      </c>
      <c r="EP25" s="59">
        <f t="shared" si="46"/>
        <v>275.24740346220779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3.8685136781410567</v>
      </c>
      <c r="EX25" s="21">
        <f>EXP(-LN(2)/2)*EX24+(1-EXP(-LN(2)/2))/(LN(2)/2)*ER25*EU25*VLOOKUP('Données projet'!$B$15,Paramètres!$A$1:$I$89,3,0)*0.475*44/12</f>
        <v>3.893180755044753</v>
      </c>
      <c r="EY25" s="22">
        <f t="shared" si="21"/>
        <v>7.7616944331858093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8.1999999999999993</v>
      </c>
      <c r="FE25" s="12">
        <f>IF('Données projet'!$A$218&gt;35,FE24+FD25-FM24,IF(A25&lt;'Données projet'!$A$218,$FB$205^A25,IF(A25='Données projet'!$A$218,'Données projet'!$B$218,FE24+FD25-FM24)))</f>
        <v>83.4</v>
      </c>
      <c r="FF25" s="17">
        <f>FE25*VLOOKUP('Données projet'!$B$16,Paramètres!$A$1:$I$89,3,0)*VLOOKUP('Données projet'!$B$16,Paramètres!$A$1:$I$89,5,0)</f>
        <v>84.567600000000013</v>
      </c>
      <c r="FG25" s="13">
        <f t="shared" si="47"/>
        <v>23.250351568898139</v>
      </c>
      <c r="FH25" s="20">
        <f t="shared" si="22"/>
        <v>187.78293231583095</v>
      </c>
      <c r="FI25" s="59">
        <f t="shared" si="23"/>
        <v>481.11626564916423</v>
      </c>
      <c r="FJ25" s="59">
        <f ca="1">AVERAGE(OFFSET($FI$3,0,0,'Données projet'!$E$16+1,1))-AVERAGE(OFFSET($H$3,0,0,'Données projet'!$E$16+1,1))</f>
        <v>372.91317851957336</v>
      </c>
      <c r="FK25" s="59">
        <f t="shared" si="48"/>
        <v>269.69187715858413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3.8607945267143942</v>
      </c>
      <c r="FS25" s="21">
        <f>EXP(-LN(2)/2)*FS24+(1-EXP(-LN(2)/2))/(LN(2)/2)*FM25*FP25*VLOOKUP('Données projet'!$B$16,Paramètres!$A$1:$I$89,3,0)*0.475*44/12</f>
        <v>4.0661292384919214</v>
      </c>
      <c r="FT25" s="22">
        <f t="shared" si="24"/>
        <v>7.9269237652063156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9.1999999999999993</v>
      </c>
      <c r="FZ25" s="12">
        <f>IF('Données projet'!$A$244&gt;35,FZ24+FY25-GH24,IF(A25&lt;'Données projet'!$A$244,$FW$205^A25,IF(A25='Données projet'!$A$244,'Données projet'!$B$244,FZ24+FY25-GH24)))</f>
        <v>163.89999999999998</v>
      </c>
      <c r="GA25" s="17">
        <f>FZ25*VLOOKUP('Données projet'!$B$17,Paramètres!$A$1:$I$89,3,0)*VLOOKUP('Données projet'!$B$17,Paramètres!$A$1:$I$89,5,0)</f>
        <v>76.705199999999991</v>
      </c>
      <c r="GB25" s="13">
        <f t="shared" si="49"/>
        <v>21.32962715676695</v>
      </c>
      <c r="GC25" s="20">
        <f t="shared" si="25"/>
        <v>170.74399063136909</v>
      </c>
      <c r="GD25" s="59">
        <f t="shared" si="26"/>
        <v>464.07732396470237</v>
      </c>
      <c r="GE25" s="59">
        <f ca="1">AVERAGE(OFFSET($GD$3,0,0,'Données projet'!$E$17+1,1))-AVERAGE(OFFSET($H$3,0,0,'Données projet'!$E$17+1,1))</f>
        <v>215.23235148064941</v>
      </c>
      <c r="GF25" s="59">
        <f t="shared" si="50"/>
        <v>184.07239726900434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2.0110420822094341</v>
      </c>
      <c r="GN25" s="21">
        <f>EXP(-LN(2)/2)*GN24+(1-EXP(-LN(2)/2))/(LN(2)/2)*GH25*GK25*VLOOKUP('Données projet'!$B$17,Paramètres!$A$1:$I$89,3,0)*0.475*44/12</f>
        <v>1.6558897351324564</v>
      </c>
      <c r="GO25" s="21">
        <f t="shared" si="27"/>
        <v>3.6669318173418906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20</v>
      </c>
      <c r="GU25" s="12">
        <f>IF('Données projet'!$A$270&gt;35,GU24+GT25-HC24,IF(A25&lt;'Données projet'!$A$270,$GR$205^A25,IF(A25='Données projet'!$A$270,'Données projet'!$B$270,GU24+GT25-HC24)))</f>
        <v>157</v>
      </c>
      <c r="GV25" s="17">
        <f>GU25*VLOOKUP('Données projet'!$B$18,Paramètres!$A$1:$I$89,3,0)*VLOOKUP('Données projet'!$B$18,Paramètres!$A$1:$I$89,5,0)</f>
        <v>93.885999999999996</v>
      </c>
      <c r="GW25" s="13">
        <f t="shared" si="51"/>
        <v>25.500116461916402</v>
      </c>
      <c r="GX25" s="20">
        <f t="shared" si="28"/>
        <v>207.9308195045044</v>
      </c>
      <c r="GY25" s="59">
        <f t="shared" si="29"/>
        <v>501.26415283783774</v>
      </c>
      <c r="GZ25" s="59">
        <f ca="1">AVERAGE(OFFSET($GY$3,0,0,'Données projet'!$E$18+1,1))-AVERAGE(OFFSET($H$3,0,0,'Données projet'!$E$18+1,1))</f>
        <v>227.89848316900191</v>
      </c>
      <c r="HA25" s="59">
        <f t="shared" si="52"/>
        <v>239.85955661394541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1.1665927073021936</v>
      </c>
      <c r="HH25" s="21">
        <f>EXP(-LN(2)/25)*HH24+(1-EXP(-LN(2)/25))/(LN(2)/25)*Calculateur!HC25*Calculateur!HE25*VLOOKUP('Données projet'!$B$18,Paramètres!$A$1:$I$89,3,0)*0.475*44/12</f>
        <v>8.9103015991398742</v>
      </c>
      <c r="HI25" s="21">
        <f>EXP(-LN(2)/2)*HI24+(1-EXP(-LN(2)/2))/(LN(2)/2)*HC25*HF25*VLOOKUP('Données projet'!$B$18,Paramètres!$A$1:$I$89,3,0)*0.475*44/12</f>
        <v>6.2375526444956151</v>
      </c>
      <c r="HJ25" s="22">
        <f t="shared" si="30"/>
        <v>16.314446950937683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24.9</v>
      </c>
      <c r="N26" s="13">
        <f>IF('Données projet'!$A$36&gt;35,N25+M26-V25,IF(A26&lt;'Données projet'!$A$36,$K$205^A26,IF(A26='Données projet'!$A$36,'Données projet'!$B$36,N25+M26-V25)))</f>
        <v>185.70000000000002</v>
      </c>
      <c r="O26" s="13">
        <f>N26*VLOOKUP('Données projet'!$B$9,Paramètres!$A$1:$I$89,3,0)*VLOOKUP('Données projet'!$B$9,Paramètres!$A$1:$I$89,5,0)</f>
        <v>103.80630000000001</v>
      </c>
      <c r="P26" s="13">
        <f t="shared" si="33"/>
        <v>27.86681512924784</v>
      </c>
      <c r="Q26" s="20">
        <f t="shared" si="2"/>
        <v>229.33067551677331</v>
      </c>
      <c r="R26" s="59">
        <f t="shared" si="0"/>
        <v>522.6640088501066</v>
      </c>
      <c r="S26" s="59">
        <f ca="1">AVERAGE(OFFSET($R$3,0,0,'Données projet'!$E$9+1,1))-AVERAGE(OFFSET($H$3,0,0,'Données projet'!$E$9+1,1))</f>
        <v>370.69652285220093</v>
      </c>
      <c r="T26" s="59">
        <f t="shared" si="34"/>
        <v>376.53494965377718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15.700561579874892</v>
      </c>
      <c r="AB26" s="21">
        <f>EXP(-LN(2)/2)*AB25+(1-EXP(-LN(2)/2))/(LN(2)/2)*V26*Y26*VLOOKUP('Données projet'!$B$9,Paramètres!$A$1:$I$89,3,0)*0.475*44/12</f>
        <v>9.3983506411577658</v>
      </c>
      <c r="AC26" s="22">
        <f t="shared" si="3"/>
        <v>25.098912221032656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82.879680000000008</v>
      </c>
      <c r="AK26" s="13">
        <f t="shared" si="35"/>
        <v>22.83982519050506</v>
      </c>
      <c r="AL26" s="20">
        <f t="shared" si="4"/>
        <v>184.12813820679631</v>
      </c>
      <c r="AM26" s="59">
        <f t="shared" si="5"/>
        <v>477.46147154012965</v>
      </c>
      <c r="AN26" s="59">
        <f ca="1">AVERAGE(OFFSET($AM$3,0,0,'Données projet'!$E$10+1,1))-AVERAGE(OFFSET($H$3,0,0,'Données projet'!$E$10+1,1))</f>
        <v>321.03881567735544</v>
      </c>
      <c r="AO26" s="59">
        <f t="shared" si="36"/>
        <v>234.87694492493506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3.3508124930209178</v>
      </c>
      <c r="AW26" s="21">
        <f>EXP(-LN(2)/2)*AW25+(1-EXP(-LN(2)/2))/(LN(2)/2)*AQ26*AT26*VLOOKUP('Données projet'!$B$10,Paramètres!$A$1:$I$89,3,0)*0.475*44/12</f>
        <v>2.5655519745796109</v>
      </c>
      <c r="AX26" s="21">
        <f t="shared" si="6"/>
        <v>5.9163644676005287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18.5</v>
      </c>
      <c r="BD26" s="12">
        <f>IF('Données projet'!$A$88&gt;35,BD25+BC26-BL25,IF(A26&lt;'Données projet'!$A$88,$BA$205^A26,IF(A26='Données projet'!$A$88,'Données projet'!$B$88,BD25+BC26-BL25)))</f>
        <v>167.49999999999997</v>
      </c>
      <c r="BE26" s="13">
        <f>BD26*VLOOKUP('Données projet'!$B$11,Paramètres!$A$1:$I$89,3,0)*VLOOKUP('Données projet'!$B$11,Paramètres!$A$1:$I$89,5,0)</f>
        <v>91.454999999999984</v>
      </c>
      <c r="BF26" s="13">
        <f t="shared" si="37"/>
        <v>24.915807755003627</v>
      </c>
      <c r="BG26" s="20">
        <f t="shared" si="7"/>
        <v>202.67915683996458</v>
      </c>
      <c r="BH26" s="59">
        <f t="shared" si="8"/>
        <v>496.01249017329792</v>
      </c>
      <c r="BI26" s="59">
        <f ca="1">AVERAGE(OFFSET($BH$3,0,0,'Données projet'!$E$11+1,1))-AVERAGE(OFFSET($H$3,0,0,'Données projet'!$E$11+1,1))</f>
        <v>248.1486444660062</v>
      </c>
      <c r="BJ26" s="59">
        <f t="shared" si="38"/>
        <v>293.34458072322127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20.725312135157768</v>
      </c>
      <c r="BR26" s="21">
        <f>EXP(-LN(2)/2)*BR25+(1-EXP(-LN(2)/2))/(LN(2)/2)*BL26*BO26*VLOOKUP('Données projet'!$B$11,Paramètres!$A$1:$I$89,3,0)*0.475*44/12</f>
        <v>10.737069191787796</v>
      </c>
      <c r="BS26" s="22">
        <f t="shared" si="9"/>
        <v>31.462381326945565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13.4</v>
      </c>
      <c r="BY26" s="12">
        <f>IF('Données projet'!$A$114&gt;35,BY25+BX26-CG25,IF(A26&lt;'Données projet'!$A$114,$BV$205^A26,IF(A26='Données projet'!$A$114,'Données projet'!$B$114,BY25+BX26-CG25)))</f>
        <v>134.20000000000002</v>
      </c>
      <c r="BZ26" s="13">
        <f>BY26*VLOOKUP('Données projet'!$B$12,Paramètres!$A$1:$I$89,3,0)*VLOOKUP('Données projet'!$B$12,Paramètres!$A$1:$I$89,5,0)</f>
        <v>117.23712000000003</v>
      </c>
      <c r="CA26" s="13">
        <f t="shared" si="39"/>
        <v>31.029731926851252</v>
      </c>
      <c r="CB26" s="20">
        <f t="shared" si="10"/>
        <v>258.2314337725993</v>
      </c>
      <c r="CC26" s="59">
        <f t="shared" si="11"/>
        <v>551.56476710593256</v>
      </c>
      <c r="CD26" s="59">
        <f ca="1">AVERAGE(OFFSET($CC$3,0,0,'Données projet'!$E$12+1,1))-AVERAGE(OFFSET($H$3,0,0,'Données projet'!$E$12+1,1))</f>
        <v>243.38048563215585</v>
      </c>
      <c r="CE26" s="59">
        <f t="shared" si="40"/>
        <v>372.1604147006675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5.8312420315791345</v>
      </c>
      <c r="CM26" s="21">
        <f>EXP(-LN(2)/2)*CM25+(1-EXP(-LN(2)/2))/(LN(2)/2)*CG26*CJ26*VLOOKUP('Données projet'!$B$12,Paramètres!$A$1:$I$89,3,0)*0.475*44/12</f>
        <v>3.4032455371242238</v>
      </c>
      <c r="CN26" s="22">
        <f t="shared" si="12"/>
        <v>9.2344875687033579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22.2</v>
      </c>
      <c r="CT26" s="12">
        <f>IF('Données projet'!$A$140&gt;35,CT25+CS26-DB25,IF(A26&lt;'Données projet'!$A$140,$CQ$205^A26,IF(A26='Données projet'!$A$140,'Données projet'!$B$140,CT25+CS26-DB25)))</f>
        <v>162.6</v>
      </c>
      <c r="CU26" s="17">
        <f>CT26*VLOOKUP('Données projet'!$B$13,Paramètres!$A$1:$I$89,3,0)*VLOOKUP('Données projet'!$B$13,Paramètres!$A$1:$I$89,5,0)</f>
        <v>78.210599999999999</v>
      </c>
      <c r="CV26" s="13">
        <f t="shared" si="41"/>
        <v>21.699092173018201</v>
      </c>
      <c r="CW26" s="20">
        <f t="shared" si="13"/>
        <v>174.00938053467337</v>
      </c>
      <c r="CX26" s="59">
        <f t="shared" si="14"/>
        <v>467.34271386800668</v>
      </c>
      <c r="CY26" s="59">
        <f ca="1">AVERAGE(OFFSET($CX$3,0,0,'Données projet'!$E$13+1,1))-AVERAGE(OFFSET($H$3,0,0,'Données projet'!$E$13+1,1))</f>
        <v>297.21955661193238</v>
      </c>
      <c r="CZ26" s="59">
        <f t="shared" si="42"/>
        <v>273.69206144662144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87.913800000000009</v>
      </c>
      <c r="DQ26" s="13">
        <f t="shared" si="43"/>
        <v>24.061399085756083</v>
      </c>
      <c r="DR26" s="20">
        <f t="shared" si="16"/>
        <v>195.02347174102519</v>
      </c>
      <c r="DS26" s="59">
        <f t="shared" si="17"/>
        <v>488.35680507435848</v>
      </c>
      <c r="DT26" s="59">
        <f ca="1">AVERAGE(OFFSET($DS$3,0,0,'Données projet'!$E$14+1,1))-AVERAGE(OFFSET($H$3,0,0,'Données projet'!$E$14+1,1))</f>
        <v>260.20517190557814</v>
      </c>
      <c r="DU26" s="59">
        <f t="shared" si="44"/>
        <v>307.22009971147133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7.156416497223705</v>
      </c>
      <c r="EC26" s="21">
        <f>EXP(-LN(2)/2)*EC25+(1-EXP(-LN(2)/2))/(LN(2)/2)*DW26*DZ26*VLOOKUP('Données projet'!$B$14,Paramètres!$A$1:$I$89,3,0)*0.475*44/12</f>
        <v>4.4454823007801894</v>
      </c>
      <c r="ED26" s="22">
        <f t="shared" si="18"/>
        <v>11.601898798003894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15.8</v>
      </c>
      <c r="EJ26" s="12">
        <f>IF('Données projet'!$A$192&gt;35,EJ25+EI26-ER25,IF(A26&lt;'Données projet'!$A$192,$EG$205^A26,IF(A26='Données projet'!$A$192,'Données projet'!$B$192,EJ25+EI26-ER25)))</f>
        <v>146.40000000000003</v>
      </c>
      <c r="EK26" s="17">
        <f>EJ26*VLOOKUP('Données projet'!$B$15,Paramètres!$A$1:$I$89,3,0)*VLOOKUP('Données projet'!$B$15,Paramètres!$A$1:$I$89,5,0)</f>
        <v>87.547200000000032</v>
      </c>
      <c r="EL26" s="13">
        <f t="shared" si="45"/>
        <v>23.972720748088616</v>
      </c>
      <c r="EM26" s="20">
        <f t="shared" si="19"/>
        <v>194.23052863625438</v>
      </c>
      <c r="EN26" s="59">
        <f t="shared" si="20"/>
        <v>487.56386196958772</v>
      </c>
      <c r="EO26" s="59">
        <f ca="1">AVERAGE(OFFSET($EN$3,0,0,'Données projet'!$E$15+1,1))-AVERAGE(OFFSET($H$3,0,0,'Données projet'!$E$15+1,1))</f>
        <v>259.30247982593914</v>
      </c>
      <c r="EP26" s="59">
        <f t="shared" si="46"/>
        <v>275.24740346220779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3.7627289681759968</v>
      </c>
      <c r="EX26" s="21">
        <f>EXP(-LN(2)/2)*EX25+(1-EXP(-LN(2)/2))/(LN(2)/2)*ER26*EU26*VLOOKUP('Données projet'!$B$15,Paramètres!$A$1:$I$89,3,0)*0.475*44/12</f>
        <v>2.7528945122771082</v>
      </c>
      <c r="EY26" s="22">
        <f t="shared" si="21"/>
        <v>6.5156234804531046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8.1999999999999993</v>
      </c>
      <c r="FE26" s="12">
        <f>IF('Données projet'!$A$218&gt;35,FE25+FD26-FM25,IF(A26&lt;'Données projet'!$A$218,$FB$205^A26,IF(A26='Données projet'!$A$218,'Données projet'!$B$218,FE25+FD26-FM25)))</f>
        <v>91.600000000000009</v>
      </c>
      <c r="FF26" s="17">
        <f>FE26*VLOOKUP('Données projet'!$B$16,Paramètres!$A$1:$I$89,3,0)*VLOOKUP('Données projet'!$B$16,Paramètres!$A$1:$I$89,5,0)</f>
        <v>92.882400000000018</v>
      </c>
      <c r="FG26" s="13">
        <f t="shared" si="47"/>
        <v>25.259109897273174</v>
      </c>
      <c r="FH26" s="20">
        <f t="shared" si="22"/>
        <v>205.7631297377508</v>
      </c>
      <c r="FI26" s="59">
        <f t="shared" si="23"/>
        <v>499.09646307108414</v>
      </c>
      <c r="FJ26" s="59">
        <f ca="1">AVERAGE(OFFSET($FI$3,0,0,'Données projet'!$E$16+1,1))-AVERAGE(OFFSET($H$3,0,0,'Données projet'!$E$16+1,1))</f>
        <v>372.91317851957336</v>
      </c>
      <c r="FK26" s="59">
        <f t="shared" si="48"/>
        <v>269.69187715858413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3.755220897351029</v>
      </c>
      <c r="FS26" s="21">
        <f>EXP(-LN(2)/2)*FS25+(1-EXP(-LN(2)/2))/(LN(2)/2)*FM26*FP26*VLOOKUP('Données projet'!$B$16,Paramètres!$A$1:$I$89,3,0)*0.475*44/12</f>
        <v>2.8751875577185304</v>
      </c>
      <c r="FT26" s="22">
        <f t="shared" si="24"/>
        <v>6.6304084550695599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9.1999999999999993</v>
      </c>
      <c r="FZ26" s="12">
        <f>IF('Données projet'!$A$244&gt;35,FZ25+FY26-GH25,IF(A26&lt;'Données projet'!$A$244,$FW$205^A26,IF(A26='Données projet'!$A$244,'Données projet'!$B$244,FZ25+FY26-GH25)))</f>
        <v>173.09999999999997</v>
      </c>
      <c r="GA26" s="17">
        <f>FZ26*VLOOKUP('Données projet'!$B$17,Paramètres!$A$1:$I$89,3,0)*VLOOKUP('Données projet'!$B$17,Paramètres!$A$1:$I$89,5,0)</f>
        <v>81.010799999999989</v>
      </c>
      <c r="GB26" s="13">
        <f t="shared" si="49"/>
        <v>22.384149091932141</v>
      </c>
      <c r="GC26" s="20">
        <f t="shared" si="25"/>
        <v>180.07953633511511</v>
      </c>
      <c r="GD26" s="59">
        <f t="shared" si="26"/>
        <v>473.41286966844842</v>
      </c>
      <c r="GE26" s="59">
        <f ca="1">AVERAGE(OFFSET($GD$3,0,0,'Données projet'!$E$17+1,1))-AVERAGE(OFFSET($H$3,0,0,'Données projet'!$E$17+1,1))</f>
        <v>215.23235148064941</v>
      </c>
      <c r="GF26" s="59">
        <f t="shared" si="50"/>
        <v>184.07239726900434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1.9560500307153104</v>
      </c>
      <c r="GN26" s="21">
        <f>EXP(-LN(2)/2)*GN25+(1-EXP(-LN(2)/2))/(LN(2)/2)*GH26*GK26*VLOOKUP('Données projet'!$B$17,Paramètres!$A$1:$I$89,3,0)*0.475*44/12</f>
        <v>1.170890860609356</v>
      </c>
      <c r="GO26" s="21">
        <f t="shared" si="27"/>
        <v>3.1269408913246663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20</v>
      </c>
      <c r="GU26" s="12">
        <f>IF('Données projet'!$A$270&gt;35,GU25+GT26-HC25,IF(A26&lt;'Données projet'!$A$270,$GR$205^A26,IF(A26='Données projet'!$A$270,'Données projet'!$B$270,GU25+GT26-HC25)))</f>
        <v>177</v>
      </c>
      <c r="GV26" s="17">
        <f>GU26*VLOOKUP('Données projet'!$B$18,Paramètres!$A$1:$I$89,3,0)*VLOOKUP('Données projet'!$B$18,Paramètres!$A$1:$I$89,5,0)</f>
        <v>105.846</v>
      </c>
      <c r="GW26" s="13">
        <f t="shared" si="51"/>
        <v>28.350087862757704</v>
      </c>
      <c r="GX26" s="20">
        <f t="shared" si="28"/>
        <v>233.72485302763633</v>
      </c>
      <c r="GY26" s="59">
        <f t="shared" si="29"/>
        <v>527.05818636096967</v>
      </c>
      <c r="GZ26" s="59">
        <f ca="1">AVERAGE(OFFSET($GY$3,0,0,'Données projet'!$E$18+1,1))-AVERAGE(OFFSET($H$3,0,0,'Données projet'!$E$18+1,1))</f>
        <v>227.89848316900191</v>
      </c>
      <c r="HA26" s="59">
        <f t="shared" si="52"/>
        <v>239.85955661394541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1.143716535863289</v>
      </c>
      <c r="HH26" s="21">
        <f>EXP(-LN(2)/25)*HH25+(1-EXP(-LN(2)/25))/(LN(2)/25)*Calculateur!HC26*Calculateur!HE26*VLOOKUP('Données projet'!$B$18,Paramètres!$A$1:$I$89,3,0)*0.475*44/12</f>
        <v>8.6666489333389976</v>
      </c>
      <c r="HI26" s="21">
        <f>EXP(-LN(2)/2)*HI25+(1-EXP(-LN(2)/2))/(LN(2)/2)*HC26*HF26*VLOOKUP('Données projet'!$B$18,Paramètres!$A$1:$I$89,3,0)*0.475*44/12</f>
        <v>4.4106157729309317</v>
      </c>
      <c r="HJ26" s="22">
        <f t="shared" si="30"/>
        <v>14.220981242133218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24.9</v>
      </c>
      <c r="N27" s="13">
        <f>IF('Données projet'!$A$36&gt;35,N26+M27-V26,IF(A27&lt;'Données projet'!$A$36,$K$205^A27,IF(A27='Données projet'!$A$36,'Données projet'!$B$36,N26+M27-V26)))</f>
        <v>210.60000000000002</v>
      </c>
      <c r="O27" s="13">
        <f>N27*VLOOKUP('Données projet'!$B$9,Paramètres!$A$1:$I$89,3,0)*VLOOKUP('Données projet'!$B$9,Paramètres!$A$1:$I$89,5,0)</f>
        <v>117.72540000000001</v>
      </c>
      <c r="P27" s="13">
        <f t="shared" si="33"/>
        <v>31.143896775185823</v>
      </c>
      <c r="Q27" s="20">
        <f t="shared" si="2"/>
        <v>259.28069188344864</v>
      </c>
      <c r="R27" s="59">
        <f t="shared" si="0"/>
        <v>552.61402521678201</v>
      </c>
      <c r="S27" s="59">
        <f ca="1">AVERAGE(OFFSET($R$3,0,0,'Données projet'!$E$9+1,1))-AVERAGE(OFFSET($H$3,0,0,'Données projet'!$E$9+1,1))</f>
        <v>370.69652285220093</v>
      </c>
      <c r="T27" s="59">
        <f t="shared" si="34"/>
        <v>376.53494965377718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15.271228897816563</v>
      </c>
      <c r="AB27" s="21">
        <f>EXP(-LN(2)/2)*AB26+(1-EXP(-LN(2)/2))/(LN(2)/2)*V27*Y27*VLOOKUP('Données projet'!$B$9,Paramètres!$A$1:$I$89,3,0)*0.475*44/12</f>
        <v>6.645637470331593</v>
      </c>
      <c r="AC27" s="22">
        <f t="shared" si="3"/>
        <v>21.916866368148156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90.299040000000005</v>
      </c>
      <c r="AK27" s="13">
        <f t="shared" si="35"/>
        <v>24.637332311507059</v>
      </c>
      <c r="AL27" s="20">
        <f t="shared" si="4"/>
        <v>200.18084844254145</v>
      </c>
      <c r="AM27" s="59">
        <f t="shared" si="5"/>
        <v>493.51418177587476</v>
      </c>
      <c r="AN27" s="59">
        <f ca="1">AVERAGE(OFFSET($AM$3,0,0,'Données projet'!$E$10+1,1))-AVERAGE(OFFSET($H$3,0,0,'Données projet'!$E$10+1,1))</f>
        <v>321.03881567735544</v>
      </c>
      <c r="AO27" s="59">
        <f t="shared" si="36"/>
        <v>234.87694492493506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3.2591843491876902</v>
      </c>
      <c r="AW27" s="21">
        <f>EXP(-LN(2)/2)*AW26+(1-EXP(-LN(2)/2))/(LN(2)/2)*AQ27*AT27*VLOOKUP('Données projet'!$B$10,Paramètres!$A$1:$I$89,3,0)*0.475*44/12</f>
        <v>1.81411919871178</v>
      </c>
      <c r="AX27" s="21">
        <f t="shared" si="6"/>
        <v>5.0733035478994699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18.5</v>
      </c>
      <c r="BD27" s="12">
        <f>IF('Données projet'!$A$88&gt;35,BD26+BC27-BL26,IF(A27&lt;'Données projet'!$A$88,$BA$205^A27,IF(A27='Données projet'!$A$88,'Données projet'!$B$88,BD26+BC27-BL26)))</f>
        <v>185.99999999999997</v>
      </c>
      <c r="BE27" s="13">
        <f>BD27*VLOOKUP('Données projet'!$B$11,Paramètres!$A$1:$I$89,3,0)*VLOOKUP('Données projet'!$B$11,Paramètres!$A$1:$I$89,5,0)</f>
        <v>101.556</v>
      </c>
      <c r="BF27" s="13">
        <f t="shared" si="37"/>
        <v>27.332359320696909</v>
      </c>
      <c r="BG27" s="20">
        <f t="shared" si="7"/>
        <v>224.48055915021379</v>
      </c>
      <c r="BH27" s="59">
        <f t="shared" si="8"/>
        <v>517.81389248354708</v>
      </c>
      <c r="BI27" s="59">
        <f ca="1">AVERAGE(OFFSET($BH$3,0,0,'Données projet'!$E$11+1,1))-AVERAGE(OFFSET($H$3,0,0,'Données projet'!$E$11+1,1))</f>
        <v>248.1486444660062</v>
      </c>
      <c r="BJ27" s="59">
        <f t="shared" si="38"/>
        <v>293.34458072322127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20.158577384925081</v>
      </c>
      <c r="BR27" s="21">
        <f>EXP(-LN(2)/2)*BR26+(1-EXP(-LN(2)/2))/(LN(2)/2)*BL27*BO27*VLOOKUP('Données projet'!$B$11,Paramètres!$A$1:$I$89,3,0)*0.475*44/12</f>
        <v>7.5922544355823147</v>
      </c>
      <c r="BS27" s="22">
        <f t="shared" si="9"/>
        <v>27.750831820507397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13.4</v>
      </c>
      <c r="BY27" s="12">
        <f>IF('Données projet'!$A$114&gt;35,BY26+BX27-CG26,IF(A27&lt;'Données projet'!$A$114,$BV$205^A27,IF(A27='Données projet'!$A$114,'Données projet'!$B$114,BY26+BX27-CG26)))</f>
        <v>147.60000000000002</v>
      </c>
      <c r="BZ27" s="13">
        <f>BY27*VLOOKUP('Données projet'!$B$12,Paramètres!$A$1:$I$89,3,0)*VLOOKUP('Données projet'!$B$12,Paramètres!$A$1:$I$89,5,0)</f>
        <v>128.94336000000004</v>
      </c>
      <c r="CA27" s="13">
        <f t="shared" si="39"/>
        <v>33.752085002132198</v>
      </c>
      <c r="CB27" s="20">
        <f t="shared" si="10"/>
        <v>283.36123337871362</v>
      </c>
      <c r="CC27" s="59">
        <f t="shared" si="11"/>
        <v>576.69456671204694</v>
      </c>
      <c r="CD27" s="59">
        <f ca="1">AVERAGE(OFFSET($CC$3,0,0,'Données projet'!$E$12+1,1))-AVERAGE(OFFSET($H$3,0,0,'Données projet'!$E$12+1,1))</f>
        <v>243.38048563215585</v>
      </c>
      <c r="CE27" s="59">
        <f t="shared" si="40"/>
        <v>372.1604147006675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5.6717864115739118</v>
      </c>
      <c r="CM27" s="21">
        <f>EXP(-LN(2)/2)*CM26+(1-EXP(-LN(2)/2))/(LN(2)/2)*CG27*CJ27*VLOOKUP('Données projet'!$B$12,Paramètres!$A$1:$I$89,3,0)*0.475*44/12</f>
        <v>2.4064579973433933</v>
      </c>
      <c r="CN27" s="22">
        <f t="shared" si="12"/>
        <v>8.0782444089173051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22.2</v>
      </c>
      <c r="CT27" s="12">
        <f>IF('Données projet'!$A$140&gt;35,CT26+CS27-DB26,IF(A27&lt;'Données projet'!$A$140,$CQ$205^A27,IF(A27='Données projet'!$A$140,'Données projet'!$B$140,CT26+CS27-DB26)))</f>
        <v>184.79999999999998</v>
      </c>
      <c r="CU27" s="17">
        <f>CT27*VLOOKUP('Données projet'!$B$13,Paramètres!$A$1:$I$89,3,0)*VLOOKUP('Données projet'!$B$13,Paramètres!$A$1:$I$89,5,0)</f>
        <v>88.888799999999989</v>
      </c>
      <c r="CV27" s="13">
        <f t="shared" si="41"/>
        <v>24.297036846372382</v>
      </c>
      <c r="CW27" s="20">
        <f t="shared" si="13"/>
        <v>197.13199917409852</v>
      </c>
      <c r="CX27" s="59">
        <f t="shared" si="14"/>
        <v>490.46533250743187</v>
      </c>
      <c r="CY27" s="59">
        <f ca="1">AVERAGE(OFFSET($CX$3,0,0,'Données projet'!$E$13+1,1))-AVERAGE(OFFSET($H$3,0,0,'Données projet'!$E$13+1,1))</f>
        <v>297.21955661193238</v>
      </c>
      <c r="CZ27" s="59">
        <f t="shared" si="42"/>
        <v>273.69206144662144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99.45</v>
      </c>
      <c r="DQ27" s="13">
        <f t="shared" si="43"/>
        <v>26.830925603893352</v>
      </c>
      <c r="DR27" s="20">
        <f t="shared" si="16"/>
        <v>219.93927876011423</v>
      </c>
      <c r="DS27" s="59">
        <f t="shared" si="17"/>
        <v>513.27261209344761</v>
      </c>
      <c r="DT27" s="59">
        <f ca="1">AVERAGE(OFFSET($DS$3,0,0,'Données projet'!$E$14+1,1))-AVERAGE(OFFSET($H$3,0,0,'Données projet'!$E$14+1,1))</f>
        <v>260.20517190557814</v>
      </c>
      <c r="DU27" s="59">
        <f t="shared" si="44"/>
        <v>307.22009971147133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6.960723911767535</v>
      </c>
      <c r="EC27" s="21">
        <f>EXP(-LN(2)/2)*EC26+(1-EXP(-LN(2)/2))/(LN(2)/2)*DW27*DZ27*VLOOKUP('Données projet'!$B$14,Paramètres!$A$1:$I$89,3,0)*0.475*44/12</f>
        <v>3.1434306805264476</v>
      </c>
      <c r="ED27" s="22">
        <f t="shared" si="18"/>
        <v>10.104154592293982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15.8</v>
      </c>
      <c r="EJ27" s="12">
        <f>IF('Données projet'!$A$192&gt;35,EJ26+EI27-ER26,IF(A27&lt;'Données projet'!$A$192,$EG$205^A27,IF(A27='Données projet'!$A$192,'Données projet'!$B$192,EJ26+EI27-ER26)))</f>
        <v>162.20000000000005</v>
      </c>
      <c r="EK27" s="17">
        <f>EJ27*VLOOKUP('Données projet'!$B$15,Paramètres!$A$1:$I$89,3,0)*VLOOKUP('Données projet'!$B$15,Paramètres!$A$1:$I$89,5,0)</f>
        <v>96.995600000000039</v>
      </c>
      <c r="EL27" s="13">
        <f t="shared" si="45"/>
        <v>26.244974914188191</v>
      </c>
      <c r="EM27" s="20">
        <f t="shared" si="19"/>
        <v>214.64400130887782</v>
      </c>
      <c r="EN27" s="59">
        <f t="shared" si="20"/>
        <v>507.97733464221113</v>
      </c>
      <c r="EO27" s="59">
        <f ca="1">AVERAGE(OFFSET($EN$3,0,0,'Données projet'!$E$15+1,1))-AVERAGE(OFFSET($H$3,0,0,'Données projet'!$E$15+1,1))</f>
        <v>259.30247982593914</v>
      </c>
      <c r="EP27" s="59">
        <f t="shared" si="46"/>
        <v>275.24740346220779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3.6598369466679075</v>
      </c>
      <c r="EX27" s="21">
        <f>EXP(-LN(2)/2)*EX26+(1-EXP(-LN(2)/2))/(LN(2)/2)*ER27*EU27*VLOOKUP('Données projet'!$B$15,Paramètres!$A$1:$I$89,3,0)*0.475*44/12</f>
        <v>1.9465903775223767</v>
      </c>
      <c r="EY27" s="22">
        <f t="shared" si="21"/>
        <v>5.6064273241902844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8.1999999999999993</v>
      </c>
      <c r="FE27" s="12">
        <f>IF('Données projet'!$A$218&gt;35,FE26+FD27-FM26,IF(A27&lt;'Données projet'!$A$218,$FB$205^A27,IF(A27='Données projet'!$A$218,'Données projet'!$B$218,FE26+FD27-FM26)))</f>
        <v>99.800000000000011</v>
      </c>
      <c r="FF27" s="17">
        <f>FE27*VLOOKUP('Données projet'!$B$16,Paramètres!$A$1:$I$89,3,0)*VLOOKUP('Données projet'!$B$16,Paramètres!$A$1:$I$89,5,0)</f>
        <v>101.19720000000001</v>
      </c>
      <c r="FG27" s="13">
        <f t="shared" si="47"/>
        <v>27.24701608884051</v>
      </c>
      <c r="FH27" s="20">
        <f t="shared" si="22"/>
        <v>223.70700968806386</v>
      </c>
      <c r="FI27" s="59">
        <f t="shared" si="23"/>
        <v>517.04034302139712</v>
      </c>
      <c r="FJ27" s="59">
        <f ca="1">AVERAGE(OFFSET($FI$3,0,0,'Données projet'!$E$16+1,1))-AVERAGE(OFFSET($H$3,0,0,'Données projet'!$E$16+1,1))</f>
        <v>372.91317851957336</v>
      </c>
      <c r="FK27" s="59">
        <f t="shared" si="48"/>
        <v>269.69187715858413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3.6525341844344807</v>
      </c>
      <c r="FS27" s="21">
        <f>EXP(-LN(2)/2)*FS26+(1-EXP(-LN(2)/2))/(LN(2)/2)*FM27*FP27*VLOOKUP('Données projet'!$B$16,Paramètres!$A$1:$I$89,3,0)*0.475*44/12</f>
        <v>2.0330646192459612</v>
      </c>
      <c r="FT27" s="22">
        <f t="shared" si="24"/>
        <v>5.6855988036804419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9.1999999999999993</v>
      </c>
      <c r="FZ27" s="12">
        <f>IF('Données projet'!$A$244&gt;35,FZ26+FY27-GH26,IF(A27&lt;'Données projet'!$A$244,$FW$205^A27,IF(A27='Données projet'!$A$244,'Données projet'!$B$244,FZ26+FY27-GH26)))</f>
        <v>182.29999999999995</v>
      </c>
      <c r="GA27" s="17">
        <f>FZ27*VLOOKUP('Données projet'!$B$17,Paramètres!$A$1:$I$89,3,0)*VLOOKUP('Données projet'!$B$17,Paramètres!$A$1:$I$89,5,0)</f>
        <v>85.316399999999987</v>
      </c>
      <c r="GB27" s="13">
        <f t="shared" si="49"/>
        <v>23.432164150529264</v>
      </c>
      <c r="GC27" s="20">
        <f t="shared" si="25"/>
        <v>189.40374922883845</v>
      </c>
      <c r="GD27" s="59">
        <f t="shared" si="26"/>
        <v>482.73708256217174</v>
      </c>
      <c r="GE27" s="59">
        <f ca="1">AVERAGE(OFFSET($GD$3,0,0,'Données projet'!$E$17+1,1))-AVERAGE(OFFSET($H$3,0,0,'Données projet'!$E$17+1,1))</f>
        <v>215.23235148064941</v>
      </c>
      <c r="GF27" s="59">
        <f t="shared" si="50"/>
        <v>184.07239726900434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1.9025617397611998</v>
      </c>
      <c r="GN27" s="21">
        <f>EXP(-LN(2)/2)*GN26+(1-EXP(-LN(2)/2))/(LN(2)/2)*GH27*GK27*VLOOKUP('Données projet'!$B$17,Paramètres!$A$1:$I$89,3,0)*0.475*44/12</f>
        <v>0.8279448675662282</v>
      </c>
      <c r="GO27" s="21">
        <f t="shared" si="27"/>
        <v>2.730506607327428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>
        <f>VLOOKUP(A27,'Données projet'!$A$269:$I$289,2,0)</f>
        <v>197</v>
      </c>
      <c r="GS27" s="12">
        <f>VLOOKUP(A27,'Données projet'!$A$269:$I$289,9,0)</f>
        <v>20</v>
      </c>
      <c r="GT27" s="12">
        <f t="array" ref="GT27">INDEX(GS:GS,MIN(IF(ISNUMBER(GS27:GS223),ROW(GS27:GS223),"")))</f>
        <v>20</v>
      </c>
      <c r="GU27" s="12">
        <f>IF('Données projet'!$A$270&gt;35,GU26+GT27-HC26,IF(A27&lt;'Données projet'!$A$270,$GR$205^A27,IF(A27='Données projet'!$A$270,'Données projet'!$B$270,GU26+GT27-HC26)))</f>
        <v>197</v>
      </c>
      <c r="GV27" s="17">
        <f>GU27*VLOOKUP('Données projet'!$B$18,Paramètres!$A$1:$I$89,3,0)*VLOOKUP('Données projet'!$B$18,Paramètres!$A$1:$I$89,5,0)</f>
        <v>117.80600000000001</v>
      </c>
      <c r="GW27" s="13">
        <f t="shared" si="51"/>
        <v>31.162736572430632</v>
      </c>
      <c r="GX27" s="20">
        <f t="shared" si="28"/>
        <v>259.45388286365005</v>
      </c>
      <c r="GY27" s="59">
        <f t="shared" si="29"/>
        <v>552.78721619698331</v>
      </c>
      <c r="GZ27" s="59">
        <f ca="1">AVERAGE(OFFSET($GY$3,0,0,'Données projet'!$E$18+1,1))-AVERAGE(OFFSET($H$3,0,0,'Données projet'!$E$18+1,1))</f>
        <v>227.89848316900191</v>
      </c>
      <c r="HA27" s="59">
        <f t="shared" si="52"/>
        <v>239.85955661394541</v>
      </c>
      <c r="HB27" s="15">
        <f>IF(ISNA(VLOOKUP(A27,'Données projet'!$A$269:$I$289,3,0)),0,VLOOKUP(A27,'Données projet'!$A$269:$I$289,3,0))</f>
        <v>3</v>
      </c>
      <c r="HC27" s="15">
        <f>IF(ISNA(VLOOKUP(A27,'Données projet'!$A$269:$I$289,4,0)),0,VLOOKUP(A27,'Données projet'!$A$269:$I$289,4,0))</f>
        <v>43</v>
      </c>
      <c r="HD27" s="16">
        <f>IF(ISNA(VLOOKUP(A27,'Données projet'!$A$269:$I$289,5,0)),0%,VLOOKUP(A27,'Données projet'!$A$269:$I$289,5,0)*VLOOKUP('Données projet'!$B$18,Paramètres!$A$1:$I$89,7,0))</f>
        <v>9.0000000000000011E-2</v>
      </c>
      <c r="HE27" s="16">
        <f>IF(ISNA(VLOOKUP(A27,'Données projet'!$A$269:$I$289,6,0)),0%,VLOOKUP(A27,'Données projet'!$A$269:$I$289,6,0)*VLOOKUP('Données projet'!$B$18,Paramètres!$A$1:$I$89,7,0))</f>
        <v>0.18000000000000002</v>
      </c>
      <c r="HF27" s="16">
        <f>IF(ISNA(VLOOKUP(A27,'Données projet'!$A$269:$I$289,7,0)),0%,VLOOKUP(A27,'Données projet'!$A$269:$I$289,7,0))</f>
        <v>0.4</v>
      </c>
      <c r="HG27" s="21">
        <f>EXP(-LN(2)/35)*HG26+(1-EXP(-LN(2)/35))/(LN(2)/35)*HC27*HD27*VLOOKUP('Données projet'!$B$18,Paramètres!$A$1:$I$89,3,0)*0.475*44/12</f>
        <v>4.1913040088387259</v>
      </c>
      <c r="HH27" s="21">
        <f>EXP(-LN(2)/25)*HH26+(1-EXP(-LN(2)/25))/(LN(2)/25)*Calculateur!HC27*Calculateur!HE27*VLOOKUP('Données projet'!$B$18,Paramètres!$A$1:$I$89,3,0)*0.475*44/12</f>
        <v>14.545513437697689</v>
      </c>
      <c r="HI27" s="21">
        <f>EXP(-LN(2)/2)*HI26+(1-EXP(-LN(2)/2))/(LN(2)/2)*HC27*HF27*VLOOKUP('Données projet'!$B$18,Paramètres!$A$1:$I$89,3,0)*0.475*44/12</f>
        <v>14.764464841686026</v>
      </c>
      <c r="HJ27" s="22">
        <f t="shared" si="30"/>
        <v>33.501282288222441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24.9</v>
      </c>
      <c r="N28" s="13">
        <f>IF('Données projet'!$A$36&gt;35,N27+M28-V27,IF(A28&lt;'Données projet'!$A$36,$K$205^A28,IF(A28='Données projet'!$A$36,'Données projet'!$B$36,N27+M28-V27)))</f>
        <v>235.50000000000003</v>
      </c>
      <c r="O28" s="13">
        <f>N28*VLOOKUP('Données projet'!$B$9,Paramètres!$A$1:$I$89,3,0)*VLOOKUP('Données projet'!$B$9,Paramètres!$A$1:$I$89,5,0)</f>
        <v>131.64450000000002</v>
      </c>
      <c r="P28" s="13">
        <f t="shared" si="33"/>
        <v>34.376076542672536</v>
      </c>
      <c r="Q28" s="20">
        <f t="shared" si="2"/>
        <v>289.15250414515464</v>
      </c>
      <c r="R28" s="59">
        <f t="shared" si="0"/>
        <v>582.48583747848795</v>
      </c>
      <c r="S28" s="59">
        <f ca="1">AVERAGE(OFFSET($R$3,0,0,'Données projet'!$E$9+1,1))-AVERAGE(OFFSET($H$3,0,0,'Données projet'!$E$9+1,1))</f>
        <v>370.69652285220093</v>
      </c>
      <c r="T28" s="59">
        <f t="shared" si="34"/>
        <v>376.53494965377718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14.853636340526744</v>
      </c>
      <c r="AB28" s="21">
        <f>EXP(-LN(2)/2)*AB27+(1-EXP(-LN(2)/2))/(LN(2)/2)*V28*Y28*VLOOKUP('Données projet'!$B$9,Paramètres!$A$1:$I$89,3,0)*0.475*44/12</f>
        <v>4.6991753205788829</v>
      </c>
      <c r="AC28" s="22">
        <f t="shared" si="3"/>
        <v>19.552811661105629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97.718400000000003</v>
      </c>
      <c r="AK28" s="13">
        <f t="shared" si="35"/>
        <v>26.417709819192194</v>
      </c>
      <c r="AL28" s="20">
        <f t="shared" si="4"/>
        <v>216.20372460175975</v>
      </c>
      <c r="AM28" s="59">
        <f t="shared" si="5"/>
        <v>509.53705793509306</v>
      </c>
      <c r="AN28" s="59">
        <f ca="1">AVERAGE(OFFSET($AM$3,0,0,'Données projet'!$E$10+1,1))-AVERAGE(OFFSET($H$3,0,0,'Données projet'!$E$10+1,1))</f>
        <v>321.03881567735544</v>
      </c>
      <c r="AO28" s="59">
        <f t="shared" si="36"/>
        <v>234.87694492493506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3.1700617817660968</v>
      </c>
      <c r="AW28" s="21">
        <f>EXP(-LN(2)/2)*AW27+(1-EXP(-LN(2)/2))/(LN(2)/2)*AQ28*AT28*VLOOKUP('Données projet'!$B$10,Paramètres!$A$1:$I$89,3,0)*0.475*44/12</f>
        <v>1.2827759872898057</v>
      </c>
      <c r="AX28" s="21">
        <f t="shared" si="6"/>
        <v>4.4528377690559022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18.5</v>
      </c>
      <c r="BD28" s="12">
        <f>IF('Données projet'!$A$88&gt;35,BD27+BC28-BL27,IF(A28&lt;'Données projet'!$A$88,$BA$205^A28,IF(A28='Données projet'!$A$88,'Données projet'!$B$88,BD27+BC28-BL27)))</f>
        <v>204.49999999999997</v>
      </c>
      <c r="BE28" s="13">
        <f>BD28*VLOOKUP('Données projet'!$B$11,Paramètres!$A$1:$I$89,3,0)*VLOOKUP('Données projet'!$B$11,Paramètres!$A$1:$I$89,5,0)</f>
        <v>111.65699999999998</v>
      </c>
      <c r="BF28" s="13">
        <f t="shared" si="37"/>
        <v>29.721046333209543</v>
      </c>
      <c r="BG28" s="20">
        <f t="shared" si="7"/>
        <v>246.23343069700653</v>
      </c>
      <c r="BH28" s="59">
        <f t="shared" si="8"/>
        <v>539.56676403033987</v>
      </c>
      <c r="BI28" s="59">
        <f ca="1">AVERAGE(OFFSET($BH$3,0,0,'Données projet'!$E$11+1,1))-AVERAGE(OFFSET($H$3,0,0,'Données projet'!$E$11+1,1))</f>
        <v>248.1486444660062</v>
      </c>
      <c r="BJ28" s="59">
        <f t="shared" si="38"/>
        <v>293.34458072322127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19.607340026240795</v>
      </c>
      <c r="BR28" s="21">
        <f>EXP(-LN(2)/2)*BR27+(1-EXP(-LN(2)/2))/(LN(2)/2)*BL28*BO28*VLOOKUP('Données projet'!$B$11,Paramètres!$A$1:$I$89,3,0)*0.475*44/12</f>
        <v>5.368534595893899</v>
      </c>
      <c r="BS28" s="22">
        <f t="shared" si="9"/>
        <v>24.975874622134693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13.4</v>
      </c>
      <c r="BY28" s="12">
        <f>IF('Données projet'!$A$114&gt;35,BY27+BX28-CG27,IF(A28&lt;'Données projet'!$A$114,$BV$205^A28,IF(A28='Données projet'!$A$114,'Données projet'!$B$114,BY27+BX28-CG27)))</f>
        <v>161.00000000000003</v>
      </c>
      <c r="BZ28" s="13">
        <f>BY28*VLOOKUP('Données projet'!$B$12,Paramètres!$A$1:$I$89,3,0)*VLOOKUP('Données projet'!$B$12,Paramètres!$A$1:$I$89,5,0)</f>
        <v>140.64960000000005</v>
      </c>
      <c r="CA28" s="13">
        <f t="shared" si="39"/>
        <v>36.445779615258637</v>
      </c>
      <c r="CB28" s="20">
        <f t="shared" si="10"/>
        <v>308.44111949657554</v>
      </c>
      <c r="CC28" s="59">
        <f t="shared" si="11"/>
        <v>601.7744528299088</v>
      </c>
      <c r="CD28" s="59">
        <f ca="1">AVERAGE(OFFSET($CC$3,0,0,'Données projet'!$E$12+1,1))-AVERAGE(OFFSET($H$3,0,0,'Données projet'!$E$12+1,1))</f>
        <v>243.38048563215585</v>
      </c>
      <c r="CE28" s="59">
        <f t="shared" si="40"/>
        <v>372.1604147006675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5.5166911138831392</v>
      </c>
      <c r="CM28" s="21">
        <f>EXP(-LN(2)/2)*CM27+(1-EXP(-LN(2)/2))/(LN(2)/2)*CG28*CJ28*VLOOKUP('Données projet'!$B$12,Paramètres!$A$1:$I$89,3,0)*0.475*44/12</f>
        <v>1.7016227685621124</v>
      </c>
      <c r="CN28" s="22">
        <f t="shared" si="12"/>
        <v>7.2183138824452513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22.2</v>
      </c>
      <c r="CT28" s="12">
        <f>IF('Données projet'!$A$140&gt;35,CT27+CS28-DB27,IF(A28&lt;'Données projet'!$A$140,$CQ$205^A28,IF(A28='Données projet'!$A$140,'Données projet'!$B$140,CT27+CS28-DB27)))</f>
        <v>206.99999999999997</v>
      </c>
      <c r="CU28" s="17">
        <f>CT28*VLOOKUP('Données projet'!$B$13,Paramètres!$A$1:$I$89,3,0)*VLOOKUP('Données projet'!$B$13,Paramètres!$A$1:$I$89,5,0)</f>
        <v>99.566999999999993</v>
      </c>
      <c r="CV28" s="13">
        <f t="shared" si="41"/>
        <v>26.858815231289142</v>
      </c>
      <c r="CW28" s="20">
        <f t="shared" si="13"/>
        <v>220.19162819449525</v>
      </c>
      <c r="CX28" s="59">
        <f t="shared" si="14"/>
        <v>513.52496152782851</v>
      </c>
      <c r="CY28" s="59">
        <f ca="1">AVERAGE(OFFSET($CX$3,0,0,'Données projet'!$E$13+1,1))-AVERAGE(OFFSET($H$3,0,0,'Données projet'!$E$13+1,1))</f>
        <v>297.21955661193238</v>
      </c>
      <c r="CZ28" s="59">
        <f t="shared" si="42"/>
        <v>273.69206144662144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110.9862</v>
      </c>
      <c r="DQ28" s="13">
        <f t="shared" si="43"/>
        <v>29.563220146103436</v>
      </c>
      <c r="DR28" s="20">
        <f t="shared" si="16"/>
        <v>244.79024008779683</v>
      </c>
      <c r="DS28" s="59">
        <f t="shared" si="17"/>
        <v>538.12357342113012</v>
      </c>
      <c r="DT28" s="59">
        <f ca="1">AVERAGE(OFFSET($DS$3,0,0,'Données projet'!$E$14+1,1))-AVERAGE(OFFSET($H$3,0,0,'Données projet'!$E$14+1,1))</f>
        <v>260.20517190557814</v>
      </c>
      <c r="DU28" s="59">
        <f t="shared" si="44"/>
        <v>307.22009971147133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6.7703825503516901</v>
      </c>
      <c r="EC28" s="21">
        <f>EXP(-LN(2)/2)*EC27+(1-EXP(-LN(2)/2))/(LN(2)/2)*DW28*DZ28*VLOOKUP('Données projet'!$B$14,Paramètres!$A$1:$I$89,3,0)*0.475*44/12</f>
        <v>2.2227411503900951</v>
      </c>
      <c r="ED28" s="22">
        <f t="shared" si="18"/>
        <v>8.9931237007417852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15.8</v>
      </c>
      <c r="EJ28" s="12">
        <f>IF('Données projet'!$A$192&gt;35,EJ27+EI28-ER27,IF(A28&lt;'Données projet'!$A$192,$EG$205^A28,IF(A28='Données projet'!$A$192,'Données projet'!$B$192,EJ27+EI28-ER27)))</f>
        <v>178.00000000000006</v>
      </c>
      <c r="EK28" s="17">
        <f>EJ28*VLOOKUP('Données projet'!$B$15,Paramètres!$A$1:$I$89,3,0)*VLOOKUP('Données projet'!$B$15,Paramètres!$A$1:$I$89,5,0)</f>
        <v>106.44400000000003</v>
      </c>
      <c r="EL28" s="13">
        <f t="shared" si="45"/>
        <v>28.491567625901947</v>
      </c>
      <c r="EM28" s="20">
        <f t="shared" si="19"/>
        <v>235.01278028177921</v>
      </c>
      <c r="EN28" s="59">
        <f t="shared" si="20"/>
        <v>528.34611361511247</v>
      </c>
      <c r="EO28" s="59">
        <f ca="1">AVERAGE(OFFSET($EN$3,0,0,'Données projet'!$E$15+1,1))-AVERAGE(OFFSET($H$3,0,0,'Données projet'!$E$15+1,1))</f>
        <v>259.30247982593914</v>
      </c>
      <c r="EP28" s="59">
        <f t="shared" si="46"/>
        <v>275.24740346220779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3.5597585128988132</v>
      </c>
      <c r="EX28" s="21">
        <f>EXP(-LN(2)/2)*EX27+(1-EXP(-LN(2)/2))/(LN(2)/2)*ER28*EU28*VLOOKUP('Données projet'!$B$15,Paramètres!$A$1:$I$89,3,0)*0.475*44/12</f>
        <v>1.3764472561385543</v>
      </c>
      <c r="EY28" s="22">
        <f t="shared" si="21"/>
        <v>4.9362057690373673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8.1999999999999993</v>
      </c>
      <c r="FE28" s="12">
        <f>IF('Données projet'!$A$218&gt;35,FE27+FD28-FM27,IF(A28&lt;'Données projet'!$A$218,$FB$205^A28,IF(A28='Données projet'!$A$218,'Données projet'!$B$218,FE27+FD28-FM27)))</f>
        <v>108.00000000000001</v>
      </c>
      <c r="FF28" s="17">
        <f>FE28*VLOOKUP('Données projet'!$B$16,Paramètres!$A$1:$I$89,3,0)*VLOOKUP('Données projet'!$B$16,Paramètres!$A$1:$I$89,5,0)</f>
        <v>109.51200000000003</v>
      </c>
      <c r="FG28" s="13">
        <f t="shared" si="47"/>
        <v>29.215978230632555</v>
      </c>
      <c r="FH28" s="20">
        <f t="shared" si="22"/>
        <v>241.61789541835174</v>
      </c>
      <c r="FI28" s="59">
        <f t="shared" si="23"/>
        <v>534.95122875168499</v>
      </c>
      <c r="FJ28" s="59">
        <f ca="1">AVERAGE(OFFSET($FI$3,0,0,'Données projet'!$E$16+1,1))-AVERAGE(OFFSET($H$3,0,0,'Données projet'!$E$16+1,1))</f>
        <v>372.91317851957336</v>
      </c>
      <c r="FK28" s="59">
        <f t="shared" si="48"/>
        <v>269.69187715858413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3.5526554450826953</v>
      </c>
      <c r="FS28" s="21">
        <f>EXP(-LN(2)/2)*FS27+(1-EXP(-LN(2)/2))/(LN(2)/2)*FM28*FP28*VLOOKUP('Données projet'!$B$16,Paramètres!$A$1:$I$89,3,0)*0.475*44/12</f>
        <v>1.4375937788592654</v>
      </c>
      <c r="FT28" s="22">
        <f t="shared" si="24"/>
        <v>4.9902492239419605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9.1999999999999993</v>
      </c>
      <c r="FZ28" s="12">
        <f>IF('Données projet'!$A$244&gt;35,FZ27+FY28-GH27,IF(A28&lt;'Données projet'!$A$244,$FW$205^A28,IF(A28='Données projet'!$A$244,'Données projet'!$B$244,FZ27+FY28-GH27)))</f>
        <v>191.49999999999994</v>
      </c>
      <c r="GA28" s="17">
        <f>FZ28*VLOOKUP('Données projet'!$B$17,Paramètres!$A$1:$I$89,3,0)*VLOOKUP('Données projet'!$B$17,Paramètres!$A$1:$I$89,5,0)</f>
        <v>89.621999999999986</v>
      </c>
      <c r="GB28" s="13">
        <f t="shared" si="49"/>
        <v>24.47403817697321</v>
      </c>
      <c r="GC28" s="20">
        <f t="shared" si="25"/>
        <v>198.71726649156165</v>
      </c>
      <c r="GD28" s="59">
        <f t="shared" si="26"/>
        <v>492.05059982489496</v>
      </c>
      <c r="GE28" s="59">
        <f ca="1">AVERAGE(OFFSET($GD$3,0,0,'Données projet'!$E$17+1,1))-AVERAGE(OFFSET($H$3,0,0,'Données projet'!$E$17+1,1))</f>
        <v>215.23235148064941</v>
      </c>
      <c r="GF28" s="59">
        <f t="shared" si="50"/>
        <v>184.07239726900434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1.8505360889360563</v>
      </c>
      <c r="GN28" s="21">
        <f>EXP(-LN(2)/2)*GN27+(1-EXP(-LN(2)/2))/(LN(2)/2)*GH28*GK28*VLOOKUP('Données projet'!$B$17,Paramètres!$A$1:$I$89,3,0)*0.475*44/12</f>
        <v>0.58544543030467799</v>
      </c>
      <c r="GO28" s="21">
        <f t="shared" si="27"/>
        <v>2.4359815192407344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19.75</v>
      </c>
      <c r="GU28" s="12">
        <f>IF('Données projet'!$A$270&gt;35,GU27+GT28-HC27,IF(A28&lt;'Données projet'!$A$270,$GR$205^A28,IF(A28='Données projet'!$A$270,'Données projet'!$B$270,GU27+GT28-HC27)))</f>
        <v>173.75</v>
      </c>
      <c r="GV28" s="17">
        <f>GU28*VLOOKUP('Données projet'!$B$18,Paramètres!$A$1:$I$89,3,0)*VLOOKUP('Données projet'!$B$18,Paramètres!$A$1:$I$89,5,0)</f>
        <v>103.9025</v>
      </c>
      <c r="GW28" s="13">
        <f t="shared" si="51"/>
        <v>27.889632783106542</v>
      </c>
      <c r="GX28" s="20">
        <f t="shared" si="28"/>
        <v>229.5379645972439</v>
      </c>
      <c r="GY28" s="59">
        <f t="shared" si="29"/>
        <v>522.87129793057716</v>
      </c>
      <c r="GZ28" s="59">
        <f ca="1">AVERAGE(OFFSET($GY$3,0,0,'Données projet'!$E$18+1,1))-AVERAGE(OFFSET($H$3,0,0,'Données projet'!$E$18+1,1))</f>
        <v>227.89848316900191</v>
      </c>
      <c r="HA28" s="59">
        <f t="shared" si="52"/>
        <v>239.85955661394541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4.1091150936684162</v>
      </c>
      <c r="HH28" s="21">
        <f>EXP(-LN(2)/25)*HH27+(1-EXP(-LN(2)/25))/(LN(2)/25)*Calculateur!HC28*Calculateur!HE28*VLOOKUP('Données projet'!$B$18,Paramètres!$A$1:$I$89,3,0)*0.475*44/12</f>
        <v>14.147765607828539</v>
      </c>
      <c r="HI28" s="21">
        <f>EXP(-LN(2)/2)*HI27+(1-EXP(-LN(2)/2))/(LN(2)/2)*HC28*HF28*VLOOKUP('Données projet'!$B$18,Paramètres!$A$1:$I$89,3,0)*0.475*44/12</f>
        <v>10.440053210146555</v>
      </c>
      <c r="HJ28" s="22">
        <f t="shared" si="30"/>
        <v>28.696933911643509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24.9</v>
      </c>
      <c r="N29" s="13">
        <f>IF('Données projet'!$A$36&gt;35,N28+M29-V28,IF(A29&lt;'Données projet'!$A$36,$K$205^A29,IF(A29='Données projet'!$A$36,'Données projet'!$B$36,N28+M29-V28)))</f>
        <v>260.40000000000003</v>
      </c>
      <c r="O29" s="13">
        <f>N29*VLOOKUP('Données projet'!$B$9,Paramètres!$A$1:$I$89,3,0)*VLOOKUP('Données projet'!$B$9,Paramètres!$A$1:$I$89,5,0)</f>
        <v>145.56360000000001</v>
      </c>
      <c r="P29" s="13">
        <f t="shared" si="33"/>
        <v>37.568642979458723</v>
      </c>
      <c r="Q29" s="20">
        <f t="shared" si="2"/>
        <v>318.95532318922392</v>
      </c>
      <c r="R29" s="59">
        <f t="shared" si="0"/>
        <v>612.28865652255718</v>
      </c>
      <c r="S29" s="59">
        <f ca="1">AVERAGE(OFFSET($R$3,0,0,'Données projet'!$E$9+1,1))-AVERAGE(OFFSET($H$3,0,0,'Données projet'!$E$9+1,1))</f>
        <v>370.69652285220093</v>
      </c>
      <c r="T29" s="59">
        <f t="shared" si="34"/>
        <v>376.53494965377718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14.447462873676255</v>
      </c>
      <c r="AB29" s="21">
        <f>EXP(-LN(2)/2)*AB28+(1-EXP(-LN(2)/2))/(LN(2)/2)*V29*Y29*VLOOKUP('Données projet'!$B$9,Paramètres!$A$1:$I$89,3,0)*0.475*44/12</f>
        <v>3.3228187351657965</v>
      </c>
      <c r="AC29" s="22">
        <f t="shared" si="3"/>
        <v>17.770281608842051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105.13776</v>
      </c>
      <c r="AK29" s="13">
        <f t="shared" si="35"/>
        <v>28.182406176030653</v>
      </c>
      <c r="AL29" s="20">
        <f t="shared" si="4"/>
        <v>232.19928942325339</v>
      </c>
      <c r="AM29" s="59">
        <f t="shared" si="5"/>
        <v>525.53262275658676</v>
      </c>
      <c r="AN29" s="59">
        <f ca="1">AVERAGE(OFFSET($AM$3,0,0,'Données projet'!$E$10+1,1))-AVERAGE(OFFSET($H$3,0,0,'Données projet'!$E$10+1,1))</f>
        <v>321.03881567735544</v>
      </c>
      <c r="AO29" s="59">
        <f t="shared" si="36"/>
        <v>234.87694492493506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3.083376275637399</v>
      </c>
      <c r="AW29" s="21">
        <f>EXP(-LN(2)/2)*AW28+(1-EXP(-LN(2)/2))/(LN(2)/2)*AQ29*AT29*VLOOKUP('Données projet'!$B$10,Paramètres!$A$1:$I$89,3,0)*0.475*44/12</f>
        <v>0.9070595993558902</v>
      </c>
      <c r="AX29" s="21">
        <f t="shared" si="6"/>
        <v>3.9904358749932891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18.5</v>
      </c>
      <c r="BD29" s="12">
        <f>IF('Données projet'!$A$88&gt;35,BD28+BC29-BL28,IF(A29&lt;'Données projet'!$A$88,$BA$205^A29,IF(A29='Données projet'!$A$88,'Données projet'!$B$88,BD28+BC29-BL28)))</f>
        <v>222.99999999999997</v>
      </c>
      <c r="BE29" s="13">
        <f>BD29*VLOOKUP('Données projet'!$B$11,Paramètres!$A$1:$I$89,3,0)*VLOOKUP('Données projet'!$B$11,Paramètres!$A$1:$I$89,5,0)</f>
        <v>121.75799999999998</v>
      </c>
      <c r="BF29" s="13">
        <f t="shared" si="37"/>
        <v>32.084676216474307</v>
      </c>
      <c r="BG29" s="20">
        <f t="shared" si="7"/>
        <v>267.942661077026</v>
      </c>
      <c r="BH29" s="59">
        <f t="shared" si="8"/>
        <v>561.27599441035932</v>
      </c>
      <c r="BI29" s="59">
        <f ca="1">AVERAGE(OFFSET($BH$3,0,0,'Données projet'!$E$11+1,1))-AVERAGE(OFFSET($H$3,0,0,'Données projet'!$E$11+1,1))</f>
        <v>248.1486444660062</v>
      </c>
      <c r="BJ29" s="59">
        <f t="shared" si="38"/>
        <v>293.34458072322127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19.071176282118042</v>
      </c>
      <c r="BR29" s="21">
        <f>EXP(-LN(2)/2)*BR28+(1-EXP(-LN(2)/2))/(LN(2)/2)*BL29*BO29*VLOOKUP('Données projet'!$B$11,Paramètres!$A$1:$I$89,3,0)*0.475*44/12</f>
        <v>3.7961272177911578</v>
      </c>
      <c r="BS29" s="22">
        <f t="shared" si="9"/>
        <v>22.867303499909198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13.4</v>
      </c>
      <c r="BY29" s="12">
        <f>IF('Données projet'!$A$114&gt;35,BY28+BX29-CG28,IF(A29&lt;'Données projet'!$A$114,$BV$205^A29,IF(A29='Données projet'!$A$114,'Données projet'!$B$114,BY28+BX29-CG28)))</f>
        <v>174.40000000000003</v>
      </c>
      <c r="BZ29" s="13">
        <f>BY29*VLOOKUP('Données projet'!$B$12,Paramètres!$A$1:$I$89,3,0)*VLOOKUP('Données projet'!$B$12,Paramètres!$A$1:$I$89,5,0)</f>
        <v>152.35584000000006</v>
      </c>
      <c r="CA29" s="13">
        <f t="shared" si="39"/>
        <v>39.11347218476763</v>
      </c>
      <c r="CB29" s="20">
        <f t="shared" si="10"/>
        <v>333.47571872180373</v>
      </c>
      <c r="CC29" s="59">
        <f t="shared" si="11"/>
        <v>626.80905205513704</v>
      </c>
      <c r="CD29" s="59">
        <f ca="1">AVERAGE(OFFSET($CC$3,0,0,'Données projet'!$E$12+1,1))-AVERAGE(OFFSET($H$3,0,0,'Données projet'!$E$12+1,1))</f>
        <v>243.38048563215585</v>
      </c>
      <c r="CE29" s="59">
        <f t="shared" si="40"/>
        <v>372.1604147006675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5.3658369052638273</v>
      </c>
      <c r="CM29" s="21">
        <f>EXP(-LN(2)/2)*CM28+(1-EXP(-LN(2)/2))/(LN(2)/2)*CG29*CJ29*VLOOKUP('Données projet'!$B$12,Paramètres!$A$1:$I$89,3,0)*0.475*44/12</f>
        <v>1.2032289986716969</v>
      </c>
      <c r="CN29" s="22">
        <f t="shared" si="12"/>
        <v>6.5690659039355239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22.2</v>
      </c>
      <c r="CT29" s="12">
        <f>IF('Données projet'!$A$140&gt;35,CT28+CS29-DB28,IF(A29&lt;'Données projet'!$A$140,$CQ$205^A29,IF(A29='Données projet'!$A$140,'Données projet'!$B$140,CT28+CS29-DB28)))</f>
        <v>229.19999999999996</v>
      </c>
      <c r="CU29" s="17">
        <f>CT29*VLOOKUP('Données projet'!$B$13,Paramètres!$A$1:$I$89,3,0)*VLOOKUP('Données projet'!$B$13,Paramètres!$A$1:$I$89,5,0)</f>
        <v>110.24519999999998</v>
      </c>
      <c r="CV29" s="13">
        <f t="shared" si="41"/>
        <v>29.388748116443562</v>
      </c>
      <c r="CW29" s="20">
        <f t="shared" si="13"/>
        <v>243.19579296947248</v>
      </c>
      <c r="CX29" s="59">
        <f t="shared" si="14"/>
        <v>536.52912630280582</v>
      </c>
      <c r="CY29" s="59">
        <f ca="1">AVERAGE(OFFSET($CX$3,0,0,'Données projet'!$E$13+1,1))-AVERAGE(OFFSET($H$3,0,0,'Données projet'!$E$13+1,1))</f>
        <v>297.21955661193238</v>
      </c>
      <c r="CZ29" s="59">
        <f t="shared" si="42"/>
        <v>273.69206144662144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122.52240000000002</v>
      </c>
      <c r="DQ29" s="13">
        <f t="shared" si="43"/>
        <v>32.26259352430629</v>
      </c>
      <c r="DR29" s="20">
        <f t="shared" si="16"/>
        <v>269.58386372150017</v>
      </c>
      <c r="DS29" s="59">
        <f t="shared" si="17"/>
        <v>562.91719705483342</v>
      </c>
      <c r="DT29" s="59">
        <f ca="1">AVERAGE(OFFSET($DS$3,0,0,'Données projet'!$E$14+1,1))-AVERAGE(OFFSET($H$3,0,0,'Données projet'!$E$14+1,1))</f>
        <v>260.20517190557814</v>
      </c>
      <c r="DU29" s="59">
        <f t="shared" si="44"/>
        <v>307.22009971147133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6.585246083473379</v>
      </c>
      <c r="EC29" s="21">
        <f>EXP(-LN(2)/2)*EC28+(1-EXP(-LN(2)/2))/(LN(2)/2)*DW29*DZ29*VLOOKUP('Données projet'!$B$14,Paramètres!$A$1:$I$89,3,0)*0.475*44/12</f>
        <v>1.571715340263224</v>
      </c>
      <c r="ED29" s="22">
        <f t="shared" si="18"/>
        <v>8.1569614237366039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15.8</v>
      </c>
      <c r="EJ29" s="12">
        <f>IF('Données projet'!$A$192&gt;35,EJ28+EI29-ER28,IF(A29&lt;'Données projet'!$A$192,$EG$205^A29,IF(A29='Données projet'!$A$192,'Données projet'!$B$192,EJ28+EI29-ER28)))</f>
        <v>193.80000000000007</v>
      </c>
      <c r="EK29" s="17">
        <f>EJ29*VLOOKUP('Données projet'!$B$15,Paramètres!$A$1:$I$89,3,0)*VLOOKUP('Données projet'!$B$15,Paramètres!$A$1:$I$89,5,0)</f>
        <v>115.89240000000005</v>
      </c>
      <c r="EL29" s="13">
        <f t="shared" si="45"/>
        <v>30.715035712541134</v>
      </c>
      <c r="EM29" s="20">
        <f t="shared" si="19"/>
        <v>255.34128386600921</v>
      </c>
      <c r="EN29" s="59">
        <f t="shared" si="20"/>
        <v>548.67461719934249</v>
      </c>
      <c r="EO29" s="59">
        <f ca="1">AVERAGE(OFFSET($EN$3,0,0,'Données projet'!$E$15+1,1))-AVERAGE(OFFSET($H$3,0,0,'Données projet'!$E$15+1,1))</f>
        <v>259.30247982593914</v>
      </c>
      <c r="EP29" s="59">
        <f t="shared" si="46"/>
        <v>275.24740346220779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3.4624167291640311</v>
      </c>
      <c r="EX29" s="21">
        <f>EXP(-LN(2)/2)*EX28+(1-EXP(-LN(2)/2))/(LN(2)/2)*ER29*EU29*VLOOKUP('Données projet'!$B$15,Paramètres!$A$1:$I$89,3,0)*0.475*44/12</f>
        <v>0.97329518876118859</v>
      </c>
      <c r="EY29" s="22">
        <f t="shared" si="21"/>
        <v>4.4357119179252198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8.1999999999999993</v>
      </c>
      <c r="FE29" s="12">
        <f>IF('Données projet'!$A$218&gt;35,FE28+FD29-FM28,IF(A29&lt;'Données projet'!$A$218,$FB$205^A29,IF(A29='Données projet'!$A$218,'Données projet'!$B$218,FE28+FD29-FM28)))</f>
        <v>116.20000000000002</v>
      </c>
      <c r="FF29" s="17">
        <f>FE29*VLOOKUP('Données projet'!$B$16,Paramètres!$A$1:$I$89,3,0)*VLOOKUP('Données projet'!$B$16,Paramètres!$A$1:$I$89,5,0)</f>
        <v>117.82680000000003</v>
      </c>
      <c r="FG29" s="13">
        <f t="shared" si="47"/>
        <v>31.167598211998705</v>
      </c>
      <c r="FH29" s="20">
        <f t="shared" si="22"/>
        <v>259.49857688589776</v>
      </c>
      <c r="FI29" s="59">
        <f t="shared" si="23"/>
        <v>552.83191021923108</v>
      </c>
      <c r="FJ29" s="59">
        <f ca="1">AVERAGE(OFFSET($FI$3,0,0,'Données projet'!$E$16+1,1))-AVERAGE(OFFSET($H$3,0,0,'Données projet'!$E$16+1,1))</f>
        <v>372.91317851957336</v>
      </c>
      <c r="FK29" s="59">
        <f t="shared" si="48"/>
        <v>269.69187715858413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3.4555078951108786</v>
      </c>
      <c r="FS29" s="21">
        <f>EXP(-LN(2)/2)*FS28+(1-EXP(-LN(2)/2))/(LN(2)/2)*FM29*FP29*VLOOKUP('Données projet'!$B$16,Paramètres!$A$1:$I$89,3,0)*0.475*44/12</f>
        <v>1.0165323096229806</v>
      </c>
      <c r="FT29" s="22">
        <f t="shared" si="24"/>
        <v>4.472040204733859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9.1999999999999993</v>
      </c>
      <c r="FZ29" s="12">
        <f>IF('Données projet'!$A$244&gt;35,FZ28+FY29-GH28,IF(A29&lt;'Données projet'!$A$244,$FW$205^A29,IF(A29='Données projet'!$A$244,'Données projet'!$B$244,FZ28+FY29-GH28)))</f>
        <v>200.69999999999993</v>
      </c>
      <c r="GA29" s="17">
        <f>FZ29*VLOOKUP('Données projet'!$B$17,Paramètres!$A$1:$I$89,3,0)*VLOOKUP('Données projet'!$B$17,Paramètres!$A$1:$I$89,5,0)</f>
        <v>93.927599999999956</v>
      </c>
      <c r="GB29" s="13">
        <f t="shared" si="49"/>
        <v>25.510099877901624</v>
      </c>
      <c r="GC29" s="20">
        <f t="shared" si="25"/>
        <v>208.02066062067857</v>
      </c>
      <c r="GD29" s="59">
        <f t="shared" si="26"/>
        <v>501.35399395401191</v>
      </c>
      <c r="GE29" s="59">
        <f ca="1">AVERAGE(OFFSET($GD$3,0,0,'Données projet'!$E$17+1,1))-AVERAGE(OFFSET($H$3,0,0,'Données projet'!$E$17+1,1))</f>
        <v>215.23235148064941</v>
      </c>
      <c r="GF29" s="59">
        <f t="shared" si="50"/>
        <v>184.07239726900434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1.7999330822686364</v>
      </c>
      <c r="GN29" s="21">
        <f>EXP(-LN(2)/2)*GN28+(1-EXP(-LN(2)/2))/(LN(2)/2)*GH29*GK29*VLOOKUP('Données projet'!$B$17,Paramètres!$A$1:$I$89,3,0)*0.475*44/12</f>
        <v>0.4139724337831141</v>
      </c>
      <c r="GO29" s="21">
        <f t="shared" si="27"/>
        <v>2.2139055160517502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19.75</v>
      </c>
      <c r="GU29" s="12">
        <f>IF('Données projet'!$A$270&gt;35,GU28+GT29-HC28,IF(A29&lt;'Données projet'!$A$270,$GR$205^A29,IF(A29='Données projet'!$A$270,'Données projet'!$B$270,GU28+GT29-HC28)))</f>
        <v>193.5</v>
      </c>
      <c r="GV29" s="17">
        <f>GU29*VLOOKUP('Données projet'!$B$18,Paramètres!$A$1:$I$89,3,0)*VLOOKUP('Données projet'!$B$18,Paramètres!$A$1:$I$89,5,0)</f>
        <v>115.71300000000001</v>
      </c>
      <c r="GW29" s="13">
        <f t="shared" si="51"/>
        <v>30.673019842466044</v>
      </c>
      <c r="GX29" s="20">
        <f t="shared" si="28"/>
        <v>254.95565122562834</v>
      </c>
      <c r="GY29" s="59">
        <f t="shared" si="29"/>
        <v>548.2889845589616</v>
      </c>
      <c r="GZ29" s="59">
        <f ca="1">AVERAGE(OFFSET($GY$3,0,0,'Données projet'!$E$18+1,1))-AVERAGE(OFFSET($H$3,0,0,'Données projet'!$E$18+1,1))</f>
        <v>227.89848316900191</v>
      </c>
      <c r="HA29" s="59">
        <f t="shared" si="52"/>
        <v>239.85955661394541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4.0285378529943081</v>
      </c>
      <c r="HH29" s="21">
        <f>EXP(-LN(2)/25)*HH28+(1-EXP(-LN(2)/25))/(LN(2)/25)*Calculateur!HC29*Calculateur!HE29*VLOOKUP('Données projet'!$B$18,Paramètres!$A$1:$I$89,3,0)*0.475*44/12</f>
        <v>13.760894213283809</v>
      </c>
      <c r="HI29" s="21">
        <f>EXP(-LN(2)/2)*HI28+(1-EXP(-LN(2)/2))/(LN(2)/2)*HC29*HF29*VLOOKUP('Données projet'!$B$18,Paramètres!$A$1:$I$89,3,0)*0.475*44/12</f>
        <v>7.3822324208430139</v>
      </c>
      <c r="HJ29" s="22">
        <f t="shared" si="30"/>
        <v>25.171664487121131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24.9</v>
      </c>
      <c r="N30" s="13">
        <f>IF('Données projet'!$A$36&gt;35,N29+M30-V29,IF(A30&lt;'Données projet'!$A$36,$K$205^A30,IF(A30='Données projet'!$A$36,'Données projet'!$B$36,N29+M30-V29)))</f>
        <v>285.3</v>
      </c>
      <c r="O30" s="13">
        <f>N30*VLOOKUP('Données projet'!$B$9,Paramètres!$A$1:$I$89,3,0)*VLOOKUP('Données projet'!$B$9,Paramètres!$A$1:$I$89,5,0)</f>
        <v>159.48269999999999</v>
      </c>
      <c r="P30" s="13">
        <f t="shared" si="33"/>
        <v>40.725814966140675</v>
      </c>
      <c r="Q30" s="20">
        <f t="shared" si="2"/>
        <v>348.69649689936165</v>
      </c>
      <c r="R30" s="59">
        <f t="shared" si="0"/>
        <v>642.02983023269496</v>
      </c>
      <c r="S30" s="59">
        <f ca="1">AVERAGE(OFFSET($R$3,0,0,'Données projet'!$E$9+1,1))-AVERAGE(OFFSET($H$3,0,0,'Données projet'!$E$9+1,1))</f>
        <v>370.69652285220093</v>
      </c>
      <c r="T30" s="59">
        <f t="shared" si="34"/>
        <v>376.53494965377718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14.052396241636526</v>
      </c>
      <c r="AB30" s="21">
        <f>EXP(-LN(2)/2)*AB29+(1-EXP(-LN(2)/2))/(LN(2)/2)*V30*Y30*VLOOKUP('Données projet'!$B$9,Paramètres!$A$1:$I$89,3,0)*0.475*44/12</f>
        <v>2.3495876602894414</v>
      </c>
      <c r="AC30" s="22">
        <f t="shared" si="3"/>
        <v>16.401983901925966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112.55712000000001</v>
      </c>
      <c r="AK30" s="13">
        <f t="shared" si="35"/>
        <v>29.932653834140599</v>
      </c>
      <c r="AL30" s="20">
        <f t="shared" si="4"/>
        <v>248.16968942779488</v>
      </c>
      <c r="AM30" s="59">
        <f t="shared" si="5"/>
        <v>541.50302276112825</v>
      </c>
      <c r="AN30" s="59">
        <f ca="1">AVERAGE(OFFSET($AM$3,0,0,'Données projet'!$E$10+1,1))-AVERAGE(OFFSET($H$3,0,0,'Données projet'!$E$10+1,1))</f>
        <v>321.03881567735544</v>
      </c>
      <c r="AO30" s="59">
        <f t="shared" si="36"/>
        <v>234.87694492493506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2.9990611892323833</v>
      </c>
      <c r="AW30" s="21">
        <f>EXP(-LN(2)/2)*AW29+(1-EXP(-LN(2)/2))/(LN(2)/2)*AQ30*AT30*VLOOKUP('Données projet'!$B$10,Paramètres!$A$1:$I$89,3,0)*0.475*44/12</f>
        <v>0.64138799364490295</v>
      </c>
      <c r="AX30" s="21">
        <f t="shared" si="6"/>
        <v>3.640449182877286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18.5</v>
      </c>
      <c r="BD30" s="12">
        <f>IF('Données projet'!$A$88&gt;35,BD29+BC30-BL29,IF(A30&lt;'Données projet'!$A$88,$BA$205^A30,IF(A30='Données projet'!$A$88,'Données projet'!$B$88,BD29+BC30-BL29)))</f>
        <v>241.49999999999997</v>
      </c>
      <c r="BE30" s="13">
        <f>BD30*VLOOKUP('Données projet'!$B$11,Paramètres!$A$1:$I$89,3,0)*VLOOKUP('Données projet'!$B$11,Paramètres!$A$1:$I$89,5,0)</f>
        <v>131.85899999999998</v>
      </c>
      <c r="BF30" s="13">
        <f t="shared" si="37"/>
        <v>34.425564033098446</v>
      </c>
      <c r="BG30" s="20">
        <f t="shared" si="7"/>
        <v>289.61228235764639</v>
      </c>
      <c r="BH30" s="59">
        <f t="shared" si="8"/>
        <v>582.94561569097971</v>
      </c>
      <c r="BI30" s="59">
        <f ca="1">AVERAGE(OFFSET($BH$3,0,0,'Données projet'!$E$11+1,1))-AVERAGE(OFFSET($H$3,0,0,'Données projet'!$E$11+1,1))</f>
        <v>248.1486444660062</v>
      </c>
      <c r="BJ30" s="59">
        <f t="shared" si="38"/>
        <v>293.34458072322127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18.549673963773952</v>
      </c>
      <c r="BR30" s="21">
        <f>EXP(-LN(2)/2)*BR29+(1-EXP(-LN(2)/2))/(LN(2)/2)*BL30*BO30*VLOOKUP('Données projet'!$B$11,Paramètres!$A$1:$I$89,3,0)*0.475*44/12</f>
        <v>2.68426729794695</v>
      </c>
      <c r="BS30" s="22">
        <f t="shared" si="9"/>
        <v>21.233941261720901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13.4</v>
      </c>
      <c r="BY30" s="12">
        <f>IF('Données projet'!$A$114&gt;35,BY29+BX30-CG29,IF(A30&lt;'Données projet'!$A$114,$BV$205^A30,IF(A30='Données projet'!$A$114,'Données projet'!$B$114,BY29+BX30-CG29)))</f>
        <v>187.80000000000004</v>
      </c>
      <c r="BZ30" s="13">
        <f>BY30*VLOOKUP('Données projet'!$B$12,Paramètres!$A$1:$I$89,3,0)*VLOOKUP('Données projet'!$B$12,Paramètres!$A$1:$I$89,5,0)</f>
        <v>164.06208000000007</v>
      </c>
      <c r="CA30" s="13">
        <f t="shared" si="39"/>
        <v>41.75738773013461</v>
      </c>
      <c r="CB30" s="20">
        <f t="shared" si="10"/>
        <v>358.46890629665114</v>
      </c>
      <c r="CC30" s="59">
        <f t="shared" si="11"/>
        <v>651.80223962998446</v>
      </c>
      <c r="CD30" s="59">
        <f ca="1">AVERAGE(OFFSET($CC$3,0,0,'Données projet'!$E$12+1,1))-AVERAGE(OFFSET($H$3,0,0,'Données projet'!$E$12+1,1))</f>
        <v>243.38048563215585</v>
      </c>
      <c r="CE30" s="59">
        <f t="shared" si="40"/>
        <v>372.1604147006675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5.2191078129122888</v>
      </c>
      <c r="CM30" s="21">
        <f>EXP(-LN(2)/2)*CM29+(1-EXP(-LN(2)/2))/(LN(2)/2)*CG30*CJ30*VLOOKUP('Données projet'!$B$12,Paramètres!$A$1:$I$89,3,0)*0.475*44/12</f>
        <v>0.85081138428105629</v>
      </c>
      <c r="CN30" s="22">
        <f t="shared" si="12"/>
        <v>6.0699191971933448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22.2</v>
      </c>
      <c r="CT30" s="12">
        <f>IF('Données projet'!$A$140&gt;35,CT29+CS30-DB29,IF(A30&lt;'Données projet'!$A$140,$CQ$205^A30,IF(A30='Données projet'!$A$140,'Données projet'!$B$140,CT29+CS30-DB29)))</f>
        <v>251.39999999999995</v>
      </c>
      <c r="CU30" s="17">
        <f>CT30*VLOOKUP('Données projet'!$B$13,Paramètres!$A$1:$I$89,3,0)*VLOOKUP('Données projet'!$B$13,Paramètres!$A$1:$I$89,5,0)</f>
        <v>120.92339999999999</v>
      </c>
      <c r="CV30" s="13">
        <f t="shared" si="41"/>
        <v>31.890271002959537</v>
      </c>
      <c r="CW30" s="20">
        <f t="shared" si="13"/>
        <v>266.15047699682117</v>
      </c>
      <c r="CX30" s="59">
        <f t="shared" si="14"/>
        <v>559.48381033015448</v>
      </c>
      <c r="CY30" s="59">
        <f ca="1">AVERAGE(OFFSET($CX$3,0,0,'Données projet'!$E$13+1,1))-AVERAGE(OFFSET($H$3,0,0,'Données projet'!$E$13+1,1))</f>
        <v>297.21955661193238</v>
      </c>
      <c r="CZ30" s="59">
        <f t="shared" si="42"/>
        <v>273.69206144662144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134.05860000000001</v>
      </c>
      <c r="DQ30" s="13">
        <f t="shared" si="43"/>
        <v>34.932498076856362</v>
      </c>
      <c r="DR30" s="20">
        <f t="shared" si="16"/>
        <v>294.32616248385813</v>
      </c>
      <c r="DS30" s="59">
        <f t="shared" si="17"/>
        <v>587.65949581719144</v>
      </c>
      <c r="DT30" s="59">
        <f ca="1">AVERAGE(OFFSET($DS$3,0,0,'Données projet'!$E$14+1,1))-AVERAGE(OFFSET($H$3,0,0,'Données projet'!$E$14+1,1))</f>
        <v>260.20517190557814</v>
      </c>
      <c r="DU30" s="59">
        <f t="shared" si="44"/>
        <v>307.22009971147133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6.4051721830177586</v>
      </c>
      <c r="EC30" s="21">
        <f>EXP(-LN(2)/2)*EC29+(1-EXP(-LN(2)/2))/(LN(2)/2)*DW30*DZ30*VLOOKUP('Données projet'!$B$14,Paramètres!$A$1:$I$89,3,0)*0.475*44/12</f>
        <v>1.1113705751950478</v>
      </c>
      <c r="ED30" s="22">
        <f t="shared" si="18"/>
        <v>7.5165427582128066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15.8</v>
      </c>
      <c r="EJ30" s="12">
        <f>IF('Données projet'!$A$192&gt;35,EJ29+EI30-ER29,IF(A30&lt;'Données projet'!$A$192,$EG$205^A30,IF(A30='Données projet'!$A$192,'Données projet'!$B$192,EJ29+EI30-ER29)))</f>
        <v>209.60000000000008</v>
      </c>
      <c r="EK30" s="17">
        <f>EJ30*VLOOKUP('Données projet'!$B$15,Paramètres!$A$1:$I$89,3,0)*VLOOKUP('Données projet'!$B$15,Paramètres!$A$1:$I$89,5,0)</f>
        <v>125.34080000000006</v>
      </c>
      <c r="EL30" s="13">
        <f t="shared" si="45"/>
        <v>32.917478801659229</v>
      </c>
      <c r="EM30" s="20">
        <f t="shared" si="19"/>
        <v>275.63316891288991</v>
      </c>
      <c r="EN30" s="59">
        <f t="shared" si="20"/>
        <v>568.96650224622317</v>
      </c>
      <c r="EO30" s="59">
        <f ca="1">AVERAGE(OFFSET($EN$3,0,0,'Données projet'!$E$15+1,1))-AVERAGE(OFFSET($H$3,0,0,'Données projet'!$E$15+1,1))</f>
        <v>259.30247982593914</v>
      </c>
      <c r="EP30" s="59">
        <f t="shared" si="46"/>
        <v>275.24740346220779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3.3677367616244585</v>
      </c>
      <c r="EX30" s="21">
        <f>EXP(-LN(2)/2)*EX29+(1-EXP(-LN(2)/2))/(LN(2)/2)*ER30*EU30*VLOOKUP('Données projet'!$B$15,Paramètres!$A$1:$I$89,3,0)*0.475*44/12</f>
        <v>0.68822362806927728</v>
      </c>
      <c r="EY30" s="22">
        <f t="shared" si="21"/>
        <v>4.0559603896937357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8.1999999999999993</v>
      </c>
      <c r="FE30" s="12">
        <f>IF('Données projet'!$A$218&gt;35,FE29+FD30-FM29,IF(A30&lt;'Données projet'!$A$218,$FB$205^A30,IF(A30='Données projet'!$A$218,'Données projet'!$B$218,FE29+FD30-FM29)))</f>
        <v>124.40000000000002</v>
      </c>
      <c r="FF30" s="17">
        <f>FE30*VLOOKUP('Données projet'!$B$16,Paramètres!$A$1:$I$89,3,0)*VLOOKUP('Données projet'!$B$16,Paramètres!$A$1:$I$89,5,0)</f>
        <v>126.14160000000003</v>
      </c>
      <c r="FG30" s="13">
        <f t="shared" si="47"/>
        <v>33.10323903126482</v>
      </c>
      <c r="FH30" s="20">
        <f t="shared" si="22"/>
        <v>277.35142797945298</v>
      </c>
      <c r="FI30" s="59">
        <f t="shared" si="23"/>
        <v>570.68476131278635</v>
      </c>
      <c r="FJ30" s="59">
        <f ca="1">AVERAGE(OFFSET($FI$3,0,0,'Données projet'!$E$16+1,1))-AVERAGE(OFFSET($H$3,0,0,'Données projet'!$E$16+1,1))</f>
        <v>372.91317851957336</v>
      </c>
      <c r="FK30" s="59">
        <f t="shared" si="48"/>
        <v>269.69187715858413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3.3610168500018092</v>
      </c>
      <c r="FS30" s="21">
        <f>EXP(-LN(2)/2)*FS29+(1-EXP(-LN(2)/2))/(LN(2)/2)*FM30*FP30*VLOOKUP('Données projet'!$B$16,Paramètres!$A$1:$I$89,3,0)*0.475*44/12</f>
        <v>0.71879688942963271</v>
      </c>
      <c r="FT30" s="22">
        <f t="shared" si="24"/>
        <v>4.079813739431442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9.1999999999999993</v>
      </c>
      <c r="FZ30" s="12">
        <f>IF('Données projet'!$A$244&gt;35,FZ29+FY30-GH29,IF(A30&lt;'Données projet'!$A$244,$FW$205^A30,IF(A30='Données projet'!$A$244,'Données projet'!$B$244,FZ29+FY30-GH29)))</f>
        <v>209.89999999999992</v>
      </c>
      <c r="GA30" s="17">
        <f>FZ30*VLOOKUP('Données projet'!$B$17,Paramètres!$A$1:$I$89,3,0)*VLOOKUP('Données projet'!$B$17,Paramètres!$A$1:$I$89,5,0)</f>
        <v>98.233199999999954</v>
      </c>
      <c r="GB30" s="13">
        <f t="shared" si="49"/>
        <v>26.540646121089583</v>
      </c>
      <c r="GC30" s="20">
        <f t="shared" si="25"/>
        <v>217.3144486608976</v>
      </c>
      <c r="GD30" s="59">
        <f t="shared" si="26"/>
        <v>510.64778199423091</v>
      </c>
      <c r="GE30" s="59">
        <f ca="1">AVERAGE(OFFSET($GD$3,0,0,'Données projet'!$E$17+1,1))-AVERAGE(OFFSET($H$3,0,0,'Données projet'!$E$17+1,1))</f>
        <v>215.23235148064941</v>
      </c>
      <c r="GF30" s="59">
        <f t="shared" si="50"/>
        <v>184.07239726900434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1.7507138174796335</v>
      </c>
      <c r="GN30" s="21">
        <f>EXP(-LN(2)/2)*GN29+(1-EXP(-LN(2)/2))/(LN(2)/2)*GH30*GK30*VLOOKUP('Données projet'!$B$17,Paramètres!$A$1:$I$89,3,0)*0.475*44/12</f>
        <v>0.292722715152339</v>
      </c>
      <c r="GO30" s="21">
        <f t="shared" si="27"/>
        <v>2.0434365326319726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19.75</v>
      </c>
      <c r="GU30" s="12">
        <f>IF('Données projet'!$A$270&gt;35,GU29+GT30-HC29,IF(A30&lt;'Données projet'!$A$270,$GR$205^A30,IF(A30='Données projet'!$A$270,'Données projet'!$B$270,GU29+GT30-HC29)))</f>
        <v>213.25</v>
      </c>
      <c r="GV30" s="17">
        <f>GU30*VLOOKUP('Données projet'!$B$18,Paramètres!$A$1:$I$89,3,0)*VLOOKUP('Données projet'!$B$18,Paramètres!$A$1:$I$89,5,0)</f>
        <v>127.5235</v>
      </c>
      <c r="GW30" s="13">
        <f t="shared" si="51"/>
        <v>33.423473895208211</v>
      </c>
      <c r="GX30" s="20">
        <f t="shared" si="28"/>
        <v>280.31597953415428</v>
      </c>
      <c r="GY30" s="59">
        <f t="shared" si="29"/>
        <v>573.64931286748765</v>
      </c>
      <c r="GZ30" s="59">
        <f ca="1">AVERAGE(OFFSET($GY$3,0,0,'Données projet'!$E$18+1,1))-AVERAGE(OFFSET($H$3,0,0,'Données projet'!$E$18+1,1))</f>
        <v>227.89848316900191</v>
      </c>
      <c r="HA30" s="59">
        <f t="shared" si="52"/>
        <v>239.85955661394541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3.9495406828625552</v>
      </c>
      <c r="HH30" s="21">
        <f>EXP(-LN(2)/25)*HH29+(1-EXP(-LN(2)/25))/(LN(2)/25)*Calculateur!HC30*Calculateur!HE30*VLOOKUP('Données projet'!$B$18,Paramètres!$A$1:$I$89,3,0)*0.475*44/12</f>
        <v>13.384601837367587</v>
      </c>
      <c r="HI30" s="21">
        <f>EXP(-LN(2)/2)*HI29+(1-EXP(-LN(2)/2))/(LN(2)/2)*HC30*HF30*VLOOKUP('Données projet'!$B$18,Paramètres!$A$1:$I$89,3,0)*0.475*44/12</f>
        <v>5.2200266050732784</v>
      </c>
      <c r="HJ30" s="22">
        <f t="shared" si="30"/>
        <v>22.554169125303421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24.9</v>
      </c>
      <c r="N31" s="13">
        <f>IF('Données projet'!$A$36&gt;35,N30+M31-V30,IF(A31&lt;'Données projet'!$A$36,$K$205^A31,IF(A31='Données projet'!$A$36,'Données projet'!$B$36,N30+M31-V30)))</f>
        <v>310.2</v>
      </c>
      <c r="O31" s="13">
        <f>N31*VLOOKUP('Données projet'!$B$9,Paramètres!$A$1:$I$89,3,0)*VLOOKUP('Données projet'!$B$9,Paramètres!$A$1:$I$89,5,0)</f>
        <v>173.40180000000001</v>
      </c>
      <c r="P31" s="13">
        <f t="shared" si="33"/>
        <v>43.851032851075928</v>
      </c>
      <c r="Q31" s="20">
        <f t="shared" si="2"/>
        <v>378.38201721562388</v>
      </c>
      <c r="R31" s="59">
        <f t="shared" si="0"/>
        <v>671.71535054895719</v>
      </c>
      <c r="S31" s="59">
        <f ca="1">AVERAGE(OFFSET($R$3,0,0,'Données projet'!$E$9+1,1))-AVERAGE(OFFSET($H$3,0,0,'Données projet'!$E$9+1,1))</f>
        <v>370.69652285220093</v>
      </c>
      <c r="T31" s="59">
        <f t="shared" si="34"/>
        <v>376.53494965377718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13.668132727425574</v>
      </c>
      <c r="AB31" s="21">
        <f>EXP(-LN(2)/2)*AB30+(1-EXP(-LN(2)/2))/(LN(2)/2)*V31*Y31*VLOOKUP('Données projet'!$B$9,Paramètres!$A$1:$I$89,3,0)*0.475*44/12</f>
        <v>1.6614093675828983</v>
      </c>
      <c r="AC31" s="22">
        <f t="shared" si="3"/>
        <v>15.329542095008472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119.97648000000001</v>
      </c>
      <c r="AK31" s="13">
        <f t="shared" si="35"/>
        <v>31.669513577784763</v>
      </c>
      <c r="AL31" s="20">
        <f t="shared" si="4"/>
        <v>264.1167721479751</v>
      </c>
      <c r="AM31" s="59">
        <f t="shared" si="5"/>
        <v>557.45010548130836</v>
      </c>
      <c r="AN31" s="59">
        <f ca="1">AVERAGE(OFFSET($AM$3,0,0,'Données projet'!$E$10+1,1))-AVERAGE(OFFSET($H$3,0,0,'Données projet'!$E$10+1,1))</f>
        <v>321.03881567735544</v>
      </c>
      <c r="AO31" s="59">
        <f t="shared" si="36"/>
        <v>234.87694492493506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2.9170517032990504</v>
      </c>
      <c r="AW31" s="21">
        <f>EXP(-LN(2)/2)*AW30+(1-EXP(-LN(2)/2))/(LN(2)/2)*AQ31*AT31*VLOOKUP('Données projet'!$B$10,Paramètres!$A$1:$I$89,3,0)*0.475*44/12</f>
        <v>0.45352979967794516</v>
      </c>
      <c r="AX31" s="21">
        <f t="shared" si="6"/>
        <v>3.3705815029769957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18.5</v>
      </c>
      <c r="BD31" s="12">
        <f>IF('Données projet'!$A$88&gt;35,BD30+BC31-BL30,IF(A31&lt;'Données projet'!$A$88,$BA$205^A31,IF(A31='Données projet'!$A$88,'Données projet'!$B$88,BD30+BC31-BL30)))</f>
        <v>260</v>
      </c>
      <c r="BE31" s="13">
        <f>BD31*VLOOKUP('Données projet'!$B$11,Paramètres!$A$1:$I$89,3,0)*VLOOKUP('Données projet'!$B$11,Paramètres!$A$1:$I$89,5,0)</f>
        <v>141.96</v>
      </c>
      <c r="BF31" s="13">
        <f t="shared" si="37"/>
        <v>36.745650011720485</v>
      </c>
      <c r="BG31" s="20">
        <f t="shared" si="7"/>
        <v>311.24567377041313</v>
      </c>
      <c r="BH31" s="59">
        <f t="shared" si="8"/>
        <v>604.57900710374645</v>
      </c>
      <c r="BI31" s="59">
        <f ca="1">AVERAGE(OFFSET($BH$3,0,0,'Données projet'!$E$11+1,1))-AVERAGE(OFFSET($H$3,0,0,'Données projet'!$E$11+1,1))</f>
        <v>248.1486444660062</v>
      </c>
      <c r="BJ31" s="59">
        <f t="shared" si="38"/>
        <v>293.34458072322127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18.042432153749594</v>
      </c>
      <c r="BR31" s="21">
        <f>EXP(-LN(2)/2)*BR30+(1-EXP(-LN(2)/2))/(LN(2)/2)*BL31*BO31*VLOOKUP('Données projet'!$B$11,Paramètres!$A$1:$I$89,3,0)*0.475*44/12</f>
        <v>1.8980636088955793</v>
      </c>
      <c r="BS31" s="22">
        <f t="shared" si="9"/>
        <v>19.940495762645174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13.4</v>
      </c>
      <c r="BY31" s="12">
        <f>IF('Données projet'!$A$114&gt;35,BY30+BX31-CG30,IF(A31&lt;'Données projet'!$A$114,$BV$205^A31,IF(A31='Données projet'!$A$114,'Données projet'!$B$114,BY30+BX31-CG30)))</f>
        <v>201.20000000000005</v>
      </c>
      <c r="BZ31" s="13">
        <f>BY31*VLOOKUP('Données projet'!$B$12,Paramètres!$A$1:$I$89,3,0)*VLOOKUP('Données projet'!$B$12,Paramètres!$A$1:$I$89,5,0)</f>
        <v>175.76832000000007</v>
      </c>
      <c r="CA31" s="13">
        <f t="shared" si="39"/>
        <v>44.379415757690204</v>
      </c>
      <c r="CB31" s="20">
        <f t="shared" si="10"/>
        <v>383.42397311131054</v>
      </c>
      <c r="CC31" s="59">
        <f t="shared" si="11"/>
        <v>676.75730644464386</v>
      </c>
      <c r="CD31" s="59">
        <f ca="1">AVERAGE(OFFSET($CC$3,0,0,'Données projet'!$E$12+1,1))-AVERAGE(OFFSET($H$3,0,0,'Données projet'!$E$12+1,1))</f>
        <v>243.38048563215585</v>
      </c>
      <c r="CE31" s="59">
        <f t="shared" si="40"/>
        <v>372.1604147006675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5.0763910353072506</v>
      </c>
      <c r="CM31" s="21">
        <f>EXP(-LN(2)/2)*CM30+(1-EXP(-LN(2)/2))/(LN(2)/2)*CG31*CJ31*VLOOKUP('Données projet'!$B$12,Paramètres!$A$1:$I$89,3,0)*0.475*44/12</f>
        <v>0.60161449933584854</v>
      </c>
      <c r="CN31" s="22">
        <f t="shared" si="12"/>
        <v>5.6780055346430993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22.2</v>
      </c>
      <c r="CT31" s="12">
        <f>IF('Données projet'!$A$140&gt;35,CT30+CS31-DB30,IF(A31&lt;'Données projet'!$A$140,$CQ$205^A31,IF(A31='Données projet'!$A$140,'Données projet'!$B$140,CT30+CS31-DB30)))</f>
        <v>273.59999999999997</v>
      </c>
      <c r="CU31" s="17">
        <f>CT31*VLOOKUP('Données projet'!$B$13,Paramètres!$A$1:$I$89,3,0)*VLOOKUP('Données projet'!$B$13,Paramètres!$A$1:$I$89,5,0)</f>
        <v>131.60159999999999</v>
      </c>
      <c r="CV31" s="13">
        <f t="shared" si="41"/>
        <v>34.366177918726088</v>
      </c>
      <c r="CW31" s="20">
        <f t="shared" si="13"/>
        <v>289.06054654178126</v>
      </c>
      <c r="CX31" s="59">
        <f t="shared" si="14"/>
        <v>582.39387987511464</v>
      </c>
      <c r="CY31" s="59">
        <f ca="1">AVERAGE(OFFSET($CX$3,0,0,'Données projet'!$E$13+1,1))-AVERAGE(OFFSET($H$3,0,0,'Données projet'!$E$13+1,1))</f>
        <v>297.21955661193238</v>
      </c>
      <c r="CZ31" s="59">
        <f t="shared" si="42"/>
        <v>273.69206144662144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145.59479999999999</v>
      </c>
      <c r="DQ31" s="13">
        <f t="shared" si="43"/>
        <v>37.575758023691719</v>
      </c>
      <c r="DR31" s="20">
        <f t="shared" si="16"/>
        <v>319.02205522459639</v>
      </c>
      <c r="DS31" s="59">
        <f t="shared" si="17"/>
        <v>612.3553885579297</v>
      </c>
      <c r="DT31" s="59">
        <f ca="1">AVERAGE(OFFSET($DS$3,0,0,'Données projet'!$E$14+1,1))-AVERAGE(OFFSET($H$3,0,0,'Données projet'!$E$14+1,1))</f>
        <v>260.20517190557814</v>
      </c>
      <c r="DU31" s="59">
        <f t="shared" si="44"/>
        <v>307.22009971147133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6.2300224128397721</v>
      </c>
      <c r="EC31" s="21">
        <f>EXP(-LN(2)/2)*EC30+(1-EXP(-LN(2)/2))/(LN(2)/2)*DW31*DZ31*VLOOKUP('Données projet'!$B$14,Paramètres!$A$1:$I$89,3,0)*0.475*44/12</f>
        <v>0.78585767013161212</v>
      </c>
      <c r="ED31" s="22">
        <f t="shared" si="18"/>
        <v>7.0158800829713845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15.8</v>
      </c>
      <c r="EJ31" s="12">
        <f>IF('Données projet'!$A$192&gt;35,EJ30+EI31-ER30,IF(A31&lt;'Données projet'!$A$192,$EG$205^A31,IF(A31='Données projet'!$A$192,'Données projet'!$B$192,EJ30+EI31-ER30)))</f>
        <v>225.40000000000009</v>
      </c>
      <c r="EK31" s="17">
        <f>EJ31*VLOOKUP('Données projet'!$B$15,Paramètres!$A$1:$I$89,3,0)*VLOOKUP('Données projet'!$B$15,Paramètres!$A$1:$I$89,5,0)</f>
        <v>134.78920000000005</v>
      </c>
      <c r="EL31" s="13">
        <f t="shared" si="45"/>
        <v>35.100662005900844</v>
      </c>
      <c r="EM31" s="20">
        <f t="shared" si="19"/>
        <v>295.89150966027745</v>
      </c>
      <c r="EN31" s="59">
        <f t="shared" si="20"/>
        <v>589.22484299361076</v>
      </c>
      <c r="EO31" s="59">
        <f ca="1">AVERAGE(OFFSET($EN$3,0,0,'Données projet'!$E$15+1,1))-AVERAGE(OFFSET($H$3,0,0,'Données projet'!$E$15+1,1))</f>
        <v>259.30247982593914</v>
      </c>
      <c r="EP31" s="59">
        <f t="shared" si="46"/>
        <v>275.24740346220779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3.2756458227762586</v>
      </c>
      <c r="EX31" s="21">
        <f>EXP(-LN(2)/2)*EX30+(1-EXP(-LN(2)/2))/(LN(2)/2)*ER31*EU31*VLOOKUP('Données projet'!$B$15,Paramètres!$A$1:$I$89,3,0)*0.475*44/12</f>
        <v>0.48664759438059435</v>
      </c>
      <c r="EY31" s="22">
        <f t="shared" si="21"/>
        <v>3.7622934171568527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8.1999999999999993</v>
      </c>
      <c r="FE31" s="12">
        <f>IF('Données projet'!$A$218&gt;35,FE30+FD31-FM30,IF(A31&lt;'Données projet'!$A$218,$FB$205^A31,IF(A31='Données projet'!$A$218,'Données projet'!$B$218,FE30+FD31-FM30)))</f>
        <v>132.60000000000002</v>
      </c>
      <c r="FF31" s="17">
        <f>FE31*VLOOKUP('Données projet'!$B$16,Paramètres!$A$1:$I$89,3,0)*VLOOKUP('Données projet'!$B$16,Paramètres!$A$1:$I$89,5,0)</f>
        <v>134.45640000000003</v>
      </c>
      <c r="FG31" s="13">
        <f t="shared" si="47"/>
        <v>35.024073835162412</v>
      </c>
      <c r="FH31" s="20">
        <f t="shared" si="22"/>
        <v>295.17849192957459</v>
      </c>
      <c r="FI31" s="59">
        <f t="shared" si="23"/>
        <v>588.51182526290791</v>
      </c>
      <c r="FJ31" s="59">
        <f ca="1">AVERAGE(OFFSET($FI$3,0,0,'Données projet'!$E$16+1,1))-AVERAGE(OFFSET($H$3,0,0,'Données projet'!$E$16+1,1))</f>
        <v>372.91317851957336</v>
      </c>
      <c r="FK31" s="59">
        <f t="shared" si="48"/>
        <v>269.69187715858413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3.2691096674903153</v>
      </c>
      <c r="FS31" s="21">
        <f>EXP(-LN(2)/2)*FS30+(1-EXP(-LN(2)/2))/(LN(2)/2)*FM31*FP31*VLOOKUP('Données projet'!$B$16,Paramètres!$A$1:$I$89,3,0)*0.475*44/12</f>
        <v>0.50826615481149029</v>
      </c>
      <c r="FT31" s="22">
        <f t="shared" si="24"/>
        <v>3.7773758223018055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9.1999999999999993</v>
      </c>
      <c r="FZ31" s="12">
        <f>IF('Données projet'!$A$244&gt;35,FZ30+FY31-GH30,IF(A31&lt;'Données projet'!$A$244,$FW$205^A31,IF(A31='Données projet'!$A$244,'Données projet'!$B$244,FZ30+FY31-GH30)))</f>
        <v>219.09999999999991</v>
      </c>
      <c r="GA31" s="17">
        <f>FZ31*VLOOKUP('Données projet'!$B$17,Paramètres!$A$1:$I$89,3,0)*VLOOKUP('Données projet'!$B$17,Paramètres!$A$1:$I$89,5,0)</f>
        <v>102.53879999999995</v>
      </c>
      <c r="GB31" s="13">
        <f t="shared" si="49"/>
        <v>27.565946279127878</v>
      </c>
      <c r="GC31" s="20">
        <f t="shared" si="25"/>
        <v>226.59909976948094</v>
      </c>
      <c r="GD31" s="59">
        <f t="shared" si="26"/>
        <v>519.93243310281423</v>
      </c>
      <c r="GE31" s="59">
        <f ca="1">AVERAGE(OFFSET($GD$3,0,0,'Données projet'!$E$17+1,1))-AVERAGE(OFFSET($H$3,0,0,'Données projet'!$E$17+1,1))</f>
        <v>215.23235148064941</v>
      </c>
      <c r="GF31" s="59">
        <f t="shared" si="50"/>
        <v>184.07239726900434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1.7028404560746147</v>
      </c>
      <c r="GN31" s="21">
        <f>EXP(-LN(2)/2)*GN30+(1-EXP(-LN(2)/2))/(LN(2)/2)*GH31*GK31*VLOOKUP('Données projet'!$B$17,Paramètres!$A$1:$I$89,3,0)*0.475*44/12</f>
        <v>0.20698621689155705</v>
      </c>
      <c r="GO31" s="21">
        <f t="shared" si="27"/>
        <v>1.9098266729661717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>
        <f>VLOOKUP(A31,'Données projet'!$A$269:$I$289,2,0)</f>
        <v>233</v>
      </c>
      <c r="GS31" s="12">
        <f>VLOOKUP(A31,'Données projet'!$A$269:$I$289,9,0)</f>
        <v>19.75</v>
      </c>
      <c r="GT31" s="12">
        <f t="array" ref="GT31">INDEX(GS:GS,MIN(IF(ISNUMBER(GS31:GS227),ROW(GS31:GS227),"")))</f>
        <v>19.75</v>
      </c>
      <c r="GU31" s="12">
        <f>IF('Données projet'!$A$270&gt;35,GU30+GT31-HC30,IF(A31&lt;'Données projet'!$A$270,$GR$205^A31,IF(A31='Données projet'!$A$270,'Données projet'!$B$270,GU30+GT31-HC30)))</f>
        <v>233</v>
      </c>
      <c r="GV31" s="17">
        <f>GU31*VLOOKUP('Données projet'!$B$18,Paramètres!$A$1:$I$89,3,0)*VLOOKUP('Données projet'!$B$18,Paramètres!$A$1:$I$89,5,0)</f>
        <v>139.334</v>
      </c>
      <c r="GW31" s="13">
        <f t="shared" si="51"/>
        <v>36.144391930570897</v>
      </c>
      <c r="GX31" s="20">
        <f t="shared" si="28"/>
        <v>305.62486594574432</v>
      </c>
      <c r="GY31" s="59">
        <f t="shared" si="29"/>
        <v>598.95819927907769</v>
      </c>
      <c r="GZ31" s="59">
        <f ca="1">AVERAGE(OFFSET($GY$3,0,0,'Données projet'!$E$18+1,1))-AVERAGE(OFFSET($H$3,0,0,'Données projet'!$E$18+1,1))</f>
        <v>227.89848316900191</v>
      </c>
      <c r="HA31" s="59">
        <f t="shared" si="52"/>
        <v>239.85955661394541</v>
      </c>
      <c r="HB31" s="15">
        <f>IF(ISNA(VLOOKUP(A31,'Données projet'!$A$269:$I$289,3,0)),0,VLOOKUP(A31,'Données projet'!$A$269:$I$289,3,0))</f>
        <v>4</v>
      </c>
      <c r="HC31" s="15">
        <f>IF(ISNA(VLOOKUP(A31,'Données projet'!$A$269:$I$289,4,0)),0,VLOOKUP(A31,'Données projet'!$A$269:$I$289,4,0))</f>
        <v>41</v>
      </c>
      <c r="HD31" s="16">
        <f>IF(ISNA(VLOOKUP(A31,'Données projet'!$A$269:$I$289,5,0)),0%,VLOOKUP(A31,'Données projet'!$A$269:$I$289,5,0)*VLOOKUP('Données projet'!$B$18,Paramètres!$A$1:$I$89,7,0))</f>
        <v>0.13500000000000001</v>
      </c>
      <c r="HE31" s="16">
        <f>IF(ISNA(VLOOKUP(A31,'Données projet'!$A$269:$I$289,6,0)),0%,VLOOKUP(A31,'Données projet'!$A$269:$I$289,6,0)*VLOOKUP('Données projet'!$B$18,Paramètres!$A$1:$I$89,7,0))</f>
        <v>0.1575</v>
      </c>
      <c r="HF31" s="16">
        <f>IF(ISNA(VLOOKUP(A31,'Données projet'!$A$269:$I$289,7,0)),0%,VLOOKUP(A31,'Données projet'!$A$269:$I$289,7,0))</f>
        <v>0.35</v>
      </c>
      <c r="HG31" s="21">
        <f>EXP(-LN(2)/35)*HG30+(1-EXP(-LN(2)/35))/(LN(2)/35)*HC31*HD31*VLOOKUP('Données projet'!$B$18,Paramètres!$A$1:$I$89,3,0)*0.475*44/12</f>
        <v>8.2629280870465678</v>
      </c>
      <c r="HH31" s="21">
        <f>EXP(-LN(2)/25)*HH30+(1-EXP(-LN(2)/25))/(LN(2)/25)*Calculateur!HC31*Calculateur!HE31*VLOOKUP('Données projet'!$B$18,Paramètres!$A$1:$I$89,3,0)*0.475*44/12</f>
        <v>18.121070807835984</v>
      </c>
      <c r="HI31" s="21">
        <f>EXP(-LN(2)/2)*HI30+(1-EXP(-LN(2)/2))/(LN(2)/2)*HC31*HF31*VLOOKUP('Données projet'!$B$18,Paramètres!$A$1:$I$89,3,0)*0.475*44/12</f>
        <v>13.40714122518537</v>
      </c>
      <c r="HJ31" s="22">
        <f t="shared" si="30"/>
        <v>39.791140120067922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24.9</v>
      </c>
      <c r="N32" s="13">
        <f>IF('Données projet'!$A$36&gt;35,N31+M32-V31,IF(A32&lt;'Données projet'!$A$36,$K$205^A32,IF(A32='Données projet'!$A$36,'Données projet'!$B$36,N31+M32-V31)))</f>
        <v>335.09999999999997</v>
      </c>
      <c r="O32" s="13">
        <f>N32*VLOOKUP('Données projet'!$B$9,Paramètres!$A$1:$I$89,3,0)*VLOOKUP('Données projet'!$B$9,Paramètres!$A$1:$I$89,5,0)</f>
        <v>187.32089999999999</v>
      </c>
      <c r="P32" s="13">
        <f t="shared" si="33"/>
        <v>46.947153229494532</v>
      </c>
      <c r="Q32" s="20">
        <f t="shared" si="2"/>
        <v>408.01685937470296</v>
      </c>
      <c r="R32" s="59">
        <f t="shared" si="0"/>
        <v>701.35019270803627</v>
      </c>
      <c r="S32" s="59">
        <f ca="1">AVERAGE(OFFSET($R$3,0,0,'Données projet'!$E$9+1,1))-AVERAGE(OFFSET($H$3,0,0,'Données projet'!$E$9+1,1))</f>
        <v>370.69652285220093</v>
      </c>
      <c r="T32" s="59">
        <f t="shared" si="34"/>
        <v>376.53494965377718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13.29437691921826</v>
      </c>
      <c r="AB32" s="21">
        <f>EXP(-LN(2)/2)*AB31+(1-EXP(-LN(2)/2))/(LN(2)/2)*V32*Y32*VLOOKUP('Données projet'!$B$9,Paramètres!$A$1:$I$89,3,0)*0.475*44/12</f>
        <v>1.1747938301447207</v>
      </c>
      <c r="AC32" s="22">
        <f t="shared" si="3"/>
        <v>14.469170749362981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127.39584000000001</v>
      </c>
      <c r="AK32" s="13">
        <f t="shared" si="35"/>
        <v>33.393907578695213</v>
      </c>
      <c r="AL32" s="20">
        <f t="shared" si="4"/>
        <v>280.04214369956082</v>
      </c>
      <c r="AM32" s="59">
        <f t="shared" si="5"/>
        <v>573.3754770328942</v>
      </c>
      <c r="AN32" s="59">
        <f ca="1">AVERAGE(OFFSET($AM$3,0,0,'Données projet'!$E$10+1,1))-AVERAGE(OFFSET($H$3,0,0,'Données projet'!$E$10+1,1))</f>
        <v>321.03881567735544</v>
      </c>
      <c r="AO32" s="59">
        <f t="shared" si="36"/>
        <v>234.87694492493506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2.8372847710712557</v>
      </c>
      <c r="AW32" s="21">
        <f>EXP(-LN(2)/2)*AW31+(1-EXP(-LN(2)/2))/(LN(2)/2)*AQ32*AT32*VLOOKUP('Données projet'!$B$10,Paramètres!$A$1:$I$89,3,0)*0.475*44/12</f>
        <v>0.32069399682245153</v>
      </c>
      <c r="AX32" s="21">
        <f t="shared" si="6"/>
        <v>3.1579787678937072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18.5</v>
      </c>
      <c r="BD32" s="12">
        <f>IF('Données projet'!$A$88&gt;35,BD31+BC32-BL31,IF(A32&lt;'Données projet'!$A$88,$BA$205^A32,IF(A32='Données projet'!$A$88,'Données projet'!$B$88,BD31+BC32-BL31)))</f>
        <v>278.5</v>
      </c>
      <c r="BE32" s="13">
        <f>BD32*VLOOKUP('Données projet'!$B$11,Paramètres!$A$1:$I$89,3,0)*VLOOKUP('Données projet'!$B$11,Paramètres!$A$1:$I$89,5,0)</f>
        <v>152.06100000000001</v>
      </c>
      <c r="BF32" s="13">
        <f t="shared" si="37"/>
        <v>39.046582627515924</v>
      </c>
      <c r="BG32" s="20">
        <f t="shared" si="7"/>
        <v>332.84570640959026</v>
      </c>
      <c r="BH32" s="59">
        <f t="shared" si="8"/>
        <v>626.17903974292358</v>
      </c>
      <c r="BI32" s="59">
        <f ca="1">AVERAGE(OFFSET($BH$3,0,0,'Données projet'!$E$11+1,1))-AVERAGE(OFFSET($H$3,0,0,'Données projet'!$E$11+1,1))</f>
        <v>248.1486444660062</v>
      </c>
      <c r="BJ32" s="59">
        <f t="shared" si="38"/>
        <v>293.34458072322127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17.549060897695043</v>
      </c>
      <c r="BR32" s="21">
        <f>EXP(-LN(2)/2)*BR31+(1-EXP(-LN(2)/2))/(LN(2)/2)*BL32*BO32*VLOOKUP('Données projet'!$B$11,Paramètres!$A$1:$I$89,3,0)*0.475*44/12</f>
        <v>1.3421336489734752</v>
      </c>
      <c r="BS32" s="22">
        <f t="shared" si="9"/>
        <v>18.891194546668519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13.4</v>
      </c>
      <c r="BY32" s="12">
        <f>IF('Données projet'!$A$114&gt;35,BY31+BX32-CG31,IF(A32&lt;'Données projet'!$A$114,$BV$205^A32,IF(A32='Données projet'!$A$114,'Données projet'!$B$114,BY31+BX32-CG31)))</f>
        <v>214.60000000000005</v>
      </c>
      <c r="BZ32" s="13">
        <f>BY32*VLOOKUP('Données projet'!$B$12,Paramètres!$A$1:$I$89,3,0)*VLOOKUP('Données projet'!$B$12,Paramètres!$A$1:$I$89,5,0)</f>
        <v>187.47456000000008</v>
      </c>
      <c r="CA32" s="13">
        <f t="shared" si="39"/>
        <v>46.981179851370143</v>
      </c>
      <c r="CB32" s="20">
        <f t="shared" si="10"/>
        <v>408.34374690780311</v>
      </c>
      <c r="CC32" s="59">
        <f t="shared" si="11"/>
        <v>701.67708024113642</v>
      </c>
      <c r="CD32" s="59">
        <f ca="1">AVERAGE(OFFSET($CC$3,0,0,'Données projet'!$E$12+1,1))-AVERAGE(OFFSET($H$3,0,0,'Données projet'!$E$12+1,1))</f>
        <v>243.38048563215585</v>
      </c>
      <c r="CE32" s="59">
        <f t="shared" si="40"/>
        <v>372.1604147006675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4.9375768554909714</v>
      </c>
      <c r="CM32" s="21">
        <f>EXP(-LN(2)/2)*CM31+(1-EXP(-LN(2)/2))/(LN(2)/2)*CG32*CJ32*VLOOKUP('Données projet'!$B$12,Paramètres!$A$1:$I$89,3,0)*0.475*44/12</f>
        <v>0.4254056921405282</v>
      </c>
      <c r="CN32" s="22">
        <f t="shared" si="12"/>
        <v>5.3629825476314998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22.2</v>
      </c>
      <c r="CT32" s="12">
        <f>IF('Données projet'!$A$140&gt;35,CT31+CS32-DB31,IF(A32&lt;'Données projet'!$A$140,$CQ$205^A32,IF(A32='Données projet'!$A$140,'Données projet'!$B$140,CT31+CS32-DB31)))</f>
        <v>295.79999999999995</v>
      </c>
      <c r="CU32" s="17">
        <f>CT32*VLOOKUP('Données projet'!$B$13,Paramètres!$A$1:$I$89,3,0)*VLOOKUP('Données projet'!$B$13,Paramètres!$A$1:$I$89,5,0)</f>
        <v>142.27979999999999</v>
      </c>
      <c r="CV32" s="13">
        <f t="shared" si="41"/>
        <v>36.818783655794178</v>
      </c>
      <c r="CW32" s="20">
        <f t="shared" si="13"/>
        <v>311.93003320050815</v>
      </c>
      <c r="CX32" s="59">
        <f t="shared" si="14"/>
        <v>605.26336653384146</v>
      </c>
      <c r="CY32" s="59">
        <f ca="1">AVERAGE(OFFSET($CX$3,0,0,'Données projet'!$E$13+1,1))-AVERAGE(OFFSET($H$3,0,0,'Données projet'!$E$13+1,1))</f>
        <v>297.21955661193238</v>
      </c>
      <c r="CZ32" s="59">
        <f t="shared" si="42"/>
        <v>273.69206144662144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157.13100000000003</v>
      </c>
      <c r="DQ32" s="13">
        <f t="shared" si="43"/>
        <v>40.194724574621844</v>
      </c>
      <c r="DR32" s="20">
        <f t="shared" si="16"/>
        <v>343.67563696746635</v>
      </c>
      <c r="DS32" s="59">
        <f t="shared" si="17"/>
        <v>637.00897030079966</v>
      </c>
      <c r="DT32" s="59">
        <f ca="1">AVERAGE(OFFSET($DS$3,0,0,'Données projet'!$E$14+1,1))-AVERAGE(OFFSET($H$3,0,0,'Données projet'!$E$14+1,1))</f>
        <v>260.20517190557814</v>
      </c>
      <c r="DU32" s="59">
        <f t="shared" si="44"/>
        <v>307.22009971147133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6.0596621223380289</v>
      </c>
      <c r="EC32" s="21">
        <f>EXP(-LN(2)/2)*EC31+(1-EXP(-LN(2)/2))/(LN(2)/2)*DW32*DZ32*VLOOKUP('Données projet'!$B$14,Paramètres!$A$1:$I$89,3,0)*0.475*44/12</f>
        <v>0.55568528759752389</v>
      </c>
      <c r="ED32" s="22">
        <f t="shared" si="18"/>
        <v>6.6153474099355529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15.8</v>
      </c>
      <c r="EJ32" s="12">
        <f>IF('Données projet'!$A$192&gt;35,EJ31+EI32-ER31,IF(A32&lt;'Données projet'!$A$192,$EG$205^A32,IF(A32='Données projet'!$A$192,'Données projet'!$B$192,EJ31+EI32-ER31)))</f>
        <v>241.2000000000001</v>
      </c>
      <c r="EK32" s="17">
        <f>EJ32*VLOOKUP('Données projet'!$B$15,Paramètres!$A$1:$I$89,3,0)*VLOOKUP('Données projet'!$B$15,Paramètres!$A$1:$I$89,5,0)</f>
        <v>144.23760000000007</v>
      </c>
      <c r="EL32" s="13">
        <f t="shared" si="45"/>
        <v>37.266088962286922</v>
      </c>
      <c r="EM32" s="20">
        <f t="shared" si="19"/>
        <v>316.11892494264981</v>
      </c>
      <c r="EN32" s="59">
        <f t="shared" si="20"/>
        <v>609.45225827598313</v>
      </c>
      <c r="EO32" s="59">
        <f ca="1">AVERAGE(OFFSET($EN$3,0,0,'Données projet'!$E$15+1,1))-AVERAGE(OFFSET($H$3,0,0,'Données projet'!$E$15+1,1))</f>
        <v>259.30247982593914</v>
      </c>
      <c r="EP32" s="59">
        <f t="shared" si="46"/>
        <v>275.24740346220779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3.1860731154937145</v>
      </c>
      <c r="EX32" s="21">
        <f>EXP(-LN(2)/2)*EX31+(1-EXP(-LN(2)/2))/(LN(2)/2)*ER32*EU32*VLOOKUP('Données projet'!$B$15,Paramètres!$A$1:$I$89,3,0)*0.475*44/12</f>
        <v>0.3441118140346387</v>
      </c>
      <c r="EY32" s="22">
        <f t="shared" si="21"/>
        <v>3.5301849295283532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8.1999999999999993</v>
      </c>
      <c r="FE32" s="12">
        <f>IF('Données projet'!$A$218&gt;35,FE31+FD32-FM31,IF(A32&lt;'Données projet'!$A$218,$FB$205^A32,IF(A32='Données projet'!$A$218,'Données projet'!$B$218,FE31+FD32-FM31)))</f>
        <v>140.80000000000001</v>
      </c>
      <c r="FF32" s="17">
        <f>FE32*VLOOKUP('Données projet'!$B$16,Paramètres!$A$1:$I$89,3,0)*VLOOKUP('Données projet'!$B$16,Paramètres!$A$1:$I$89,5,0)</f>
        <v>142.77120000000002</v>
      </c>
      <c r="FG32" s="13">
        <f t="shared" si="47"/>
        <v>36.93112247550409</v>
      </c>
      <c r="FH32" s="20">
        <f t="shared" si="22"/>
        <v>312.98154497816967</v>
      </c>
      <c r="FI32" s="59">
        <f t="shared" si="23"/>
        <v>606.31487831150298</v>
      </c>
      <c r="FJ32" s="59">
        <f ca="1">AVERAGE(OFFSET($FI$3,0,0,'Données projet'!$E$16+1,1))-AVERAGE(OFFSET($H$3,0,0,'Données projet'!$E$16+1,1))</f>
        <v>372.91317851957336</v>
      </c>
      <c r="FK32" s="59">
        <f t="shared" si="48"/>
        <v>269.69187715858413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3.1797156917177869</v>
      </c>
      <c r="FS32" s="21">
        <f>EXP(-LN(2)/2)*FS31+(1-EXP(-LN(2)/2))/(LN(2)/2)*FM32*FP32*VLOOKUP('Données projet'!$B$16,Paramètres!$A$1:$I$89,3,0)*0.475*44/12</f>
        <v>0.35939844471481636</v>
      </c>
      <c r="FT32" s="22">
        <f t="shared" si="24"/>
        <v>3.5391141364326031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9.1999999999999993</v>
      </c>
      <c r="FZ32" s="12">
        <f>IF('Données projet'!$A$244&gt;35,FZ31+FY32-GH31,IF(A32&lt;'Données projet'!$A$244,$FW$205^A32,IF(A32='Données projet'!$A$244,'Données projet'!$B$244,FZ31+FY32-GH31)))</f>
        <v>228.2999999999999</v>
      </c>
      <c r="GA32" s="17">
        <f>FZ32*VLOOKUP('Données projet'!$B$17,Paramètres!$A$1:$I$89,3,0)*VLOOKUP('Données projet'!$B$17,Paramètres!$A$1:$I$89,5,0)</f>
        <v>106.84439999999995</v>
      </c>
      <c r="GB32" s="13">
        <f t="shared" si="49"/>
        <v>28.586245822975961</v>
      </c>
      <c r="GC32" s="20">
        <f t="shared" si="25"/>
        <v>235.87504147501636</v>
      </c>
      <c r="GD32" s="59">
        <f t="shared" si="26"/>
        <v>529.20837480834962</v>
      </c>
      <c r="GE32" s="59">
        <f ca="1">AVERAGE(OFFSET($GD$3,0,0,'Données projet'!$E$17+1,1))-AVERAGE(OFFSET($H$3,0,0,'Données projet'!$E$17+1,1))</f>
        <v>215.23235148064941</v>
      </c>
      <c r="GF32" s="59">
        <f t="shared" si="50"/>
        <v>184.07239726900434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1.6562761942547666</v>
      </c>
      <c r="GN32" s="21">
        <f>EXP(-LN(2)/2)*GN31+(1-EXP(-LN(2)/2))/(LN(2)/2)*GH32*GK32*VLOOKUP('Données projet'!$B$17,Paramètres!$A$1:$I$89,3,0)*0.475*44/12</f>
        <v>0.1463613575761695</v>
      </c>
      <c r="GO32" s="21">
        <f t="shared" si="27"/>
        <v>1.8026375518309361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18.666666666666668</v>
      </c>
      <c r="GU32" s="12">
        <f>IF('Données projet'!$A$270&gt;35,GU31+GT32-HC31,IF(A32&lt;'Données projet'!$A$270,$GR$205^A32,IF(A32='Données projet'!$A$270,'Données projet'!$B$270,GU31+GT32-HC31)))</f>
        <v>210.66666666666666</v>
      </c>
      <c r="GV32" s="17">
        <f>GU32*VLOOKUP('Données projet'!$B$18,Paramètres!$A$1:$I$89,3,0)*VLOOKUP('Données projet'!$B$18,Paramètres!$A$1:$I$89,5,0)</f>
        <v>125.97866666666667</v>
      </c>
      <c r="GW32" s="13">
        <f t="shared" si="51"/>
        <v>33.065454810766525</v>
      </c>
      <c r="GX32" s="20">
        <f t="shared" si="28"/>
        <v>277.00184490652941</v>
      </c>
      <c r="GY32" s="59">
        <f t="shared" si="29"/>
        <v>570.33517823986267</v>
      </c>
      <c r="GZ32" s="59">
        <f ca="1">AVERAGE(OFFSET($GY$3,0,0,'Données projet'!$E$18+1,1))-AVERAGE(OFFSET($H$3,0,0,'Données projet'!$E$18+1,1))</f>
        <v>227.89848316900191</v>
      </c>
      <c r="HA32" s="59">
        <f t="shared" si="52"/>
        <v>239.85955661394541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8.1008971071480698</v>
      </c>
      <c r="HH32" s="21">
        <f>EXP(-LN(2)/25)*HH31+(1-EXP(-LN(2)/25))/(LN(2)/25)*Calculateur!HC32*Calculateur!HE32*VLOOKUP('Données projet'!$B$18,Paramètres!$A$1:$I$89,3,0)*0.475*44/12</f>
        <v>17.625549173650011</v>
      </c>
      <c r="HI32" s="21">
        <f>EXP(-LN(2)/2)*HI31+(1-EXP(-LN(2)/2))/(LN(2)/2)*HC32*HF32*VLOOKUP('Données projet'!$B$18,Paramètres!$A$1:$I$89,3,0)*0.475*44/12</f>
        <v>9.4802804766542934</v>
      </c>
      <c r="HJ32" s="22">
        <f t="shared" si="30"/>
        <v>35.206726757452373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24.9</v>
      </c>
      <c r="M33" s="12">
        <f t="array" ref="M33">INDEX(L:L,MIN(IF(ISNUMBER(L33:L229),ROW(L33:L229),"")))</f>
        <v>24.9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370.69652285220093</v>
      </c>
      <c r="T33" s="59">
        <f t="shared" si="34"/>
        <v>376.53494965377718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126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10.277876493987145</v>
      </c>
      <c r="AA33" s="21">
        <f>EXP(-LN(2)/25)*AA32+(1-EXP(-LN(2)/25))/(LN(2)/25)*Calculateur!V33*Calculateur!X33*VLOOKUP('Données projet'!$B$9,Paramètres!$A$1:$I$89,3,0)*0.475*44/12</f>
        <v>33.405658639346044</v>
      </c>
      <c r="AB33" s="21">
        <f>EXP(-LN(2)/2)*AB32+(1-EXP(-LN(2)/2))/(LN(2)/2)*V33*Y33*VLOOKUP('Données projet'!$B$9,Paramètres!$A$1:$I$89,3,0)*0.475*44/12</f>
        <v>32.729764541383091</v>
      </c>
      <c r="AC33" s="22">
        <f t="shared" si="3"/>
        <v>76.413299674716285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134.81519999999998</v>
      </c>
      <c r="AK33" s="13">
        <f t="shared" si="35"/>
        <v>35.106644529103392</v>
      </c>
      <c r="AL33" s="20">
        <f t="shared" si="4"/>
        <v>295.94721255485501</v>
      </c>
      <c r="AM33" s="59">
        <f t="shared" si="5"/>
        <v>589.28054588818827</v>
      </c>
      <c r="AN33" s="59">
        <f ca="1">AVERAGE(OFFSET($AM$3,0,0,'Données projet'!$E$10+1,1))-AVERAGE(OFFSET($H$3,0,0,'Données projet'!$E$10+1,1))</f>
        <v>321.03881567735544</v>
      </c>
      <c r="AO33" s="59">
        <f t="shared" si="36"/>
        <v>234.87694492493506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2.4085528753586032</v>
      </c>
      <c r="AV33" s="21">
        <f>EXP(-LN(2)/25)*AV32+(1-EXP(-LN(2)/25))/(LN(2)/25)*Calculateur!AQ33*Calculateur!AS33*VLOOKUP('Données projet'!$B$10,Paramètres!$A$1:$I$89,3,0)*0.475*44/12</f>
        <v>13.555511752109741</v>
      </c>
      <c r="AW33" s="21">
        <f>EXP(-LN(2)/2)*AW32+(1-EXP(-LN(2)/2))/(LN(2)/2)*AQ33*AT33*VLOOKUP('Données projet'!$B$10,Paramètres!$A$1:$I$89,3,0)*0.475*44/12</f>
        <v>21.740084338679843</v>
      </c>
      <c r="AX33" s="21">
        <f t="shared" si="6"/>
        <v>37.704148966148189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297</v>
      </c>
      <c r="BB33" s="12">
        <f>VLOOKUP(A33,'Données projet'!$A$87:$I$107,9,0)</f>
        <v>18.5</v>
      </c>
      <c r="BC33" s="12">
        <f t="array" ref="BC33">INDEX(BB:BB,MIN(IF(ISNUMBER(BB33:BB229),ROW(BB33:BB229),"")))</f>
        <v>18.5</v>
      </c>
      <c r="BD33" s="12">
        <f>IF('Données projet'!$A$88&gt;35,BD32+BC33-BL32,IF(A33&lt;'Données projet'!$A$88,$BA$205^A33,IF(A33='Données projet'!$A$88,'Données projet'!$B$88,BD32+BC33-BL32)))</f>
        <v>297</v>
      </c>
      <c r="BE33" s="13">
        <f>BD33*VLOOKUP('Données projet'!$B$11,Paramètres!$A$1:$I$89,3,0)*VLOOKUP('Données projet'!$B$11,Paramètres!$A$1:$I$89,5,0)</f>
        <v>162.16200000000001</v>
      </c>
      <c r="BF33" s="13">
        <f t="shared" si="37"/>
        <v>41.3297789587414</v>
      </c>
      <c r="BG33" s="20">
        <f t="shared" si="7"/>
        <v>354.41484835314122</v>
      </c>
      <c r="BH33" s="59">
        <f t="shared" si="8"/>
        <v>647.74818168647448</v>
      </c>
      <c r="BI33" s="59">
        <f ca="1">AVERAGE(OFFSET($BH$3,0,0,'Données projet'!$E$11+1,1))-AVERAGE(OFFSET($H$3,0,0,'Données projet'!$E$11+1,1))</f>
        <v>248.1486444660062</v>
      </c>
      <c r="BJ33" s="59">
        <f t="shared" si="38"/>
        <v>293.34458072322127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98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8.5178173057990687</v>
      </c>
      <c r="BQ33" s="21">
        <f>EXP(-LN(2)/25)*BQ32+(1-EXP(-LN(2)/25))/(LN(2)/25)*Calculateur!BL33*Calculateur!BN33*VLOOKUP('Données projet'!$B$11,Paramètres!$A$1:$I$89,3,0)*0.475*44/12</f>
        <v>34.037739731629159</v>
      </c>
      <c r="BR33" s="21">
        <f>EXP(-LN(2)/2)*BR32+(1-EXP(-LN(2)/2))/(LN(2)/2)*BL33*BO33*VLOOKUP('Données projet'!$B$11,Paramètres!$A$1:$I$89,3,0)*0.475*44/12</f>
        <v>25.182426114866235</v>
      </c>
      <c r="BS33" s="22">
        <f t="shared" si="9"/>
        <v>67.737983152294461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228</v>
      </c>
      <c r="BW33" s="12">
        <f>VLOOKUP(A33,'Données projet'!$A$113:$I$133,9,0)</f>
        <v>13.4</v>
      </c>
      <c r="BX33" s="12">
        <f t="array" ref="BX33">INDEX(BW:BW,MIN(IF(ISNUMBER(BW33:BW229),ROW(BW33:BW229),"")))</f>
        <v>13.4</v>
      </c>
      <c r="BY33" s="12">
        <f>IF('Données projet'!$A$114&gt;35,BY32+BX33-CG32,IF(A33&lt;'Données projet'!$A$114,$BV$205^A33,IF(A33='Données projet'!$A$114,'Données projet'!$B$114,BY32+BX33-CG32)))</f>
        <v>228.00000000000006</v>
      </c>
      <c r="BZ33" s="13">
        <f>BY33*VLOOKUP('Données projet'!$B$12,Paramètres!$A$1:$I$89,3,0)*VLOOKUP('Données projet'!$B$12,Paramètres!$A$1:$I$89,5,0)</f>
        <v>199.18080000000009</v>
      </c>
      <c r="CA33" s="13">
        <f t="shared" si="39"/>
        <v>49.564089376413726</v>
      </c>
      <c r="CB33" s="20">
        <f t="shared" si="10"/>
        <v>433.2306823305874</v>
      </c>
      <c r="CC33" s="59">
        <f t="shared" si="11"/>
        <v>726.56401566392071</v>
      </c>
      <c r="CD33" s="59">
        <f ca="1">AVERAGE(OFFSET($CC$3,0,0,'Données projet'!$E$12+1,1))-AVERAGE(OFFSET($H$3,0,0,'Données projet'!$E$12+1,1))</f>
        <v>243.38048563215585</v>
      </c>
      <c r="CE33" s="59">
        <f t="shared" si="40"/>
        <v>372.1604147006675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88</v>
      </c>
      <c r="CH33" s="16">
        <f>IF(ISNA(VLOOKUP(A33,'Données projet'!$A$113:$I$133,5,0)),0%,VLOOKUP(A33,'Données projet'!$A$113:$I$133,5,0)*VLOOKUP('Données projet'!$B$12,Paramètres!$A$1:$I$89,7,0))</f>
        <v>8.6000000000000007E-2</v>
      </c>
      <c r="CI33" s="16">
        <f>IF(ISNA(VLOOKUP(A33,'Données projet'!$A$113:$I$133,6,0)),0%,VLOOKUP(A33,'Données projet'!$A$113:$I$133,6,0)*VLOOKUP('Données projet'!$B$12,Paramètres!$A$1:$I$89,7,0))</f>
        <v>0.17200000000000001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7.3087121735019691</v>
      </c>
      <c r="CL33" s="21">
        <f>EXP(-LN(2)/25)*CL32+(1-EXP(-LN(2)/25))/(LN(2)/25)*Calculateur!CG33*Calculateur!CI33*VLOOKUP('Données projet'!$B$12,Paramètres!$A$1:$I$89,3,0)*0.475*44/12</f>
        <v>19.362428534396141</v>
      </c>
      <c r="CM33" s="21">
        <f>EXP(-LN(2)/2)*CM32+(1-EXP(-LN(2)/2))/(LN(2)/2)*CG33*CJ33*VLOOKUP('Données projet'!$B$12,Paramètres!$A$1:$I$89,3,0)*0.475*44/12</f>
        <v>29.314939213162127</v>
      </c>
      <c r="CN33" s="22">
        <f t="shared" si="12"/>
        <v>55.986079921060238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318</v>
      </c>
      <c r="CR33" s="12">
        <f>VLOOKUP(A33,'Données projet'!$A$139:$I$159,9,0)</f>
        <v>22.2</v>
      </c>
      <c r="CS33" s="12">
        <f t="array" ref="CS33">INDEX(CR:CR,MIN(IF(ISNUMBER(CR33:CR229),ROW(CR33:CR229),"")))</f>
        <v>22.2</v>
      </c>
      <c r="CT33" s="12">
        <f>IF('Données projet'!$A$140&gt;35,CT32+CS33-DB32,IF(A33&lt;'Données projet'!$A$140,$CQ$205^A33,IF(A33='Données projet'!$A$140,'Données projet'!$B$140,CT32+CS33-DB32)))</f>
        <v>317.99999999999994</v>
      </c>
      <c r="CU33" s="17">
        <f>CT33*VLOOKUP('Données projet'!$B$13,Paramètres!$A$1:$I$89,3,0)*VLOOKUP('Données projet'!$B$13,Paramètres!$A$1:$I$89,5,0)</f>
        <v>152.95799999999997</v>
      </c>
      <c r="CV33" s="13">
        <f t="shared" si="41"/>
        <v>39.250035833420867</v>
      </c>
      <c r="CW33" s="20">
        <f t="shared" si="13"/>
        <v>334.76232907654128</v>
      </c>
      <c r="CX33" s="59">
        <f t="shared" si="14"/>
        <v>628.09566240987465</v>
      </c>
      <c r="CY33" s="59">
        <f ca="1">AVERAGE(OFFSET($CX$3,0,0,'Données projet'!$E$13+1,1))-AVERAGE(OFFSET($H$3,0,0,'Données projet'!$E$13+1,1))</f>
        <v>297.21955661193238</v>
      </c>
      <c r="CZ33" s="59">
        <f t="shared" si="42"/>
        <v>273.69206144662144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96</v>
      </c>
      <c r="DC33" s="16">
        <f>IF(ISNA(VLOOKUP(A33,'Données projet'!$A$139:$I$159,5,0)),0%,VLOOKUP(A33,'Données projet'!$A$139:$I$159,5,0)*VLOOKUP('Données projet'!$B$13,Paramètres!$A$1:$I$89,7,0))</f>
        <v>0.11000000000000001</v>
      </c>
      <c r="DD33" s="16">
        <f>IF(ISNA(VLOOKUP(A33,'Données projet'!$A$139:$I$159,6,0)),0%,VLOOKUP(A33,'Données projet'!$A$139:$I$159,6,0)*VLOOKUP('Données projet'!$B$13,Paramètres!$A$1:$I$89,7,0))</f>
        <v>0.22000000000000003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6.738098432381384</v>
      </c>
      <c r="DG33" s="21">
        <f>EXP(-LN(2)/25)*DG32+(1-EXP(-LN(2)/25))/(LN(2)/25)*Calculateur!DB33*Calculateur!DD33*VLOOKUP('Données projet'!$B$13,Paramètres!$A$1:$I$89,3,0)*0.475*44/12</f>
        <v>13.423135942872628</v>
      </c>
      <c r="DH33" s="21">
        <f>EXP(-LN(2)/2)*DH32+(1-EXP(-LN(2)/2))/(LN(2)/2)*DB33*DE33*VLOOKUP('Données projet'!$B$13,Paramètres!$A$1:$I$89,3,0)*0.475*44/12</f>
        <v>20.912783428232835</v>
      </c>
      <c r="DI33" s="22">
        <f t="shared" si="15"/>
        <v>41.074017803486846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168.66720000000001</v>
      </c>
      <c r="DQ33" s="13">
        <f t="shared" si="43"/>
        <v>42.791384119459089</v>
      </c>
      <c r="DR33" s="20">
        <f t="shared" si="16"/>
        <v>368.29036734139123</v>
      </c>
      <c r="DS33" s="59">
        <f t="shared" si="17"/>
        <v>661.62370067472455</v>
      </c>
      <c r="DT33" s="59">
        <f ca="1">AVERAGE(OFFSET($DS$3,0,0,'Données projet'!$E$14+1,1))-AVERAGE(OFFSET($H$3,0,0,'Données projet'!$E$14+1,1))</f>
        <v>260.20517190557814</v>
      </c>
      <c r="DU33" s="59">
        <f t="shared" si="44"/>
        <v>307.22009971147133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5.3000000000000005E-2</v>
      </c>
      <c r="DY33" s="16">
        <f>IF(ISNA(VLOOKUP(A33,'Données projet'!$A$165:$I$185,6,0)),0%,VLOOKUP(A33,'Données projet'!$A$165:$I$185,6,0)*VLOOKUP('Données projet'!$B$14,Paramètres!$A$1:$I$89,7,0))</f>
        <v>0.23850000000000002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3.2629903879783009</v>
      </c>
      <c r="EB33" s="21">
        <f>EXP(-LN(2)/25)*EB32+(1-EXP(-LN(2)/25))/(LN(2)/25)*Calculateur!DW33*Calculateur!DY33*VLOOKUP('Données projet'!$B$14,Paramètres!$A$1:$I$89,3,0)*0.475*44/12</f>
        <v>20.519602724797</v>
      </c>
      <c r="EC33" s="21">
        <f>EXP(-LN(2)/2)*EC32+(1-EXP(-LN(2)/2))/(LN(2)/2)*DW33*DZ33*VLOOKUP('Données projet'!$B$14,Paramètres!$A$1:$I$89,3,0)*0.475*44/12</f>
        <v>24.039034252757283</v>
      </c>
      <c r="ED33" s="22">
        <f t="shared" si="18"/>
        <v>47.821627365532585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257</v>
      </c>
      <c r="EH33" s="12">
        <f>VLOOKUP(A33,'Données projet'!$A$191:$I$211,9,0)</f>
        <v>15.8</v>
      </c>
      <c r="EI33" s="12">
        <f t="array" ref="EI33">INDEX(EH:EH,MIN(IF(ISNUMBER(EH33:EH229),ROW(EH33:EH229),"")))</f>
        <v>15.8</v>
      </c>
      <c r="EJ33" s="12">
        <f>IF('Données projet'!$A$192&gt;35,EJ32+EI33-ER32,IF(A33&lt;'Données projet'!$A$192,$EG$205^A33,IF(A33='Données projet'!$A$192,'Données projet'!$B$192,EJ32+EI33-ER32)))</f>
        <v>257.00000000000011</v>
      </c>
      <c r="EK33" s="17">
        <f>EJ33*VLOOKUP('Données projet'!$B$15,Paramètres!$A$1:$I$89,3,0)*VLOOKUP('Données projet'!$B$15,Paramètres!$A$1:$I$89,5,0)</f>
        <v>153.68600000000006</v>
      </c>
      <c r="EL33" s="13">
        <f t="shared" si="45"/>
        <v>39.415055172513433</v>
      </c>
      <c r="EM33" s="20">
        <f t="shared" si="19"/>
        <v>336.31767109212768</v>
      </c>
      <c r="EN33" s="59">
        <f t="shared" si="20"/>
        <v>629.651004425461</v>
      </c>
      <c r="EO33" s="59">
        <f ca="1">AVERAGE(OFFSET($EN$3,0,0,'Données projet'!$E$15+1,1))-AVERAGE(OFFSET($H$3,0,0,'Données projet'!$E$15+1,1))</f>
        <v>259.30247982593914</v>
      </c>
      <c r="EP33" s="59">
        <f t="shared" si="46"/>
        <v>275.24740346220779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84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0.22500000000000001</v>
      </c>
      <c r="EU33" s="16">
        <f>IF(ISNA(VLOOKUP(A33,'Données projet'!$A$191:$I$211,7,0)),0%,VLOOKUP(A33,'Données projet'!$A$191:$I$211,7,0))</f>
        <v>0.5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18.033013031997843</v>
      </c>
      <c r="EX33" s="21">
        <f>EXP(-LN(2)/2)*EX32+(1-EXP(-LN(2)/2))/(LN(2)/2)*ER33*EU33*VLOOKUP('Données projet'!$B$15,Paramètres!$A$1:$I$89,3,0)*0.475*44/12</f>
        <v>28.680470181865015</v>
      </c>
      <c r="EY33" s="22">
        <f t="shared" si="21"/>
        <v>46.713483213862858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149</v>
      </c>
      <c r="FC33" s="12">
        <f>VLOOKUP(A33,'Données projet'!$A$217:$I$237,9,0)</f>
        <v>8.1999999999999993</v>
      </c>
      <c r="FD33" s="12">
        <f t="array" ref="FD33">INDEX(FC:FC,MIN(IF(ISNUMBER(FC33:FC229),ROW(FC33:FC229),"")))</f>
        <v>8.1999999999999993</v>
      </c>
      <c r="FE33" s="12">
        <f>IF('Données projet'!$A$218&gt;35,FE32+FD33-FM32,IF(A33&lt;'Données projet'!$A$218,$FB$205^A33,IF(A33='Données projet'!$A$218,'Données projet'!$B$218,FE32+FD33-FM32)))</f>
        <v>149</v>
      </c>
      <c r="FF33" s="17">
        <f>FE33*VLOOKUP('Données projet'!$B$16,Paramètres!$A$1:$I$89,3,0)*VLOOKUP('Données projet'!$B$16,Paramètres!$A$1:$I$89,5,0)</f>
        <v>151.08600000000001</v>
      </c>
      <c r="FG33" s="13">
        <f t="shared" si="47"/>
        <v>38.825279304404233</v>
      </c>
      <c r="FH33" s="20">
        <f t="shared" si="22"/>
        <v>330.76214478850403</v>
      </c>
      <c r="FI33" s="59">
        <f t="shared" si="23"/>
        <v>624.09547812183735</v>
      </c>
      <c r="FJ33" s="59">
        <f ca="1">AVERAGE(OFFSET($FI$3,0,0,'Données projet'!$E$16+1,1))-AVERAGE(OFFSET($H$3,0,0,'Données projet'!$E$16+1,1))</f>
        <v>372.91317851957336</v>
      </c>
      <c r="FK33" s="59">
        <f t="shared" si="48"/>
        <v>269.69187715858413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56</v>
      </c>
      <c r="FN33" s="16">
        <f>IF(ISNA(VLOOKUP(A33,'Données projet'!$A$217:$I$237,5,0)),0%,VLOOKUP(A33,'Données projet'!$A$217:$I$237,5,0)*VLOOKUP('Données projet'!$B$16,Paramètres!$A$1:$I$89,7,0))</f>
        <v>4.3000000000000003E-2</v>
      </c>
      <c r="FO33" s="16">
        <f>IF(ISNA(VLOOKUP(A33,'Données projet'!$A$217:$I$237,6,0)),0%,VLOOKUP(A33,'Données projet'!$A$217:$I$237,6,0)*VLOOKUP('Données projet'!$B$16,Paramètres!$A$1:$I$89,7,0))</f>
        <v>0.19350000000000001</v>
      </c>
      <c r="FP33" s="16">
        <f>IF(ISNA(VLOOKUP(A33,'Données projet'!$A$217:$I$237,7,0)),0%,VLOOKUP(A33,'Données projet'!$A$217:$I$237,7,0))</f>
        <v>0.45</v>
      </c>
      <c r="FQ33" s="21">
        <f>EXP(-LN(2)/35)*FQ32+(1-EXP(-LN(2)/35))/(LN(2)/35)*FM33*FN33*VLOOKUP('Données projet'!$B$16,Paramètres!$A$1:$I$89,3,0)*0.475*44/12</f>
        <v>2.6992402913501592</v>
      </c>
      <c r="FR33" s="21">
        <f>EXP(-LN(2)/25)*FR32+(1-EXP(-LN(2)/25))/(LN(2)/25)*Calculateur!FM33*Calculateur!FO33*VLOOKUP('Données projet'!$B$16,Paramètres!$A$1:$I$89,3,0)*0.475*44/12</f>
        <v>15.191521791157468</v>
      </c>
      <c r="FS33" s="21">
        <f>EXP(-LN(2)/2)*FS32+(1-EXP(-LN(2)/2))/(LN(2)/2)*FM33*FP33*VLOOKUP('Données projet'!$B$16,Paramètres!$A$1:$I$89,3,0)*0.475*44/12</f>
        <v>24.363887620934314</v>
      </c>
      <c r="FT33" s="22">
        <f t="shared" si="24"/>
        <v>42.254649703441942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237.5</v>
      </c>
      <c r="FX33" s="12">
        <f>VLOOKUP(A33,'Données projet'!$A$243:$I$263,9,0)</f>
        <v>9.1999999999999993</v>
      </c>
      <c r="FY33" s="12">
        <f t="array" ref="FY33">INDEX(FX:FX,MIN(IF(ISNUMBER(FX33:FX229),ROW(FX33:FX229),"")))</f>
        <v>9.1999999999999993</v>
      </c>
      <c r="FZ33" s="12">
        <f>IF('Données projet'!$A$244&gt;35,FZ32+FY33-GH32,IF(A33&lt;'Données projet'!$A$244,$FW$205^A33,IF(A33='Données projet'!$A$244,'Données projet'!$B$244,FZ32+FY33-GH32)))</f>
        <v>237.49999999999989</v>
      </c>
      <c r="GA33" s="17">
        <f>FZ33*VLOOKUP('Données projet'!$B$17,Paramètres!$A$1:$I$89,3,0)*VLOOKUP('Données projet'!$B$17,Paramètres!$A$1:$I$89,5,0)</f>
        <v>111.14999999999995</v>
      </c>
      <c r="GB33" s="13">
        <f t="shared" si="49"/>
        <v>29.601769319956546</v>
      </c>
      <c r="GC33" s="20">
        <f t="shared" si="25"/>
        <v>245.14266489892427</v>
      </c>
      <c r="GD33" s="59">
        <f t="shared" si="26"/>
        <v>538.47599823225755</v>
      </c>
      <c r="GE33" s="59">
        <f ca="1">AVERAGE(OFFSET($GD$3,0,0,'Données projet'!$E$17+1,1))-AVERAGE(OFFSET($H$3,0,0,'Données projet'!$E$17+1,1))</f>
        <v>215.23235148064941</v>
      </c>
      <c r="GF33" s="59">
        <f t="shared" si="50"/>
        <v>184.07239726900434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45.9</v>
      </c>
      <c r="GI33" s="16">
        <f>IF(ISNA(VLOOKUP(A33,'Données projet'!$A$243:$I$263,5,0)),0%,VLOOKUP(A33,'Données projet'!$A$243:$I$263,5,0)*VLOOKUP('Données projet'!$B$17,Paramètres!$A$1:$I$89,7,0))</f>
        <v>0.11000000000000001</v>
      </c>
      <c r="GJ33" s="16">
        <f>IF(ISNA(VLOOKUP(A33,'Données projet'!$A$243:$I$263,6,0)),0%,VLOOKUP(A33,'Données projet'!$A$243:$I$263,6,0)*VLOOKUP('Données projet'!$B$17,Paramètres!$A$1:$I$89,7,0))</f>
        <v>0.22000000000000003</v>
      </c>
      <c r="GK33" s="16">
        <f>IF(ISNA(VLOOKUP(A33,'Données projet'!$A$243:$I$263,7,0)),0%,VLOOKUP(A33,'Données projet'!$A$243:$I$263,7,0))</f>
        <v>0.4</v>
      </c>
      <c r="GL33" s="21">
        <f>EXP(-LN(2)/35)*GL32+(1-EXP(-LN(2)/35))/(LN(2)/35)*GH33*GI33*VLOOKUP('Données projet'!$B$17,Paramètres!$A$1:$I$89,3,0)*0.475*44/12</f>
        <v>3.1345816018206638</v>
      </c>
      <c r="GM33" s="21">
        <f>EXP(-LN(2)/25)*GM32+(1-EXP(-LN(2)/25))/(LN(2)/25)*Calculateur!GH33*Calculateur!GJ33*VLOOKUP('Données projet'!$B$17,Paramètres!$A$1:$I$89,3,0)*0.475*44/12</f>
        <v>7.8554643539932272</v>
      </c>
      <c r="GN33" s="21">
        <f>EXP(-LN(2)/2)*GN32+(1-EXP(-LN(2)/2))/(LN(2)/2)*GH33*GK33*VLOOKUP('Données projet'!$B$17,Paramètres!$A$1:$I$89,3,0)*0.475*44/12</f>
        <v>9.8321764802959866</v>
      </c>
      <c r="GO33" s="21">
        <f t="shared" si="27"/>
        <v>20.822222436109875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18.666666666666668</v>
      </c>
      <c r="GU33" s="12">
        <f>IF('Données projet'!$A$270&gt;35,GU32+GT33-HC32,IF(A33&lt;'Données projet'!$A$270,$GR$205^A33,IF(A33='Données projet'!$A$270,'Données projet'!$B$270,GU32+GT33-HC32)))</f>
        <v>229.33333333333331</v>
      </c>
      <c r="GV33" s="17">
        <f>GU33*VLOOKUP('Données projet'!$B$18,Paramètres!$A$1:$I$89,3,0)*VLOOKUP('Données projet'!$B$18,Paramètres!$A$1:$I$89,5,0)</f>
        <v>137.14133333333334</v>
      </c>
      <c r="GW33" s="13">
        <f t="shared" si="51"/>
        <v>35.641340873670629</v>
      </c>
      <c r="GX33" s="20">
        <f t="shared" si="28"/>
        <v>300.92982424386526</v>
      </c>
      <c r="GY33" s="59">
        <f t="shared" si="29"/>
        <v>594.26315757719863</v>
      </c>
      <c r="GZ33" s="59">
        <f ca="1">AVERAGE(OFFSET($GY$3,0,0,'Données projet'!$E$18+1,1))-AVERAGE(OFFSET($H$3,0,0,'Données projet'!$E$18+1,1))</f>
        <v>227.89848316900191</v>
      </c>
      <c r="HA33" s="59">
        <f t="shared" si="52"/>
        <v>239.85955661394541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7.9420434559362425</v>
      </c>
      <c r="HH33" s="21">
        <f>EXP(-LN(2)/25)*HH32+(1-EXP(-LN(2)/25))/(LN(2)/25)*Calculateur!HC33*Calculateur!HE33*VLOOKUP('Données projet'!$B$18,Paramètres!$A$1:$I$89,3,0)*0.475*44/12</f>
        <v>17.143577604609206</v>
      </c>
      <c r="HI33" s="21">
        <f>EXP(-LN(2)/2)*HI32+(1-EXP(-LN(2)/2))/(LN(2)/2)*HC33*HF33*VLOOKUP('Données projet'!$B$18,Paramètres!$A$1:$I$89,3,0)*0.475*44/12</f>
        <v>6.7035706125926859</v>
      </c>
      <c r="HJ33" s="22">
        <f t="shared" si="30"/>
        <v>31.789191673138134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24.3</v>
      </c>
      <c r="N34" s="13">
        <f>IF('Données projet'!$A$36&gt;35,N33+M34-V33,IF(A34&lt;'Données projet'!$A$36,$K$205^A34,IF(A34='Données projet'!$A$36,'Données projet'!$B$36,N33+M34-V33)))</f>
        <v>258.29999999999995</v>
      </c>
      <c r="O34" s="13">
        <f>N34*VLOOKUP('Données projet'!$B$9,Paramètres!$A$1:$I$89,3,0)*VLOOKUP('Données projet'!$B$9,Paramètres!$A$1:$I$89,5,0)</f>
        <v>144.38969999999998</v>
      </c>
      <c r="P34" s="13">
        <f t="shared" si="33"/>
        <v>37.30081007271778</v>
      </c>
      <c r="Q34" s="20">
        <f t="shared" si="2"/>
        <v>316.44430504331677</v>
      </c>
      <c r="R34" s="59">
        <f t="shared" si="0"/>
        <v>609.77763837665009</v>
      </c>
      <c r="S34" s="59">
        <f ca="1">AVERAGE(OFFSET($R$3,0,0,'Données projet'!$E$9+1,1))-AVERAGE(OFFSET($H$3,0,0,'Données projet'!$E$9+1,1))</f>
        <v>370.69652285220093</v>
      </c>
      <c r="T34" s="59">
        <f t="shared" si="34"/>
        <v>376.53494965377718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10.076333604825718</v>
      </c>
      <c r="AA34" s="21">
        <f>EXP(-LN(2)/25)*AA33+(1-EXP(-LN(2)/25))/(LN(2)/25)*Calculateur!V34*Calculateur!X34*VLOOKUP('Données projet'!$B$9,Paramètres!$A$1:$I$89,3,0)*0.475*44/12</f>
        <v>32.492179147125889</v>
      </c>
      <c r="AB34" s="21">
        <f>EXP(-LN(2)/2)*AB33+(1-EXP(-LN(2)/2))/(LN(2)/2)*V34*Y34*VLOOKUP('Données projet'!$B$9,Paramètres!$A$1:$I$89,3,0)*0.475*44/12</f>
        <v>23.143438453850997</v>
      </c>
      <c r="AC34" s="22">
        <f t="shared" si="3"/>
        <v>65.711951205802606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94.099199999999996</v>
      </c>
      <c r="AK34" s="13">
        <f t="shared" si="35"/>
        <v>25.551276031514817</v>
      </c>
      <c r="AL34" s="20">
        <f t="shared" si="4"/>
        <v>208.39124575488827</v>
      </c>
      <c r="AM34" s="59">
        <f t="shared" si="5"/>
        <v>501.72457908822162</v>
      </c>
      <c r="AN34" s="59">
        <f ca="1">AVERAGE(OFFSET($AM$3,0,0,'Données projet'!$E$10+1,1))-AVERAGE(OFFSET($H$3,0,0,'Données projet'!$E$10+1,1))</f>
        <v>321.03881567735544</v>
      </c>
      <c r="AO34" s="59">
        <f t="shared" si="36"/>
        <v>234.87694492493506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2.3613226225450159</v>
      </c>
      <c r="AV34" s="21">
        <f>EXP(-LN(2)/25)*AV33+(1-EXP(-LN(2)/25))/(LN(2)/25)*Calculateur!AQ34*Calculateur!AS34*VLOOKUP('Données projet'!$B$10,Paramètres!$A$1:$I$89,3,0)*0.475*44/12</f>
        <v>13.184835570394918</v>
      </c>
      <c r="AW34" s="21">
        <f>EXP(-LN(2)/2)*AW33+(1-EXP(-LN(2)/2))/(LN(2)/2)*AQ34*AT34*VLOOKUP('Données projet'!$B$10,Paramètres!$A$1:$I$89,3,0)*0.475*44/12</f>
        <v>15.372561059447978</v>
      </c>
      <c r="AX34" s="21">
        <f t="shared" si="6"/>
        <v>30.918719252387913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15.7</v>
      </c>
      <c r="BD34" s="12">
        <f>IF('Données projet'!$A$88&gt;35,BD33+BC34-BL33,IF(A34&lt;'Données projet'!$A$88,$BA$205^A34,IF(A34='Données projet'!$A$88,'Données projet'!$B$88,BD33+BC34-BL33)))</f>
        <v>214.7</v>
      </c>
      <c r="BE34" s="13">
        <f>BD34*VLOOKUP('Données projet'!$B$11,Paramètres!$A$1:$I$89,3,0)*VLOOKUP('Données projet'!$B$11,Paramètres!$A$1:$I$89,5,0)</f>
        <v>117.22619999999999</v>
      </c>
      <c r="BF34" s="13">
        <f t="shared" si="37"/>
        <v>31.027178087454015</v>
      </c>
      <c r="BG34" s="20">
        <f t="shared" si="7"/>
        <v>258.20796683564902</v>
      </c>
      <c r="BH34" s="59">
        <f t="shared" si="8"/>
        <v>551.54130016898239</v>
      </c>
      <c r="BI34" s="59">
        <f ca="1">AVERAGE(OFFSET($BH$3,0,0,'Données projet'!$E$11+1,1))-AVERAGE(OFFSET($H$3,0,0,'Données projet'!$E$11+1,1))</f>
        <v>248.1486444660062</v>
      </c>
      <c r="BJ34" s="59">
        <f t="shared" si="38"/>
        <v>293.34458072322127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8.3507881037879059</v>
      </c>
      <c r="BQ34" s="21">
        <f>EXP(-LN(2)/25)*BQ33+(1-EXP(-LN(2)/25))/(LN(2)/25)*Calculateur!BL34*Calculateur!BN34*VLOOKUP('Données projet'!$B$11,Paramètres!$A$1:$I$89,3,0)*0.475*44/12</f>
        <v>33.106975948700821</v>
      </c>
      <c r="BR34" s="21">
        <f>EXP(-LN(2)/2)*BR33+(1-EXP(-LN(2)/2))/(LN(2)/2)*BL34*BO34*VLOOKUP('Données projet'!$B$11,Paramètres!$A$1:$I$89,3,0)*0.475*44/12</f>
        <v>17.806664272551121</v>
      </c>
      <c r="BS34" s="22">
        <f t="shared" si="9"/>
        <v>59.264428325039844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151.50000000000006</v>
      </c>
      <c r="BZ34" s="13">
        <f>BY34*VLOOKUP('Données projet'!$B$12,Paramètres!$A$1:$I$89,3,0)*VLOOKUP('Données projet'!$B$12,Paramètres!$A$1:$I$89,5,0)</f>
        <v>132.35040000000006</v>
      </c>
      <c r="CA34" s="13">
        <f t="shared" si="39"/>
        <v>34.538900082505862</v>
      </c>
      <c r="CB34" s="20">
        <f t="shared" si="10"/>
        <v>290.66553097703115</v>
      </c>
      <c r="CC34" s="59">
        <f t="shared" si="11"/>
        <v>583.99886431036452</v>
      </c>
      <c r="CD34" s="59">
        <f ca="1">AVERAGE(OFFSET($CC$3,0,0,'Données projet'!$E$12+1,1))-AVERAGE(OFFSET($H$3,0,0,'Données projet'!$E$12+1,1))</f>
        <v>243.38048563215585</v>
      </c>
      <c r="CE34" s="59">
        <f t="shared" si="40"/>
        <v>372.1604147006675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7.1653927856538431</v>
      </c>
      <c r="CL34" s="21">
        <f>EXP(-LN(2)/25)*CL33+(1-EXP(-LN(2)/25))/(LN(2)/25)*Calculateur!CG34*Calculateur!CI34*VLOOKUP('Données projet'!$B$12,Paramètres!$A$1:$I$89,3,0)*0.475*44/12</f>
        <v>18.832961907897214</v>
      </c>
      <c r="CM34" s="21">
        <f>EXP(-LN(2)/2)*CM33+(1-EXP(-LN(2)/2))/(LN(2)/2)*CG34*CJ34*VLOOKUP('Données projet'!$B$12,Paramètres!$A$1:$I$89,3,0)*0.475*44/12</f>
        <v>20.728792307698374</v>
      </c>
      <c r="CN34" s="22">
        <f t="shared" si="12"/>
        <v>46.727147001249435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24.6</v>
      </c>
      <c r="CT34" s="12">
        <f>IF('Données projet'!$A$140&gt;35,CT33+CS34-DB33,IF(A34&lt;'Données projet'!$A$140,$CQ$205^A34,IF(A34='Données projet'!$A$140,'Données projet'!$B$140,CT33+CS34-DB33)))</f>
        <v>246.59999999999997</v>
      </c>
      <c r="CU34" s="17">
        <f>CT34*VLOOKUP('Données projet'!$B$13,Paramètres!$A$1:$I$89,3,0)*VLOOKUP('Données projet'!$B$13,Paramètres!$A$1:$I$89,5,0)</f>
        <v>118.6146</v>
      </c>
      <c r="CV34" s="13">
        <f t="shared" si="41"/>
        <v>31.351659444786108</v>
      </c>
      <c r="CW34" s="20">
        <f t="shared" si="13"/>
        <v>261.19123519966905</v>
      </c>
      <c r="CX34" s="59">
        <f t="shared" si="14"/>
        <v>554.52456853300237</v>
      </c>
      <c r="CY34" s="59">
        <f ca="1">AVERAGE(OFFSET($CX$3,0,0,'Données projet'!$E$13+1,1))-AVERAGE(OFFSET($H$3,0,0,'Données projet'!$E$13+1,1))</f>
        <v>297.21955661193238</v>
      </c>
      <c r="CZ34" s="59">
        <f t="shared" si="42"/>
        <v>273.69206144662144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6.6059684319566161</v>
      </c>
      <c r="DG34" s="21">
        <f>EXP(-LN(2)/25)*DG33+(1-EXP(-LN(2)/25))/(LN(2)/25)*Calculateur!DB34*Calculateur!DD34*VLOOKUP('Données projet'!$B$13,Paramètres!$A$1:$I$89,3,0)*0.475*44/12</f>
        <v>13.056079584622736</v>
      </c>
      <c r="DH34" s="21">
        <f>EXP(-LN(2)/2)*DH33+(1-EXP(-LN(2)/2))/(LN(2)/2)*DB34*DE34*VLOOKUP('Données projet'!$B$13,Paramètres!$A$1:$I$89,3,0)*0.475*44/12</f>
        <v>14.787570975589093</v>
      </c>
      <c r="DI34" s="22">
        <f t="shared" si="15"/>
        <v>34.449618992168446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122.60195999999999</v>
      </c>
      <c r="DQ34" s="13">
        <f t="shared" si="43"/>
        <v>32.281104011674643</v>
      </c>
      <c r="DR34" s="20">
        <f t="shared" si="16"/>
        <v>269.75466982033333</v>
      </c>
      <c r="DS34" s="59">
        <f t="shared" si="17"/>
        <v>563.0880031536667</v>
      </c>
      <c r="DT34" s="59">
        <f ca="1">AVERAGE(OFFSET($DS$3,0,0,'Données projet'!$E$14+1,1))-AVERAGE(OFFSET($H$3,0,0,'Données projet'!$E$14+1,1))</f>
        <v>260.20517190557814</v>
      </c>
      <c r="DU34" s="59">
        <f t="shared" si="44"/>
        <v>307.22009971147133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3.1990051366976644</v>
      </c>
      <c r="EB34" s="21">
        <f>EXP(-LN(2)/25)*EB33+(1-EXP(-LN(2)/25))/(LN(2)/25)*Calculateur!DW34*Calculateur!DY34*VLOOKUP('Données projet'!$B$14,Paramètres!$A$1:$I$89,3,0)*0.475*44/12</f>
        <v>19.958493109208415</v>
      </c>
      <c r="EC34" s="21">
        <f>EXP(-LN(2)/2)*EC33+(1-EXP(-LN(2)/2))/(LN(2)/2)*DW34*DZ34*VLOOKUP('Données projet'!$B$14,Paramètres!$A$1:$I$89,3,0)*0.475*44/12</f>
        <v>16.998164133300367</v>
      </c>
      <c r="ED34" s="22">
        <f t="shared" si="18"/>
        <v>40.155662379206447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12.4</v>
      </c>
      <c r="EJ34" s="12">
        <f>IF('Données projet'!$A$192&gt;35,EJ33+EI34-ER33,IF(A34&lt;'Données projet'!$A$192,$EG$205^A34,IF(A34='Données projet'!$A$192,'Données projet'!$B$192,EJ33+EI34-ER33)))</f>
        <v>185.40000000000009</v>
      </c>
      <c r="EK34" s="17">
        <f>EJ34*VLOOKUP('Données projet'!$B$15,Paramètres!$A$1:$I$89,3,0)*VLOOKUP('Données projet'!$B$15,Paramètres!$A$1:$I$89,5,0)</f>
        <v>110.86920000000006</v>
      </c>
      <c r="EL34" s="13">
        <f t="shared" si="45"/>
        <v>29.535680967701619</v>
      </c>
      <c r="EM34" s="20">
        <f t="shared" si="19"/>
        <v>244.53850101874707</v>
      </c>
      <c r="EN34" s="59">
        <f t="shared" si="20"/>
        <v>537.87183435208044</v>
      </c>
      <c r="EO34" s="59">
        <f ca="1">AVERAGE(OFFSET($EN$3,0,0,'Données projet'!$E$15+1,1))-AVERAGE(OFFSET($H$3,0,0,'Données projet'!$E$15+1,1))</f>
        <v>259.30247982593914</v>
      </c>
      <c r="EP34" s="59">
        <f t="shared" si="46"/>
        <v>275.24740346220779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17.539899342322922</v>
      </c>
      <c r="EX34" s="21">
        <f>EXP(-LN(2)/2)*EX33+(1-EXP(-LN(2)/2))/(LN(2)/2)*ER34*EU34*VLOOKUP('Données projet'!$B$15,Paramètres!$A$1:$I$89,3,0)*0.475*44/12</f>
        <v>20.280154953215327</v>
      </c>
      <c r="EY34" s="22">
        <f t="shared" si="21"/>
        <v>37.820054295538249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11</v>
      </c>
      <c r="FE34" s="12">
        <f>IF('Données projet'!$A$218&gt;35,FE33+FD34-FM33,IF(A34&lt;'Données projet'!$A$218,$FB$205^A34,IF(A34='Données projet'!$A$218,'Données projet'!$B$218,FE33+FD34-FM33)))</f>
        <v>104</v>
      </c>
      <c r="FF34" s="17">
        <f>FE34*VLOOKUP('Données projet'!$B$16,Paramètres!$A$1:$I$89,3,0)*VLOOKUP('Données projet'!$B$16,Paramètres!$A$1:$I$89,5,0)</f>
        <v>105.45600000000002</v>
      </c>
      <c r="FG34" s="13">
        <f t="shared" si="47"/>
        <v>28.257768345963573</v>
      </c>
      <c r="FH34" s="20">
        <f t="shared" si="22"/>
        <v>232.88481320255323</v>
      </c>
      <c r="FI34" s="59">
        <f t="shared" si="23"/>
        <v>526.21814653588649</v>
      </c>
      <c r="FJ34" s="59">
        <f ca="1">AVERAGE(OFFSET($FI$3,0,0,'Données projet'!$E$16+1,1))-AVERAGE(OFFSET($H$3,0,0,'Données projet'!$E$16+1,1))</f>
        <v>372.91317851957336</v>
      </c>
      <c r="FK34" s="59">
        <f t="shared" si="48"/>
        <v>269.69187715858413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2.6463098356107944</v>
      </c>
      <c r="FR34" s="21">
        <f>EXP(-LN(2)/25)*FR33+(1-EXP(-LN(2)/25))/(LN(2)/25)*Calculateur!FM34*Calculateur!FO34*VLOOKUP('Données projet'!$B$16,Paramètres!$A$1:$I$89,3,0)*0.475*44/12</f>
        <v>14.776108828890857</v>
      </c>
      <c r="FS34" s="21">
        <f>EXP(-LN(2)/2)*FS33+(1-EXP(-LN(2)/2))/(LN(2)/2)*FM34*FP34*VLOOKUP('Données projet'!$B$16,Paramètres!$A$1:$I$89,3,0)*0.475*44/12</f>
        <v>17.227870152829635</v>
      </c>
      <c r="FT34" s="22">
        <f t="shared" si="24"/>
        <v>34.650288817331287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10.000000000000004</v>
      </c>
      <c r="FZ34" s="12">
        <f>IF('Données projet'!$A$244&gt;35,FZ33+FY34-GH33,IF(A34&lt;'Données projet'!$A$244,$FW$205^A34,IF(A34='Données projet'!$A$244,'Données projet'!$B$244,FZ33+FY34-GH33)))</f>
        <v>201.59999999999988</v>
      </c>
      <c r="GA34" s="17">
        <f>FZ34*VLOOKUP('Données projet'!$B$17,Paramètres!$A$1:$I$89,3,0)*VLOOKUP('Données projet'!$B$17,Paramètres!$A$1:$I$89,5,0)</f>
        <v>94.34879999999994</v>
      </c>
      <c r="GB34" s="13">
        <f t="shared" si="49"/>
        <v>25.611153022386439</v>
      </c>
      <c r="GC34" s="20">
        <f t="shared" si="25"/>
        <v>208.93025151398959</v>
      </c>
      <c r="GD34" s="59">
        <f t="shared" si="26"/>
        <v>502.26358484732293</v>
      </c>
      <c r="GE34" s="59">
        <f ca="1">AVERAGE(OFFSET($GD$3,0,0,'Données projet'!$E$17+1,1))-AVERAGE(OFFSET($H$3,0,0,'Données projet'!$E$17+1,1))</f>
        <v>215.23235148064941</v>
      </c>
      <c r="GF34" s="59">
        <f t="shared" si="50"/>
        <v>184.07239726900434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3.0731143685149527</v>
      </c>
      <c r="GM34" s="21">
        <f>EXP(-LN(2)/25)*GM33+(1-EXP(-LN(2)/25))/(LN(2)/25)*Calculateur!GH34*Calculateur!GJ34*VLOOKUP('Données projet'!$B$17,Paramètres!$A$1:$I$89,3,0)*0.475*44/12</f>
        <v>7.640656268132366</v>
      </c>
      <c r="GN34" s="21">
        <f>EXP(-LN(2)/2)*GN33+(1-EXP(-LN(2)/2))/(LN(2)/2)*GH34*GK34*VLOOKUP('Données projet'!$B$17,Paramètres!$A$1:$I$89,3,0)*0.475*44/12</f>
        <v>6.9523986630401735</v>
      </c>
      <c r="GO34" s="21">
        <f t="shared" si="27"/>
        <v>17.666169299687493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18.666666666666668</v>
      </c>
      <c r="GU34" s="12">
        <f>IF('Données projet'!$A$270&gt;35,GU33+GT34-HC33,IF(A34&lt;'Données projet'!$A$270,$GR$205^A34,IF(A34='Données projet'!$A$270,'Données projet'!$B$270,GU33+GT34-HC33)))</f>
        <v>247.99999999999997</v>
      </c>
      <c r="GV34" s="17">
        <f>GU34*VLOOKUP('Données projet'!$B$18,Paramètres!$A$1:$I$89,3,0)*VLOOKUP('Données projet'!$B$18,Paramètres!$A$1:$I$89,5,0)</f>
        <v>148.304</v>
      </c>
      <c r="GW34" s="13">
        <f t="shared" si="51"/>
        <v>38.192908835171721</v>
      </c>
      <c r="GX34" s="20">
        <f t="shared" si="28"/>
        <v>324.81544955459077</v>
      </c>
      <c r="GY34" s="59">
        <f t="shared" si="29"/>
        <v>618.14878288792409</v>
      </c>
      <c r="GZ34" s="59">
        <f ca="1">AVERAGE(OFFSET($GY$3,0,0,'Données projet'!$E$18+1,1))-AVERAGE(OFFSET($H$3,0,0,'Données projet'!$E$18+1,1))</f>
        <v>227.89848316900191</v>
      </c>
      <c r="HA34" s="59">
        <f t="shared" si="52"/>
        <v>239.85955661394541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7.7863048279335194</v>
      </c>
      <c r="HH34" s="21">
        <f>EXP(-LN(2)/25)*HH33+(1-EXP(-LN(2)/25))/(LN(2)/25)*Calculateur!HC34*Calculateur!HE34*VLOOKUP('Données projet'!$B$18,Paramètres!$A$1:$I$89,3,0)*0.475*44/12</f>
        <v>16.674785573469602</v>
      </c>
      <c r="HI34" s="21">
        <f>EXP(-LN(2)/2)*HI33+(1-EXP(-LN(2)/2))/(LN(2)/2)*HC34*HF34*VLOOKUP('Données projet'!$B$18,Paramètres!$A$1:$I$89,3,0)*0.475*44/12</f>
        <v>4.7401402383271467</v>
      </c>
      <c r="HJ34" s="22">
        <f t="shared" si="30"/>
        <v>29.201230639730269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24.3</v>
      </c>
      <c r="N35" s="13">
        <f>IF('Données projet'!$A$36&gt;35,N34+M35-V34,IF(A35&lt;'Données projet'!$A$36,$K$205^A35,IF(A35='Données projet'!$A$36,'Données projet'!$B$36,N34+M35-V34)))</f>
        <v>282.59999999999997</v>
      </c>
      <c r="O35" s="13">
        <f>N35*VLOOKUP('Données projet'!$B$9,Paramètres!$A$1:$I$89,3,0)*VLOOKUP('Données projet'!$B$9,Paramètres!$A$1:$I$89,5,0)</f>
        <v>157.9734</v>
      </c>
      <c r="P35" s="13">
        <f t="shared" si="33"/>
        <v>40.38507155381253</v>
      </c>
      <c r="Q35" s="20">
        <f t="shared" ref="Q35:Q66" si="53">(O35+P35)*0.475*44/12</f>
        <v>345.47433795622351</v>
      </c>
      <c r="R35" s="59">
        <f t="shared" si="0"/>
        <v>638.80767128955677</v>
      </c>
      <c r="S35" s="59">
        <f ca="1">AVERAGE(OFFSET($R$3,0,0,'Données projet'!$E$9+1,1))-AVERAGE(OFFSET($H$3,0,0,'Données projet'!$E$9+1,1))</f>
        <v>370.69652285220093</v>
      </c>
      <c r="T35" s="59">
        <f t="shared" si="34"/>
        <v>376.53494965377718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9.8787428487917222</v>
      </c>
      <c r="AA35" s="21">
        <f>EXP(-LN(2)/25)*AA34+(1-EXP(-LN(2)/25))/(LN(2)/25)*Calculateur!V35*Calculateur!X35*VLOOKUP('Données projet'!$B$9,Paramètres!$A$1:$I$89,3,0)*0.475*44/12</f>
        <v>31.60367879965829</v>
      </c>
      <c r="AB35" s="21">
        <f>EXP(-LN(2)/2)*AB34+(1-EXP(-LN(2)/2))/(LN(2)/2)*V35*Y35*VLOOKUP('Données projet'!$B$9,Paramètres!$A$1:$I$89,3,0)*0.475*44/12</f>
        <v>16.364882270691549</v>
      </c>
      <c r="AC35" s="22">
        <f t="shared" si="3"/>
        <v>57.847303919141567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104.05199999999999</v>
      </c>
      <c r="AK35" s="13">
        <f t="shared" si="35"/>
        <v>27.925087771564417</v>
      </c>
      <c r="AL35" s="20">
        <f t="shared" si="4"/>
        <v>229.86009453547467</v>
      </c>
      <c r="AM35" s="59">
        <f t="shared" si="5"/>
        <v>523.19342786880793</v>
      </c>
      <c r="AN35" s="59">
        <f ca="1">AVERAGE(OFFSET($AM$3,0,0,'Données projet'!$E$10+1,1))-AVERAGE(OFFSET($H$3,0,0,'Données projet'!$E$10+1,1))</f>
        <v>321.03881567735544</v>
      </c>
      <c r="AO35" s="59">
        <f t="shared" si="36"/>
        <v>234.87694492493506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2.3150185261814937</v>
      </c>
      <c r="AV35" s="21">
        <f>EXP(-LN(2)/25)*AV34+(1-EXP(-LN(2)/25))/(LN(2)/25)*Calculateur!AQ35*Calculateur!AS35*VLOOKUP('Données projet'!$B$10,Paramètres!$A$1:$I$89,3,0)*0.475*44/12</f>
        <v>12.824295548362102</v>
      </c>
      <c r="AW35" s="21">
        <f>EXP(-LN(2)/2)*AW34+(1-EXP(-LN(2)/2))/(LN(2)/2)*AQ35*AT35*VLOOKUP('Données projet'!$B$10,Paramètres!$A$1:$I$89,3,0)*0.475*44/12</f>
        <v>10.870042169339923</v>
      </c>
      <c r="AX35" s="21">
        <f t="shared" si="6"/>
        <v>26.009356243883516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15.7</v>
      </c>
      <c r="BD35" s="12">
        <f>IF('Données projet'!$A$88&gt;35,BD34+BC35-BL34,IF(A35&lt;'Données projet'!$A$88,$BA$205^A35,IF(A35='Données projet'!$A$88,'Données projet'!$B$88,BD34+BC35-BL34)))</f>
        <v>230.39999999999998</v>
      </c>
      <c r="BE35" s="13">
        <f>BD35*VLOOKUP('Données projet'!$B$11,Paramètres!$A$1:$I$89,3,0)*VLOOKUP('Données projet'!$B$11,Paramètres!$A$1:$I$89,5,0)</f>
        <v>125.79839999999999</v>
      </c>
      <c r="BF35" s="13">
        <f t="shared" si="37"/>
        <v>33.023644363399924</v>
      </c>
      <c r="BG35" s="20">
        <f t="shared" si="7"/>
        <v>276.61506059958816</v>
      </c>
      <c r="BH35" s="59">
        <f t="shared" si="8"/>
        <v>569.94839393292148</v>
      </c>
      <c r="BI35" s="59">
        <f ca="1">AVERAGE(OFFSET($BH$3,0,0,'Données projet'!$E$11+1,1))-AVERAGE(OFFSET($H$3,0,0,'Données projet'!$E$11+1,1))</f>
        <v>248.1486444660062</v>
      </c>
      <c r="BJ35" s="59">
        <f t="shared" si="38"/>
        <v>293.34458072322127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8.1870342425504301</v>
      </c>
      <c r="BQ35" s="21">
        <f>EXP(-LN(2)/25)*BQ34+(1-EXP(-LN(2)/25))/(LN(2)/25)*Calculateur!BL35*Calculateur!BN35*VLOOKUP('Données projet'!$B$11,Paramètres!$A$1:$I$89,3,0)*0.475*44/12</f>
        <v>32.201663950363397</v>
      </c>
      <c r="BR35" s="21">
        <f>EXP(-LN(2)/2)*BR34+(1-EXP(-LN(2)/2))/(LN(2)/2)*BL35*BO35*VLOOKUP('Données projet'!$B$11,Paramètres!$A$1:$I$89,3,0)*0.475*44/12</f>
        <v>12.591213057433119</v>
      </c>
      <c r="BS35" s="22">
        <f t="shared" si="9"/>
        <v>52.979911250346944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163.00000000000006</v>
      </c>
      <c r="BZ35" s="13">
        <f>BY35*VLOOKUP('Données projet'!$B$12,Paramètres!$A$1:$I$89,3,0)*VLOOKUP('Données projet'!$B$12,Paramètres!$A$1:$I$89,5,0)</f>
        <v>142.39680000000007</v>
      </c>
      <c r="CA35" s="13">
        <f t="shared" si="39"/>
        <v>36.845535084476985</v>
      </c>
      <c r="CB35" s="20">
        <f t="shared" si="10"/>
        <v>312.18040027213084</v>
      </c>
      <c r="CC35" s="59">
        <f t="shared" si="11"/>
        <v>605.51373360546415</v>
      </c>
      <c r="CD35" s="59">
        <f ca="1">AVERAGE(OFFSET($CC$3,0,0,'Données projet'!$E$12+1,1))-AVERAGE(OFFSET($H$3,0,0,'Données projet'!$E$12+1,1))</f>
        <v>243.38048563215585</v>
      </c>
      <c r="CE35" s="59">
        <f t="shared" si="40"/>
        <v>372.1604147006675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7.0248838035852232</v>
      </c>
      <c r="CL35" s="21">
        <f>EXP(-LN(2)/25)*CL34+(1-EXP(-LN(2)/25))/(LN(2)/25)*Calculateur!CG35*Calculateur!CI35*VLOOKUP('Données projet'!$B$12,Paramètres!$A$1:$I$89,3,0)*0.475*44/12</f>
        <v>18.317973574143341</v>
      </c>
      <c r="CM35" s="21">
        <f>EXP(-LN(2)/2)*CM34+(1-EXP(-LN(2)/2))/(LN(2)/2)*CG35*CJ35*VLOOKUP('Données projet'!$B$12,Paramètres!$A$1:$I$89,3,0)*0.475*44/12</f>
        <v>14.657469606581065</v>
      </c>
      <c r="CN35" s="22">
        <f t="shared" si="12"/>
        <v>40.000326984309631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24.6</v>
      </c>
      <c r="CT35" s="12">
        <f>IF('Données projet'!$A$140&gt;35,CT34+CS35-DB34,IF(A35&lt;'Données projet'!$A$140,$CQ$205^A35,IF(A35='Données projet'!$A$140,'Données projet'!$B$140,CT34+CS35-DB34)))</f>
        <v>271.2</v>
      </c>
      <c r="CU35" s="17">
        <f>CT35*VLOOKUP('Données projet'!$B$13,Paramètres!$A$1:$I$89,3,0)*VLOOKUP('Données projet'!$B$13,Paramètres!$A$1:$I$89,5,0)</f>
        <v>130.44720000000001</v>
      </c>
      <c r="CV35" s="13">
        <f t="shared" si="41"/>
        <v>34.099673460219002</v>
      </c>
      <c r="CW35" s="20">
        <f t="shared" si="13"/>
        <v>286.58580460988145</v>
      </c>
      <c r="CX35" s="59">
        <f t="shared" si="14"/>
        <v>579.91913794321476</v>
      </c>
      <c r="CY35" s="59">
        <f ca="1">AVERAGE(OFFSET($CX$3,0,0,'Données projet'!$E$13+1,1))-AVERAGE(OFFSET($H$3,0,0,'Données projet'!$E$13+1,1))</f>
        <v>297.21955661193238</v>
      </c>
      <c r="CZ35" s="59">
        <f t="shared" si="42"/>
        <v>273.69206144662144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6.4764294202488353</v>
      </c>
      <c r="DG35" s="21">
        <f>EXP(-LN(2)/25)*DG34+(1-EXP(-LN(2)/25))/(LN(2)/25)*Calculateur!DB35*Calculateur!DD35*VLOOKUP('Données projet'!$B$13,Paramètres!$A$1:$I$89,3,0)*0.475*44/12</f>
        <v>12.699060401791842</v>
      </c>
      <c r="DH35" s="21">
        <f>EXP(-LN(2)/2)*DH34+(1-EXP(-LN(2)/2))/(LN(2)/2)*DB35*DE35*VLOOKUP('Données projet'!$B$13,Paramètres!$A$1:$I$89,3,0)*0.475*44/12</f>
        <v>10.456391714116418</v>
      </c>
      <c r="DI35" s="22">
        <f t="shared" si="15"/>
        <v>29.631881536157096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132.22872000000001</v>
      </c>
      <c r="DQ35" s="13">
        <f t="shared" si="43"/>
        <v>34.510840487492601</v>
      </c>
      <c r="DR35" s="20">
        <f t="shared" si="16"/>
        <v>290.40473451571626</v>
      </c>
      <c r="DS35" s="59">
        <f t="shared" si="17"/>
        <v>583.73806784904957</v>
      </c>
      <c r="DT35" s="59">
        <f ca="1">AVERAGE(OFFSET($DS$3,0,0,'Données projet'!$E$14+1,1))-AVERAGE(OFFSET($H$3,0,0,'Données projet'!$E$14+1,1))</f>
        <v>260.20517190557814</v>
      </c>
      <c r="DU35" s="59">
        <f t="shared" si="44"/>
        <v>307.22009971147133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3.1362745971674917</v>
      </c>
      <c r="EB35" s="21">
        <f>EXP(-LN(2)/25)*EB34+(1-EXP(-LN(2)/25))/(LN(2)/25)*Calculateur!DW35*Calculateur!DY35*VLOOKUP('Données projet'!$B$14,Paramètres!$A$1:$I$89,3,0)*0.475*44/12</f>
        <v>19.412727065565573</v>
      </c>
      <c r="EC35" s="21">
        <f>EXP(-LN(2)/2)*EC34+(1-EXP(-LN(2)/2))/(LN(2)/2)*DW35*DZ35*VLOOKUP('Données projet'!$B$14,Paramètres!$A$1:$I$89,3,0)*0.475*44/12</f>
        <v>12.019517126378643</v>
      </c>
      <c r="ED35" s="22">
        <f t="shared" si="18"/>
        <v>34.568518789111707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12.4</v>
      </c>
      <c r="EJ35" s="12">
        <f>IF('Données projet'!$A$192&gt;35,EJ34+EI35-ER34,IF(A35&lt;'Données projet'!$A$192,$EG$205^A35,IF(A35='Données projet'!$A$192,'Données projet'!$B$192,EJ34+EI35-ER34)))</f>
        <v>197.8000000000001</v>
      </c>
      <c r="EK35" s="17">
        <f>EJ35*VLOOKUP('Données projet'!$B$15,Paramètres!$A$1:$I$89,3,0)*VLOOKUP('Données projet'!$B$15,Paramètres!$A$1:$I$89,5,0)</f>
        <v>118.28440000000006</v>
      </c>
      <c r="EL35" s="13">
        <f t="shared" si="45"/>
        <v>31.274529043461754</v>
      </c>
      <c r="EM35" s="20">
        <f t="shared" si="19"/>
        <v>260.4818014173627</v>
      </c>
      <c r="EN35" s="59">
        <f t="shared" si="20"/>
        <v>553.81513475069596</v>
      </c>
      <c r="EO35" s="59">
        <f ca="1">AVERAGE(OFFSET($EN$3,0,0,'Données projet'!$E$15+1,1))-AVERAGE(OFFSET($H$3,0,0,'Données projet'!$E$15+1,1))</f>
        <v>259.30247982593914</v>
      </c>
      <c r="EP35" s="59">
        <f t="shared" si="46"/>
        <v>275.24740346220779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17.060269872423884</v>
      </c>
      <c r="EX35" s="21">
        <f>EXP(-LN(2)/2)*EX34+(1-EXP(-LN(2)/2))/(LN(2)/2)*ER35*EU35*VLOOKUP('Données projet'!$B$15,Paramètres!$A$1:$I$89,3,0)*0.475*44/12</f>
        <v>14.340235090932509</v>
      </c>
      <c r="EY35" s="22">
        <f t="shared" si="21"/>
        <v>31.400504963356394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11</v>
      </c>
      <c r="FE35" s="12">
        <f>IF('Données projet'!$A$218&gt;35,FE34+FD35-FM34,IF(A35&lt;'Données projet'!$A$218,$FB$205^A35,IF(A35='Données projet'!$A$218,'Données projet'!$B$218,FE34+FD35-FM34)))</f>
        <v>115</v>
      </c>
      <c r="FF35" s="17">
        <f>FE35*VLOOKUP('Données projet'!$B$16,Paramètres!$A$1:$I$89,3,0)*VLOOKUP('Données projet'!$B$16,Paramètres!$A$1:$I$89,5,0)</f>
        <v>116.61</v>
      </c>
      <c r="FG35" s="13">
        <f t="shared" si="47"/>
        <v>30.883023623410974</v>
      </c>
      <c r="FH35" s="20">
        <f t="shared" si="22"/>
        <v>256.88368281077413</v>
      </c>
      <c r="FI35" s="59">
        <f t="shared" si="23"/>
        <v>550.21701614410745</v>
      </c>
      <c r="FJ35" s="59">
        <f ca="1">AVERAGE(OFFSET($FI$3,0,0,'Données projet'!$E$16+1,1))-AVERAGE(OFFSET($H$3,0,0,'Données projet'!$E$16+1,1))</f>
        <v>372.91317851957336</v>
      </c>
      <c r="FK35" s="59">
        <f t="shared" si="48"/>
        <v>269.69187715858413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2.5944173138240885</v>
      </c>
      <c r="FR35" s="21">
        <f>EXP(-LN(2)/25)*FR34+(1-EXP(-LN(2)/25))/(LN(2)/25)*Calculateur!FM35*Calculateur!FO35*VLOOKUP('Données projet'!$B$16,Paramètres!$A$1:$I$89,3,0)*0.475*44/12</f>
        <v>14.372055355923045</v>
      </c>
      <c r="FS35" s="21">
        <f>EXP(-LN(2)/2)*FS34+(1-EXP(-LN(2)/2))/(LN(2)/2)*FM35*FP35*VLOOKUP('Données projet'!$B$16,Paramètres!$A$1:$I$89,3,0)*0.475*44/12</f>
        <v>12.181943810467159</v>
      </c>
      <c r="FT35" s="22">
        <f t="shared" si="24"/>
        <v>29.148416480214294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10.000000000000004</v>
      </c>
      <c r="FZ35" s="12">
        <f>IF('Données projet'!$A$244&gt;35,FZ34+FY35-GH34,IF(A35&lt;'Données projet'!$A$244,$FW$205^A35,IF(A35='Données projet'!$A$244,'Données projet'!$B$244,FZ34+FY35-GH34)))</f>
        <v>211.59999999999988</v>
      </c>
      <c r="GA35" s="17">
        <f>FZ35*VLOOKUP('Données projet'!$B$17,Paramètres!$A$1:$I$89,3,0)*VLOOKUP('Données projet'!$B$17,Paramètres!$A$1:$I$89,5,0)</f>
        <v>99.028799999999947</v>
      </c>
      <c r="GB35" s="13">
        <f t="shared" si="49"/>
        <v>26.730491283721712</v>
      </c>
      <c r="GC35" s="20">
        <f t="shared" si="25"/>
        <v>219.0307656524819</v>
      </c>
      <c r="GD35" s="59">
        <f t="shared" si="26"/>
        <v>512.36409898581519</v>
      </c>
      <c r="GE35" s="59">
        <f ca="1">AVERAGE(OFFSET($GD$3,0,0,'Données projet'!$E$17+1,1))-AVERAGE(OFFSET($H$3,0,0,'Données projet'!$E$17+1,1))</f>
        <v>215.23235148064941</v>
      </c>
      <c r="GF35" s="59">
        <f t="shared" si="50"/>
        <v>184.07239726900434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3.0128524701630561</v>
      </c>
      <c r="GM35" s="21">
        <f>EXP(-LN(2)/25)*GM34+(1-EXP(-LN(2)/25))/(LN(2)/25)*Calculateur!GH35*Calculateur!GJ35*VLOOKUP('Données projet'!$B$17,Paramètres!$A$1:$I$89,3,0)*0.475*44/12</f>
        <v>7.4317221206756363</v>
      </c>
      <c r="GN35" s="21">
        <f>EXP(-LN(2)/2)*GN34+(1-EXP(-LN(2)/2))/(LN(2)/2)*GH35*GK35*VLOOKUP('Données projet'!$B$17,Paramètres!$A$1:$I$89,3,0)*0.475*44/12</f>
        <v>4.9160882401479942</v>
      </c>
      <c r="GO35" s="21">
        <f t="shared" si="27"/>
        <v>15.360662830986687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18.666666666666668</v>
      </c>
      <c r="GU35" s="12">
        <f>IF('Données projet'!$A$270&gt;35,GU34+GT35-HC34,IF(A35&lt;'Données projet'!$A$270,$GR$205^A35,IF(A35='Données projet'!$A$270,'Données projet'!$B$270,GU34+GT35-HC34)))</f>
        <v>266.66666666666663</v>
      </c>
      <c r="GV35" s="17">
        <f>GU35*VLOOKUP('Données projet'!$B$18,Paramètres!$A$1:$I$89,3,0)*VLOOKUP('Données projet'!$B$18,Paramètres!$A$1:$I$89,5,0)</f>
        <v>159.46666666666667</v>
      </c>
      <c r="GW35" s="13">
        <f t="shared" si="51"/>
        <v>40.722197218456202</v>
      </c>
      <c r="GX35" s="20">
        <f t="shared" si="28"/>
        <v>348.66227126658896</v>
      </c>
      <c r="GY35" s="59">
        <f t="shared" si="29"/>
        <v>641.99560459992222</v>
      </c>
      <c r="GZ35" s="59">
        <f ca="1">AVERAGE(OFFSET($GY$3,0,0,'Données projet'!$E$18+1,1))-AVERAGE(OFFSET($H$3,0,0,'Données projet'!$E$18+1,1))</f>
        <v>227.89848316900191</v>
      </c>
      <c r="HA35" s="59">
        <f t="shared" si="52"/>
        <v>239.85955661394541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7.633620139434746</v>
      </c>
      <c r="HH35" s="21">
        <f>EXP(-LN(2)/25)*HH34+(1-EXP(-LN(2)/25))/(LN(2)/25)*Calculateur!HC35*Calculateur!HE35*VLOOKUP('Données projet'!$B$18,Paramètres!$A$1:$I$89,3,0)*0.475*44/12</f>
        <v>16.218812685074212</v>
      </c>
      <c r="HI35" s="21">
        <f>EXP(-LN(2)/2)*HI34+(1-EXP(-LN(2)/2))/(LN(2)/2)*HC35*HF35*VLOOKUP('Données projet'!$B$18,Paramètres!$A$1:$I$89,3,0)*0.475*44/12</f>
        <v>3.351785306296343</v>
      </c>
      <c r="HJ35" s="22">
        <f t="shared" si="30"/>
        <v>27.204218130805302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24.3</v>
      </c>
      <c r="N36" s="13">
        <f>IF('Données projet'!$A$36&gt;35,N35+M36-V35,IF(A36&lt;'Données projet'!$A$36,$K$205^A36,IF(A36='Données projet'!$A$36,'Données projet'!$B$36,N35+M36-V35)))</f>
        <v>306.89999999999998</v>
      </c>
      <c r="O36" s="13">
        <f>N36*VLOOKUP('Données projet'!$B$9,Paramètres!$A$1:$I$89,3,0)*VLOOKUP('Données projet'!$B$9,Paramètres!$A$1:$I$89,5,0)</f>
        <v>171.55709999999999</v>
      </c>
      <c r="P36" s="13">
        <f t="shared" si="33"/>
        <v>43.43857691318567</v>
      </c>
      <c r="Q36" s="20">
        <f t="shared" si="53"/>
        <v>374.45080395713165</v>
      </c>
      <c r="R36" s="59">
        <f t="shared" si="0"/>
        <v>667.78413729046497</v>
      </c>
      <c r="S36" s="59">
        <f ca="1">AVERAGE(OFFSET($R$3,0,0,'Données projet'!$E$9+1,1))-AVERAGE(OFFSET($H$3,0,0,'Données projet'!$E$9+1,1))</f>
        <v>370.69652285220093</v>
      </c>
      <c r="T36" s="59">
        <f t="shared" si="34"/>
        <v>376.53494965377718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9.6850267269650914</v>
      </c>
      <c r="AA36" s="21">
        <f>EXP(-LN(2)/25)*AA35+(1-EXP(-LN(2)/25))/(LN(2)/25)*Calculateur!V36*Calculateur!X36*VLOOKUP('Données projet'!$B$9,Paramètres!$A$1:$I$89,3,0)*0.475*44/12</f>
        <v>30.739474540916397</v>
      </c>
      <c r="AB36" s="21">
        <f>EXP(-LN(2)/2)*AB35+(1-EXP(-LN(2)/2))/(LN(2)/2)*V36*Y36*VLOOKUP('Données projet'!$B$9,Paramètres!$A$1:$I$89,3,0)*0.475*44/12</f>
        <v>11.5717192269255</v>
      </c>
      <c r="AC36" s="22">
        <f t="shared" si="3"/>
        <v>51.996220494806991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114.0048</v>
      </c>
      <c r="AK36" s="13">
        <f t="shared" si="35"/>
        <v>30.272573949217303</v>
      </c>
      <c r="AL36" s="20">
        <f t="shared" si="4"/>
        <v>251.28309296155342</v>
      </c>
      <c r="AM36" s="59">
        <f t="shared" si="5"/>
        <v>544.61642629488676</v>
      </c>
      <c r="AN36" s="59">
        <f ca="1">AVERAGE(OFFSET($AM$3,0,0,'Données projet'!$E$10+1,1))-AVERAGE(OFFSET($H$3,0,0,'Données projet'!$E$10+1,1))</f>
        <v>321.03881567735544</v>
      </c>
      <c r="AO36" s="59">
        <f t="shared" si="36"/>
        <v>234.87694492493506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2.2696224249049499</v>
      </c>
      <c r="AV36" s="21">
        <f>EXP(-LN(2)/25)*AV35+(1-EXP(-LN(2)/25))/(LN(2)/25)*Calculateur!AQ36*Calculateur!AS36*VLOOKUP('Données projet'!$B$10,Paramètres!$A$1:$I$89,3,0)*0.475*44/12</f>
        <v>12.473614512191748</v>
      </c>
      <c r="AW36" s="21">
        <f>EXP(-LN(2)/2)*AW35+(1-EXP(-LN(2)/2))/(LN(2)/2)*AQ36*AT36*VLOOKUP('Données projet'!$B$10,Paramètres!$A$1:$I$89,3,0)*0.475*44/12</f>
        <v>7.68628052972399</v>
      </c>
      <c r="AX36" s="21">
        <f t="shared" si="6"/>
        <v>22.429517466820688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15.7</v>
      </c>
      <c r="BD36" s="12">
        <f>IF('Données projet'!$A$88&gt;35,BD35+BC36-BL35,IF(A36&lt;'Données projet'!$A$88,$BA$205^A36,IF(A36='Données projet'!$A$88,'Données projet'!$B$88,BD35+BC36-BL35)))</f>
        <v>246.09999999999997</v>
      </c>
      <c r="BE36" s="13">
        <f>BD36*VLOOKUP('Données projet'!$B$11,Paramètres!$A$1:$I$89,3,0)*VLOOKUP('Données projet'!$B$11,Paramètres!$A$1:$I$89,5,0)</f>
        <v>134.37059999999997</v>
      </c>
      <c r="BF36" s="13">
        <f t="shared" si="37"/>
        <v>35.004324871601163</v>
      </c>
      <c r="BG36" s="20">
        <f t="shared" si="7"/>
        <v>294.99466081803865</v>
      </c>
      <c r="BH36" s="59">
        <f t="shared" si="8"/>
        <v>588.32799415137197</v>
      </c>
      <c r="BI36" s="59">
        <f ca="1">AVERAGE(OFFSET($BH$3,0,0,'Données projet'!$E$11+1,1))-AVERAGE(OFFSET($H$3,0,0,'Données projet'!$E$11+1,1))</f>
        <v>248.1486444660062</v>
      </c>
      <c r="BJ36" s="59">
        <f t="shared" si="38"/>
        <v>293.34458072322127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8.0264914946518271</v>
      </c>
      <c r="BQ36" s="21">
        <f>EXP(-LN(2)/25)*BQ35+(1-EXP(-LN(2)/25))/(LN(2)/25)*Calculateur!BL36*Calculateur!BN36*VLOOKUP('Données projet'!$B$11,Paramètres!$A$1:$I$89,3,0)*0.475*44/12</f>
        <v>31.321107756228802</v>
      </c>
      <c r="BR36" s="21">
        <f>EXP(-LN(2)/2)*BR35+(1-EXP(-LN(2)/2))/(LN(2)/2)*BL36*BO36*VLOOKUP('Données projet'!$B$11,Paramètres!$A$1:$I$89,3,0)*0.475*44/12</f>
        <v>8.9033321362755622</v>
      </c>
      <c r="BS36" s="22">
        <f t="shared" si="9"/>
        <v>48.250931387156186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174.50000000000006</v>
      </c>
      <c r="BZ36" s="13">
        <f>BY36*VLOOKUP('Données projet'!$B$12,Paramètres!$A$1:$I$89,3,0)*VLOOKUP('Données projet'!$B$12,Paramètres!$A$1:$I$89,5,0)</f>
        <v>152.44320000000008</v>
      </c>
      <c r="CA36" s="13">
        <f t="shared" si="39"/>
        <v>39.133288418096313</v>
      </c>
      <c r="CB36" s="20">
        <f t="shared" si="10"/>
        <v>333.66238399485127</v>
      </c>
      <c r="CC36" s="59">
        <f t="shared" si="11"/>
        <v>626.99571732818458</v>
      </c>
      <c r="CD36" s="59">
        <f ca="1">AVERAGE(OFFSET($CC$3,0,0,'Données projet'!$E$12+1,1))-AVERAGE(OFFSET($H$3,0,0,'Données projet'!$E$12+1,1))</f>
        <v>243.38048563215585</v>
      </c>
      <c r="CE36" s="59">
        <f t="shared" si="40"/>
        <v>372.1604147006675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6.8871301169529531</v>
      </c>
      <c r="CL36" s="21">
        <f>EXP(-LN(2)/25)*CL35+(1-EXP(-LN(2)/25))/(LN(2)/25)*Calculateur!CG36*Calculateur!CI36*VLOOKUP('Données projet'!$B$12,Paramètres!$A$1:$I$89,3,0)*0.475*44/12</f>
        <v>17.817067623458026</v>
      </c>
      <c r="CM36" s="21">
        <f>EXP(-LN(2)/2)*CM35+(1-EXP(-LN(2)/2))/(LN(2)/2)*CG36*CJ36*VLOOKUP('Données projet'!$B$12,Paramètres!$A$1:$I$89,3,0)*0.475*44/12</f>
        <v>10.364396153849189</v>
      </c>
      <c r="CN36" s="22">
        <f t="shared" si="12"/>
        <v>35.068593894260168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24.6</v>
      </c>
      <c r="CT36" s="12">
        <f>IF('Données projet'!$A$140&gt;35,CT35+CS36-DB35,IF(A36&lt;'Données projet'!$A$140,$CQ$205^A36,IF(A36='Données projet'!$A$140,'Données projet'!$B$140,CT35+CS36-DB35)))</f>
        <v>295.8</v>
      </c>
      <c r="CU36" s="17">
        <f>CT36*VLOOKUP('Données projet'!$B$13,Paramètres!$A$1:$I$89,3,0)*VLOOKUP('Données projet'!$B$13,Paramètres!$A$1:$I$89,5,0)</f>
        <v>142.27979999999999</v>
      </c>
      <c r="CV36" s="13">
        <f t="shared" si="41"/>
        <v>36.818783655794178</v>
      </c>
      <c r="CW36" s="20">
        <f t="shared" si="13"/>
        <v>311.93003320050815</v>
      </c>
      <c r="CX36" s="59">
        <f t="shared" si="14"/>
        <v>605.26336653384146</v>
      </c>
      <c r="CY36" s="59">
        <f ca="1">AVERAGE(OFFSET($CX$3,0,0,'Données projet'!$E$13+1,1))-AVERAGE(OFFSET($H$3,0,0,'Données projet'!$E$13+1,1))</f>
        <v>297.21955661193238</v>
      </c>
      <c r="CZ36" s="59">
        <f t="shared" si="42"/>
        <v>273.69206144662144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6.349430589549649</v>
      </c>
      <c r="DG36" s="21">
        <f>EXP(-LN(2)/25)*DG35+(1-EXP(-LN(2)/25))/(LN(2)/25)*Calculateur!DB36*Calculateur!DD36*VLOOKUP('Données projet'!$B$13,Paramètres!$A$1:$I$89,3,0)*0.475*44/12</f>
        <v>12.351803927290282</v>
      </c>
      <c r="DH36" s="21">
        <f>EXP(-LN(2)/2)*DH35+(1-EXP(-LN(2)/2))/(LN(2)/2)*DB36*DE36*VLOOKUP('Données projet'!$B$13,Paramètres!$A$1:$I$89,3,0)*0.475*44/12</f>
        <v>7.3937854877945464</v>
      </c>
      <c r="DI36" s="22">
        <f t="shared" si="15"/>
        <v>26.095020004634478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141.85548</v>
      </c>
      <c r="DQ36" s="13">
        <f t="shared" si="43"/>
        <v>36.721743640099248</v>
      </c>
      <c r="DR36" s="20">
        <f t="shared" si="16"/>
        <v>311.02199783983951</v>
      </c>
      <c r="DS36" s="59">
        <f t="shared" si="17"/>
        <v>604.35533117317277</v>
      </c>
      <c r="DT36" s="59">
        <f ca="1">AVERAGE(OFFSET($DS$3,0,0,'Données projet'!$E$14+1,1))-AVERAGE(OFFSET($H$3,0,0,'Données projet'!$E$14+1,1))</f>
        <v>260.20517190557814</v>
      </c>
      <c r="DU36" s="59">
        <f t="shared" si="44"/>
        <v>307.22009971147133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3.0747741652556546</v>
      </c>
      <c r="EB36" s="21">
        <f>EXP(-LN(2)/25)*EB35+(1-EXP(-LN(2)/25))/(LN(2)/25)*Calculateur!DW36*Calculateur!DY36*VLOOKUP('Données projet'!$B$14,Paramètres!$A$1:$I$89,3,0)*0.475*44/12</f>
        <v>18.881885023086735</v>
      </c>
      <c r="EC36" s="21">
        <f>EXP(-LN(2)/2)*EC35+(1-EXP(-LN(2)/2))/(LN(2)/2)*DW36*DZ36*VLOOKUP('Données projet'!$B$14,Paramètres!$A$1:$I$89,3,0)*0.475*44/12</f>
        <v>8.4990820666501836</v>
      </c>
      <c r="ED36" s="22">
        <f t="shared" si="18"/>
        <v>30.455741254992574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12.4</v>
      </c>
      <c r="EJ36" s="12">
        <f>IF('Données projet'!$A$192&gt;35,EJ35+EI36-ER35,IF(A36&lt;'Données projet'!$A$192,$EG$205^A36,IF(A36='Données projet'!$A$192,'Données projet'!$B$192,EJ35+EI36-ER35)))</f>
        <v>210.2000000000001</v>
      </c>
      <c r="EK36" s="17">
        <f>EJ36*VLOOKUP('Données projet'!$B$15,Paramètres!$A$1:$I$89,3,0)*VLOOKUP('Données projet'!$B$15,Paramètres!$A$1:$I$89,5,0)</f>
        <v>125.69960000000007</v>
      </c>
      <c r="EL36" s="13">
        <f t="shared" si="45"/>
        <v>33.000726063948221</v>
      </c>
      <c r="EM36" s="20">
        <f t="shared" si="19"/>
        <v>276.40306789470998</v>
      </c>
      <c r="EN36" s="59">
        <f t="shared" si="20"/>
        <v>569.73640122804329</v>
      </c>
      <c r="EO36" s="59">
        <f ca="1">AVERAGE(OFFSET($EN$3,0,0,'Données projet'!$E$15+1,1))-AVERAGE(OFFSET($H$3,0,0,'Données projet'!$E$15+1,1))</f>
        <v>259.30247982593914</v>
      </c>
      <c r="EP36" s="59">
        <f t="shared" si="46"/>
        <v>275.24740346220779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16.593755895601852</v>
      </c>
      <c r="EX36" s="21">
        <f>EXP(-LN(2)/2)*EX35+(1-EXP(-LN(2)/2))/(LN(2)/2)*ER36*EU36*VLOOKUP('Données projet'!$B$15,Paramètres!$A$1:$I$89,3,0)*0.475*44/12</f>
        <v>10.140077476607665</v>
      </c>
      <c r="EY36" s="22">
        <f t="shared" si="21"/>
        <v>26.733833372209517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11</v>
      </c>
      <c r="FE36" s="12">
        <f>IF('Données projet'!$A$218&gt;35,FE35+FD36-FM35,IF(A36&lt;'Données projet'!$A$218,$FB$205^A36,IF(A36='Données projet'!$A$218,'Données projet'!$B$218,FE35+FD36-FM35)))</f>
        <v>126</v>
      </c>
      <c r="FF36" s="17">
        <f>FE36*VLOOKUP('Données projet'!$B$16,Paramètres!$A$1:$I$89,3,0)*VLOOKUP('Données projet'!$B$16,Paramètres!$A$1:$I$89,5,0)</f>
        <v>127.76400000000001</v>
      </c>
      <c r="FG36" s="13">
        <f t="shared" si="47"/>
        <v>33.479164830670051</v>
      </c>
      <c r="FH36" s="20">
        <f t="shared" si="22"/>
        <v>280.83184541341694</v>
      </c>
      <c r="FI36" s="59">
        <f t="shared" si="23"/>
        <v>574.16517874675026</v>
      </c>
      <c r="FJ36" s="59">
        <f ca="1">AVERAGE(OFFSET($FI$3,0,0,'Données projet'!$E$16+1,1))-AVERAGE(OFFSET($H$3,0,0,'Données projet'!$E$16+1,1))</f>
        <v>372.91317851957336</v>
      </c>
      <c r="FK36" s="59">
        <f t="shared" si="48"/>
        <v>269.69187715858413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2.5435423727383069</v>
      </c>
      <c r="FR36" s="21">
        <f>EXP(-LN(2)/25)*FR35+(1-EXP(-LN(2)/25))/(LN(2)/25)*Calculateur!FM36*Calculateur!FO36*VLOOKUP('Données projet'!$B$16,Paramètres!$A$1:$I$89,3,0)*0.475*44/12</f>
        <v>13.979050746421786</v>
      </c>
      <c r="FS36" s="21">
        <f>EXP(-LN(2)/2)*FS35+(1-EXP(-LN(2)/2))/(LN(2)/2)*FM36*FP36*VLOOKUP('Données projet'!$B$16,Paramètres!$A$1:$I$89,3,0)*0.475*44/12</f>
        <v>8.613935076414819</v>
      </c>
      <c r="FT36" s="22">
        <f t="shared" si="24"/>
        <v>25.136528195574911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10.000000000000004</v>
      </c>
      <c r="FZ36" s="12">
        <f>IF('Données projet'!$A$244&gt;35,FZ35+FY36-GH35,IF(A36&lt;'Données projet'!$A$244,$FW$205^A36,IF(A36='Données projet'!$A$244,'Données projet'!$B$244,FZ35+FY36-GH35)))</f>
        <v>221.59999999999988</v>
      </c>
      <c r="GA36" s="17">
        <f>FZ36*VLOOKUP('Données projet'!$B$17,Paramètres!$A$1:$I$89,3,0)*VLOOKUP('Données projet'!$B$17,Paramètres!$A$1:$I$89,5,0)</f>
        <v>103.70879999999994</v>
      </c>
      <c r="GB36" s="13">
        <f t="shared" si="49"/>
        <v>27.84368661708951</v>
      </c>
      <c r="GC36" s="20">
        <f t="shared" si="25"/>
        <v>229.12058085809744</v>
      </c>
      <c r="GD36" s="59">
        <f t="shared" si="26"/>
        <v>522.45391419143073</v>
      </c>
      <c r="GE36" s="59">
        <f ca="1">AVERAGE(OFFSET($GD$3,0,0,'Données projet'!$E$17+1,1))-AVERAGE(OFFSET($H$3,0,0,'Données projet'!$E$17+1,1))</f>
        <v>215.23235148064941</v>
      </c>
      <c r="GF36" s="59">
        <f t="shared" si="50"/>
        <v>184.07239726900434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2.9537722708817116</v>
      </c>
      <c r="GM36" s="21">
        <f>EXP(-LN(2)/25)*GM35+(1-EXP(-LN(2)/25))/(LN(2)/25)*Calculateur!GH36*Calculateur!GJ36*VLOOKUP('Données projet'!$B$17,Paramètres!$A$1:$I$89,3,0)*0.475*44/12</f>
        <v>7.2285012884684798</v>
      </c>
      <c r="GN36" s="21">
        <f>EXP(-LN(2)/2)*GN35+(1-EXP(-LN(2)/2))/(LN(2)/2)*GH36*GK36*VLOOKUP('Données projet'!$B$17,Paramètres!$A$1:$I$89,3,0)*0.475*44/12</f>
        <v>3.4761993315200876</v>
      </c>
      <c r="GO36" s="21">
        <f t="shared" si="27"/>
        <v>13.658472890870279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18.666666666666668</v>
      </c>
      <c r="GU36" s="12">
        <f>IF('Données projet'!$A$270&gt;35,GU35+GT36-HC35,IF(A36&lt;'Données projet'!$A$270,$GR$205^A36,IF(A36='Données projet'!$A$270,'Données projet'!$B$270,GU35+GT36-HC35)))</f>
        <v>285.33333333333331</v>
      </c>
      <c r="GV36" s="17">
        <f>GU36*VLOOKUP('Données projet'!$B$18,Paramètres!$A$1:$I$89,3,0)*VLOOKUP('Données projet'!$B$18,Paramètres!$A$1:$I$89,5,0)</f>
        <v>170.62933333333334</v>
      </c>
      <c r="GW36" s="13">
        <f t="shared" si="51"/>
        <v>43.230942990352332</v>
      </c>
      <c r="GX36" s="20">
        <f t="shared" si="28"/>
        <v>372.47331459708585</v>
      </c>
      <c r="GY36" s="59">
        <f t="shared" si="29"/>
        <v>665.8066479304191</v>
      </c>
      <c r="GZ36" s="59">
        <f ca="1">AVERAGE(OFFSET($GY$3,0,0,'Données projet'!$E$18+1,1))-AVERAGE(OFFSET($H$3,0,0,'Données projet'!$E$18+1,1))</f>
        <v>227.89848316900191</v>
      </c>
      <c r="HA36" s="59">
        <f t="shared" si="52"/>
        <v>239.85955661394541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7.4839295045489695</v>
      </c>
      <c r="HH36" s="21">
        <f>EXP(-LN(2)/25)*HH35+(1-EXP(-LN(2)/25))/(LN(2)/25)*Calculateur!HC36*Calculateur!HE36*VLOOKUP('Données projet'!$B$18,Paramètres!$A$1:$I$89,3,0)*0.475*44/12</f>
        <v>15.775308399290568</v>
      </c>
      <c r="HI36" s="21">
        <f>EXP(-LN(2)/2)*HI35+(1-EXP(-LN(2)/2))/(LN(2)/2)*HC36*HF36*VLOOKUP('Données projet'!$B$18,Paramètres!$A$1:$I$89,3,0)*0.475*44/12</f>
        <v>2.3700701191635734</v>
      </c>
      <c r="HJ36" s="22">
        <f t="shared" si="30"/>
        <v>25.629308023003112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24.3</v>
      </c>
      <c r="N37" s="13">
        <f>IF('Données projet'!$A$36&gt;35,N36+M37-V36,IF(A37&lt;'Données projet'!$A$36,$K$205^A37,IF(A37='Données projet'!$A$36,'Données projet'!$B$36,N36+M37-V36)))</f>
        <v>331.2</v>
      </c>
      <c r="O37" s="13">
        <f>N37*VLOOKUP('Données projet'!$B$9,Paramètres!$A$1:$I$89,3,0)*VLOOKUP('Données projet'!$B$9,Paramètres!$A$1:$I$89,5,0)</f>
        <v>185.14080000000001</v>
      </c>
      <c r="P37" s="13">
        <f t="shared" si="33"/>
        <v>46.464038253813506</v>
      </c>
      <c r="Q37" s="20">
        <f t="shared" si="53"/>
        <v>403.3784266253918</v>
      </c>
      <c r="R37" s="59">
        <f t="shared" si="0"/>
        <v>696.71175995872511</v>
      </c>
      <c r="S37" s="59">
        <f ca="1">AVERAGE(OFFSET($R$3,0,0,'Données projet'!$E$9+1,1))-AVERAGE(OFFSET($H$3,0,0,'Données projet'!$E$9+1,1))</f>
        <v>370.69652285220093</v>
      </c>
      <c r="T37" s="59">
        <f t="shared" si="34"/>
        <v>376.53494965377718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9.4951092601323133</v>
      </c>
      <c r="AA37" s="21">
        <f>EXP(-LN(2)/25)*AA36+(1-EXP(-LN(2)/25))/(LN(2)/25)*Calculateur!V37*Calculateur!X37*VLOOKUP('Données projet'!$B$9,Paramètres!$A$1:$I$89,3,0)*0.475*44/12</f>
        <v>29.898901993076329</v>
      </c>
      <c r="AB37" s="21">
        <f>EXP(-LN(2)/2)*AB36+(1-EXP(-LN(2)/2))/(LN(2)/2)*V37*Y37*VLOOKUP('Données projet'!$B$9,Paramètres!$A$1:$I$89,3,0)*0.475*44/12</f>
        <v>8.1824411353457744</v>
      </c>
      <c r="AC37" s="22">
        <f t="shared" si="3"/>
        <v>47.576452388554422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123.9576</v>
      </c>
      <c r="AK37" s="13">
        <f t="shared" si="35"/>
        <v>32.59629414926458</v>
      </c>
      <c r="AL37" s="20">
        <f t="shared" si="4"/>
        <v>272.6646989766358</v>
      </c>
      <c r="AM37" s="59">
        <f t="shared" si="5"/>
        <v>565.99803230996918</v>
      </c>
      <c r="AN37" s="59">
        <f ca="1">AVERAGE(OFFSET($AM$3,0,0,'Données projet'!$E$10+1,1))-AVERAGE(OFFSET($H$3,0,0,'Données projet'!$E$10+1,1))</f>
        <v>321.03881567735544</v>
      </c>
      <c r="AO37" s="59">
        <f t="shared" si="36"/>
        <v>234.87694492493506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2.2251165134855517</v>
      </c>
      <c r="AV37" s="21">
        <f>EXP(-LN(2)/25)*AV36+(1-EXP(-LN(2)/25))/(LN(2)/25)*Calculateur!AQ37*Calculateur!AS37*VLOOKUP('Données projet'!$B$10,Paramètres!$A$1:$I$89,3,0)*0.475*44/12</f>
        <v>12.132522867396986</v>
      </c>
      <c r="AW37" s="21">
        <f>EXP(-LN(2)/2)*AW36+(1-EXP(-LN(2)/2))/(LN(2)/2)*AQ37*AT37*VLOOKUP('Données projet'!$B$10,Paramètres!$A$1:$I$89,3,0)*0.475*44/12</f>
        <v>5.4350210846699625</v>
      </c>
      <c r="AX37" s="21">
        <f t="shared" si="6"/>
        <v>19.792660465552501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15.7</v>
      </c>
      <c r="BD37" s="12">
        <f>IF('Données projet'!$A$88&gt;35,BD36+BC37-BL36,IF(A37&lt;'Données projet'!$A$88,$BA$205^A37,IF(A37='Données projet'!$A$88,'Données projet'!$B$88,BD36+BC37-BL36)))</f>
        <v>261.79999999999995</v>
      </c>
      <c r="BE37" s="13">
        <f>BD37*VLOOKUP('Données projet'!$B$11,Paramètres!$A$1:$I$89,3,0)*VLOOKUP('Données projet'!$B$11,Paramètres!$A$1:$I$89,5,0)</f>
        <v>142.94279999999998</v>
      </c>
      <c r="BF37" s="13">
        <f t="shared" si="37"/>
        <v>36.97034129538963</v>
      </c>
      <c r="BG37" s="20">
        <f t="shared" si="7"/>
        <v>313.34872108947019</v>
      </c>
      <c r="BH37" s="59">
        <f t="shared" si="8"/>
        <v>606.6820544228035</v>
      </c>
      <c r="BI37" s="59">
        <f ca="1">AVERAGE(OFFSET($BH$3,0,0,'Données projet'!$E$11+1,1))-AVERAGE(OFFSET($H$3,0,0,'Données projet'!$E$11+1,1))</f>
        <v>248.1486444660062</v>
      </c>
      <c r="BJ37" s="59">
        <f t="shared" si="38"/>
        <v>293.34458072322127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7.869096892118109</v>
      </c>
      <c r="BQ37" s="21">
        <f>EXP(-LN(2)/25)*BQ36+(1-EXP(-LN(2)/25))/(LN(2)/25)*Calculateur!BL37*Calculateur!BN37*VLOOKUP('Données projet'!$B$11,Paramètres!$A$1:$I$89,3,0)*0.475*44/12</f>
        <v>30.464630417529253</v>
      </c>
      <c r="BR37" s="21">
        <f>EXP(-LN(2)/2)*BR36+(1-EXP(-LN(2)/2))/(LN(2)/2)*BL37*BO37*VLOOKUP('Données projet'!$B$11,Paramètres!$A$1:$I$89,3,0)*0.475*44/12</f>
        <v>6.2956065287165615</v>
      </c>
      <c r="BS37" s="22">
        <f t="shared" si="9"/>
        <v>44.629333838363927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186.00000000000006</v>
      </c>
      <c r="BZ37" s="13">
        <f>BY37*VLOOKUP('Données projet'!$B$12,Paramètres!$A$1:$I$89,3,0)*VLOOKUP('Données projet'!$B$12,Paramètres!$A$1:$I$89,5,0)</f>
        <v>162.48960000000005</v>
      </c>
      <c r="CA37" s="13">
        <f t="shared" si="39"/>
        <v>41.403546033820696</v>
      </c>
      <c r="CB37" s="20">
        <f t="shared" si="10"/>
        <v>355.11389600890448</v>
      </c>
      <c r="CC37" s="59">
        <f t="shared" si="11"/>
        <v>648.44722934223773</v>
      </c>
      <c r="CD37" s="59">
        <f ca="1">AVERAGE(OFFSET($CC$3,0,0,'Données projet'!$E$12+1,1))-AVERAGE(OFFSET($H$3,0,0,'Données projet'!$E$12+1,1))</f>
        <v>243.38048563215585</v>
      </c>
      <c r="CE37" s="59">
        <f t="shared" si="40"/>
        <v>372.1604147006675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6.7520776960940889</v>
      </c>
      <c r="CL37" s="21">
        <f>EXP(-LN(2)/25)*CL36+(1-EXP(-LN(2)/25))/(LN(2)/25)*Calculateur!CG37*Calculateur!CI37*VLOOKUP('Données projet'!$B$12,Paramètres!$A$1:$I$89,3,0)*0.475*44/12</f>
        <v>17.329858972335703</v>
      </c>
      <c r="CM37" s="21">
        <f>EXP(-LN(2)/2)*CM36+(1-EXP(-LN(2)/2))/(LN(2)/2)*CG37*CJ37*VLOOKUP('Données projet'!$B$12,Paramètres!$A$1:$I$89,3,0)*0.475*44/12</f>
        <v>7.3287348032905335</v>
      </c>
      <c r="CN37" s="22">
        <f t="shared" si="12"/>
        <v>31.410671471720324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24.6</v>
      </c>
      <c r="CT37" s="12">
        <f>IF('Données projet'!$A$140&gt;35,CT36+CS37-DB36,IF(A37&lt;'Données projet'!$A$140,$CQ$205^A37,IF(A37='Données projet'!$A$140,'Données projet'!$B$140,CT36+CS37-DB36)))</f>
        <v>320.40000000000003</v>
      </c>
      <c r="CU37" s="17">
        <f>CT37*VLOOKUP('Données projet'!$B$13,Paramètres!$A$1:$I$89,3,0)*VLOOKUP('Données projet'!$B$13,Paramètres!$A$1:$I$89,5,0)</f>
        <v>154.11240000000004</v>
      </c>
      <c r="CV37" s="13">
        <f t="shared" si="41"/>
        <v>39.511667083726039</v>
      </c>
      <c r="CW37" s="20">
        <f t="shared" si="13"/>
        <v>337.22858350415618</v>
      </c>
      <c r="CX37" s="59">
        <f t="shared" si="14"/>
        <v>630.56191683748943</v>
      </c>
      <c r="CY37" s="59">
        <f ca="1">AVERAGE(OFFSET($CX$3,0,0,'Données projet'!$E$13+1,1))-AVERAGE(OFFSET($H$3,0,0,'Données projet'!$E$13+1,1))</f>
        <v>297.21955661193238</v>
      </c>
      <c r="CZ37" s="59">
        <f t="shared" si="42"/>
        <v>273.69206144662144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6.2249221284588359</v>
      </c>
      <c r="DG37" s="21">
        <f>EXP(-LN(2)/25)*DG36+(1-EXP(-LN(2)/25))/(LN(2)/25)*Calculateur!DB37*Calculateur!DD37*VLOOKUP('Données projet'!$B$13,Paramètres!$A$1:$I$89,3,0)*0.475*44/12</f>
        <v>12.014043199345391</v>
      </c>
      <c r="DH37" s="21">
        <f>EXP(-LN(2)/2)*DH36+(1-EXP(-LN(2)/2))/(LN(2)/2)*DB37*DE37*VLOOKUP('Données projet'!$B$13,Paramètres!$A$1:$I$89,3,0)*0.475*44/12</f>
        <v>5.2281958570582088</v>
      </c>
      <c r="DI37" s="22">
        <f t="shared" si="15"/>
        <v>23.467161184862434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151.48223999999999</v>
      </c>
      <c r="DQ37" s="13">
        <f t="shared" si="43"/>
        <v>38.915236966075291</v>
      </c>
      <c r="DR37" s="20">
        <f t="shared" si="16"/>
        <v>331.60893904924779</v>
      </c>
      <c r="DS37" s="59">
        <f t="shared" si="17"/>
        <v>624.94227238258111</v>
      </c>
      <c r="DT37" s="59">
        <f ca="1">AVERAGE(OFFSET($DS$3,0,0,'Données projet'!$E$14+1,1))-AVERAGE(OFFSET($H$3,0,0,'Données projet'!$E$14+1,1))</f>
        <v>260.20517190557814</v>
      </c>
      <c r="DU37" s="59">
        <f t="shared" si="44"/>
        <v>307.22009971147133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3.0144797193020492</v>
      </c>
      <c r="EB37" s="21">
        <f>EXP(-LN(2)/25)*EB36+(1-EXP(-LN(2)/25))/(LN(2)/25)*Calculateur!DW37*Calculateur!DY37*VLOOKUP('Données projet'!$B$14,Paramètres!$A$1:$I$89,3,0)*0.475*44/12</f>
        <v>18.36555888417525</v>
      </c>
      <c r="EC37" s="21">
        <f>EXP(-LN(2)/2)*EC36+(1-EXP(-LN(2)/2))/(LN(2)/2)*DW37*DZ37*VLOOKUP('Données projet'!$B$14,Paramètres!$A$1:$I$89,3,0)*0.475*44/12</f>
        <v>6.0097585631893216</v>
      </c>
      <c r="ED37" s="22">
        <f t="shared" si="18"/>
        <v>27.389797166666622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12.4</v>
      </c>
      <c r="EJ37" s="12">
        <f>IF('Données projet'!$A$192&gt;35,EJ36+EI37-ER36,IF(A37&lt;'Données projet'!$A$192,$EG$205^A37,IF(A37='Données projet'!$A$192,'Données projet'!$B$192,EJ36+EI37-ER36)))</f>
        <v>222.60000000000011</v>
      </c>
      <c r="EK37" s="17">
        <f>EJ37*VLOOKUP('Données projet'!$B$15,Paramètres!$A$1:$I$89,3,0)*VLOOKUP('Données projet'!$B$15,Paramètres!$A$1:$I$89,5,0)</f>
        <v>133.11480000000009</v>
      </c>
      <c r="EL37" s="13">
        <f t="shared" si="45"/>
        <v>34.715103341058125</v>
      </c>
      <c r="EM37" s="20">
        <f t="shared" si="19"/>
        <v>292.30374831900969</v>
      </c>
      <c r="EN37" s="59">
        <f t="shared" si="20"/>
        <v>585.637081652343</v>
      </c>
      <c r="EO37" s="59">
        <f ca="1">AVERAGE(OFFSET($EN$3,0,0,'Données projet'!$E$15+1,1))-AVERAGE(OFFSET($H$3,0,0,'Données projet'!$E$15+1,1))</f>
        <v>259.30247982593914</v>
      </c>
      <c r="EP37" s="59">
        <f t="shared" si="46"/>
        <v>275.24740346220779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16.139998768008923</v>
      </c>
      <c r="EX37" s="21">
        <f>EXP(-LN(2)/2)*EX36+(1-EXP(-LN(2)/2))/(LN(2)/2)*ER37*EU37*VLOOKUP('Données projet'!$B$15,Paramètres!$A$1:$I$89,3,0)*0.475*44/12</f>
        <v>7.1701175454662556</v>
      </c>
      <c r="EY37" s="22">
        <f t="shared" si="21"/>
        <v>23.310116313475177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11</v>
      </c>
      <c r="FE37" s="12">
        <f>IF('Données projet'!$A$218&gt;35,FE36+FD37-FM36,IF(A37&lt;'Données projet'!$A$218,$FB$205^A37,IF(A37='Données projet'!$A$218,'Données projet'!$B$218,FE36+FD37-FM36)))</f>
        <v>137</v>
      </c>
      <c r="FF37" s="17">
        <f>FE37*VLOOKUP('Données projet'!$B$16,Paramètres!$A$1:$I$89,3,0)*VLOOKUP('Données projet'!$B$16,Paramètres!$A$1:$I$89,5,0)</f>
        <v>138.91800000000001</v>
      </c>
      <c r="FG37" s="13">
        <f t="shared" si="47"/>
        <v>36.049022673886341</v>
      </c>
      <c r="FH37" s="20">
        <f t="shared" si="22"/>
        <v>304.73423115701871</v>
      </c>
      <c r="FI37" s="59">
        <f t="shared" si="23"/>
        <v>598.06756449035197</v>
      </c>
      <c r="FJ37" s="59">
        <f ca="1">AVERAGE(OFFSET($FI$3,0,0,'Données projet'!$E$16+1,1))-AVERAGE(OFFSET($H$3,0,0,'Données projet'!$E$16+1,1))</f>
        <v>372.91317851957336</v>
      </c>
      <c r="FK37" s="59">
        <f t="shared" si="48"/>
        <v>269.69187715858413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2.4936650582165671</v>
      </c>
      <c r="FR37" s="21">
        <f>EXP(-LN(2)/25)*FR36+(1-EXP(-LN(2)/25))/(LN(2)/25)*Calculateur!FM37*Calculateur!FO37*VLOOKUP('Données projet'!$B$16,Paramètres!$A$1:$I$89,3,0)*0.475*44/12</f>
        <v>13.596792868634553</v>
      </c>
      <c r="FS37" s="21">
        <f>EXP(-LN(2)/2)*FS36+(1-EXP(-LN(2)/2))/(LN(2)/2)*FM37*FP37*VLOOKUP('Données projet'!$B$16,Paramètres!$A$1:$I$89,3,0)*0.475*44/12</f>
        <v>6.0909719052335802</v>
      </c>
      <c r="FT37" s="22">
        <f t="shared" si="24"/>
        <v>22.181429832084699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10.000000000000004</v>
      </c>
      <c r="FZ37" s="12">
        <f>IF('Données projet'!$A$244&gt;35,FZ36+FY37-GH36,IF(A37&lt;'Données projet'!$A$244,$FW$205^A37,IF(A37='Données projet'!$A$244,'Données projet'!$B$244,FZ36+FY37-GH36)))</f>
        <v>231.59999999999988</v>
      </c>
      <c r="GA37" s="17">
        <f>FZ37*VLOOKUP('Données projet'!$B$17,Paramètres!$A$1:$I$89,3,0)*VLOOKUP('Données projet'!$B$17,Paramètres!$A$1:$I$89,5,0)</f>
        <v>108.38879999999993</v>
      </c>
      <c r="GB37" s="13">
        <f t="shared" si="49"/>
        <v>28.951047900249165</v>
      </c>
      <c r="GC37" s="20">
        <f t="shared" si="25"/>
        <v>239.20023509293381</v>
      </c>
      <c r="GD37" s="59">
        <f t="shared" si="26"/>
        <v>532.53356842626715</v>
      </c>
      <c r="GE37" s="59">
        <f ca="1">AVERAGE(OFFSET($GD$3,0,0,'Données projet'!$E$17+1,1))-AVERAGE(OFFSET($H$3,0,0,'Données projet'!$E$17+1,1))</f>
        <v>215.23235148064941</v>
      </c>
      <c r="GF37" s="59">
        <f t="shared" si="50"/>
        <v>184.07239726900434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2.895850598272911</v>
      </c>
      <c r="GM37" s="21">
        <f>EXP(-LN(2)/25)*GM36+(1-EXP(-LN(2)/25))/(LN(2)/25)*Calculateur!GH37*Calculateur!GJ37*VLOOKUP('Données projet'!$B$17,Paramètres!$A$1:$I$89,3,0)*0.475*44/12</f>
        <v>7.0308375406049475</v>
      </c>
      <c r="GN37" s="21">
        <f>EXP(-LN(2)/2)*GN36+(1-EXP(-LN(2)/2))/(LN(2)/2)*GH37*GK37*VLOOKUP('Données projet'!$B$17,Paramètres!$A$1:$I$89,3,0)*0.475*44/12</f>
        <v>2.4580441200739975</v>
      </c>
      <c r="GO37" s="21">
        <f t="shared" si="27"/>
        <v>12.384732258951857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>
        <f>VLOOKUP(A37,'Données projet'!$A$269:$I$289,2,0)</f>
        <v>304</v>
      </c>
      <c r="GS37" s="12">
        <f>VLOOKUP(A37,'Données projet'!$A$269:$I$289,9,0)</f>
        <v>18.666666666666668</v>
      </c>
      <c r="GT37" s="12">
        <f t="array" ref="GT37">INDEX(GS:GS,MIN(IF(ISNUMBER(GS37:GS233),ROW(GS37:GS233),"")))</f>
        <v>18.666666666666668</v>
      </c>
      <c r="GU37" s="12">
        <f>IF('Données projet'!$A$270&gt;35,GU36+GT37-HC36,IF(A37&lt;'Données projet'!$A$270,$GR$205^A37,IF(A37='Données projet'!$A$270,'Données projet'!$B$270,GU36+GT37-HC36)))</f>
        <v>304</v>
      </c>
      <c r="GV37" s="17">
        <f>GU37*VLOOKUP('Données projet'!$B$18,Paramètres!$A$1:$I$89,3,0)*VLOOKUP('Données projet'!$B$18,Paramètres!$A$1:$I$89,5,0)</f>
        <v>181.792</v>
      </c>
      <c r="GW37" s="13">
        <f t="shared" si="51"/>
        <v>45.720642997712531</v>
      </c>
      <c r="GX37" s="20">
        <f t="shared" si="28"/>
        <v>396.25118655434932</v>
      </c>
      <c r="GY37" s="59">
        <f t="shared" si="29"/>
        <v>689.58451988768263</v>
      </c>
      <c r="GZ37" s="59">
        <f ca="1">AVERAGE(OFFSET($GY$3,0,0,'Données projet'!$E$18+1,1))-AVERAGE(OFFSET($H$3,0,0,'Données projet'!$E$18+1,1))</f>
        <v>227.89848316900191</v>
      </c>
      <c r="HA37" s="59">
        <f t="shared" si="52"/>
        <v>239.85955661394541</v>
      </c>
      <c r="HB37" s="15">
        <f>IF(ISNA(VLOOKUP(A37,'Données projet'!$A$269:$I$289,3,0)),0,VLOOKUP(A37,'Données projet'!$A$269:$I$289,3,0))</f>
        <v>5</v>
      </c>
      <c r="HC37" s="15">
        <f>IF(ISNA(VLOOKUP(A37,'Données projet'!$A$269:$I$289,4,0)),0,VLOOKUP(A37,'Données projet'!$A$269:$I$289,4,0))</f>
        <v>60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7.337174211711031</v>
      </c>
      <c r="HH37" s="21">
        <f>EXP(-LN(2)/25)*HH36+(1-EXP(-LN(2)/25))/(LN(2)/25)*Calculateur!HC37*Calculateur!HE37*VLOOKUP('Données projet'!$B$18,Paramètres!$A$1:$I$89,3,0)*0.475*44/12</f>
        <v>15.343931761524553</v>
      </c>
      <c r="HI37" s="21">
        <f>EXP(-LN(2)/2)*HI36+(1-EXP(-LN(2)/2))/(LN(2)/2)*HC37*HF37*VLOOKUP('Données projet'!$B$18,Paramètres!$A$1:$I$89,3,0)*0.475*44/12</f>
        <v>1.6758926531481715</v>
      </c>
      <c r="HJ37" s="22">
        <f t="shared" si="30"/>
        <v>24.356998626383756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24.3</v>
      </c>
      <c r="N38" s="13">
        <f>IF('Données projet'!$A$36&gt;35,N37+M38-V37,IF(A38&lt;'Données projet'!$A$36,$K$205^A38,IF(A38='Données projet'!$A$36,'Données projet'!$B$36,N37+M38-V37)))</f>
        <v>355.5</v>
      </c>
      <c r="O38" s="13">
        <f>N38*VLOOKUP('Données projet'!$B$9,Paramètres!$A$1:$I$89,3,0)*VLOOKUP('Données projet'!$B$9,Paramètres!$A$1:$I$89,5,0)</f>
        <v>198.72450000000001</v>
      </c>
      <c r="P38" s="13">
        <f t="shared" si="33"/>
        <v>49.463747138023976</v>
      </c>
      <c r="Q38" s="20">
        <f t="shared" si="53"/>
        <v>432.26119709872506</v>
      </c>
      <c r="R38" s="59">
        <f t="shared" si="0"/>
        <v>725.59453043205838</v>
      </c>
      <c r="S38" s="59">
        <f ca="1">AVERAGE(OFFSET($R$3,0,0,'Données projet'!$E$9+1,1))-AVERAGE(OFFSET($H$3,0,0,'Données projet'!$E$9+1,1))</f>
        <v>370.69652285220093</v>
      </c>
      <c r="T38" s="59">
        <f t="shared" si="34"/>
        <v>376.53494965377718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9.3089159589859101</v>
      </c>
      <c r="AA38" s="21">
        <f>EXP(-LN(2)/25)*AA37+(1-EXP(-LN(2)/25))/(LN(2)/25)*Calculateur!V38*Calculateur!X38*VLOOKUP('Données projet'!$B$9,Paramètres!$A$1:$I$89,3,0)*0.475*44/12</f>
        <v>29.081314945760735</v>
      </c>
      <c r="AB38" s="21">
        <f>EXP(-LN(2)/2)*AB37+(1-EXP(-LN(2)/2))/(LN(2)/2)*V38*Y38*VLOOKUP('Données projet'!$B$9,Paramètres!$A$1:$I$89,3,0)*0.475*44/12</f>
        <v>5.7858596134627502</v>
      </c>
      <c r="AC38" s="22">
        <f t="shared" si="3"/>
        <v>44.176090518209392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133.91039999999998</v>
      </c>
      <c r="AK38" s="13">
        <f t="shared" si="35"/>
        <v>34.898373535125089</v>
      </c>
      <c r="AL38" s="20">
        <f t="shared" si="4"/>
        <v>294.00861390700948</v>
      </c>
      <c r="AM38" s="59">
        <f t="shared" si="5"/>
        <v>587.34194724034273</v>
      </c>
      <c r="AN38" s="59">
        <f ca="1">AVERAGE(OFFSET($AM$3,0,0,'Données projet'!$E$10+1,1))-AVERAGE(OFFSET($H$3,0,0,'Données projet'!$E$10+1,1))</f>
        <v>321.03881567735544</v>
      </c>
      <c r="AO38" s="59">
        <f t="shared" si="36"/>
        <v>234.87694492493506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2.1814833358431622</v>
      </c>
      <c r="AV38" s="21">
        <f>EXP(-LN(2)/25)*AV37+(1-EXP(-LN(2)/25))/(LN(2)/25)*Calculateur!AQ38*Calculateur!AS38*VLOOKUP('Données projet'!$B$10,Paramètres!$A$1:$I$89,3,0)*0.475*44/12</f>
        <v>11.800758391566367</v>
      </c>
      <c r="AW38" s="21">
        <f>EXP(-LN(2)/2)*AW37+(1-EXP(-LN(2)/2))/(LN(2)/2)*AQ38*AT38*VLOOKUP('Données projet'!$B$10,Paramètres!$A$1:$I$89,3,0)*0.475*44/12</f>
        <v>3.8431402648619954</v>
      </c>
      <c r="AX38" s="21">
        <f t="shared" si="6"/>
        <v>17.825381992271524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15.7</v>
      </c>
      <c r="BD38" s="12">
        <f>IF('Données projet'!$A$88&gt;35,BD37+BC38-BL37,IF(A38&lt;'Données projet'!$A$88,$BA$205^A38,IF(A38='Données projet'!$A$88,'Données projet'!$B$88,BD37+BC38-BL37)))</f>
        <v>277.49999999999994</v>
      </c>
      <c r="BE38" s="13">
        <f>BD38*VLOOKUP('Données projet'!$B$11,Paramètres!$A$1:$I$89,3,0)*VLOOKUP('Données projet'!$B$11,Paramètres!$A$1:$I$89,5,0)</f>
        <v>151.51499999999996</v>
      </c>
      <c r="BF38" s="13">
        <f t="shared" si="37"/>
        <v>38.922673183770968</v>
      </c>
      <c r="BG38" s="20">
        <f t="shared" si="7"/>
        <v>331.67894746173437</v>
      </c>
      <c r="BH38" s="59">
        <f t="shared" si="8"/>
        <v>625.01228079506768</v>
      </c>
      <c r="BI38" s="59">
        <f ca="1">AVERAGE(OFFSET($BH$3,0,0,'Données projet'!$E$11+1,1))-AVERAGE(OFFSET($H$3,0,0,'Données projet'!$E$11+1,1))</f>
        <v>248.1486444660062</v>
      </c>
      <c r="BJ38" s="59">
        <f t="shared" si="38"/>
        <v>293.34458072322127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7.7147887017388488</v>
      </c>
      <c r="BQ38" s="21">
        <f>EXP(-LN(2)/25)*BQ37+(1-EXP(-LN(2)/25))/(LN(2)/25)*Calculateur!BL38*Calculateur!BN38*VLOOKUP('Données projet'!$B$11,Paramètres!$A$1:$I$89,3,0)*0.475*44/12</f>
        <v>29.631573496696632</v>
      </c>
      <c r="BR38" s="21">
        <f>EXP(-LN(2)/2)*BR37+(1-EXP(-LN(2)/2))/(LN(2)/2)*BL38*BO38*VLOOKUP('Données projet'!$B$11,Paramètres!$A$1:$I$89,3,0)*0.475*44/12</f>
        <v>4.451666068137782</v>
      </c>
      <c r="BS38" s="22">
        <f t="shared" si="9"/>
        <v>41.798028266573262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197.50000000000006</v>
      </c>
      <c r="BZ38" s="13">
        <f>BY38*VLOOKUP('Données projet'!$B$12,Paramètres!$A$1:$I$89,3,0)*VLOOKUP('Données projet'!$B$12,Paramètres!$A$1:$I$89,5,0)</f>
        <v>172.53600000000006</v>
      </c>
      <c r="CA38" s="13">
        <f t="shared" si="39"/>
        <v>43.657512815796977</v>
      </c>
      <c r="CB38" s="20">
        <f t="shared" si="10"/>
        <v>376.53703482084643</v>
      </c>
      <c r="CC38" s="59">
        <f t="shared" si="11"/>
        <v>669.87036815417969</v>
      </c>
      <c r="CD38" s="59">
        <f ca="1">AVERAGE(OFFSET($CC$3,0,0,'Données projet'!$E$12+1,1))-AVERAGE(OFFSET($H$3,0,0,'Données projet'!$E$12+1,1))</f>
        <v>243.38048563215585</v>
      </c>
      <c r="CE38" s="59">
        <f t="shared" si="40"/>
        <v>372.1604147006675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6.6196735708344239</v>
      </c>
      <c r="CL38" s="21">
        <f>EXP(-LN(2)/25)*CL37+(1-EXP(-LN(2)/25))/(LN(2)/25)*Calculateur!CG38*Calculateur!CI38*VLOOKUP('Données projet'!$B$12,Paramètres!$A$1:$I$89,3,0)*0.475*44/12</f>
        <v>16.855973067399507</v>
      </c>
      <c r="CM38" s="21">
        <f>EXP(-LN(2)/2)*CM37+(1-EXP(-LN(2)/2))/(LN(2)/2)*CG38*CJ38*VLOOKUP('Données projet'!$B$12,Paramètres!$A$1:$I$89,3,0)*0.475*44/12</f>
        <v>5.1821980769245952</v>
      </c>
      <c r="CN38" s="22">
        <f t="shared" si="12"/>
        <v>28.657844715158529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24.6</v>
      </c>
      <c r="CT38" s="12">
        <f>IF('Données projet'!$A$140&gt;35,CT37+CS38-DB37,IF(A38&lt;'Données projet'!$A$140,$CQ$205^A38,IF(A38='Données projet'!$A$140,'Données projet'!$B$140,CT37+CS38-DB37)))</f>
        <v>345.00000000000006</v>
      </c>
      <c r="CU38" s="17">
        <f>CT38*VLOOKUP('Données projet'!$B$13,Paramètres!$A$1:$I$89,3,0)*VLOOKUP('Données projet'!$B$13,Paramètres!$A$1:$I$89,5,0)</f>
        <v>165.94500000000002</v>
      </c>
      <c r="CV38" s="13">
        <f t="shared" si="41"/>
        <v>42.180566362892314</v>
      </c>
      <c r="CW38" s="20">
        <f t="shared" si="13"/>
        <v>362.48536141537079</v>
      </c>
      <c r="CX38" s="59">
        <f t="shared" si="14"/>
        <v>655.81869474870405</v>
      </c>
      <c r="CY38" s="59">
        <f ca="1">AVERAGE(OFFSET($CX$3,0,0,'Données projet'!$E$13+1,1))-AVERAGE(OFFSET($H$3,0,0,'Données projet'!$E$13+1,1))</f>
        <v>297.21955661193238</v>
      </c>
      <c r="CZ38" s="59">
        <f t="shared" si="42"/>
        <v>273.69206144662144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6.1028552023473512</v>
      </c>
      <c r="DG38" s="21">
        <f>EXP(-LN(2)/25)*DG37+(1-EXP(-LN(2)/25))/(LN(2)/25)*Calculateur!DB38*Calculateur!DD38*VLOOKUP('Données projet'!$B$13,Paramètres!$A$1:$I$89,3,0)*0.475*44/12</f>
        <v>11.685518556268217</v>
      </c>
      <c r="DH38" s="21">
        <f>EXP(-LN(2)/2)*DH37+(1-EXP(-LN(2)/2))/(LN(2)/2)*DB38*DE38*VLOOKUP('Données projet'!$B$13,Paramètres!$A$1:$I$89,3,0)*0.475*44/12</f>
        <v>3.6968927438972732</v>
      </c>
      <c r="DI38" s="22">
        <f t="shared" si="15"/>
        <v>21.485266502512843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161.10899999999998</v>
      </c>
      <c r="DQ38" s="13">
        <f t="shared" si="43"/>
        <v>41.092552806229541</v>
      </c>
      <c r="DR38" s="20">
        <f t="shared" si="16"/>
        <v>352.16770447084974</v>
      </c>
      <c r="DS38" s="59">
        <f t="shared" si="17"/>
        <v>645.50103780418306</v>
      </c>
      <c r="DT38" s="59">
        <f ca="1">AVERAGE(OFFSET($DS$3,0,0,'Données projet'!$E$14+1,1))-AVERAGE(OFFSET($H$3,0,0,'Données projet'!$E$14+1,1))</f>
        <v>260.20517190557814</v>
      </c>
      <c r="DU38" s="59">
        <f t="shared" si="44"/>
        <v>307.22009971147133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2.9553676106576132</v>
      </c>
      <c r="EB38" s="21">
        <f>EXP(-LN(2)/25)*EB37+(1-EXP(-LN(2)/25))/(LN(2)/25)*Calculateur!DW38*Calculateur!DY38*VLOOKUP('Données projet'!$B$14,Paramètres!$A$1:$I$89,3,0)*0.475*44/12</f>
        <v>17.863351710684711</v>
      </c>
      <c r="EC38" s="21">
        <f>EXP(-LN(2)/2)*EC37+(1-EXP(-LN(2)/2))/(LN(2)/2)*DW38*DZ38*VLOOKUP('Données projet'!$B$14,Paramètres!$A$1:$I$89,3,0)*0.475*44/12</f>
        <v>4.2495410333250918</v>
      </c>
      <c r="ED38" s="22">
        <f t="shared" si="18"/>
        <v>25.068260354667416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12.4</v>
      </c>
      <c r="EJ38" s="12">
        <f>IF('Données projet'!$A$192&gt;35,EJ37+EI38-ER37,IF(A38&lt;'Données projet'!$A$192,$EG$205^A38,IF(A38='Données projet'!$A$192,'Données projet'!$B$192,EJ37+EI38-ER37)))</f>
        <v>235.00000000000011</v>
      </c>
      <c r="EK38" s="17">
        <f>EJ38*VLOOKUP('Données projet'!$B$15,Paramètres!$A$1:$I$89,3,0)*VLOOKUP('Données projet'!$B$15,Paramètres!$A$1:$I$89,5,0)</f>
        <v>140.53000000000006</v>
      </c>
      <c r="EL38" s="13">
        <f t="shared" si="45"/>
        <v>36.418394338798777</v>
      </c>
      <c r="EM38" s="20">
        <f t="shared" si="19"/>
        <v>308.18512014007462</v>
      </c>
      <c r="EN38" s="59">
        <f t="shared" si="20"/>
        <v>601.51845347340793</v>
      </c>
      <c r="EO38" s="59">
        <f ca="1">AVERAGE(OFFSET($EN$3,0,0,'Données projet'!$E$15+1,1))-AVERAGE(OFFSET($H$3,0,0,'Données projet'!$E$15+1,1))</f>
        <v>259.30247982593914</v>
      </c>
      <c r="EP38" s="59">
        <f t="shared" si="46"/>
        <v>275.24740346220779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15.698649652932072</v>
      </c>
      <c r="EX38" s="21">
        <f>EXP(-LN(2)/2)*EX37+(1-EXP(-LN(2)/2))/(LN(2)/2)*ER38*EU38*VLOOKUP('Données projet'!$B$15,Paramètres!$A$1:$I$89,3,0)*0.475*44/12</f>
        <v>5.0700387383038334</v>
      </c>
      <c r="EY38" s="22">
        <f t="shared" si="21"/>
        <v>20.768688391235905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11</v>
      </c>
      <c r="FE38" s="12">
        <f>IF('Données projet'!$A$218&gt;35,FE37+FD38-FM37,IF(A38&lt;'Données projet'!$A$218,$FB$205^A38,IF(A38='Données projet'!$A$218,'Données projet'!$B$218,FE37+FD38-FM37)))</f>
        <v>148</v>
      </c>
      <c r="FF38" s="17">
        <f>FE38*VLOOKUP('Données projet'!$B$16,Paramètres!$A$1:$I$89,3,0)*VLOOKUP('Données projet'!$B$16,Paramètres!$A$1:$I$89,5,0)</f>
        <v>150.072</v>
      </c>
      <c r="FG38" s="13">
        <f t="shared" si="47"/>
        <v>38.594947422201457</v>
      </c>
      <c r="FH38" s="20">
        <f t="shared" si="22"/>
        <v>328.59493342700091</v>
      </c>
      <c r="FI38" s="59">
        <f t="shared" si="23"/>
        <v>621.92826676033428</v>
      </c>
      <c r="FJ38" s="59">
        <f ca="1">AVERAGE(OFFSET($FI$3,0,0,'Données projet'!$E$16+1,1))-AVERAGE(OFFSET($H$3,0,0,'Données projet'!$E$16+1,1))</f>
        <v>372.91317851957336</v>
      </c>
      <c r="FK38" s="59">
        <f t="shared" si="48"/>
        <v>269.69187715858413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2.444765807410441</v>
      </c>
      <c r="FR38" s="21">
        <f>EXP(-LN(2)/25)*FR37+(1-EXP(-LN(2)/25))/(LN(2)/25)*Calculateur!FM38*Calculateur!FO38*VLOOKUP('Données projet'!$B$16,Paramètres!$A$1:$I$89,3,0)*0.475*44/12</f>
        <v>13.224987852617481</v>
      </c>
      <c r="FS38" s="21">
        <f>EXP(-LN(2)/2)*FS37+(1-EXP(-LN(2)/2))/(LN(2)/2)*FM38*FP38*VLOOKUP('Données projet'!$B$16,Paramètres!$A$1:$I$89,3,0)*0.475*44/12</f>
        <v>4.3069675382074104</v>
      </c>
      <c r="FT38" s="22">
        <f t="shared" si="24"/>
        <v>19.976721198235332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10.000000000000004</v>
      </c>
      <c r="FZ38" s="12">
        <f>IF('Données projet'!$A$244&gt;35,FZ37+FY38-GH37,IF(A38&lt;'Données projet'!$A$244,$FW$205^A38,IF(A38='Données projet'!$A$244,'Données projet'!$B$244,FZ37+FY38-GH37)))</f>
        <v>241.59999999999988</v>
      </c>
      <c r="GA38" s="17">
        <f>FZ38*VLOOKUP('Données projet'!$B$17,Paramètres!$A$1:$I$89,3,0)*VLOOKUP('Données projet'!$B$17,Paramètres!$A$1:$I$89,5,0)</f>
        <v>113.06879999999995</v>
      </c>
      <c r="GB38" s="13">
        <f t="shared" si="49"/>
        <v>30.052855829090237</v>
      </c>
      <c r="GC38" s="20">
        <f t="shared" si="25"/>
        <v>249.27021723566543</v>
      </c>
      <c r="GD38" s="59">
        <f t="shared" si="26"/>
        <v>542.6035505689988</v>
      </c>
      <c r="GE38" s="59">
        <f ca="1">AVERAGE(OFFSET($GD$3,0,0,'Données projet'!$E$17+1,1))-AVERAGE(OFFSET($H$3,0,0,'Données projet'!$E$17+1,1))</f>
        <v>215.23235148064941</v>
      </c>
      <c r="GF38" s="59">
        <f t="shared" si="50"/>
        <v>184.07239726900434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2.8390647343352371</v>
      </c>
      <c r="GM38" s="21">
        <f>EXP(-LN(2)/25)*GM37+(1-EXP(-LN(2)/25))/(LN(2)/25)*Calculateur!GH38*Calculateur!GJ38*VLOOKUP('Données projet'!$B$17,Paramètres!$A$1:$I$89,3,0)*0.475*44/12</f>
        <v>6.8385789183214278</v>
      </c>
      <c r="GN38" s="21">
        <f>EXP(-LN(2)/2)*GN37+(1-EXP(-LN(2)/2))/(LN(2)/2)*GH38*GK38*VLOOKUP('Données projet'!$B$17,Paramètres!$A$1:$I$89,3,0)*0.475*44/12</f>
        <v>1.738099665760044</v>
      </c>
      <c r="GO38" s="21">
        <f t="shared" si="27"/>
        <v>11.415743318416709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14.833333333333334</v>
      </c>
      <c r="GU38" s="12">
        <f>IF('Données projet'!$A$270&gt;35,GU37+GT38-HC37,IF(A38&lt;'Données projet'!$A$270,$GR$205^A38,IF(A38='Données projet'!$A$270,'Données projet'!$B$270,GU37+GT38-HC37)))</f>
        <v>258.83333333333331</v>
      </c>
      <c r="GV38" s="17">
        <f>GU38*VLOOKUP('Données projet'!$B$18,Paramètres!$A$1:$I$89,3,0)*VLOOKUP('Données projet'!$B$18,Paramètres!$A$1:$I$89,5,0)</f>
        <v>154.78233333333333</v>
      </c>
      <c r="GW38" s="13">
        <f t="shared" si="51"/>
        <v>39.663394950666209</v>
      </c>
      <c r="GX38" s="20">
        <f t="shared" si="28"/>
        <v>338.65964342796582</v>
      </c>
      <c r="GY38" s="59">
        <f t="shared" si="29"/>
        <v>631.99297676129913</v>
      </c>
      <c r="GZ38" s="59">
        <f ca="1">AVERAGE(OFFSET($GY$3,0,0,'Données projet'!$E$18+1,1))-AVERAGE(OFFSET($H$3,0,0,'Données projet'!$E$18+1,1))</f>
        <v>227.89848316900191</v>
      </c>
      <c r="HA38" s="59">
        <f t="shared" si="52"/>
        <v>239.85955661394541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7.1932967006537538</v>
      </c>
      <c r="HH38" s="21">
        <f>EXP(-LN(2)/25)*HH37+(1-EXP(-LN(2)/25))/(LN(2)/25)*Calculateur!HC38*Calculateur!HE38*VLOOKUP('Données projet'!$B$18,Paramètres!$A$1:$I$89,3,0)*0.475*44/12</f>
        <v>14.924351140603362</v>
      </c>
      <c r="HI38" s="21">
        <f>EXP(-LN(2)/2)*HI37+(1-EXP(-LN(2)/2))/(LN(2)/2)*HC38*HF38*VLOOKUP('Données projet'!$B$18,Paramètres!$A$1:$I$89,3,0)*0.475*44/12</f>
        <v>1.1850350595817867</v>
      </c>
      <c r="HJ38" s="22">
        <f t="shared" si="30"/>
        <v>23.302682900838903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24.3</v>
      </c>
      <c r="N39" s="13">
        <f>IF('Données projet'!$A$36&gt;35,N38+M39-V38,IF(A39&lt;'Données projet'!$A$36,$K$205^A39,IF(A39='Données projet'!$A$36,'Données projet'!$B$36,N38+M39-V38)))</f>
        <v>379.8</v>
      </c>
      <c r="O39" s="13">
        <f>N39*VLOOKUP('Données projet'!$B$9,Paramètres!$A$1:$I$89,3,0)*VLOOKUP('Données projet'!$B$9,Paramètres!$A$1:$I$89,5,0)</f>
        <v>212.3082</v>
      </c>
      <c r="P39" s="13">
        <f t="shared" si="33"/>
        <v>52.439664118821788</v>
      </c>
      <c r="Q39" s="20">
        <f t="shared" si="53"/>
        <v>461.10253000694792</v>
      </c>
      <c r="R39" s="59">
        <f t="shared" si="0"/>
        <v>754.43586334028123</v>
      </c>
      <c r="S39" s="59">
        <f ca="1">AVERAGE(OFFSET($R$3,0,0,'Données projet'!$E$9+1,1))-AVERAGE(OFFSET($H$3,0,0,'Données projet'!$E$9+1,1))</f>
        <v>370.69652285220093</v>
      </c>
      <c r="T39" s="59">
        <f t="shared" si="34"/>
        <v>376.53494965377718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9.1263737949082877</v>
      </c>
      <c r="AA39" s="21">
        <f>EXP(-LN(2)/25)*AA38+(1-EXP(-LN(2)/25))/(LN(2)/25)*Calculateur!V39*Calculateur!X39*VLOOKUP('Données projet'!$B$9,Paramètres!$A$1:$I$89,3,0)*0.475*44/12</f>
        <v>28.286084859249019</v>
      </c>
      <c r="AB39" s="21">
        <f>EXP(-LN(2)/2)*AB38+(1-EXP(-LN(2)/2))/(LN(2)/2)*V39*Y39*VLOOKUP('Données projet'!$B$9,Paramètres!$A$1:$I$89,3,0)*0.475*44/12</f>
        <v>4.0912205676728872</v>
      </c>
      <c r="AC39" s="22">
        <f t="shared" si="3"/>
        <v>41.50367922183019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143.86320000000001</v>
      </c>
      <c r="AK39" s="13">
        <f t="shared" si="35"/>
        <v>37.180603445028773</v>
      </c>
      <c r="AL39" s="20">
        <f t="shared" si="4"/>
        <v>315.31795766675845</v>
      </c>
      <c r="AM39" s="59">
        <f t="shared" si="5"/>
        <v>608.65129100009176</v>
      </c>
      <c r="AN39" s="59">
        <f ca="1">AVERAGE(OFFSET($AM$3,0,0,'Données projet'!$E$10+1,1))-AVERAGE(OFFSET($H$3,0,0,'Données projet'!$E$10+1,1))</f>
        <v>321.03881567735544</v>
      </c>
      <c r="AO39" s="59">
        <f t="shared" si="36"/>
        <v>234.87694492493506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2.1387057782007295</v>
      </c>
      <c r="AV39" s="21">
        <f>EXP(-LN(2)/25)*AV38+(1-EXP(-LN(2)/25))/(LN(2)/25)*Calculateur!AQ39*Calculateur!AS39*VLOOKUP('Données projet'!$B$10,Paramètres!$A$1:$I$89,3,0)*0.475*44/12</f>
        <v>11.478066032774072</v>
      </c>
      <c r="AW39" s="21">
        <f>EXP(-LN(2)/2)*AW38+(1-EXP(-LN(2)/2))/(LN(2)/2)*AQ39*AT39*VLOOKUP('Données projet'!$B$10,Paramètres!$A$1:$I$89,3,0)*0.475*44/12</f>
        <v>2.7175105423349817</v>
      </c>
      <c r="AX39" s="21">
        <f t="shared" si="6"/>
        <v>16.334282353309781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15.7</v>
      </c>
      <c r="BD39" s="12">
        <f>IF('Données projet'!$A$88&gt;35,BD38+BC39-BL38,IF(A39&lt;'Données projet'!$A$88,$BA$205^A39,IF(A39='Données projet'!$A$88,'Données projet'!$B$88,BD38+BC39-BL38)))</f>
        <v>293.19999999999993</v>
      </c>
      <c r="BE39" s="13">
        <f>BD39*VLOOKUP('Données projet'!$B$11,Paramètres!$A$1:$I$89,3,0)*VLOOKUP('Données projet'!$B$11,Paramètres!$A$1:$I$89,5,0)</f>
        <v>160.08719999999997</v>
      </c>
      <c r="BF39" s="13">
        <f t="shared" si="37"/>
        <v>40.862182986370868</v>
      </c>
      <c r="BG39" s="20">
        <f t="shared" si="7"/>
        <v>349.98684203459584</v>
      </c>
      <c r="BH39" s="59">
        <f t="shared" si="8"/>
        <v>643.3201753679291</v>
      </c>
      <c r="BI39" s="59">
        <f ca="1">AVERAGE(OFFSET($BH$3,0,0,'Données projet'!$E$11+1,1))-AVERAGE(OFFSET($H$3,0,0,'Données projet'!$E$11+1,1))</f>
        <v>248.1486444660062</v>
      </c>
      <c r="BJ39" s="59">
        <f t="shared" si="38"/>
        <v>293.34458072322127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7.563506400854223</v>
      </c>
      <c r="BQ39" s="21">
        <f>EXP(-LN(2)/25)*BQ38+(1-EXP(-LN(2)/25))/(LN(2)/25)*Calculateur!BL39*Calculateur!BN39*VLOOKUP('Données projet'!$B$11,Paramètres!$A$1:$I$89,3,0)*0.475*44/12</f>
        <v>28.821296561172737</v>
      </c>
      <c r="BR39" s="21">
        <f>EXP(-LN(2)/2)*BR38+(1-EXP(-LN(2)/2))/(LN(2)/2)*BL39*BO39*VLOOKUP('Données projet'!$B$11,Paramètres!$A$1:$I$89,3,0)*0.475*44/12</f>
        <v>3.1478032643582812</v>
      </c>
      <c r="BS39" s="22">
        <f t="shared" si="9"/>
        <v>39.532606226385241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209.00000000000006</v>
      </c>
      <c r="BZ39" s="13">
        <f>BY39*VLOOKUP('Données projet'!$B$12,Paramètres!$A$1:$I$89,3,0)*VLOOKUP('Données projet'!$B$12,Paramètres!$A$1:$I$89,5,0)</f>
        <v>182.58240000000009</v>
      </c>
      <c r="CA39" s="13">
        <f t="shared" si="39"/>
        <v>45.896245406460288</v>
      </c>
      <c r="CB39" s="20">
        <f t="shared" si="10"/>
        <v>397.93364074958509</v>
      </c>
      <c r="CC39" s="59">
        <f t="shared" si="11"/>
        <v>691.26697408291841</v>
      </c>
      <c r="CD39" s="59">
        <f ca="1">AVERAGE(OFFSET($CC$3,0,0,'Données projet'!$E$12+1,1))-AVERAGE(OFFSET($H$3,0,0,'Données projet'!$E$12+1,1))</f>
        <v>243.38048563215585</v>
      </c>
      <c r="CE39" s="59">
        <f t="shared" si="40"/>
        <v>372.1604147006675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6.4898658097125592</v>
      </c>
      <c r="CL39" s="21">
        <f>EXP(-LN(2)/25)*CL38+(1-EXP(-LN(2)/25))/(LN(2)/25)*Calculateur!CG39*Calculateur!CI39*VLOOKUP('Données projet'!$B$12,Paramètres!$A$1:$I$89,3,0)*0.475*44/12</f>
        <v>16.39504559745437</v>
      </c>
      <c r="CM39" s="21">
        <f>EXP(-LN(2)/2)*CM38+(1-EXP(-LN(2)/2))/(LN(2)/2)*CG39*CJ39*VLOOKUP('Données projet'!$B$12,Paramètres!$A$1:$I$89,3,0)*0.475*44/12</f>
        <v>3.6643674016452672</v>
      </c>
      <c r="CN39" s="22">
        <f t="shared" si="12"/>
        <v>26.549278808812197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24.6</v>
      </c>
      <c r="CT39" s="12">
        <f>IF('Données projet'!$A$140&gt;35,CT38+CS39-DB38,IF(A39&lt;'Données projet'!$A$140,$CQ$205^A39,IF(A39='Données projet'!$A$140,'Données projet'!$B$140,CT38+CS39-DB38)))</f>
        <v>369.60000000000008</v>
      </c>
      <c r="CU39" s="17">
        <f>CT39*VLOOKUP('Données projet'!$B$13,Paramètres!$A$1:$I$89,3,0)*VLOOKUP('Données projet'!$B$13,Paramètres!$A$1:$I$89,5,0)</f>
        <v>177.77760000000006</v>
      </c>
      <c r="CV39" s="13">
        <f t="shared" si="41"/>
        <v>44.827386173754917</v>
      </c>
      <c r="CW39" s="20">
        <f t="shared" si="13"/>
        <v>387.7036842526233</v>
      </c>
      <c r="CX39" s="59">
        <f t="shared" si="14"/>
        <v>681.03701758595662</v>
      </c>
      <c r="CY39" s="59">
        <f ca="1">AVERAGE(OFFSET($CX$3,0,0,'Données projet'!$E$13+1,1))-AVERAGE(OFFSET($H$3,0,0,'Données projet'!$E$13+1,1))</f>
        <v>297.21955661193238</v>
      </c>
      <c r="CZ39" s="59">
        <f t="shared" si="42"/>
        <v>273.69206144662144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5.9831819342034391</v>
      </c>
      <c r="DG39" s="21">
        <f>EXP(-LN(2)/25)*DG38+(1-EXP(-LN(2)/25))/(LN(2)/25)*Calculateur!DB39*Calculateur!DD39*VLOOKUP('Données projet'!$B$13,Paramètres!$A$1:$I$89,3,0)*0.475*44/12</f>
        <v>11.365977436832349</v>
      </c>
      <c r="DH39" s="21">
        <f>EXP(-LN(2)/2)*DH38+(1-EXP(-LN(2)/2))/(LN(2)/2)*DB39*DE39*VLOOKUP('Données projet'!$B$13,Paramètres!$A$1:$I$89,3,0)*0.475*44/12</f>
        <v>2.6140979285291044</v>
      </c>
      <c r="DI39" s="22">
        <f t="shared" si="15"/>
        <v>19.963257299564894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170.73575999999997</v>
      </c>
      <c r="DQ39" s="13">
        <f t="shared" si="43"/>
        <v>43.254767908658785</v>
      </c>
      <c r="DR39" s="20">
        <f t="shared" si="16"/>
        <v>372.70016944091395</v>
      </c>
      <c r="DS39" s="59">
        <f t="shared" si="17"/>
        <v>666.03350277424727</v>
      </c>
      <c r="DT39" s="59">
        <f ca="1">AVERAGE(OFFSET($DS$3,0,0,'Données projet'!$E$14+1,1))-AVERAGE(OFFSET($H$3,0,0,'Données projet'!$E$14+1,1))</f>
        <v>260.20517190557814</v>
      </c>
      <c r="DU39" s="59">
        <f t="shared" si="44"/>
        <v>307.22009971147133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2.8974146544088684</v>
      </c>
      <c r="EB39" s="21">
        <f>EXP(-LN(2)/25)*EB38+(1-EXP(-LN(2)/25))/(LN(2)/25)*Calculateur!DW39*Calculateur!DY39*VLOOKUP('Données projet'!$B$14,Paramètres!$A$1:$I$89,3,0)*0.475*44/12</f>
        <v>17.374877418763198</v>
      </c>
      <c r="EC39" s="21">
        <f>EXP(-LN(2)/2)*EC38+(1-EXP(-LN(2)/2))/(LN(2)/2)*DW39*DZ39*VLOOKUP('Données projet'!$B$14,Paramètres!$A$1:$I$89,3,0)*0.475*44/12</f>
        <v>3.0048792815946608</v>
      </c>
      <c r="ED39" s="22">
        <f t="shared" si="18"/>
        <v>23.277171354766729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12.4</v>
      </c>
      <c r="EJ39" s="12">
        <f>IF('Données projet'!$A$192&gt;35,EJ38+EI39-ER38,IF(A39&lt;'Données projet'!$A$192,$EG$205^A39,IF(A39='Données projet'!$A$192,'Données projet'!$B$192,EJ38+EI39-ER38)))</f>
        <v>247.40000000000012</v>
      </c>
      <c r="EK39" s="17">
        <f>EJ39*VLOOKUP('Données projet'!$B$15,Paramètres!$A$1:$I$89,3,0)*VLOOKUP('Données projet'!$B$15,Paramètres!$A$1:$I$89,5,0)</f>
        <v>147.94520000000009</v>
      </c>
      <c r="EL39" s="13">
        <f t="shared" si="45"/>
        <v>38.11125074558732</v>
      </c>
      <c r="EM39" s="20">
        <f t="shared" si="19"/>
        <v>324.04831838189801</v>
      </c>
      <c r="EN39" s="59">
        <f t="shared" si="20"/>
        <v>617.38165171523133</v>
      </c>
      <c r="EO39" s="59">
        <f ca="1">AVERAGE(OFFSET($EN$3,0,0,'Données projet'!$E$15+1,1))-AVERAGE(OFFSET($H$3,0,0,'Données projet'!$E$15+1,1))</f>
        <v>259.30247982593914</v>
      </c>
      <c r="EP39" s="59">
        <f t="shared" si="46"/>
        <v>275.24740346220779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15.26936925261654</v>
      </c>
      <c r="EX39" s="21">
        <f>EXP(-LN(2)/2)*EX38+(1-EXP(-LN(2)/2))/(LN(2)/2)*ER39*EU39*VLOOKUP('Données projet'!$B$15,Paramètres!$A$1:$I$89,3,0)*0.475*44/12</f>
        <v>3.5850587727331287</v>
      </c>
      <c r="EY39" s="22">
        <f t="shared" si="21"/>
        <v>18.854428025349669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</v>
      </c>
      <c r="FE39" s="12">
        <f>IF('Données projet'!$A$218&gt;35,FE38+FD39-FM38,IF(A39&lt;'Données projet'!$A$218,$FB$205^A39,IF(A39='Données projet'!$A$218,'Données projet'!$B$218,FE38+FD39-FM38)))</f>
        <v>159</v>
      </c>
      <c r="FF39" s="17">
        <f>FE39*VLOOKUP('Données projet'!$B$16,Paramètres!$A$1:$I$89,3,0)*VLOOKUP('Données projet'!$B$16,Paramètres!$A$1:$I$89,5,0)</f>
        <v>161.22600000000003</v>
      </c>
      <c r="FG39" s="13">
        <f t="shared" si="47"/>
        <v>41.118920159482528</v>
      </c>
      <c r="FH39" s="20">
        <f t="shared" si="22"/>
        <v>352.41740261109879</v>
      </c>
      <c r="FI39" s="59">
        <f t="shared" si="23"/>
        <v>645.75073594443211</v>
      </c>
      <c r="FJ39" s="59">
        <f ca="1">AVERAGE(OFFSET($FI$3,0,0,'Données projet'!$E$16+1,1))-AVERAGE(OFFSET($H$3,0,0,'Données projet'!$E$16+1,1))</f>
        <v>372.91317851957336</v>
      </c>
      <c r="FK39" s="59">
        <f t="shared" si="48"/>
        <v>269.69187715858413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2.3968254410870249</v>
      </c>
      <c r="FR39" s="21">
        <f>EXP(-LN(2)/25)*FR38+(1-EXP(-LN(2)/25))/(LN(2)/25)*Calculateur!FM39*Calculateur!FO39*VLOOKUP('Données projet'!$B$16,Paramètres!$A$1:$I$89,3,0)*0.475*44/12</f>
        <v>12.86334986431577</v>
      </c>
      <c r="FS39" s="21">
        <f>EXP(-LN(2)/2)*FS38+(1-EXP(-LN(2)/2))/(LN(2)/2)*FM39*FP39*VLOOKUP('Données projet'!$B$16,Paramètres!$A$1:$I$89,3,0)*0.475*44/12</f>
        <v>3.045485952616791</v>
      </c>
      <c r="FT39" s="22">
        <f t="shared" si="24"/>
        <v>18.305661258019587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10.000000000000004</v>
      </c>
      <c r="FZ39" s="12">
        <f>IF('Données projet'!$A$244&gt;35,FZ38+FY39-GH38,IF(A39&lt;'Données projet'!$A$244,$FW$205^A39,IF(A39='Données projet'!$A$244,'Données projet'!$B$244,FZ38+FY39-GH38)))</f>
        <v>251.59999999999988</v>
      </c>
      <c r="GA39" s="17">
        <f>FZ39*VLOOKUP('Données projet'!$B$17,Paramètres!$A$1:$I$89,3,0)*VLOOKUP('Données projet'!$B$17,Paramètres!$A$1:$I$89,5,0)</f>
        <v>117.74879999999995</v>
      </c>
      <c r="GB39" s="13">
        <f t="shared" si="49"/>
        <v>31.149366548366</v>
      </c>
      <c r="GC39" s="20">
        <f t="shared" si="25"/>
        <v>259.33097340507067</v>
      </c>
      <c r="GD39" s="59">
        <f t="shared" si="26"/>
        <v>552.66430673840398</v>
      </c>
      <c r="GE39" s="59">
        <f ca="1">AVERAGE(OFFSET($GD$3,0,0,'Données projet'!$E$17+1,1))-AVERAGE(OFFSET($H$3,0,0,'Données projet'!$E$17+1,1))</f>
        <v>215.23235148064941</v>
      </c>
      <c r="GF39" s="59">
        <f t="shared" si="50"/>
        <v>184.07239726900434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2.7833924065534239</v>
      </c>
      <c r="GM39" s="21">
        <f>EXP(-LN(2)/25)*GM38+(1-EXP(-LN(2)/25))/(LN(2)/25)*Calculateur!GH39*Calculateur!GJ39*VLOOKUP('Données projet'!$B$17,Paramètres!$A$1:$I$89,3,0)*0.475*44/12</f>
        <v>6.6515776181746933</v>
      </c>
      <c r="GN39" s="21">
        <f>EXP(-LN(2)/2)*GN38+(1-EXP(-LN(2)/2))/(LN(2)/2)*GH39*GK39*VLOOKUP('Données projet'!$B$17,Paramètres!$A$1:$I$89,3,0)*0.475*44/12</f>
        <v>1.229022060036999</v>
      </c>
      <c r="GO39" s="21">
        <f t="shared" si="27"/>
        <v>10.663992084765116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14.833333333333334</v>
      </c>
      <c r="GU39" s="12">
        <f>IF('Données projet'!$A$270&gt;35,GU38+GT39-HC38,IF(A39&lt;'Données projet'!$A$270,$GR$205^A39,IF(A39='Données projet'!$A$270,'Données projet'!$B$270,GU38+GT39-HC38)))</f>
        <v>273.66666666666663</v>
      </c>
      <c r="GV39" s="17">
        <f>GU39*VLOOKUP('Données projet'!$B$18,Paramètres!$A$1:$I$89,3,0)*VLOOKUP('Données projet'!$B$18,Paramètres!$A$1:$I$89,5,0)</f>
        <v>163.65266666666665</v>
      </c>
      <c r="GW39" s="13">
        <f t="shared" si="51"/>
        <v>41.665299117984198</v>
      </c>
      <c r="GX39" s="20">
        <f t="shared" si="28"/>
        <v>357.59545707493356</v>
      </c>
      <c r="GY39" s="59">
        <f t="shared" si="29"/>
        <v>650.92879040826688</v>
      </c>
      <c r="GZ39" s="59">
        <f ca="1">AVERAGE(OFFSET($GY$3,0,0,'Données projet'!$E$18+1,1))-AVERAGE(OFFSET($H$3,0,0,'Données projet'!$E$18+1,1))</f>
        <v>227.89848316900191</v>
      </c>
      <c r="HA39" s="59">
        <f t="shared" si="52"/>
        <v>239.85955661394541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7.0522405398316934</v>
      </c>
      <c r="HH39" s="21">
        <f>EXP(-LN(2)/25)*HH38+(1-EXP(-LN(2)/25))/(LN(2)/25)*Calculateur!HC39*Calculateur!HE39*VLOOKUP('Données projet'!$B$18,Paramètres!$A$1:$I$89,3,0)*0.475*44/12</f>
        <v>14.516243973826047</v>
      </c>
      <c r="HI39" s="21">
        <f>EXP(-LN(2)/2)*HI38+(1-EXP(-LN(2)/2))/(LN(2)/2)*HC39*HF39*VLOOKUP('Données projet'!$B$18,Paramètres!$A$1:$I$89,3,0)*0.475*44/12</f>
        <v>0.83794632657408574</v>
      </c>
      <c r="HJ39" s="22">
        <f t="shared" si="30"/>
        <v>22.406430840231828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24.3</v>
      </c>
      <c r="N40" s="13">
        <f>IF('Données projet'!$A$36&gt;35,N39+M40-V39,IF(A40&lt;'Données projet'!$A$36,$K$205^A40,IF(A40='Données projet'!$A$36,'Données projet'!$B$36,N39+M40-V39)))</f>
        <v>404.1</v>
      </c>
      <c r="O40" s="13">
        <f>N40*VLOOKUP('Données projet'!$B$9,Paramètres!$A$1:$I$89,3,0)*VLOOKUP('Données projet'!$B$9,Paramètres!$A$1:$I$89,5,0)</f>
        <v>225.89190000000002</v>
      </c>
      <c r="P40" s="13">
        <f t="shared" si="33"/>
        <v>55.393484688971533</v>
      </c>
      <c r="Q40" s="20">
        <f t="shared" si="53"/>
        <v>489.90537833329205</v>
      </c>
      <c r="R40" s="59">
        <f t="shared" si="0"/>
        <v>783.23871166662536</v>
      </c>
      <c r="S40" s="59">
        <f ca="1">AVERAGE(OFFSET($R$3,0,0,'Données projet'!$E$9+1,1))-AVERAGE(OFFSET($H$3,0,0,'Données projet'!$E$9+1,1))</f>
        <v>370.69652285220093</v>
      </c>
      <c r="T40" s="59">
        <f t="shared" si="34"/>
        <v>376.53494965377718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8.9474111713285005</v>
      </c>
      <c r="AA40" s="21">
        <f>EXP(-LN(2)/25)*AA39+(1-EXP(-LN(2)/25))/(LN(2)/25)*Calculateur!V40*Calculateur!X40*VLOOKUP('Données projet'!$B$9,Paramètres!$A$1:$I$89,3,0)*0.475*44/12</f>
        <v>27.5126003812723</v>
      </c>
      <c r="AB40" s="21">
        <f>EXP(-LN(2)/2)*AB39+(1-EXP(-LN(2)/2))/(LN(2)/2)*V40*Y40*VLOOKUP('Données projet'!$B$9,Paramètres!$A$1:$I$89,3,0)*0.475*44/12</f>
        <v>2.8929298067313751</v>
      </c>
      <c r="AC40" s="22">
        <f t="shared" si="3"/>
        <v>39.352941359332178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153.816</v>
      </c>
      <c r="AK40" s="13">
        <f t="shared" si="35"/>
        <v>39.444513325737063</v>
      </c>
      <c r="AL40" s="20">
        <f t="shared" si="4"/>
        <v>336.59539404232538</v>
      </c>
      <c r="AM40" s="59">
        <f t="shared" si="5"/>
        <v>629.9287273756587</v>
      </c>
      <c r="AN40" s="59">
        <f ca="1">AVERAGE(OFFSET($AM$3,0,0,'Données projet'!$E$10+1,1))-AVERAGE(OFFSET($H$3,0,0,'Données projet'!$E$10+1,1))</f>
        <v>321.03881567735544</v>
      </c>
      <c r="AO40" s="59">
        <f t="shared" si="36"/>
        <v>234.87694492493506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2.096767062371931</v>
      </c>
      <c r="AV40" s="21">
        <f>EXP(-LN(2)/25)*AV39+(1-EXP(-LN(2)/25))/(LN(2)/25)*Calculateur!AQ40*Calculateur!AS40*VLOOKUP('Données projet'!$B$10,Paramètres!$A$1:$I$89,3,0)*0.475*44/12</f>
        <v>11.164197713502606</v>
      </c>
      <c r="AW40" s="21">
        <f>EXP(-LN(2)/2)*AW39+(1-EXP(-LN(2)/2))/(LN(2)/2)*AQ40*AT40*VLOOKUP('Données projet'!$B$10,Paramètres!$A$1:$I$89,3,0)*0.475*44/12</f>
        <v>1.9215701324309982</v>
      </c>
      <c r="AX40" s="21">
        <f t="shared" si="6"/>
        <v>15.182534908305536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15.7</v>
      </c>
      <c r="BD40" s="12">
        <f>IF('Données projet'!$A$88&gt;35,BD39+BC40-BL39,IF(A40&lt;'Données projet'!$A$88,$BA$205^A40,IF(A40='Données projet'!$A$88,'Données projet'!$B$88,BD39+BC40-BL39)))</f>
        <v>308.89999999999992</v>
      </c>
      <c r="BE40" s="13">
        <f>BD40*VLOOKUP('Données projet'!$B$11,Paramètres!$A$1:$I$89,3,0)*VLOOKUP('Données projet'!$B$11,Paramètres!$A$1:$I$89,5,0)</f>
        <v>168.65939999999998</v>
      </c>
      <c r="BF40" s="13">
        <f t="shared" si="37"/>
        <v>42.789635572993348</v>
      </c>
      <c r="BG40" s="20">
        <f t="shared" si="7"/>
        <v>368.27373695629672</v>
      </c>
      <c r="BH40" s="59">
        <f t="shared" si="8"/>
        <v>661.60707028962997</v>
      </c>
      <c r="BI40" s="59">
        <f ca="1">AVERAGE(OFFSET($BH$3,0,0,'Données projet'!$E$11+1,1))-AVERAGE(OFFSET($H$3,0,0,'Données projet'!$E$11+1,1))</f>
        <v>248.1486444660062</v>
      </c>
      <c r="BJ40" s="59">
        <f t="shared" si="38"/>
        <v>293.34458072322127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7.4151906536168521</v>
      </c>
      <c r="BQ40" s="21">
        <f>EXP(-LN(2)/25)*BQ39+(1-EXP(-LN(2)/25))/(LN(2)/25)*Calculateur!BL40*Calculateur!BN40*VLOOKUP('Données projet'!$B$11,Paramètres!$A$1:$I$89,3,0)*0.475*44/12</f>
        <v>28.033176691061353</v>
      </c>
      <c r="BR40" s="21">
        <f>EXP(-LN(2)/2)*BR39+(1-EXP(-LN(2)/2))/(LN(2)/2)*BL40*BO40*VLOOKUP('Données projet'!$B$11,Paramètres!$A$1:$I$89,3,0)*0.475*44/12</f>
        <v>2.2258330340688914</v>
      </c>
      <c r="BS40" s="22">
        <f t="shared" si="9"/>
        <v>37.674200378747095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220.50000000000006</v>
      </c>
      <c r="BZ40" s="13">
        <f>BY40*VLOOKUP('Données projet'!$B$12,Paramètres!$A$1:$I$89,3,0)*VLOOKUP('Données projet'!$B$12,Paramètres!$A$1:$I$89,5,0)</f>
        <v>192.62880000000007</v>
      </c>
      <c r="CA40" s="13">
        <f t="shared" si="39"/>
        <v>48.120677599655217</v>
      </c>
      <c r="CB40" s="20">
        <f t="shared" si="10"/>
        <v>419.30534015273292</v>
      </c>
      <c r="CC40" s="59">
        <f t="shared" si="11"/>
        <v>712.63867348606618</v>
      </c>
      <c r="CD40" s="59">
        <f ca="1">AVERAGE(OFFSET($CC$3,0,0,'Données projet'!$E$12+1,1))-AVERAGE(OFFSET($H$3,0,0,'Données projet'!$E$12+1,1))</f>
        <v>243.38048563215585</v>
      </c>
      <c r="CE40" s="59">
        <f t="shared" si="40"/>
        <v>372.1604147006675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6.3626034996113781</v>
      </c>
      <c r="CL40" s="21">
        <f>EXP(-LN(2)/25)*CL39+(1-EXP(-LN(2)/25))/(LN(2)/25)*Calculateur!CG40*Calculateur!CI40*VLOOKUP('Données projet'!$B$12,Paramètres!$A$1:$I$89,3,0)*0.475*44/12</f>
        <v>15.946722213414004</v>
      </c>
      <c r="CM40" s="21">
        <f>EXP(-LN(2)/2)*CM39+(1-EXP(-LN(2)/2))/(LN(2)/2)*CG40*CJ40*VLOOKUP('Données projet'!$B$12,Paramètres!$A$1:$I$89,3,0)*0.475*44/12</f>
        <v>2.5910990384622981</v>
      </c>
      <c r="CN40" s="22">
        <f t="shared" si="12"/>
        <v>24.900424751487677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24.6</v>
      </c>
      <c r="CT40" s="12">
        <f>IF('Données projet'!$A$140&gt;35,CT39+CS40-DB39,IF(A40&lt;'Données projet'!$A$140,$CQ$205^A40,IF(A40='Données projet'!$A$140,'Données projet'!$B$140,CT39+CS40-DB39)))</f>
        <v>394.2000000000001</v>
      </c>
      <c r="CU40" s="17">
        <f>CT40*VLOOKUP('Données projet'!$B$13,Paramètres!$A$1:$I$89,3,0)*VLOOKUP('Données projet'!$B$13,Paramètres!$A$1:$I$89,5,0)</f>
        <v>189.61020000000005</v>
      </c>
      <c r="CV40" s="13">
        <f t="shared" si="41"/>
        <v>47.45376330786209</v>
      </c>
      <c r="CW40" s="20">
        <f t="shared" si="13"/>
        <v>412.88640276119321</v>
      </c>
      <c r="CX40" s="59">
        <f t="shared" si="14"/>
        <v>706.21973609452652</v>
      </c>
      <c r="CY40" s="59">
        <f ca="1">AVERAGE(OFFSET($CX$3,0,0,'Données projet'!$E$13+1,1))-AVERAGE(OFFSET($H$3,0,0,'Données projet'!$E$13+1,1))</f>
        <v>297.21955661193238</v>
      </c>
      <c r="CZ40" s="59">
        <f t="shared" si="42"/>
        <v>273.69206144662144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5.865855385854343</v>
      </c>
      <c r="DG40" s="21">
        <f>EXP(-LN(2)/25)*DG39+(1-EXP(-LN(2)/25))/(LN(2)/25)*Calculateur!DB40*Calculateur!DD40*VLOOKUP('Données projet'!$B$13,Paramètres!$A$1:$I$89,3,0)*0.475*44/12</f>
        <v>11.055174186111392</v>
      </c>
      <c r="DH40" s="21">
        <f>EXP(-LN(2)/2)*DH39+(1-EXP(-LN(2)/2))/(LN(2)/2)*DB40*DE40*VLOOKUP('Données projet'!$B$13,Paramètres!$A$1:$I$89,3,0)*0.475*44/12</f>
        <v>1.8484463719486366</v>
      </c>
      <c r="DI40" s="22">
        <f t="shared" si="15"/>
        <v>18.769475943914372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180.36251999999996</v>
      </c>
      <c r="DQ40" s="13">
        <f t="shared" si="43"/>
        <v>45.402830740762262</v>
      </c>
      <c r="DR40" s="20">
        <f t="shared" si="16"/>
        <v>393.20798587349418</v>
      </c>
      <c r="DS40" s="59">
        <f t="shared" si="17"/>
        <v>686.54131920682744</v>
      </c>
      <c r="DT40" s="59">
        <f ca="1">AVERAGE(OFFSET($DS$3,0,0,'Données projet'!$E$14+1,1))-AVERAGE(OFFSET($H$3,0,0,'Données projet'!$E$14+1,1))</f>
        <v>260.20517190557814</v>
      </c>
      <c r="DU40" s="59">
        <f t="shared" si="44"/>
        <v>307.22009971147133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2.8405981202843482</v>
      </c>
      <c r="EB40" s="21">
        <f>EXP(-LN(2)/25)*EB39+(1-EXP(-LN(2)/25))/(LN(2)/25)*Calculateur!DW40*Calculateur!DY40*VLOOKUP('Données projet'!$B$14,Paramètres!$A$1:$I$89,3,0)*0.475*44/12</f>
        <v>16.899760482042026</v>
      </c>
      <c r="EC40" s="21">
        <f>EXP(-LN(2)/2)*EC39+(1-EXP(-LN(2)/2))/(LN(2)/2)*DW40*DZ40*VLOOKUP('Données projet'!$B$14,Paramètres!$A$1:$I$89,3,0)*0.475*44/12</f>
        <v>2.1247705166625459</v>
      </c>
      <c r="ED40" s="22">
        <f t="shared" si="18"/>
        <v>21.865129118988921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12.4</v>
      </c>
      <c r="EJ40" s="12">
        <f>IF('Données projet'!$A$192&gt;35,EJ39+EI40-ER39,IF(A40&lt;'Données projet'!$A$192,$EG$205^A40,IF(A40='Données projet'!$A$192,'Données projet'!$B$192,EJ39+EI40-ER39)))</f>
        <v>259.80000000000013</v>
      </c>
      <c r="EK40" s="17">
        <f>EJ40*VLOOKUP('Données projet'!$B$15,Paramètres!$A$1:$I$89,3,0)*VLOOKUP('Données projet'!$B$15,Paramètres!$A$1:$I$89,5,0)</f>
        <v>155.36040000000008</v>
      </c>
      <c r="EL40" s="13">
        <f t="shared" si="45"/>
        <v>39.79425523270892</v>
      </c>
      <c r="EM40" s="20">
        <f t="shared" si="19"/>
        <v>339.89435786363481</v>
      </c>
      <c r="EN40" s="59">
        <f t="shared" si="20"/>
        <v>633.22769119696818</v>
      </c>
      <c r="EO40" s="59">
        <f ca="1">AVERAGE(OFFSET($EN$3,0,0,'Données projet'!$E$15+1,1))-AVERAGE(OFFSET($H$3,0,0,'Données projet'!$E$15+1,1))</f>
        <v>259.30247982593914</v>
      </c>
      <c r="EP40" s="59">
        <f t="shared" si="46"/>
        <v>275.24740346220779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14.851827547422511</v>
      </c>
      <c r="EX40" s="21">
        <f>EXP(-LN(2)/2)*EX39+(1-EXP(-LN(2)/2))/(LN(2)/2)*ER40*EU40*VLOOKUP('Données projet'!$B$15,Paramètres!$A$1:$I$89,3,0)*0.475*44/12</f>
        <v>2.5350193691519172</v>
      </c>
      <c r="EY40" s="22">
        <f t="shared" si="21"/>
        <v>17.386846916574427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</v>
      </c>
      <c r="FE40" s="12">
        <f>IF('Données projet'!$A$218&gt;35,FE39+FD40-FM39,IF(A40&lt;'Données projet'!$A$218,$FB$205^A40,IF(A40='Données projet'!$A$218,'Données projet'!$B$218,FE39+FD40-FM39)))</f>
        <v>170</v>
      </c>
      <c r="FF40" s="17">
        <f>FE40*VLOOKUP('Données projet'!$B$16,Paramètres!$A$1:$I$89,3,0)*VLOOKUP('Données projet'!$B$16,Paramètres!$A$1:$I$89,5,0)</f>
        <v>172.38</v>
      </c>
      <c r="FG40" s="13">
        <f t="shared" si="47"/>
        <v>43.622632337547088</v>
      </c>
      <c r="FH40" s="20">
        <f t="shared" si="22"/>
        <v>376.20458465456113</v>
      </c>
      <c r="FI40" s="59">
        <f t="shared" si="23"/>
        <v>669.53791798789439</v>
      </c>
      <c r="FJ40" s="59">
        <f ca="1">AVERAGE(OFFSET($FI$3,0,0,'Données projet'!$E$16+1,1))-AVERAGE(OFFSET($H$3,0,0,'Données projet'!$E$16+1,1))</f>
        <v>372.91317851957336</v>
      </c>
      <c r="FK40" s="59">
        <f t="shared" si="48"/>
        <v>269.69187715858413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2.3498251561064749</v>
      </c>
      <c r="FR40" s="21">
        <f>EXP(-LN(2)/25)*FR39+(1-EXP(-LN(2)/25))/(LN(2)/25)*Calculateur!FM40*Calculateur!FO40*VLOOKUP('Données projet'!$B$16,Paramètres!$A$1:$I$89,3,0)*0.475*44/12</f>
        <v>12.511600885821887</v>
      </c>
      <c r="FS40" s="21">
        <f>EXP(-LN(2)/2)*FS39+(1-EXP(-LN(2)/2))/(LN(2)/2)*FM40*FP40*VLOOKUP('Données projet'!$B$16,Paramètres!$A$1:$I$89,3,0)*0.475*44/12</f>
        <v>2.1534837691037056</v>
      </c>
      <c r="FT40" s="22">
        <f t="shared" si="24"/>
        <v>17.014909811032066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10.000000000000004</v>
      </c>
      <c r="FZ40" s="12">
        <f>IF('Données projet'!$A$244&gt;35,FZ39+FY40-GH39,IF(A40&lt;'Données projet'!$A$244,$FW$205^A40,IF(A40='Données projet'!$A$244,'Données projet'!$B$244,FZ39+FY40-GH39)))</f>
        <v>261.59999999999991</v>
      </c>
      <c r="GA40" s="17">
        <f>FZ40*VLOOKUP('Données projet'!$B$17,Paramètres!$A$1:$I$89,3,0)*VLOOKUP('Données projet'!$B$17,Paramètres!$A$1:$I$89,5,0)</f>
        <v>122.42879999999995</v>
      </c>
      <c r="GB40" s="13">
        <f t="shared" si="49"/>
        <v>32.240814688958388</v>
      </c>
      <c r="GC40" s="20">
        <f t="shared" si="25"/>
        <v>269.38291224993577</v>
      </c>
      <c r="GD40" s="59">
        <f t="shared" si="26"/>
        <v>562.71624558326903</v>
      </c>
      <c r="GE40" s="59">
        <f ca="1">AVERAGE(OFFSET($GD$3,0,0,'Données projet'!$E$17+1,1))-AVERAGE(OFFSET($H$3,0,0,'Données projet'!$E$17+1,1))</f>
        <v>215.23235148064941</v>
      </c>
      <c r="GF40" s="59">
        <f t="shared" si="50"/>
        <v>184.07239726900434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2.7288117791626449</v>
      </c>
      <c r="GM40" s="21">
        <f>EXP(-LN(2)/25)*GM39+(1-EXP(-LN(2)/25))/(LN(2)/25)*Calculateur!GH40*Calculateur!GJ40*VLOOKUP('Données projet'!$B$17,Paramètres!$A$1:$I$89,3,0)*0.475*44/12</f>
        <v>6.4696898784144414</v>
      </c>
      <c r="GN40" s="21">
        <f>EXP(-LN(2)/2)*GN39+(1-EXP(-LN(2)/2))/(LN(2)/2)*GH40*GK40*VLOOKUP('Données projet'!$B$17,Paramètres!$A$1:$I$89,3,0)*0.475*44/12</f>
        <v>0.86904983288002213</v>
      </c>
      <c r="GO40" s="21">
        <f t="shared" si="27"/>
        <v>10.067551490457108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14.833333333333334</v>
      </c>
      <c r="GU40" s="12">
        <f>IF('Données projet'!$A$270&gt;35,GU39+GT40-HC39,IF(A40&lt;'Données projet'!$A$270,$GR$205^A40,IF(A40='Données projet'!$A$270,'Données projet'!$B$270,GU39+GT40-HC39)))</f>
        <v>288.49999999999994</v>
      </c>
      <c r="GV40" s="17">
        <f>GU40*VLOOKUP('Données projet'!$B$18,Paramètres!$A$1:$I$89,3,0)*VLOOKUP('Données projet'!$B$18,Paramètres!$A$1:$I$89,5,0)</f>
        <v>172.52299999999997</v>
      </c>
      <c r="GW40" s="13">
        <f t="shared" si="51"/>
        <v>43.654606249530367</v>
      </c>
      <c r="GX40" s="20">
        <f t="shared" si="28"/>
        <v>376.50933088459868</v>
      </c>
      <c r="GY40" s="59">
        <f t="shared" si="29"/>
        <v>669.842664217932</v>
      </c>
      <c r="GZ40" s="59">
        <f ca="1">AVERAGE(OFFSET($GY$3,0,0,'Données projet'!$E$18+1,1))-AVERAGE(OFFSET($H$3,0,0,'Données projet'!$E$18+1,1))</f>
        <v>227.89848316900191</v>
      </c>
      <c r="HA40" s="59">
        <f t="shared" si="52"/>
        <v>239.85955661394541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6.9139504042875908</v>
      </c>
      <c r="HH40" s="21">
        <f>EXP(-LN(2)/25)*HH39+(1-EXP(-LN(2)/25))/(LN(2)/25)*Calculateur!HC40*Calculateur!HE40*VLOOKUP('Données projet'!$B$18,Paramètres!$A$1:$I$89,3,0)*0.475*44/12</f>
        <v>14.11929651898568</v>
      </c>
      <c r="HI40" s="21">
        <f>EXP(-LN(2)/2)*HI39+(1-EXP(-LN(2)/2))/(LN(2)/2)*HC40*HF40*VLOOKUP('Données projet'!$B$18,Paramètres!$A$1:$I$89,3,0)*0.475*44/12</f>
        <v>0.59251752979089334</v>
      </c>
      <c r="HJ40" s="22">
        <f t="shared" si="30"/>
        <v>21.625764453064164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24.3</v>
      </c>
      <c r="N41" s="13">
        <f>IF('Données projet'!$A$36&gt;35,N40+M41-V40,IF(A41&lt;'Données projet'!$A$36,$K$205^A41,IF(A41='Données projet'!$A$36,'Données projet'!$B$36,N40+M41-V40)))</f>
        <v>428.40000000000003</v>
      </c>
      <c r="O41" s="13">
        <f>N41*VLOOKUP('Données projet'!$B$9,Paramètres!$A$1:$I$89,3,0)*VLOOKUP('Données projet'!$B$9,Paramètres!$A$1:$I$89,5,0)</f>
        <v>239.47560000000004</v>
      </c>
      <c r="P41" s="13">
        <f t="shared" si="33"/>
        <v>58.326688908078204</v>
      </c>
      <c r="Q41" s="20">
        <f t="shared" si="53"/>
        <v>518.67231984823627</v>
      </c>
      <c r="R41" s="59">
        <f t="shared" si="0"/>
        <v>812.00565318156964</v>
      </c>
      <c r="S41" s="59">
        <f ca="1">AVERAGE(OFFSET($R$3,0,0,'Données projet'!$E$9+1,1))-AVERAGE(OFFSET($H$3,0,0,'Données projet'!$E$9+1,1))</f>
        <v>370.69652285220093</v>
      </c>
      <c r="T41" s="59">
        <f t="shared" si="34"/>
        <v>376.53494965377718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8.7719578956406909</v>
      </c>
      <c r="AA41" s="21">
        <f>EXP(-LN(2)/25)*AA40+(1-EXP(-LN(2)/25))/(LN(2)/25)*Calculateur!V41*Calculateur!X41*VLOOKUP('Données projet'!$B$9,Paramètres!$A$1:$I$89,3,0)*0.475*44/12</f>
        <v>26.760266877021635</v>
      </c>
      <c r="AB41" s="21">
        <f>EXP(-LN(2)/2)*AB40+(1-EXP(-LN(2)/2))/(LN(2)/2)*V41*Y41*VLOOKUP('Données projet'!$B$9,Paramètres!$A$1:$I$89,3,0)*0.475*44/12</f>
        <v>2.0456102838364436</v>
      </c>
      <c r="AC41" s="22">
        <f t="shared" si="3"/>
        <v>37.57783505649877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163.7688</v>
      </c>
      <c r="AK41" s="13">
        <f t="shared" si="35"/>
        <v>41.691423503509803</v>
      </c>
      <c r="AL41" s="20">
        <f t="shared" si="4"/>
        <v>357.84322260194625</v>
      </c>
      <c r="AM41" s="59">
        <f t="shared" si="5"/>
        <v>651.17655593527957</v>
      </c>
      <c r="AN41" s="59">
        <f ca="1">AVERAGE(OFFSET($AM$3,0,0,'Données projet'!$E$10+1,1))-AVERAGE(OFFSET($H$3,0,0,'Données projet'!$E$10+1,1))</f>
        <v>321.03881567735544</v>
      </c>
      <c r="AO41" s="59">
        <f t="shared" si="36"/>
        <v>234.87694492493506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2.0556507391804444</v>
      </c>
      <c r="AV41" s="21">
        <f>EXP(-LN(2)/25)*AV40+(1-EXP(-LN(2)/25))/(LN(2)/25)*Calculateur!AQ41*Calculateur!AS41*VLOOKUP('Données projet'!$B$10,Paramètres!$A$1:$I$89,3,0)*0.475*44/12</f>
        <v>10.858912139927236</v>
      </c>
      <c r="AW41" s="21">
        <f>EXP(-LN(2)/2)*AW40+(1-EXP(-LN(2)/2))/(LN(2)/2)*AQ41*AT41*VLOOKUP('Données projet'!$B$10,Paramètres!$A$1:$I$89,3,0)*0.475*44/12</f>
        <v>1.3587552711674911</v>
      </c>
      <c r="AX41" s="21">
        <f t="shared" si="6"/>
        <v>14.273318150275172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15.7</v>
      </c>
      <c r="BD41" s="12">
        <f>IF('Données projet'!$A$88&gt;35,BD40+BC41-BL40,IF(A41&lt;'Données projet'!$A$88,$BA$205^A41,IF(A41='Données projet'!$A$88,'Données projet'!$B$88,BD40+BC41-BL40)))</f>
        <v>324.59999999999991</v>
      </c>
      <c r="BE41" s="13">
        <f>BD41*VLOOKUP('Données projet'!$B$11,Paramètres!$A$1:$I$89,3,0)*VLOOKUP('Données projet'!$B$11,Paramètres!$A$1:$I$89,5,0)</f>
        <v>177.23159999999996</v>
      </c>
      <c r="BF41" s="13">
        <f t="shared" si="37"/>
        <v>44.70571367190955</v>
      </c>
      <c r="BG41" s="20">
        <f t="shared" si="7"/>
        <v>386.54082131190904</v>
      </c>
      <c r="BH41" s="59">
        <f t="shared" si="8"/>
        <v>679.87415464524236</v>
      </c>
      <c r="BI41" s="59">
        <f ca="1">AVERAGE(OFFSET($BH$3,0,0,'Données projet'!$E$11+1,1))-AVERAGE(OFFSET($H$3,0,0,'Données projet'!$E$11+1,1))</f>
        <v>248.1486444660062</v>
      </c>
      <c r="BJ41" s="59">
        <f t="shared" si="38"/>
        <v>293.34458072322127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7.2697832877191333</v>
      </c>
      <c r="BQ41" s="21">
        <f>EXP(-LN(2)/25)*BQ40+(1-EXP(-LN(2)/25))/(LN(2)/25)*Calculateur!BL41*Calculateur!BN41*VLOOKUP('Données projet'!$B$11,Paramètres!$A$1:$I$89,3,0)*0.475*44/12</f>
        <v>27.26660800024359</v>
      </c>
      <c r="BR41" s="21">
        <f>EXP(-LN(2)/2)*BR40+(1-EXP(-LN(2)/2))/(LN(2)/2)*BL41*BO41*VLOOKUP('Données projet'!$B$11,Paramètres!$A$1:$I$89,3,0)*0.475*44/12</f>
        <v>1.5739016321791408</v>
      </c>
      <c r="BS41" s="22">
        <f t="shared" si="9"/>
        <v>36.110292920141866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11.5</v>
      </c>
      <c r="BY41" s="12">
        <f>IF('Données projet'!$A$114&gt;35,BY40+BX41-CG40,IF(A41&lt;'Données projet'!$A$114,$BV$205^A41,IF(A41='Données projet'!$A$114,'Données projet'!$B$114,BY40+BX41-CG40)))</f>
        <v>232.00000000000006</v>
      </c>
      <c r="BZ41" s="13">
        <f>BY41*VLOOKUP('Données projet'!$B$12,Paramètres!$A$1:$I$89,3,0)*VLOOKUP('Données projet'!$B$12,Paramètres!$A$1:$I$89,5,0)</f>
        <v>202.67520000000007</v>
      </c>
      <c r="CA41" s="13">
        <f t="shared" si="39"/>
        <v>50.331640285313689</v>
      </c>
      <c r="CB41" s="20">
        <f t="shared" si="10"/>
        <v>440.65358016358806</v>
      </c>
      <c r="CC41" s="59">
        <f t="shared" si="11"/>
        <v>733.98691349692137</v>
      </c>
      <c r="CD41" s="59">
        <f ca="1">AVERAGE(OFFSET($CC$3,0,0,'Données projet'!$E$12+1,1))-AVERAGE(OFFSET($H$3,0,0,'Données projet'!$E$12+1,1))</f>
        <v>243.38048563215585</v>
      </c>
      <c r="CE41" s="59">
        <f t="shared" si="40"/>
        <v>372.1604147006675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6.2378367257889362</v>
      </c>
      <c r="CL41" s="21">
        <f>EXP(-LN(2)/25)*CL40+(1-EXP(-LN(2)/25))/(LN(2)/25)*Calculateur!CG41*Calculateur!CI41*VLOOKUP('Données projet'!$B$12,Paramètres!$A$1:$I$89,3,0)*0.475*44/12</f>
        <v>15.510658255886524</v>
      </c>
      <c r="CM41" s="21">
        <f>EXP(-LN(2)/2)*CM40+(1-EXP(-LN(2)/2))/(LN(2)/2)*CG41*CJ41*VLOOKUP('Données projet'!$B$12,Paramètres!$A$1:$I$89,3,0)*0.475*44/12</f>
        <v>1.832183700822634</v>
      </c>
      <c r="CN41" s="22">
        <f t="shared" si="12"/>
        <v>23.580678682498093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24.6</v>
      </c>
      <c r="CT41" s="12">
        <f>IF('Données projet'!$A$140&gt;35,CT40+CS41-DB40,IF(A41&lt;'Données projet'!$A$140,$CQ$205^A41,IF(A41='Données projet'!$A$140,'Données projet'!$B$140,CT40+CS41-DB40)))</f>
        <v>418.80000000000013</v>
      </c>
      <c r="CU41" s="17">
        <f>CT41*VLOOKUP('Données projet'!$B$13,Paramètres!$A$1:$I$89,3,0)*VLOOKUP('Données projet'!$B$13,Paramètres!$A$1:$I$89,5,0)</f>
        <v>201.44280000000006</v>
      </c>
      <c r="CV41" s="13">
        <f t="shared" si="41"/>
        <v>50.061118723064368</v>
      </c>
      <c r="CW41" s="20">
        <f t="shared" si="13"/>
        <v>438.03599177600387</v>
      </c>
      <c r="CX41" s="59">
        <f t="shared" si="14"/>
        <v>731.36932510933718</v>
      </c>
      <c r="CY41" s="59">
        <f ca="1">AVERAGE(OFFSET($CX$3,0,0,'Données projet'!$E$13+1,1))-AVERAGE(OFFSET($H$3,0,0,'Données projet'!$E$13+1,1))</f>
        <v>297.21955661193238</v>
      </c>
      <c r="CZ41" s="59">
        <f t="shared" si="42"/>
        <v>273.69206144662144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5.7508295395562445</v>
      </c>
      <c r="DG41" s="21">
        <f>EXP(-LN(2)/25)*DG40+(1-EXP(-LN(2)/25))/(LN(2)/25)*Calculateur!DB41*Calculateur!DD41*VLOOKUP('Données projet'!$B$13,Paramètres!$A$1:$I$89,3,0)*0.475*44/12</f>
        <v>10.752869866625833</v>
      </c>
      <c r="DH41" s="21">
        <f>EXP(-LN(2)/2)*DH40+(1-EXP(-LN(2)/2))/(LN(2)/2)*DB41*DE41*VLOOKUP('Données projet'!$B$13,Paramètres!$A$1:$I$89,3,0)*0.475*44/12</f>
        <v>1.3070489642645522</v>
      </c>
      <c r="DI41" s="22">
        <f t="shared" si="15"/>
        <v>17.810748370446632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189.98927999999998</v>
      </c>
      <c r="DQ41" s="13">
        <f t="shared" si="43"/>
        <v>47.537582803650189</v>
      </c>
      <c r="DR41" s="20">
        <f t="shared" si="16"/>
        <v>413.69261938302407</v>
      </c>
      <c r="DS41" s="59">
        <f t="shared" si="17"/>
        <v>707.02595271635732</v>
      </c>
      <c r="DT41" s="59">
        <f ca="1">AVERAGE(OFFSET($DS$3,0,0,'Données projet'!$E$14+1,1))-AVERAGE(OFFSET($H$3,0,0,'Données projet'!$E$14+1,1))</f>
        <v>260.20517190557814</v>
      </c>
      <c r="DU41" s="59">
        <f t="shared" si="44"/>
        <v>307.22009971147133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2.7848957237393459</v>
      </c>
      <c r="EB41" s="21">
        <f>EXP(-LN(2)/25)*EB40+(1-EXP(-LN(2)/25))/(LN(2)/25)*Calculateur!DW41*Calculateur!DY41*VLOOKUP('Données projet'!$B$14,Paramètres!$A$1:$I$89,3,0)*0.475*44/12</f>
        <v>16.437635642940808</v>
      </c>
      <c r="EC41" s="21">
        <f>EXP(-LN(2)/2)*EC40+(1-EXP(-LN(2)/2))/(LN(2)/2)*DW41*DZ41*VLOOKUP('Données projet'!$B$14,Paramètres!$A$1:$I$89,3,0)*0.475*44/12</f>
        <v>1.5024396407973304</v>
      </c>
      <c r="ED41" s="22">
        <f t="shared" si="18"/>
        <v>20.724971007477485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12.4</v>
      </c>
      <c r="EJ41" s="12">
        <f>IF('Données projet'!$A$192&gt;35,EJ40+EI41-ER40,IF(A41&lt;'Données projet'!$A$192,$EG$205^A41,IF(A41='Données projet'!$A$192,'Données projet'!$B$192,EJ40+EI41-ER40)))</f>
        <v>272.2000000000001</v>
      </c>
      <c r="EK41" s="17">
        <f>EJ41*VLOOKUP('Données projet'!$B$15,Paramètres!$A$1:$I$89,3,0)*VLOOKUP('Données projet'!$B$15,Paramètres!$A$1:$I$89,5,0)</f>
        <v>162.77560000000005</v>
      </c>
      <c r="EL41" s="13">
        <f t="shared" si="45"/>
        <v>41.467931707956311</v>
      </c>
      <c r="EM41" s="20">
        <f t="shared" si="19"/>
        <v>355.72415105802401</v>
      </c>
      <c r="EN41" s="59">
        <f t="shared" si="20"/>
        <v>649.05748439135732</v>
      </c>
      <c r="EO41" s="59">
        <f ca="1">AVERAGE(OFFSET($EN$3,0,0,'Données projet'!$E$15+1,1))-AVERAGE(OFFSET($H$3,0,0,'Données projet'!$E$15+1,1))</f>
        <v>259.30247982593914</v>
      </c>
      <c r="EP41" s="59">
        <f t="shared" si="46"/>
        <v>275.24740346220779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14.445703542114575</v>
      </c>
      <c r="EX41" s="21">
        <f>EXP(-LN(2)/2)*EX40+(1-EXP(-LN(2)/2))/(LN(2)/2)*ER41*EU41*VLOOKUP('Données projet'!$B$15,Paramètres!$A$1:$I$89,3,0)*0.475*44/12</f>
        <v>1.7925293863665646</v>
      </c>
      <c r="EY41" s="22">
        <f t="shared" si="21"/>
        <v>16.238232928481139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</v>
      </c>
      <c r="FE41" s="12">
        <f>IF('Données projet'!$A$218&gt;35,FE40+FD41-FM40,IF(A41&lt;'Données projet'!$A$218,$FB$205^A41,IF(A41='Données projet'!$A$218,'Données projet'!$B$218,FE40+FD41-FM40)))</f>
        <v>181</v>
      </c>
      <c r="FF41" s="17">
        <f>FE41*VLOOKUP('Données projet'!$B$16,Paramètres!$A$1:$I$89,3,0)*VLOOKUP('Données projet'!$B$16,Paramètres!$A$1:$I$89,5,0)</f>
        <v>183.53400000000002</v>
      </c>
      <c r="FG41" s="13">
        <f t="shared" si="47"/>
        <v>46.107544136839593</v>
      </c>
      <c r="FH41" s="20">
        <f t="shared" si="22"/>
        <v>399.95902270499568</v>
      </c>
      <c r="FI41" s="59">
        <f t="shared" si="23"/>
        <v>693.29235603832899</v>
      </c>
      <c r="FJ41" s="59">
        <f ca="1">AVERAGE(OFFSET($FI$3,0,0,'Données projet'!$E$16+1,1))-AVERAGE(OFFSET($H$3,0,0,'Données projet'!$E$16+1,1))</f>
        <v>372.91317851957336</v>
      </c>
      <c r="FK41" s="59">
        <f t="shared" si="48"/>
        <v>269.69187715858413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2.3037465180470504</v>
      </c>
      <c r="FR41" s="21">
        <f>EXP(-LN(2)/25)*FR40+(1-EXP(-LN(2)/25))/(LN(2)/25)*Calculateur!FM41*Calculateur!FO41*VLOOKUP('Données projet'!$B$16,Paramètres!$A$1:$I$89,3,0)*0.475*44/12</f>
        <v>12.169470501642593</v>
      </c>
      <c r="FS41" s="21">
        <f>EXP(-LN(2)/2)*FS40+(1-EXP(-LN(2)/2))/(LN(2)/2)*FM41*FP41*VLOOKUP('Données projet'!$B$16,Paramètres!$A$1:$I$89,3,0)*0.475*44/12</f>
        <v>1.5227429763083957</v>
      </c>
      <c r="FT41" s="22">
        <f t="shared" si="24"/>
        <v>15.995959995998039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10.000000000000004</v>
      </c>
      <c r="FZ41" s="12">
        <f>IF('Données projet'!$A$244&gt;35,FZ40+FY41-GH40,IF(A41&lt;'Données projet'!$A$244,$FW$205^A41,IF(A41='Données projet'!$A$244,'Données projet'!$B$244,FZ40+FY41-GH40)))</f>
        <v>271.59999999999991</v>
      </c>
      <c r="GA41" s="17">
        <f>FZ41*VLOOKUP('Données projet'!$B$17,Paramètres!$A$1:$I$89,3,0)*VLOOKUP('Données projet'!$B$17,Paramètres!$A$1:$I$89,5,0)</f>
        <v>127.10879999999996</v>
      </c>
      <c r="GB41" s="13">
        <f t="shared" si="49"/>
        <v>33.32741592766736</v>
      </c>
      <c r="GC41" s="20">
        <f t="shared" si="25"/>
        <v>279.4264094073539</v>
      </c>
      <c r="GD41" s="59">
        <f t="shared" si="26"/>
        <v>572.75974274068722</v>
      </c>
      <c r="GE41" s="59">
        <f ca="1">AVERAGE(OFFSET($GD$3,0,0,'Données projet'!$E$17+1,1))-AVERAGE(OFFSET($H$3,0,0,'Données projet'!$E$17+1,1))</f>
        <v>215.23235148064941</v>
      </c>
      <c r="GF41" s="59">
        <f t="shared" si="50"/>
        <v>184.07239726900434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2.6753014445841039</v>
      </c>
      <c r="GM41" s="21">
        <f>EXP(-LN(2)/25)*GM40+(1-EXP(-LN(2)/25))/(LN(2)/25)*Calculateur!GH41*Calculateur!GJ41*VLOOKUP('Données projet'!$B$17,Paramètres!$A$1:$I$89,3,0)*0.475*44/12</f>
        <v>6.2927758684629946</v>
      </c>
      <c r="GN41" s="21">
        <f>EXP(-LN(2)/2)*GN40+(1-EXP(-LN(2)/2))/(LN(2)/2)*GH41*GK41*VLOOKUP('Données projet'!$B$17,Paramètres!$A$1:$I$89,3,0)*0.475*44/12</f>
        <v>0.61451103001849949</v>
      </c>
      <c r="GO41" s="21">
        <f t="shared" si="27"/>
        <v>9.5825883430655985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14.833333333333334</v>
      </c>
      <c r="GU41" s="12">
        <f>IF('Données projet'!$A$270&gt;35,GU40+GT41-HC40,IF(A41&lt;'Données projet'!$A$270,$GR$205^A41,IF(A41='Données projet'!$A$270,'Données projet'!$B$270,GU40+GT41-HC40)))</f>
        <v>303.33333333333326</v>
      </c>
      <c r="GV41" s="17">
        <f>GU41*VLOOKUP('Données projet'!$B$18,Paramètres!$A$1:$I$89,3,0)*VLOOKUP('Données projet'!$B$18,Paramètres!$A$1:$I$89,5,0)</f>
        <v>181.39333333333329</v>
      </c>
      <c r="GW41" s="13">
        <f t="shared" si="51"/>
        <v>45.632037908846122</v>
      </c>
      <c r="GX41" s="20">
        <f t="shared" si="28"/>
        <v>395.40252158012913</v>
      </c>
      <c r="GY41" s="59">
        <f t="shared" si="29"/>
        <v>688.73585491346239</v>
      </c>
      <c r="GZ41" s="59">
        <f ca="1">AVERAGE(OFFSET($GY$3,0,0,'Données projet'!$E$18+1,1))-AVERAGE(OFFSET($H$3,0,0,'Données projet'!$E$18+1,1))</f>
        <v>227.89848316900191</v>
      </c>
      <c r="HA41" s="59">
        <f t="shared" si="52"/>
        <v>239.85955661394541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6.7783720539528547</v>
      </c>
      <c r="HH41" s="21">
        <f>EXP(-LN(2)/25)*HH40+(1-EXP(-LN(2)/25))/(LN(2)/25)*Calculateur!HC41*Calculateur!HE41*VLOOKUP('Données projet'!$B$18,Paramètres!$A$1:$I$89,3,0)*0.475*44/12</f>
        <v>13.733203613172483</v>
      </c>
      <c r="HI41" s="21">
        <f>EXP(-LN(2)/2)*HI40+(1-EXP(-LN(2)/2))/(LN(2)/2)*HC41*HF41*VLOOKUP('Données projet'!$B$18,Paramètres!$A$1:$I$89,3,0)*0.475*44/12</f>
        <v>0.41897316328704287</v>
      </c>
      <c r="HJ41" s="22">
        <f t="shared" si="30"/>
        <v>20.930548830412381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24.3</v>
      </c>
      <c r="N42" s="13">
        <f>IF('Données projet'!$A$36&gt;35,N41+M42-V41,IF(A42&lt;'Données projet'!$A$36,$K$205^A42,IF(A42='Données projet'!$A$36,'Données projet'!$B$36,N41+M42-V41)))</f>
        <v>452.70000000000005</v>
      </c>
      <c r="O42" s="13">
        <f>N42*VLOOKUP('Données projet'!$B$9,Paramètres!$A$1:$I$89,3,0)*VLOOKUP('Données projet'!$B$9,Paramètres!$A$1:$I$89,5,0)</f>
        <v>253.05930000000004</v>
      </c>
      <c r="P42" s="13">
        <f t="shared" si="33"/>
        <v>61.240579446228374</v>
      </c>
      <c r="Q42" s="20">
        <f t="shared" si="53"/>
        <v>547.40562336884784</v>
      </c>
      <c r="R42" s="59">
        <f t="shared" si="0"/>
        <v>840.73895670218121</v>
      </c>
      <c r="S42" s="59">
        <f ca="1">AVERAGE(OFFSET($R$3,0,0,'Données projet'!$E$9+1,1))-AVERAGE(OFFSET($H$3,0,0,'Données projet'!$E$9+1,1))</f>
        <v>370.69652285220093</v>
      </c>
      <c r="T42" s="59">
        <f t="shared" si="34"/>
        <v>376.53494965377718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8.5999451516731877</v>
      </c>
      <c r="AA42" s="21">
        <f>EXP(-LN(2)/25)*AA41+(1-EXP(-LN(2)/25))/(LN(2)/25)*Calculateur!V42*Calculateur!X42*VLOOKUP('Données projet'!$B$9,Paramètres!$A$1:$I$89,3,0)*0.475*44/12</f>
        <v>26.028505972008205</v>
      </c>
      <c r="AB42" s="21">
        <f>EXP(-LN(2)/2)*AB41+(1-EXP(-LN(2)/2))/(LN(2)/2)*V42*Y42*VLOOKUP('Données projet'!$B$9,Paramètres!$A$1:$I$89,3,0)*0.475*44/12</f>
        <v>1.4464649033656876</v>
      </c>
      <c r="AC42" s="22">
        <f t="shared" si="3"/>
        <v>36.074916027047081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173.7216</v>
      </c>
      <c r="AK42" s="13">
        <f t="shared" si="35"/>
        <v>43.922484755075111</v>
      </c>
      <c r="AL42" s="20">
        <f t="shared" si="4"/>
        <v>379.06344761508916</v>
      </c>
      <c r="AM42" s="59">
        <f t="shared" si="5"/>
        <v>672.39678094842247</v>
      </c>
      <c r="AN42" s="59">
        <f ca="1">AVERAGE(OFFSET($AM$3,0,0,'Données projet'!$E$10+1,1))-AVERAGE(OFFSET($H$3,0,0,'Données projet'!$E$10+1,1))</f>
        <v>321.03881567735544</v>
      </c>
      <c r="AO42" s="59">
        <f t="shared" si="36"/>
        <v>234.87694492493506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2.015340682008262</v>
      </c>
      <c r="AV42" s="21">
        <f>EXP(-LN(2)/25)*AV41+(1-EXP(-LN(2)/25))/(LN(2)/25)*Calculateur!AQ42*Calculateur!AS42*VLOOKUP('Données projet'!$B$10,Paramètres!$A$1:$I$89,3,0)*0.475*44/12</f>
        <v>10.561974616415554</v>
      </c>
      <c r="AW42" s="21">
        <f>EXP(-LN(2)/2)*AW41+(1-EXP(-LN(2)/2))/(LN(2)/2)*AQ42*AT42*VLOOKUP('Données projet'!$B$10,Paramètres!$A$1:$I$89,3,0)*0.475*44/12</f>
        <v>0.96078506621549919</v>
      </c>
      <c r="AX42" s="21">
        <f t="shared" si="6"/>
        <v>13.538100364639314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15.7</v>
      </c>
      <c r="BD42" s="12">
        <f>IF('Données projet'!$A$88&gt;35,BD41+BC42-BL41,IF(A42&lt;'Données projet'!$A$88,$BA$205^A42,IF(A42='Données projet'!$A$88,'Données projet'!$B$88,BD41+BC42-BL41)))</f>
        <v>340.2999999999999</v>
      </c>
      <c r="BE42" s="13">
        <f>BD42*VLOOKUP('Données projet'!$B$11,Paramètres!$A$1:$I$89,3,0)*VLOOKUP('Données projet'!$B$11,Paramètres!$A$1:$I$89,5,0)</f>
        <v>185.80379999999997</v>
      </c>
      <c r="BF42" s="13">
        <f t="shared" si="37"/>
        <v>46.611030236615356</v>
      </c>
      <c r="BG42" s="20">
        <f t="shared" si="7"/>
        <v>404.78916266210507</v>
      </c>
      <c r="BH42" s="59">
        <f t="shared" si="8"/>
        <v>698.12249599543838</v>
      </c>
      <c r="BI42" s="59">
        <f ca="1">AVERAGE(OFFSET($BH$3,0,0,'Données projet'!$E$11+1,1))-AVERAGE(OFFSET($H$3,0,0,'Données projet'!$E$11+1,1))</f>
        <v>248.1486444660062</v>
      </c>
      <c r="BJ42" s="59">
        <f t="shared" si="38"/>
        <v>293.34458072322127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7.1272272715769329</v>
      </c>
      <c r="BQ42" s="21">
        <f>EXP(-LN(2)/25)*BQ41+(1-EXP(-LN(2)/25))/(LN(2)/25)*Calculateur!BL42*Calculateur!BN42*VLOOKUP('Données projet'!$B$11,Paramètres!$A$1:$I$89,3,0)*0.475*44/12</f>
        <v>26.521001170588331</v>
      </c>
      <c r="BR42" s="21">
        <f>EXP(-LN(2)/2)*BR41+(1-EXP(-LN(2)/2))/(LN(2)/2)*BL42*BO42*VLOOKUP('Données projet'!$B$11,Paramètres!$A$1:$I$89,3,0)*0.475*44/12</f>
        <v>1.1129165170344457</v>
      </c>
      <c r="BS42" s="22">
        <f t="shared" si="9"/>
        <v>34.761144959199711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11.5</v>
      </c>
      <c r="BY42" s="12">
        <f>IF('Données projet'!$A$114&gt;35,BY41+BX42-CG41,IF(A42&lt;'Données projet'!$A$114,$BV$205^A42,IF(A42='Données projet'!$A$114,'Données projet'!$B$114,BY41+BX42-CG41)))</f>
        <v>243.50000000000006</v>
      </c>
      <c r="BZ42" s="13">
        <f>BY42*VLOOKUP('Données projet'!$B$12,Paramètres!$A$1:$I$89,3,0)*VLOOKUP('Données projet'!$B$12,Paramètres!$A$1:$I$89,5,0)</f>
        <v>212.72160000000008</v>
      </c>
      <c r="CA42" s="13">
        <f t="shared" si="39"/>
        <v>52.529877327267741</v>
      </c>
      <c r="CB42" s="20">
        <f t="shared" si="10"/>
        <v>461.9796563449915</v>
      </c>
      <c r="CC42" s="59">
        <f t="shared" si="11"/>
        <v>755.31298967832481</v>
      </c>
      <c r="CD42" s="59">
        <f ca="1">AVERAGE(OFFSET($CC$3,0,0,'Données projet'!$E$12+1,1))-AVERAGE(OFFSET($H$3,0,0,'Données projet'!$E$12+1,1))</f>
        <v>243.38048563215585</v>
      </c>
      <c r="CE42" s="59">
        <f t="shared" si="40"/>
        <v>372.1604147006675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6.1155165523009343</v>
      </c>
      <c r="CL42" s="21">
        <f>EXP(-LN(2)/25)*CL41+(1-EXP(-LN(2)/25))/(LN(2)/25)*Calculateur!CG42*Calculateur!CI42*VLOOKUP('Données projet'!$B$12,Paramètres!$A$1:$I$89,3,0)*0.475*44/12</f>
        <v>15.086518490209238</v>
      </c>
      <c r="CM42" s="21">
        <f>EXP(-LN(2)/2)*CM41+(1-EXP(-LN(2)/2))/(LN(2)/2)*CG42*CJ42*VLOOKUP('Données projet'!$B$12,Paramètres!$A$1:$I$89,3,0)*0.475*44/12</f>
        <v>1.2955495192311492</v>
      </c>
      <c r="CN42" s="22">
        <f t="shared" si="12"/>
        <v>22.49758456174132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24.6</v>
      </c>
      <c r="CT42" s="12">
        <f>IF('Données projet'!$A$140&gt;35,CT41+CS42-DB41,IF(A42&lt;'Données projet'!$A$140,$CQ$205^A42,IF(A42='Données projet'!$A$140,'Données projet'!$B$140,CT41+CS42-DB41)))</f>
        <v>443.40000000000015</v>
      </c>
      <c r="CU42" s="17">
        <f>CT42*VLOOKUP('Données projet'!$B$13,Paramètres!$A$1:$I$89,3,0)*VLOOKUP('Données projet'!$B$13,Paramètres!$A$1:$I$89,5,0)</f>
        <v>213.27540000000008</v>
      </c>
      <c r="CV42" s="13">
        <f t="shared" si="41"/>
        <v>52.650697015169015</v>
      </c>
      <c r="CW42" s="20">
        <f t="shared" si="13"/>
        <v>463.15461896808614</v>
      </c>
      <c r="CX42" s="59">
        <f t="shared" si="14"/>
        <v>756.48795230141945</v>
      </c>
      <c r="CY42" s="59">
        <f ca="1">AVERAGE(OFFSET($CX$3,0,0,'Données projet'!$E$13+1,1))-AVERAGE(OFFSET($H$3,0,0,'Données projet'!$E$13+1,1))</f>
        <v>297.21955661193238</v>
      </c>
      <c r="CZ42" s="59">
        <f t="shared" si="42"/>
        <v>273.69206144662144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5.6380592799452129</v>
      </c>
      <c r="DG42" s="21">
        <f>EXP(-LN(2)/25)*DG41+(1-EXP(-LN(2)/25))/(LN(2)/25)*Calculateur!DB42*Calculateur!DD42*VLOOKUP('Données projet'!$B$13,Paramètres!$A$1:$I$89,3,0)*0.475*44/12</f>
        <v>10.458832074654099</v>
      </c>
      <c r="DH42" s="21">
        <f>EXP(-LN(2)/2)*DH41+(1-EXP(-LN(2)/2))/(LN(2)/2)*DB42*DE42*VLOOKUP('Données projet'!$B$13,Paramètres!$A$1:$I$89,3,0)*0.475*44/12</f>
        <v>0.9242231859743183</v>
      </c>
      <c r="DI42" s="22">
        <f t="shared" si="15"/>
        <v>17.021114540573631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199.61603999999997</v>
      </c>
      <c r="DQ42" s="13">
        <f t="shared" si="43"/>
        <v>49.659775503665841</v>
      </c>
      <c r="DR42" s="20">
        <f t="shared" si="16"/>
        <v>434.15537866888457</v>
      </c>
      <c r="DS42" s="59">
        <f t="shared" si="17"/>
        <v>727.48871200221788</v>
      </c>
      <c r="DT42" s="59">
        <f ca="1">AVERAGE(OFFSET($DS$3,0,0,'Données projet'!$E$14+1,1))-AVERAGE(OFFSET($H$3,0,0,'Données projet'!$E$14+1,1))</f>
        <v>260.20517190557814</v>
      </c>
      <c r="DU42" s="59">
        <f t="shared" si="44"/>
        <v>307.22009971147133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2.7302856172154844</v>
      </c>
      <c r="EB42" s="21">
        <f>EXP(-LN(2)/25)*EB41+(1-EXP(-LN(2)/25))/(LN(2)/25)*Calculateur!DW42*Calculateur!DY42*VLOOKUP('Données projet'!$B$14,Paramètres!$A$1:$I$89,3,0)*0.475*44/12</f>
        <v>15.988147631866902</v>
      </c>
      <c r="EC42" s="21">
        <f>EXP(-LN(2)/2)*EC41+(1-EXP(-LN(2)/2))/(LN(2)/2)*DW42*DZ42*VLOOKUP('Données projet'!$B$14,Paramètres!$A$1:$I$89,3,0)*0.475*44/12</f>
        <v>1.062385258331273</v>
      </c>
      <c r="ED42" s="22">
        <f t="shared" si="18"/>
        <v>19.78081850741366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12.4</v>
      </c>
      <c r="EJ42" s="12">
        <f>IF('Données projet'!$A$192&gt;35,EJ41+EI42-ER41,IF(A42&lt;'Données projet'!$A$192,$EG$205^A42,IF(A42='Données projet'!$A$192,'Données projet'!$B$192,EJ41+EI42-ER41)))</f>
        <v>284.60000000000008</v>
      </c>
      <c r="EK42" s="17">
        <f>EJ42*VLOOKUP('Données projet'!$B$15,Paramètres!$A$1:$I$89,3,0)*VLOOKUP('Données projet'!$B$15,Paramètres!$A$1:$I$89,5,0)</f>
        <v>170.19080000000008</v>
      </c>
      <c r="EL42" s="13">
        <f t="shared" si="45"/>
        <v>43.132753648041643</v>
      </c>
      <c r="EM42" s="20">
        <f t="shared" si="19"/>
        <v>371.53852260367267</v>
      </c>
      <c r="EN42" s="59">
        <f t="shared" si="20"/>
        <v>664.87185593700599</v>
      </c>
      <c r="EO42" s="59">
        <f ca="1">AVERAGE(OFFSET($EN$3,0,0,'Données projet'!$E$15+1,1))-AVERAGE(OFFSET($H$3,0,0,'Données projet'!$E$15+1,1))</f>
        <v>259.30247982593914</v>
      </c>
      <c r="EP42" s="59">
        <f t="shared" si="46"/>
        <v>275.24740346220779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14.050685019088919</v>
      </c>
      <c r="EX42" s="21">
        <f>EXP(-LN(2)/2)*EX41+(1-EXP(-LN(2)/2))/(LN(2)/2)*ER42*EU42*VLOOKUP('Données projet'!$B$15,Paramètres!$A$1:$I$89,3,0)*0.475*44/12</f>
        <v>1.2675096845759588</v>
      </c>
      <c r="EY42" s="22">
        <f t="shared" si="21"/>
        <v>15.318194703664878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</v>
      </c>
      <c r="FE42" s="12">
        <f>IF('Données projet'!$A$218&gt;35,FE41+FD42-FM41,IF(A42&lt;'Données projet'!$A$218,$FB$205^A42,IF(A42='Données projet'!$A$218,'Données projet'!$B$218,FE41+FD42-FM41)))</f>
        <v>192</v>
      </c>
      <c r="FF42" s="17">
        <f>FE42*VLOOKUP('Données projet'!$B$16,Paramètres!$A$1:$I$89,3,0)*VLOOKUP('Données projet'!$B$16,Paramètres!$A$1:$I$89,5,0)</f>
        <v>194.68800000000002</v>
      </c>
      <c r="FG42" s="13">
        <f t="shared" si="47"/>
        <v>48.574928228914978</v>
      </c>
      <c r="FH42" s="20">
        <f t="shared" si="22"/>
        <v>423.68293333202695</v>
      </c>
      <c r="FI42" s="59">
        <f t="shared" si="23"/>
        <v>717.01626666536026</v>
      </c>
      <c r="FJ42" s="59">
        <f ca="1">AVERAGE(OFFSET($FI$3,0,0,'Données projet'!$E$16+1,1))-AVERAGE(OFFSET($H$3,0,0,'Données projet'!$E$16+1,1))</f>
        <v>372.91317851957336</v>
      </c>
      <c r="FK42" s="59">
        <f t="shared" si="48"/>
        <v>269.69187715858413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2.2585714539747772</v>
      </c>
      <c r="FR42" s="21">
        <f>EXP(-LN(2)/25)*FR41+(1-EXP(-LN(2)/25))/(LN(2)/25)*Calculateur!FM42*Calculateur!FO42*VLOOKUP('Données projet'!$B$16,Paramètres!$A$1:$I$89,3,0)*0.475*44/12</f>
        <v>11.836695690810537</v>
      </c>
      <c r="FS42" s="21">
        <f>EXP(-LN(2)/2)*FS41+(1-EXP(-LN(2)/2))/(LN(2)/2)*FM42*FP42*VLOOKUP('Données projet'!$B$16,Paramètres!$A$1:$I$89,3,0)*0.475*44/12</f>
        <v>1.076741884551853</v>
      </c>
      <c r="FT42" s="22">
        <f t="shared" si="24"/>
        <v>15.172009029337167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10.000000000000004</v>
      </c>
      <c r="FZ42" s="12">
        <f>IF('Données projet'!$A$244&gt;35,FZ41+FY42-GH41,IF(A42&lt;'Données projet'!$A$244,$FW$205^A42,IF(A42='Données projet'!$A$244,'Données projet'!$B$244,FZ41+FY42-GH41)))</f>
        <v>281.59999999999991</v>
      </c>
      <c r="GA42" s="17">
        <f>FZ42*VLOOKUP('Données projet'!$B$17,Paramètres!$A$1:$I$89,3,0)*VLOOKUP('Données projet'!$B$17,Paramètres!$A$1:$I$89,5,0)</f>
        <v>131.78879999999995</v>
      </c>
      <c r="GB42" s="13">
        <f t="shared" si="49"/>
        <v>34.409369159409614</v>
      </c>
      <c r="GC42" s="20">
        <f t="shared" si="25"/>
        <v>289.46181128597163</v>
      </c>
      <c r="GD42" s="59">
        <f t="shared" si="26"/>
        <v>582.79514461930489</v>
      </c>
      <c r="GE42" s="59">
        <f ca="1">AVERAGE(OFFSET($GD$3,0,0,'Données projet'!$E$17+1,1))-AVERAGE(OFFSET($H$3,0,0,'Données projet'!$E$17+1,1))</f>
        <v>215.23235148064941</v>
      </c>
      <c r="GF42" s="59">
        <f t="shared" si="50"/>
        <v>184.07239726900434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2.6228404150285667</v>
      </c>
      <c r="GM42" s="21">
        <f>EXP(-LN(2)/25)*GM41+(1-EXP(-LN(2)/25))/(LN(2)/25)*Calculateur!GH42*Calculateur!GJ42*VLOOKUP('Données projet'!$B$17,Paramètres!$A$1:$I$89,3,0)*0.475*44/12</f>
        <v>6.1206995814171732</v>
      </c>
      <c r="GN42" s="21">
        <f>EXP(-LN(2)/2)*GN41+(1-EXP(-LN(2)/2))/(LN(2)/2)*GH42*GK42*VLOOKUP('Données projet'!$B$17,Paramètres!$A$1:$I$89,3,0)*0.475*44/12</f>
        <v>0.43452491644001107</v>
      </c>
      <c r="GO42" s="21">
        <f t="shared" si="27"/>
        <v>9.1780649128857519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14.833333333333334</v>
      </c>
      <c r="GU42" s="12">
        <f>IF('Données projet'!$A$270&gt;35,GU41+GT42-HC41,IF(A42&lt;'Données projet'!$A$270,$GR$205^A42,IF(A42='Données projet'!$A$270,'Données projet'!$B$270,GU41+GT42-HC41)))</f>
        <v>318.16666666666657</v>
      </c>
      <c r="GV42" s="17">
        <f>GU42*VLOOKUP('Données projet'!$B$18,Paramètres!$A$1:$I$89,3,0)*VLOOKUP('Données projet'!$B$18,Paramètres!$A$1:$I$89,5,0)</f>
        <v>190.26366666666661</v>
      </c>
      <c r="GW42" s="13">
        <f t="shared" si="51"/>
        <v>47.598241102015862</v>
      </c>
      <c r="GX42" s="20">
        <f t="shared" si="28"/>
        <v>414.27615603045524</v>
      </c>
      <c r="GY42" s="59">
        <f t="shared" si="29"/>
        <v>707.6094893637885</v>
      </c>
      <c r="GZ42" s="59">
        <f ca="1">AVERAGE(OFFSET($GY$3,0,0,'Données projet'!$E$18+1,1))-AVERAGE(OFFSET($H$3,0,0,'Données projet'!$E$18+1,1))</f>
        <v>227.89848316900191</v>
      </c>
      <c r="HA42" s="59">
        <f t="shared" si="52"/>
        <v>239.85955661394541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6.6454523123735543</v>
      </c>
      <c r="HH42" s="21">
        <f>EXP(-LN(2)/25)*HH41+(1-EXP(-LN(2)/25))/(LN(2)/25)*Calculateur!HC42*Calculateur!HE42*VLOOKUP('Données projet'!$B$18,Paramètres!$A$1:$I$89,3,0)*0.475*44/12</f>
        <v>13.357668438172491</v>
      </c>
      <c r="HI42" s="21">
        <f>EXP(-LN(2)/2)*HI41+(1-EXP(-LN(2)/2))/(LN(2)/2)*HC42*HF42*VLOOKUP('Données projet'!$B$18,Paramètres!$A$1:$I$89,3,0)*0.475*44/12</f>
        <v>0.29625876489544667</v>
      </c>
      <c r="HJ42" s="22">
        <f t="shared" si="30"/>
        <v>20.299379515441494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24.3</v>
      </c>
      <c r="M43" s="12">
        <f t="array" ref="M43">INDEX(L:L,MIN(IF(ISNUMBER(L43:L239),ROW(L43:L239),"")))</f>
        <v>24.3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370.69652285220093</v>
      </c>
      <c r="T43" s="59">
        <f t="shared" si="34"/>
        <v>376.53494965377718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126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8.4313054726974741</v>
      </c>
      <c r="AA43" s="21">
        <f>EXP(-LN(2)/25)*AA42+(1-EXP(-LN(2)/25))/(LN(2)/25)*Calculateur!V43*Calculateur!X43*VLOOKUP('Données projet'!$B$9,Paramètres!$A$1:$I$89,3,0)*0.475*44/12</f>
        <v>25.316755107424001</v>
      </c>
      <c r="AB43" s="21">
        <f>EXP(-LN(2)/2)*AB42+(1-EXP(-LN(2)/2))/(LN(2)/2)*V43*Y43*VLOOKUP('Données projet'!$B$9,Paramètres!$A$1:$I$89,3,0)*0.475*44/12</f>
        <v>1.0228051419182218</v>
      </c>
      <c r="AC43" s="22">
        <f t="shared" si="3"/>
        <v>34.770865722039694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183.67439999999999</v>
      </c>
      <c r="AK43" s="13">
        <f t="shared" si="35"/>
        <v>46.138708549418673</v>
      </c>
      <c r="AL43" s="20">
        <f t="shared" si="4"/>
        <v>400.25783072357081</v>
      </c>
      <c r="AM43" s="59">
        <f t="shared" si="5"/>
        <v>693.59116405690406</v>
      </c>
      <c r="AN43" s="59">
        <f ca="1">AVERAGE(OFFSET($AM$3,0,0,'Données projet'!$E$10+1,1))-AVERAGE(OFFSET($H$3,0,0,'Données projet'!$E$10+1,1))</f>
        <v>321.03881567735544</v>
      </c>
      <c r="AO43" s="59">
        <f t="shared" si="36"/>
        <v>234.87694492493506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1.975821080470519</v>
      </c>
      <c r="AV43" s="21">
        <f>EXP(-LN(2)/25)*AV42+(1-EXP(-LN(2)/25))/(LN(2)/25)*Calculateur!AQ43*Calculateur!AS43*VLOOKUP('Données projet'!$B$10,Paramètres!$A$1:$I$89,3,0)*0.475*44/12</f>
        <v>10.273156865099565</v>
      </c>
      <c r="AW43" s="21">
        <f>EXP(-LN(2)/2)*AW42+(1-EXP(-LN(2)/2))/(LN(2)/2)*AQ43*AT43*VLOOKUP('Données projet'!$B$10,Paramètres!$A$1:$I$89,3,0)*0.475*44/12</f>
        <v>0.67937763558374564</v>
      </c>
      <c r="AX43" s="21">
        <f t="shared" si="6"/>
        <v>12.928355581153831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356</v>
      </c>
      <c r="BB43" s="12">
        <f>VLOOKUP(A43,'Données projet'!$A$87:$I$107,9,0)</f>
        <v>15.7</v>
      </c>
      <c r="BC43" s="12">
        <f t="array" ref="BC43">INDEX(BB:BB,MIN(IF(ISNUMBER(BB43:BB239),ROW(BB43:BB239),"")))</f>
        <v>15.7</v>
      </c>
      <c r="BD43" s="12">
        <f>IF('Données projet'!$A$88&gt;35,BD42+BC43-BL42,IF(A43&lt;'Données projet'!$A$88,$BA$205^A43,IF(A43='Données projet'!$A$88,'Données projet'!$B$88,BD42+BC43-BL42)))</f>
        <v>355.99999999999989</v>
      </c>
      <c r="BE43" s="13">
        <f>BD43*VLOOKUP('Données projet'!$B$11,Paramètres!$A$1:$I$89,3,0)*VLOOKUP('Données projet'!$B$11,Paramètres!$A$1:$I$89,5,0)</f>
        <v>194.37599999999995</v>
      </c>
      <c r="BF43" s="13">
        <f t="shared" si="37"/>
        <v>48.506138465833089</v>
      </c>
      <c r="BG43" s="20">
        <f t="shared" si="7"/>
        <v>423.01972449465916</v>
      </c>
      <c r="BH43" s="59">
        <f t="shared" si="8"/>
        <v>716.35305782799242</v>
      </c>
      <c r="BI43" s="59">
        <f ca="1">AVERAGE(OFFSET($BH$3,0,0,'Données projet'!$E$11+1,1))-AVERAGE(OFFSET($H$3,0,0,'Données projet'!$E$11+1,1))</f>
        <v>248.1486444660062</v>
      </c>
      <c r="BJ43" s="59">
        <f t="shared" si="38"/>
        <v>293.34458072322127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92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6.9874666919606963</v>
      </c>
      <c r="BQ43" s="21">
        <f>EXP(-LN(2)/25)*BQ42+(1-EXP(-LN(2)/25))/(LN(2)/25)*Calculateur!BL43*Calculateur!BN43*VLOOKUP('Données projet'!$B$11,Paramètres!$A$1:$I$89,3,0)*0.475*44/12</f>
        <v>25.795782998899757</v>
      </c>
      <c r="BR43" s="21">
        <f>EXP(-LN(2)/2)*BR42+(1-EXP(-LN(2)/2))/(LN(2)/2)*BL43*BO43*VLOOKUP('Données projet'!$B$11,Paramètres!$A$1:$I$89,3,0)*0.475*44/12</f>
        <v>0.7869508160895704</v>
      </c>
      <c r="BS43" s="22">
        <f t="shared" si="9"/>
        <v>33.570200506950023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255</v>
      </c>
      <c r="BW43" s="12">
        <f>VLOOKUP(A43,'Données projet'!$A$113:$I$133,9,0)</f>
        <v>11.5</v>
      </c>
      <c r="BX43" s="12">
        <f t="array" ref="BX43">INDEX(BW:BW,MIN(IF(ISNUMBER(BW43:BW239),ROW(BW43:BW239),"")))</f>
        <v>11.5</v>
      </c>
      <c r="BY43" s="12">
        <f>IF('Données projet'!$A$114&gt;35,BY42+BX43-CG42,IF(A43&lt;'Données projet'!$A$114,$BV$205^A43,IF(A43='Données projet'!$A$114,'Données projet'!$B$114,BY42+BX43-CG42)))</f>
        <v>255.00000000000006</v>
      </c>
      <c r="BZ43" s="13">
        <f>BY43*VLOOKUP('Données projet'!$B$12,Paramètres!$A$1:$I$89,3,0)*VLOOKUP('Données projet'!$B$12,Paramètres!$A$1:$I$89,5,0)</f>
        <v>222.76800000000006</v>
      </c>
      <c r="CA43" s="13">
        <f t="shared" si="39"/>
        <v>54.716058356609508</v>
      </c>
      <c r="CB43" s="20">
        <f t="shared" si="10"/>
        <v>483.28473497109502</v>
      </c>
      <c r="CC43" s="59">
        <f t="shared" si="11"/>
        <v>776.61806830442833</v>
      </c>
      <c r="CD43" s="59">
        <f ca="1">AVERAGE(OFFSET($CC$3,0,0,'Données projet'!$E$12+1,1))-AVERAGE(OFFSET($H$3,0,0,'Données projet'!$E$12+1,1))</f>
        <v>243.38048563215585</v>
      </c>
      <c r="CE43" s="59">
        <f t="shared" si="40"/>
        <v>372.1604147006675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81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5.995595002807093</v>
      </c>
      <c r="CL43" s="21">
        <f>EXP(-LN(2)/25)*CL42+(1-EXP(-LN(2)/25))/(LN(2)/25)*Calculateur!CG43*Calculateur!CI43*VLOOKUP('Données projet'!$B$12,Paramètres!$A$1:$I$89,3,0)*0.475*44/12</f>
        <v>14.673976848728939</v>
      </c>
      <c r="CM43" s="21">
        <f>EXP(-LN(2)/2)*CM42+(1-EXP(-LN(2)/2))/(LN(2)/2)*CG43*CJ43*VLOOKUP('Données projet'!$B$12,Paramètres!$A$1:$I$89,3,0)*0.475*44/12</f>
        <v>0.91609185041131713</v>
      </c>
      <c r="CN43" s="22">
        <f t="shared" si="12"/>
        <v>21.58566370194735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468</v>
      </c>
      <c r="CR43" s="12">
        <f>VLOOKUP(A43,'Données projet'!$A$139:$I$159,9,0)</f>
        <v>24.6</v>
      </c>
      <c r="CS43" s="12">
        <f t="array" ref="CS43">INDEX(CR:CR,MIN(IF(ISNUMBER(CR43:CR239),ROW(CR43:CR239),"")))</f>
        <v>24.6</v>
      </c>
      <c r="CT43" s="12">
        <f>IF('Données projet'!$A$140&gt;35,CT42+CS43-DB42,IF(A43&lt;'Données projet'!$A$140,$CQ$205^A43,IF(A43='Données projet'!$A$140,'Données projet'!$B$140,CT42+CS43-DB42)))</f>
        <v>468.00000000000017</v>
      </c>
      <c r="CU43" s="17">
        <f>CT43*VLOOKUP('Données projet'!$B$13,Paramètres!$A$1:$I$89,3,0)*VLOOKUP('Données projet'!$B$13,Paramètres!$A$1:$I$89,5,0)</f>
        <v>225.10800000000009</v>
      </c>
      <c r="CV43" s="13">
        <f t="shared" si="41"/>
        <v>55.22359687888963</v>
      </c>
      <c r="CW43" s="20">
        <f t="shared" si="13"/>
        <v>488.2441978973996</v>
      </c>
      <c r="CX43" s="59">
        <f t="shared" si="14"/>
        <v>781.57753123073292</v>
      </c>
      <c r="CY43" s="59">
        <f ca="1">AVERAGE(OFFSET($CX$3,0,0,'Données projet'!$E$13+1,1))-AVERAGE(OFFSET($H$3,0,0,'Données projet'!$E$13+1,1))</f>
        <v>297.21955661193238</v>
      </c>
      <c r="CZ43" s="59">
        <f t="shared" si="42"/>
        <v>273.69206144662144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132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5.5275003763420871</v>
      </c>
      <c r="DG43" s="21">
        <f>EXP(-LN(2)/25)*DG42+(1-EXP(-LN(2)/25))/(LN(2)/25)*Calculateur!DB43*Calculateur!DD43*VLOOKUP('Données projet'!$B$13,Paramètres!$A$1:$I$89,3,0)*0.475*44/12</f>
        <v>10.172834761566607</v>
      </c>
      <c r="DH43" s="21">
        <f>EXP(-LN(2)/2)*DH42+(1-EXP(-LN(2)/2))/(LN(2)/2)*DB43*DE43*VLOOKUP('Données projet'!$B$13,Paramètres!$A$1:$I$89,3,0)*0.475*44/12</f>
        <v>0.6535244821322761</v>
      </c>
      <c r="DI43" s="22">
        <f t="shared" si="15"/>
        <v>16.353859620040971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209.24279999999996</v>
      </c>
      <c r="DQ43" s="13">
        <f t="shared" si="43"/>
        <v>51.770083677016814</v>
      </c>
      <c r="DR43" s="20">
        <f t="shared" si="16"/>
        <v>454.59743907080411</v>
      </c>
      <c r="DS43" s="59">
        <f t="shared" si="17"/>
        <v>747.93077240413743</v>
      </c>
      <c r="DT43" s="59">
        <f ca="1">AVERAGE(OFFSET($DS$3,0,0,'Données projet'!$E$14+1,1))-AVERAGE(OFFSET($H$3,0,0,'Données projet'!$E$14+1,1))</f>
        <v>260.20517190557814</v>
      </c>
      <c r="DU43" s="59">
        <f t="shared" si="44"/>
        <v>307.22009971147133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2.6767463815716797</v>
      </c>
      <c r="EB43" s="21">
        <f>EXP(-LN(2)/25)*EB42+(1-EXP(-LN(2)/25))/(LN(2)/25)*Calculateur!DW43*Calculateur!DY43*VLOOKUP('Données projet'!$B$14,Paramètres!$A$1:$I$89,3,0)*0.475*44/12</f>
        <v>15.550950894093358</v>
      </c>
      <c r="EC43" s="21">
        <f>EXP(-LN(2)/2)*EC42+(1-EXP(-LN(2)/2))/(LN(2)/2)*DW43*DZ43*VLOOKUP('Données projet'!$B$14,Paramètres!$A$1:$I$89,3,0)*0.475*44/12</f>
        <v>0.75121982039866519</v>
      </c>
      <c r="ED43" s="22">
        <f t="shared" si="18"/>
        <v>18.9789170960637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297</v>
      </c>
      <c r="EH43" s="12">
        <f>VLOOKUP(A43,'Données projet'!$A$191:$I$211,9,0)</f>
        <v>12.4</v>
      </c>
      <c r="EI43" s="12">
        <f t="array" ref="EI43">INDEX(EH:EH,MIN(IF(ISNUMBER(EH43:EH239),ROW(EH43:EH239),"")))</f>
        <v>12.4</v>
      </c>
      <c r="EJ43" s="12">
        <f>IF('Données projet'!$A$192&gt;35,EJ42+EI43-ER42,IF(A43&lt;'Données projet'!$A$192,$EG$205^A43,IF(A43='Données projet'!$A$192,'Données projet'!$B$192,EJ42+EI43-ER42)))</f>
        <v>297.00000000000006</v>
      </c>
      <c r="EK43" s="17">
        <f>EJ43*VLOOKUP('Données projet'!$B$15,Paramètres!$A$1:$I$89,3,0)*VLOOKUP('Données projet'!$B$15,Paramètres!$A$1:$I$89,5,0)</f>
        <v>177.60600000000005</v>
      </c>
      <c r="EL43" s="13">
        <f t="shared" si="45"/>
        <v>44.789150937858665</v>
      </c>
      <c r="EM43" s="20">
        <f t="shared" si="19"/>
        <v>387.33822121677059</v>
      </c>
      <c r="EN43" s="59">
        <f t="shared" si="20"/>
        <v>680.67155455010391</v>
      </c>
      <c r="EO43" s="59">
        <f ca="1">AVERAGE(OFFSET($EN$3,0,0,'Données projet'!$E$15+1,1))-AVERAGE(OFFSET($H$3,0,0,'Données projet'!$E$15+1,1))</f>
        <v>259.30247982593914</v>
      </c>
      <c r="EP43" s="59">
        <f t="shared" si="46"/>
        <v>275.24740346220779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84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13.666468298348521</v>
      </c>
      <c r="EX43" s="21">
        <f>EXP(-LN(2)/2)*EX42+(1-EXP(-LN(2)/2))/(LN(2)/2)*ER43*EU43*VLOOKUP('Données projet'!$B$15,Paramètres!$A$1:$I$89,3,0)*0.475*44/12</f>
        <v>0.89626469318328239</v>
      </c>
      <c r="EY43" s="22">
        <f t="shared" si="21"/>
        <v>14.562732991531803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203</v>
      </c>
      <c r="FC43" s="12">
        <f>VLOOKUP(A43,'Données projet'!$A$217:$I$237,9,0)</f>
        <v>11</v>
      </c>
      <c r="FD43" s="12">
        <f t="array" ref="FD43">INDEX(FC:FC,MIN(IF(ISNUMBER(FC43:FC239),ROW(FC43:FC239),"")))</f>
        <v>11</v>
      </c>
      <c r="FE43" s="12">
        <f>IF('Données projet'!$A$218&gt;35,FE42+FD43-FM42,IF(A43&lt;'Données projet'!$A$218,$FB$205^A43,IF(A43='Données projet'!$A$218,'Données projet'!$B$218,FE42+FD43-FM42)))</f>
        <v>203</v>
      </c>
      <c r="FF43" s="17">
        <f>FE43*VLOOKUP('Données projet'!$B$16,Paramètres!$A$1:$I$89,3,0)*VLOOKUP('Données projet'!$B$16,Paramètres!$A$1:$I$89,5,0)</f>
        <v>205.84200000000004</v>
      </c>
      <c r="FG43" s="13">
        <f t="shared" si="47"/>
        <v>51.02590322155848</v>
      </c>
      <c r="FH43" s="20">
        <f t="shared" si="22"/>
        <v>447.37826477754771</v>
      </c>
      <c r="FI43" s="59">
        <f t="shared" si="23"/>
        <v>740.71159811088103</v>
      </c>
      <c r="FJ43" s="59">
        <f ca="1">AVERAGE(OFFSET($FI$3,0,0,'Données projet'!$E$16+1,1))-AVERAGE(OFFSET($H$3,0,0,'Données projet'!$E$16+1,1))</f>
        <v>372.91317851957336</v>
      </c>
      <c r="FK43" s="59">
        <f t="shared" si="48"/>
        <v>269.69187715858413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56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2.2142822453548927</v>
      </c>
      <c r="FR43" s="21">
        <f>EXP(-LN(2)/25)*FR42+(1-EXP(-LN(2)/25))/(LN(2)/25)*Calculateur!FM43*Calculateur!FO43*VLOOKUP('Données projet'!$B$16,Paramètres!$A$1:$I$89,3,0)*0.475*44/12</f>
        <v>11.51302062468055</v>
      </c>
      <c r="FS43" s="21">
        <f>EXP(-LN(2)/2)*FS42+(1-EXP(-LN(2)/2))/(LN(2)/2)*FM43*FP43*VLOOKUP('Données projet'!$B$16,Paramètres!$A$1:$I$89,3,0)*0.475*44/12</f>
        <v>0.76137148815419797</v>
      </c>
      <c r="FT43" s="22">
        <f t="shared" si="24"/>
        <v>14.488674358189641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291.60000000000002</v>
      </c>
      <c r="FX43" s="12">
        <f>VLOOKUP(A43,'Données projet'!$A$243:$I$263,9,0)</f>
        <v>10.000000000000004</v>
      </c>
      <c r="FY43" s="12">
        <f t="array" ref="FY43">INDEX(FX:FX,MIN(IF(ISNUMBER(FX43:FX239),ROW(FX43:FX239),"")))</f>
        <v>10.000000000000004</v>
      </c>
      <c r="FZ43" s="12">
        <f>IF('Données projet'!$A$244&gt;35,FZ42+FY43-GH42,IF(A43&lt;'Données projet'!$A$244,$FW$205^A43,IF(A43='Données projet'!$A$244,'Données projet'!$B$244,FZ42+FY43-GH42)))</f>
        <v>291.59999999999991</v>
      </c>
      <c r="GA43" s="17">
        <f>FZ43*VLOOKUP('Données projet'!$B$17,Paramètres!$A$1:$I$89,3,0)*VLOOKUP('Données projet'!$B$17,Paramètres!$A$1:$I$89,5,0)</f>
        <v>136.46879999999996</v>
      </c>
      <c r="GB43" s="13">
        <f t="shared" si="49"/>
        <v>35.486858352195874</v>
      </c>
      <c r="GC43" s="20">
        <f t="shared" si="25"/>
        <v>299.48943829674107</v>
      </c>
      <c r="GD43" s="59">
        <f t="shared" si="26"/>
        <v>592.82277163007439</v>
      </c>
      <c r="GE43" s="59">
        <f ca="1">AVERAGE(OFFSET($GD$3,0,0,'Données projet'!$E$17+1,1))-AVERAGE(OFFSET($H$3,0,0,'Données projet'!$E$17+1,1))</f>
        <v>215.23235148064941</v>
      </c>
      <c r="GF43" s="59">
        <f t="shared" si="50"/>
        <v>184.07239726900434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83.4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2.5714081142645449</v>
      </c>
      <c r="GM43" s="21">
        <f>EXP(-LN(2)/25)*GM42+(1-EXP(-LN(2)/25))/(LN(2)/25)*Calculateur!GH43*Calculateur!GJ43*VLOOKUP('Données projet'!$B$17,Paramètres!$A$1:$I$89,3,0)*0.475*44/12</f>
        <v>5.9533287294897184</v>
      </c>
      <c r="GN43" s="21">
        <f>EXP(-LN(2)/2)*GN42+(1-EXP(-LN(2)/2))/(LN(2)/2)*GH43*GK43*VLOOKUP('Données projet'!$B$17,Paramètres!$A$1:$I$89,3,0)*0.475*44/12</f>
        <v>0.30725551500924975</v>
      </c>
      <c r="GO43" s="21">
        <f t="shared" si="27"/>
        <v>8.8319923587635127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333</v>
      </c>
      <c r="GS43" s="12">
        <f>VLOOKUP(A43,'Données projet'!$A$269:$I$289,9,0)</f>
        <v>14.833333333333334</v>
      </c>
      <c r="GT43" s="12">
        <f t="array" ref="GT43">INDEX(GS:GS,MIN(IF(ISNUMBER(GS43:GS239),ROW(GS43:GS239),"")))</f>
        <v>14.833333333333334</v>
      </c>
      <c r="GU43" s="12">
        <f>IF('Données projet'!$A$270&gt;35,GU42+GT43-HC42,IF(A43&lt;'Données projet'!$A$270,$GR$205^A43,IF(A43='Données projet'!$A$270,'Données projet'!$B$270,GU42+GT43-HC42)))</f>
        <v>332.99999999999989</v>
      </c>
      <c r="GV43" s="17">
        <f>GU43*VLOOKUP('Données projet'!$B$18,Paramètres!$A$1:$I$89,3,0)*VLOOKUP('Données projet'!$B$18,Paramètres!$A$1:$I$89,5,0)</f>
        <v>199.13399999999993</v>
      </c>
      <c r="GW43" s="13">
        <f t="shared" si="51"/>
        <v>49.553799097205186</v>
      </c>
      <c r="GX43" s="20">
        <f t="shared" si="28"/>
        <v>433.13125009429888</v>
      </c>
      <c r="GY43" s="59">
        <f t="shared" si="29"/>
        <v>726.46458342763219</v>
      </c>
      <c r="GZ43" s="59">
        <f ca="1">AVERAGE(OFFSET($GY$3,0,0,'Données projet'!$E$18+1,1))-AVERAGE(OFFSET($H$3,0,0,'Données projet'!$E$18+1,1))</f>
        <v>227.89848316900191</v>
      </c>
      <c r="HA43" s="59">
        <f t="shared" si="52"/>
        <v>239.85955661394541</v>
      </c>
      <c r="HB43" s="15">
        <f>IF(ISNA(VLOOKUP(A43,'Données projet'!$A$269:$I$289,3,0)),0,VLOOKUP(A43,'Données projet'!$A$269:$I$289,3,0))</f>
        <v>6</v>
      </c>
      <c r="HC43" s="15">
        <f>IF(ISNA(VLOOKUP(A43,'Données projet'!$A$269:$I$289,4,0)),0,VLOOKUP(A43,'Données projet'!$A$269:$I$289,4,0))</f>
        <v>34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6.5151390458535872</v>
      </c>
      <c r="HH43" s="21">
        <f>EXP(-LN(2)/25)*HH42+(1-EXP(-LN(2)/25))/(LN(2)/25)*Calculateur!HC43*Calculateur!HE43*VLOOKUP('Données projet'!$B$18,Paramètres!$A$1:$I$89,3,0)*0.475*44/12</f>
        <v>12.99240229228141</v>
      </c>
      <c r="HI43" s="21">
        <f>EXP(-LN(2)/2)*HI42+(1-EXP(-LN(2)/2))/(LN(2)/2)*HC43*HF43*VLOOKUP('Données projet'!$B$18,Paramètres!$A$1:$I$89,3,0)*0.475*44/12</f>
        <v>0.20948658164352144</v>
      </c>
      <c r="HJ43" s="22">
        <f t="shared" si="30"/>
        <v>19.71702791977852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21</v>
      </c>
      <c r="N44" s="13">
        <f>IF('Données projet'!$A$36&gt;35,N43+M44-V43,IF(A44&lt;'Données projet'!$A$36,$K$205^A44,IF(A44='Données projet'!$A$36,'Données projet'!$B$36,N43+M44-V43)))</f>
        <v>372.00000000000006</v>
      </c>
      <c r="O44" s="13">
        <f>N44*VLOOKUP('Données projet'!$B$9,Paramètres!$A$1:$I$89,3,0)*VLOOKUP('Données projet'!$B$9,Paramètres!$A$1:$I$89,5,0)</f>
        <v>207.94800000000001</v>
      </c>
      <c r="P44" s="13">
        <f t="shared" si="33"/>
        <v>51.486916127068838</v>
      </c>
      <c r="Q44" s="20">
        <f t="shared" si="53"/>
        <v>451.84914558797823</v>
      </c>
      <c r="R44" s="59">
        <f t="shared" si="0"/>
        <v>745.18247892131149</v>
      </c>
      <c r="S44" s="59">
        <f ca="1">AVERAGE(OFFSET($R$3,0,0,'Données projet'!$E$9+1,1))-AVERAGE(OFFSET($H$3,0,0,'Données projet'!$E$9+1,1))</f>
        <v>370.69652285220093</v>
      </c>
      <c r="T44" s="59">
        <f t="shared" si="34"/>
        <v>376.53494965377718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8.265972714966427</v>
      </c>
      <c r="AA44" s="21">
        <f>EXP(-LN(2)/25)*AA43+(1-EXP(-LN(2)/25))/(LN(2)/25)*Calculateur!V44*Calculateur!X44*VLOOKUP('Données projet'!$B$9,Paramètres!$A$1:$I$89,3,0)*0.475*44/12</f>
        <v>24.624467107661204</v>
      </c>
      <c r="AB44" s="21">
        <f>EXP(-LN(2)/2)*AB43+(1-EXP(-LN(2)/2))/(LN(2)/2)*V44*Y44*VLOOKUP('Données projet'!$B$9,Paramètres!$A$1:$I$89,3,0)*0.475*44/12</f>
        <v>0.72323245168284378</v>
      </c>
      <c r="AC44" s="22">
        <f t="shared" si="3"/>
        <v>33.613672274310474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143.13935999999998</v>
      </c>
      <c r="AK44" s="13">
        <f t="shared" si="35"/>
        <v>37.015257937854066</v>
      </c>
      <c r="AL44" s="20">
        <f t="shared" si="4"/>
        <v>313.76929290842912</v>
      </c>
      <c r="AM44" s="59">
        <f t="shared" si="5"/>
        <v>607.10262624176244</v>
      </c>
      <c r="AN44" s="59">
        <f ca="1">AVERAGE(OFFSET($AM$3,0,0,'Données projet'!$E$10+1,1))-AVERAGE(OFFSET($H$3,0,0,'Données projet'!$E$10+1,1))</f>
        <v>321.03881567735544</v>
      </c>
      <c r="AO44" s="59">
        <f t="shared" si="36"/>
        <v>234.87694492493506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1.9370764342143543</v>
      </c>
      <c r="AV44" s="21">
        <f>EXP(-LN(2)/25)*AV43+(1-EXP(-LN(2)/25))/(LN(2)/25)*Calculateur!AQ44*Calculateur!AS44*VLOOKUP('Données projet'!$B$10,Paramètres!$A$1:$I$89,3,0)*0.475*44/12</f>
        <v>9.9922368503815786</v>
      </c>
      <c r="AW44" s="21">
        <f>EXP(-LN(2)/2)*AW43+(1-EXP(-LN(2)/2))/(LN(2)/2)*AQ44*AT44*VLOOKUP('Données projet'!$B$10,Paramètres!$A$1:$I$89,3,0)*0.475*44/12</f>
        <v>0.48039253310774971</v>
      </c>
      <c r="AX44" s="21">
        <f t="shared" si="6"/>
        <v>12.409705817703683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13.1</v>
      </c>
      <c r="BD44" s="12">
        <f>IF('Données projet'!$A$88&gt;35,BD43+BC44-BL43,IF(A44&lt;'Données projet'!$A$88,$BA$205^A44,IF(A44='Données projet'!$A$88,'Données projet'!$B$88,BD43+BC44-BL43)))</f>
        <v>277.09999999999991</v>
      </c>
      <c r="BE44" s="13">
        <f>BD44*VLOOKUP('Données projet'!$B$11,Paramètres!$A$1:$I$89,3,0)*VLOOKUP('Données projet'!$B$11,Paramètres!$A$1:$I$89,5,0)</f>
        <v>151.29659999999996</v>
      </c>
      <c r="BF44" s="13">
        <f t="shared" si="37"/>
        <v>38.87309486191122</v>
      </c>
      <c r="BG44" s="20">
        <f t="shared" si="7"/>
        <v>331.21221855116193</v>
      </c>
      <c r="BH44" s="59">
        <f t="shared" si="8"/>
        <v>624.54555188449524</v>
      </c>
      <c r="BI44" s="59">
        <f ca="1">AVERAGE(OFFSET($BH$3,0,0,'Données projet'!$E$11+1,1))-AVERAGE(OFFSET($H$3,0,0,'Données projet'!$E$11+1,1))</f>
        <v>248.1486444660062</v>
      </c>
      <c r="BJ44" s="59">
        <f t="shared" si="38"/>
        <v>293.34458072322127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6.8504467320651985</v>
      </c>
      <c r="BQ44" s="21">
        <f>EXP(-LN(2)/25)*BQ43+(1-EXP(-LN(2)/25))/(LN(2)/25)*Calculateur!BL44*Calculateur!BN44*VLOOKUP('Données projet'!$B$11,Paramètres!$A$1:$I$89,3,0)*0.475*44/12</f>
        <v>25.090395956253573</v>
      </c>
      <c r="BR44" s="21">
        <f>EXP(-LN(2)/2)*BR43+(1-EXP(-LN(2)/2))/(LN(2)/2)*BL44*BO44*VLOOKUP('Données projet'!$B$11,Paramètres!$A$1:$I$89,3,0)*0.475*44/12</f>
        <v>0.55645825851722286</v>
      </c>
      <c r="BS44" s="22">
        <f t="shared" si="9"/>
        <v>32.497300946835992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9.4</v>
      </c>
      <c r="BY44" s="12">
        <f>IF('Données projet'!$A$114&gt;35,BY43+BX44-CG43,IF(A44&lt;'Données projet'!$A$114,$BV$205^A44,IF(A44='Données projet'!$A$114,'Données projet'!$B$114,BY43+BX44-CG43)))</f>
        <v>183.40000000000003</v>
      </c>
      <c r="BZ44" s="13">
        <f>BY44*VLOOKUP('Données projet'!$B$12,Paramètres!$A$1:$I$89,3,0)*VLOOKUP('Données projet'!$B$12,Paramètres!$A$1:$I$89,5,0)</f>
        <v>160.21824000000004</v>
      </c>
      <c r="CA44" s="13">
        <f t="shared" si="39"/>
        <v>40.891736142170217</v>
      </c>
      <c r="CB44" s="20">
        <f t="shared" si="10"/>
        <v>350.26654178094645</v>
      </c>
      <c r="CC44" s="59">
        <f t="shared" si="11"/>
        <v>643.59987511427971</v>
      </c>
      <c r="CD44" s="59">
        <f ca="1">AVERAGE(OFFSET($CC$3,0,0,'Données projet'!$E$12+1,1))-AVERAGE(OFFSET($H$3,0,0,'Données projet'!$E$12+1,1))</f>
        <v>243.38048563215585</v>
      </c>
      <c r="CE44" s="59">
        <f t="shared" si="40"/>
        <v>372.1604147006675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5.8780250417539035</v>
      </c>
      <c r="CL44" s="21">
        <f>EXP(-LN(2)/25)*CL43+(1-EXP(-LN(2)/25))/(LN(2)/25)*Calculateur!CG44*Calculateur!CI44*VLOOKUP('Données projet'!$B$12,Paramètres!$A$1:$I$89,3,0)*0.475*44/12</f>
        <v>14.272716180129542</v>
      </c>
      <c r="CM44" s="21">
        <f>EXP(-LN(2)/2)*CM43+(1-EXP(-LN(2)/2))/(LN(2)/2)*CG44*CJ44*VLOOKUP('Données projet'!$B$12,Paramètres!$A$1:$I$89,3,0)*0.475*44/12</f>
        <v>0.64777475961557474</v>
      </c>
      <c r="CN44" s="22">
        <f t="shared" si="12"/>
        <v>20.798515981499023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23.4</v>
      </c>
      <c r="CT44" s="12">
        <f>IF('Données projet'!$A$140&gt;35,CT43+CS44-DB43,IF(A44&lt;'Données projet'!$A$140,$CQ$205^A44,IF(A44='Données projet'!$A$140,'Données projet'!$B$140,CT43+CS44-DB43)))</f>
        <v>359.40000000000015</v>
      </c>
      <c r="CU44" s="17">
        <f>CT44*VLOOKUP('Données projet'!$B$13,Paramètres!$A$1:$I$89,3,0)*VLOOKUP('Données projet'!$B$13,Paramètres!$A$1:$I$89,5,0)</f>
        <v>172.87140000000008</v>
      </c>
      <c r="CV44" s="13">
        <f t="shared" si="41"/>
        <v>43.732493418684889</v>
      </c>
      <c r="CW44" s="20">
        <f t="shared" si="13"/>
        <v>377.25178103754297</v>
      </c>
      <c r="CX44" s="59">
        <f t="shared" si="14"/>
        <v>670.58511437087623</v>
      </c>
      <c r="CY44" s="59">
        <f ca="1">AVERAGE(OFFSET($CX$3,0,0,'Données projet'!$E$13+1,1))-AVERAGE(OFFSET($H$3,0,0,'Données projet'!$E$13+1,1))</f>
        <v>297.21955661193238</v>
      </c>
      <c r="CZ44" s="59">
        <f t="shared" si="42"/>
        <v>273.69206144662144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5.4191094654043459</v>
      </c>
      <c r="DG44" s="21">
        <f>EXP(-LN(2)/25)*DG43+(1-EXP(-LN(2)/25))/(LN(2)/25)*Calculateur!DB44*Calculateur!DD44*VLOOKUP('Données projet'!$B$13,Paramètres!$A$1:$I$89,3,0)*0.475*44/12</f>
        <v>9.8946580600454386</v>
      </c>
      <c r="DH44" s="21">
        <f>EXP(-LN(2)/2)*DH43+(1-EXP(-LN(2)/2))/(LN(2)/2)*DB44*DE44*VLOOKUP('Données projet'!$B$13,Paramètres!$A$1:$I$89,3,0)*0.475*44/12</f>
        <v>0.46211159298715915</v>
      </c>
      <c r="DI44" s="22">
        <f t="shared" si="15"/>
        <v>15.775879118436944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160.87031999999996</v>
      </c>
      <c r="DQ44" s="13">
        <f t="shared" si="43"/>
        <v>41.038756492063129</v>
      </c>
      <c r="DR44" s="20">
        <f t="shared" si="16"/>
        <v>351.65830822367656</v>
      </c>
      <c r="DS44" s="59">
        <f t="shared" si="17"/>
        <v>644.99164155700987</v>
      </c>
      <c r="DT44" s="59">
        <f ca="1">AVERAGE(OFFSET($DS$3,0,0,'Données projet'!$E$14+1,1))-AVERAGE(OFFSET($H$3,0,0,'Données projet'!$E$14+1,1))</f>
        <v>260.20517190557814</v>
      </c>
      <c r="DU44" s="59">
        <f t="shared" si="44"/>
        <v>307.22009971147133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2.6242570176831408</v>
      </c>
      <c r="EB44" s="21">
        <f>EXP(-LN(2)/25)*EB43+(1-EXP(-LN(2)/25))/(LN(2)/25)*Calculateur!DW44*Calculateur!DY44*VLOOKUP('Données projet'!$B$14,Paramètres!$A$1:$I$89,3,0)*0.475*44/12</f>
        <v>15.12570932410541</v>
      </c>
      <c r="EC44" s="21">
        <f>EXP(-LN(2)/2)*EC43+(1-EXP(-LN(2)/2))/(LN(2)/2)*DW44*DZ44*VLOOKUP('Données projet'!$B$14,Paramètres!$A$1:$I$89,3,0)*0.475*44/12</f>
        <v>0.53119262916563648</v>
      </c>
      <c r="ED44" s="22">
        <f t="shared" si="18"/>
        <v>18.281158970954188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18.8</v>
      </c>
      <c r="EJ44" s="12">
        <f>IF('Données projet'!$A$192&gt;35,EJ43+EI44-ER43,IF(A44&lt;'Données projet'!$A$192,$EG$205^A44,IF(A44='Données projet'!$A$192,'Données projet'!$B$192,EJ43+EI44-ER43)))</f>
        <v>231.80000000000007</v>
      </c>
      <c r="EK44" s="17">
        <f>EJ44*VLOOKUP('Données projet'!$B$15,Paramètres!$A$1:$I$89,3,0)*VLOOKUP('Données projet'!$B$15,Paramètres!$A$1:$I$89,5,0)</f>
        <v>138.61640000000006</v>
      </c>
      <c r="EL44" s="13">
        <f t="shared" si="45"/>
        <v>35.97985917844175</v>
      </c>
      <c r="EM44" s="20">
        <f t="shared" si="19"/>
        <v>304.08848473578615</v>
      </c>
      <c r="EN44" s="59">
        <f t="shared" si="20"/>
        <v>597.42181806911947</v>
      </c>
      <c r="EO44" s="59">
        <f ca="1">AVERAGE(OFFSET($EN$3,0,0,'Données projet'!$E$15+1,1))-AVERAGE(OFFSET($H$3,0,0,'Données projet'!$E$15+1,1))</f>
        <v>259.30247982593914</v>
      </c>
      <c r="EP44" s="59">
        <f t="shared" si="46"/>
        <v>275.24740346220779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13.292758004041849</v>
      </c>
      <c r="EX44" s="21">
        <f>EXP(-LN(2)/2)*EX43+(1-EXP(-LN(2)/2))/(LN(2)/2)*ER44*EU44*VLOOKUP('Données projet'!$B$15,Paramètres!$A$1:$I$89,3,0)*0.475*44/12</f>
        <v>0.6337548422879794</v>
      </c>
      <c r="EY44" s="22">
        <f t="shared" si="21"/>
        <v>13.926512846329828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11.2</v>
      </c>
      <c r="FE44" s="12">
        <f>IF('Données projet'!$A$218&gt;35,FE43+FD44-FM43,IF(A44&lt;'Données projet'!$A$218,$FB$205^A44,IF(A44='Données projet'!$A$218,'Données projet'!$B$218,FE43+FD44-FM43)))</f>
        <v>158.19999999999999</v>
      </c>
      <c r="FF44" s="17">
        <f>FE44*VLOOKUP('Données projet'!$B$16,Paramètres!$A$1:$I$89,3,0)*VLOOKUP('Données projet'!$B$16,Paramètres!$A$1:$I$89,5,0)</f>
        <v>160.41480000000001</v>
      </c>
      <c r="FG44" s="13">
        <f t="shared" si="47"/>
        <v>40.936060601587023</v>
      </c>
      <c r="FH44" s="20">
        <f t="shared" si="22"/>
        <v>350.68608221443077</v>
      </c>
      <c r="FI44" s="59">
        <f t="shared" si="23"/>
        <v>644.01941554776408</v>
      </c>
      <c r="FJ44" s="59">
        <f ca="1">AVERAGE(OFFSET($FI$3,0,0,'Données projet'!$E$16+1,1))-AVERAGE(OFFSET($H$3,0,0,'Données projet'!$E$16+1,1))</f>
        <v>372.91317851957336</v>
      </c>
      <c r="FK44" s="59">
        <f t="shared" si="48"/>
        <v>269.69187715858413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2.1708615211022941</v>
      </c>
      <c r="FR44" s="21">
        <f>EXP(-LN(2)/25)*FR43+(1-EXP(-LN(2)/25))/(LN(2)/25)*Calculateur!FM44*Calculateur!FO44*VLOOKUP('Données projet'!$B$16,Paramètres!$A$1:$I$89,3,0)*0.475*44/12</f>
        <v>11.198196470255219</v>
      </c>
      <c r="FS44" s="21">
        <f>EXP(-LN(2)/2)*FS43+(1-EXP(-LN(2)/2))/(LN(2)/2)*FM44*FP44*VLOOKUP('Données projet'!$B$16,Paramètres!$A$1:$I$89,3,0)*0.475*44/12</f>
        <v>0.53837094227592652</v>
      </c>
      <c r="FT44" s="22">
        <f t="shared" si="24"/>
        <v>13.90742893363344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11.499999999999996</v>
      </c>
      <c r="FZ44" s="12">
        <f>IF('Données projet'!$A$244&gt;35,FZ43+FY44-GH43,IF(A44&lt;'Données projet'!$A$244,$FW$205^A44,IF(A44='Données projet'!$A$244,'Données projet'!$B$244,FZ43+FY44-GH43)))</f>
        <v>219.6999999999999</v>
      </c>
      <c r="GA44" s="17">
        <f>FZ44*VLOOKUP('Données projet'!$B$17,Paramètres!$A$1:$I$89,3,0)*VLOOKUP('Données projet'!$B$17,Paramètres!$A$1:$I$89,5,0)</f>
        <v>102.81959999999995</v>
      </c>
      <c r="GB44" s="13">
        <f t="shared" si="49"/>
        <v>27.632637448562328</v>
      </c>
      <c r="GC44" s="20">
        <f t="shared" si="25"/>
        <v>227.20431355624598</v>
      </c>
      <c r="GD44" s="59">
        <f t="shared" si="26"/>
        <v>520.53764688957926</v>
      </c>
      <c r="GE44" s="59">
        <f ca="1">AVERAGE(OFFSET($GD$3,0,0,'Données projet'!$E$17+1,1))-AVERAGE(OFFSET($H$3,0,0,'Données projet'!$E$17+1,1))</f>
        <v>215.23235148064941</v>
      </c>
      <c r="GF44" s="59">
        <f t="shared" si="50"/>
        <v>184.07239726900434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2.5209843695478997</v>
      </c>
      <c r="GM44" s="21">
        <f>EXP(-LN(2)/25)*GM43+(1-EXP(-LN(2)/25))/(LN(2)/25)*Calculateur!GH44*Calculateur!GJ44*VLOOKUP('Données projet'!$B$17,Paramètres!$A$1:$I$89,3,0)*0.475*44/12</f>
        <v>5.7905346423098703</v>
      </c>
      <c r="GN44" s="21">
        <f>EXP(-LN(2)/2)*GN43+(1-EXP(-LN(2)/2))/(LN(2)/2)*GH44*GK44*VLOOKUP('Données projet'!$B$17,Paramètres!$A$1:$I$89,3,0)*0.475*44/12</f>
        <v>0.21726245822000553</v>
      </c>
      <c r="GO44" s="21">
        <f t="shared" si="27"/>
        <v>8.5287814700777762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11</v>
      </c>
      <c r="GU44" s="12">
        <f>IF('Données projet'!$A$270&gt;35,GU43+GT44-HC43,IF(A44&lt;'Données projet'!$A$270,$GR$205^A44,IF(A44='Données projet'!$A$270,'Données projet'!$B$270,GU43+GT44-HC43)))</f>
        <v>309.99999999999989</v>
      </c>
      <c r="GV44" s="17">
        <f>GU44*VLOOKUP('Données projet'!$B$18,Paramètres!$A$1:$I$89,3,0)*VLOOKUP('Données projet'!$B$18,Paramètres!$A$1:$I$89,5,0)</f>
        <v>185.37999999999997</v>
      </c>
      <c r="GW44" s="13">
        <f t="shared" si="51"/>
        <v>46.517077709312211</v>
      </c>
      <c r="GX44" s="20">
        <f t="shared" si="28"/>
        <v>403.88741034371873</v>
      </c>
      <c r="GY44" s="59">
        <f t="shared" si="29"/>
        <v>697.22074367705204</v>
      </c>
      <c r="GZ44" s="59">
        <f ca="1">AVERAGE(OFFSET($GY$3,0,0,'Données projet'!$E$18+1,1))-AVERAGE(OFFSET($H$3,0,0,'Données projet'!$E$18+1,1))</f>
        <v>227.89848316900191</v>
      </c>
      <c r="HA44" s="59">
        <f t="shared" si="52"/>
        <v>239.85955661394541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6.3873811430068317</v>
      </c>
      <c r="HH44" s="21">
        <f>EXP(-LN(2)/25)*HH43+(1-EXP(-LN(2)/25))/(LN(2)/25)*Calculateur!HC44*Calculateur!HE44*VLOOKUP('Données projet'!$B$18,Paramètres!$A$1:$I$89,3,0)*0.475*44/12</f>
        <v>12.637124368358233</v>
      </c>
      <c r="HI44" s="21">
        <f>EXP(-LN(2)/2)*HI43+(1-EXP(-LN(2)/2))/(LN(2)/2)*HC44*HF44*VLOOKUP('Données projet'!$B$18,Paramètres!$A$1:$I$89,3,0)*0.475*44/12</f>
        <v>0.14812938244772333</v>
      </c>
      <c r="HJ44" s="22">
        <f t="shared" si="30"/>
        <v>19.172634893812788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21</v>
      </c>
      <c r="N45" s="13">
        <f>IF('Données projet'!$A$36&gt;35,N44+M45-V44,IF(A45&lt;'Données projet'!$A$36,$K$205^A45,IF(A45='Données projet'!$A$36,'Données projet'!$B$36,N44+M45-V44)))</f>
        <v>393.00000000000006</v>
      </c>
      <c r="O45" s="13">
        <f>N45*VLOOKUP('Données projet'!$B$9,Paramètres!$A$1:$I$89,3,0)*VLOOKUP('Données projet'!$B$9,Paramètres!$A$1:$I$89,5,0)</f>
        <v>219.68700000000001</v>
      </c>
      <c r="P45" s="13">
        <f t="shared" si="33"/>
        <v>54.046851081096591</v>
      </c>
      <c r="Q45" s="20">
        <f t="shared" si="53"/>
        <v>476.75312396624321</v>
      </c>
      <c r="R45" s="59">
        <f t="shared" si="0"/>
        <v>770.08645729957652</v>
      </c>
      <c r="S45" s="59">
        <f ca="1">AVERAGE(OFFSET($R$3,0,0,'Données projet'!$E$9+1,1))-AVERAGE(OFFSET($H$3,0,0,'Données projet'!$E$9+1,1))</f>
        <v>370.69652285220093</v>
      </c>
      <c r="T45" s="59">
        <f t="shared" si="34"/>
        <v>376.53494965377718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8.1038820317714606</v>
      </c>
      <c r="AA45" s="21">
        <f>EXP(-LN(2)/25)*AA44+(1-EXP(-LN(2)/25))/(LN(2)/25)*Calculateur!V45*Calculateur!X45*VLOOKUP('Données projet'!$B$9,Paramètres!$A$1:$I$89,3,0)*0.475*44/12</f>
        <v>23.951109759657761</v>
      </c>
      <c r="AB45" s="21">
        <f>EXP(-LN(2)/2)*AB44+(1-EXP(-LN(2)/2))/(LN(2)/2)*V45*Y45*VLOOKUP('Données projet'!$B$9,Paramètres!$A$1:$I$89,3,0)*0.475*44/12</f>
        <v>0.5114025709591109</v>
      </c>
      <c r="AC45" s="22">
        <f t="shared" si="3"/>
        <v>32.566394362388337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153.27311999999998</v>
      </c>
      <c r="AK45" s="13">
        <f t="shared" si="35"/>
        <v>39.321476829336504</v>
      </c>
      <c r="AL45" s="20">
        <f t="shared" si="4"/>
        <v>335.43558947776097</v>
      </c>
      <c r="AM45" s="59">
        <f t="shared" si="5"/>
        <v>628.76892281109428</v>
      </c>
      <c r="AN45" s="59">
        <f ca="1">AVERAGE(OFFSET($AM$3,0,0,'Données projet'!$E$10+1,1))-AVERAGE(OFFSET($H$3,0,0,'Données projet'!$E$10+1,1))</f>
        <v>321.03881567735544</v>
      </c>
      <c r="AO45" s="59">
        <f t="shared" si="36"/>
        <v>234.87694492493506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1.8990915468393723</v>
      </c>
      <c r="AV45" s="21">
        <f>EXP(-LN(2)/25)*AV44+(1-EXP(-LN(2)/25))/(LN(2)/25)*Calculateur!AQ45*Calculateur!AS45*VLOOKUP('Données projet'!$B$10,Paramètres!$A$1:$I$89,3,0)*0.475*44/12</f>
        <v>9.7189986082389961</v>
      </c>
      <c r="AW45" s="21">
        <f>EXP(-LN(2)/2)*AW44+(1-EXP(-LN(2)/2))/(LN(2)/2)*AQ45*AT45*VLOOKUP('Données projet'!$B$10,Paramètres!$A$1:$I$89,3,0)*0.475*44/12</f>
        <v>0.33968881779187288</v>
      </c>
      <c r="AX45" s="21">
        <f t="shared" si="6"/>
        <v>11.957778972870241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13.1</v>
      </c>
      <c r="BD45" s="12">
        <f>IF('Données projet'!$A$88&gt;35,BD44+BC45-BL44,IF(A45&lt;'Données projet'!$A$88,$BA$205^A45,IF(A45='Données projet'!$A$88,'Données projet'!$B$88,BD44+BC45-BL44)))</f>
        <v>290.19999999999993</v>
      </c>
      <c r="BE45" s="13">
        <f>BD45*VLOOKUP('Données projet'!$B$11,Paramètres!$A$1:$I$89,3,0)*VLOOKUP('Données projet'!$B$11,Paramètres!$A$1:$I$89,5,0)</f>
        <v>158.44919999999996</v>
      </c>
      <c r="BF45" s="13">
        <f t="shared" si="37"/>
        <v>40.492530106300926</v>
      </c>
      <c r="BG45" s="20">
        <f t="shared" si="7"/>
        <v>346.49017993514076</v>
      </c>
      <c r="BH45" s="59">
        <f t="shared" si="8"/>
        <v>639.82351326847402</v>
      </c>
      <c r="BI45" s="59">
        <f ca="1">AVERAGE(OFFSET($BH$3,0,0,'Données projet'!$E$11+1,1))-AVERAGE(OFFSET($H$3,0,0,'Données projet'!$E$11+1,1))</f>
        <v>248.1486444660062</v>
      </c>
      <c r="BJ45" s="59">
        <f t="shared" si="38"/>
        <v>293.34458072322127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6.7161136500093281</v>
      </c>
      <c r="BQ45" s="21">
        <f>EXP(-LN(2)/25)*BQ44+(1-EXP(-LN(2)/25))/(LN(2)/25)*Calculateur!BL45*Calculateur!BN45*VLOOKUP('Données projet'!$B$11,Paramètres!$A$1:$I$89,3,0)*0.475*44/12</f>
        <v>24.40429775938324</v>
      </c>
      <c r="BR45" s="21">
        <f>EXP(-LN(2)/2)*BR44+(1-EXP(-LN(2)/2))/(LN(2)/2)*BL45*BO45*VLOOKUP('Données projet'!$B$11,Paramètres!$A$1:$I$89,3,0)*0.475*44/12</f>
        <v>0.3934754080447852</v>
      </c>
      <c r="BS45" s="22">
        <f t="shared" si="9"/>
        <v>31.513886817437353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9.4</v>
      </c>
      <c r="BY45" s="12">
        <f>IF('Données projet'!$A$114&gt;35,BY44+BX45-CG44,IF(A45&lt;'Données projet'!$A$114,$BV$205^A45,IF(A45='Données projet'!$A$114,'Données projet'!$B$114,BY44+BX45-CG44)))</f>
        <v>192.80000000000004</v>
      </c>
      <c r="BZ45" s="13">
        <f>BY45*VLOOKUP('Données projet'!$B$12,Paramètres!$A$1:$I$89,3,0)*VLOOKUP('Données projet'!$B$12,Paramètres!$A$1:$I$89,5,0)</f>
        <v>168.43008000000006</v>
      </c>
      <c r="CA45" s="13">
        <f t="shared" si="39"/>
        <v>42.73822409848502</v>
      </c>
      <c r="CB45" s="20">
        <f t="shared" si="10"/>
        <v>367.78479630486146</v>
      </c>
      <c r="CC45" s="59">
        <f t="shared" si="11"/>
        <v>661.11812963819477</v>
      </c>
      <c r="CD45" s="59">
        <f ca="1">AVERAGE(OFFSET($CC$3,0,0,'Données projet'!$E$12+1,1))-AVERAGE(OFFSET($H$3,0,0,'Données projet'!$E$12+1,1))</f>
        <v>243.38048563215585</v>
      </c>
      <c r="CE45" s="59">
        <f t="shared" si="40"/>
        <v>372.1604147006675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5.7627605559263717</v>
      </c>
      <c r="CL45" s="21">
        <f>EXP(-LN(2)/25)*CL44+(1-EXP(-LN(2)/25))/(LN(2)/25)*Calculateur!CG45*Calculateur!CI45*VLOOKUP('Données projet'!$B$12,Paramètres!$A$1:$I$89,3,0)*0.475*44/12</f>
        <v>13.882428005614377</v>
      </c>
      <c r="CM45" s="21">
        <f>EXP(-LN(2)/2)*CM44+(1-EXP(-LN(2)/2))/(LN(2)/2)*CG45*CJ45*VLOOKUP('Données projet'!$B$12,Paramètres!$A$1:$I$89,3,0)*0.475*44/12</f>
        <v>0.45804592520565868</v>
      </c>
      <c r="CN45" s="22">
        <f t="shared" si="12"/>
        <v>20.103234486746409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23.4</v>
      </c>
      <c r="CT45" s="12">
        <f>IF('Données projet'!$A$140&gt;35,CT44+CS45-DB44,IF(A45&lt;'Données projet'!$A$140,$CQ$205^A45,IF(A45='Données projet'!$A$140,'Données projet'!$B$140,CT44+CS45-DB44)))</f>
        <v>382.80000000000013</v>
      </c>
      <c r="CU45" s="17">
        <f>CT45*VLOOKUP('Données projet'!$B$13,Paramètres!$A$1:$I$89,3,0)*VLOOKUP('Données projet'!$B$13,Paramètres!$A$1:$I$89,5,0)</f>
        <v>184.12680000000009</v>
      </c>
      <c r="CV45" s="13">
        <f t="shared" si="41"/>
        <v>46.239108362516738</v>
      </c>
      <c r="CW45" s="20">
        <f t="shared" si="13"/>
        <v>401.22062373138345</v>
      </c>
      <c r="CX45" s="59">
        <f t="shared" si="14"/>
        <v>694.55395706471677</v>
      </c>
      <c r="CY45" s="59">
        <f ca="1">AVERAGE(OFFSET($CX$3,0,0,'Données projet'!$E$13+1,1))-AVERAGE(OFFSET($H$3,0,0,'Données projet'!$E$13+1,1))</f>
        <v>297.21955661193238</v>
      </c>
      <c r="CZ45" s="59">
        <f t="shared" si="42"/>
        <v>273.69206144662144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5.3128440341181662</v>
      </c>
      <c r="DG45" s="21">
        <f>EXP(-LN(2)/25)*DG44+(1-EXP(-LN(2)/25))/(LN(2)/25)*Calculateur!DB45*Calculateur!DD45*VLOOKUP('Données projet'!$B$13,Paramètres!$A$1:$I$89,3,0)*0.475*44/12</f>
        <v>9.6240881150560433</v>
      </c>
      <c r="DH45" s="21">
        <f>EXP(-LN(2)/2)*DH44+(1-EXP(-LN(2)/2))/(LN(2)/2)*DB45*DE45*VLOOKUP('Données projet'!$B$13,Paramètres!$A$1:$I$89,3,0)*0.475*44/12</f>
        <v>0.32676224106613805</v>
      </c>
      <c r="DI45" s="22">
        <f t="shared" si="15"/>
        <v>15.263694390240348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168.18983999999995</v>
      </c>
      <c r="DQ45" s="13">
        <f t="shared" si="43"/>
        <v>42.684355718695357</v>
      </c>
      <c r="DR45" s="20">
        <f t="shared" si="16"/>
        <v>367.27255754339438</v>
      </c>
      <c r="DS45" s="59">
        <f t="shared" si="17"/>
        <v>660.6058908767277</v>
      </c>
      <c r="DT45" s="59">
        <f ca="1">AVERAGE(OFFSET($DS$3,0,0,'Données projet'!$E$14+1,1))-AVERAGE(OFFSET($H$3,0,0,'Données projet'!$E$14+1,1))</f>
        <v>260.20517190557814</v>
      </c>
      <c r="DU45" s="59">
        <f t="shared" si="44"/>
        <v>307.22009971147133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2.572796938205105</v>
      </c>
      <c r="EB45" s="21">
        <f>EXP(-LN(2)/25)*EB44+(1-EXP(-LN(2)/25))/(LN(2)/25)*Calculateur!DW45*Calculateur!DY45*VLOOKUP('Données projet'!$B$14,Paramètres!$A$1:$I$89,3,0)*0.475*44/12</f>
        <v>14.712096007211263</v>
      </c>
      <c r="EC45" s="21">
        <f>EXP(-LN(2)/2)*EC44+(1-EXP(-LN(2)/2))/(LN(2)/2)*DW45*DZ45*VLOOKUP('Données projet'!$B$14,Paramètres!$A$1:$I$89,3,0)*0.475*44/12</f>
        <v>0.3756099101993326</v>
      </c>
      <c r="ED45" s="22">
        <f t="shared" si="18"/>
        <v>17.6605028556157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18.8</v>
      </c>
      <c r="EJ45" s="12">
        <f>IF('Données projet'!$A$192&gt;35,EJ44+EI45-ER44,IF(A45&lt;'Données projet'!$A$192,$EG$205^A45,IF(A45='Données projet'!$A$192,'Données projet'!$B$192,EJ44+EI45-ER44)))</f>
        <v>250.60000000000008</v>
      </c>
      <c r="EK45" s="17">
        <f>EJ45*VLOOKUP('Données projet'!$B$15,Paramètres!$A$1:$I$89,3,0)*VLOOKUP('Données projet'!$B$15,Paramètres!$A$1:$I$89,5,0)</f>
        <v>149.85880000000006</v>
      </c>
      <c r="EL45" s="13">
        <f t="shared" si="45"/>
        <v>38.546495655588949</v>
      </c>
      <c r="EM45" s="20">
        <f t="shared" si="19"/>
        <v>328.13922326681751</v>
      </c>
      <c r="EN45" s="59">
        <f t="shared" si="20"/>
        <v>621.47255660015082</v>
      </c>
      <c r="EO45" s="59">
        <f ca="1">AVERAGE(OFFSET($EN$3,0,0,'Données projet'!$E$15+1,1))-AVERAGE(OFFSET($H$3,0,0,'Données projet'!$E$15+1,1))</f>
        <v>259.30247982593914</v>
      </c>
      <c r="EP45" s="59">
        <f t="shared" si="46"/>
        <v>275.24740346220779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12.929266837385562</v>
      </c>
      <c r="EX45" s="21">
        <f>EXP(-LN(2)/2)*EX44+(1-EXP(-LN(2)/2))/(LN(2)/2)*ER45*EU45*VLOOKUP('Données projet'!$B$15,Paramètres!$A$1:$I$89,3,0)*0.475*44/12</f>
        <v>0.4481323465916412</v>
      </c>
      <c r="EY45" s="22">
        <f t="shared" si="21"/>
        <v>13.377399183977204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11.2</v>
      </c>
      <c r="FE45" s="12">
        <f>IF('Données projet'!$A$218&gt;35,FE44+FD45-FM44,IF(A45&lt;'Données projet'!$A$218,$FB$205^A45,IF(A45='Données projet'!$A$218,'Données projet'!$B$218,FE44+FD45-FM44)))</f>
        <v>169.39999999999998</v>
      </c>
      <c r="FF45" s="17">
        <f>FE45*VLOOKUP('Données projet'!$B$16,Paramètres!$A$1:$I$89,3,0)*VLOOKUP('Données projet'!$B$16,Paramètres!$A$1:$I$89,5,0)</f>
        <v>171.77159999999998</v>
      </c>
      <c r="FG45" s="13">
        <f t="shared" si="47"/>
        <v>43.486563328347792</v>
      </c>
      <c r="FH45" s="20">
        <f t="shared" si="22"/>
        <v>374.90796779687236</v>
      </c>
      <c r="FI45" s="59">
        <f t="shared" si="23"/>
        <v>668.24130113020567</v>
      </c>
      <c r="FJ45" s="59">
        <f ca="1">AVERAGE(OFFSET($FI$3,0,0,'Données projet'!$E$16+1,1))-AVERAGE(OFFSET($H$3,0,0,'Données projet'!$E$16+1,1))</f>
        <v>372.91317851957336</v>
      </c>
      <c r="FK45" s="59">
        <f t="shared" si="48"/>
        <v>269.69187715858413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2.1282922507682627</v>
      </c>
      <c r="FR45" s="21">
        <f>EXP(-LN(2)/25)*FR44+(1-EXP(-LN(2)/25))/(LN(2)/25)*Calculateur!FM45*Calculateur!FO45*VLOOKUP('Données projet'!$B$16,Paramètres!$A$1:$I$89,3,0)*0.475*44/12</f>
        <v>10.891981198888532</v>
      </c>
      <c r="FS45" s="21">
        <f>EXP(-LN(2)/2)*FS44+(1-EXP(-LN(2)/2))/(LN(2)/2)*FM45*FP45*VLOOKUP('Données projet'!$B$16,Paramètres!$A$1:$I$89,3,0)*0.475*44/12</f>
        <v>0.38068574407709899</v>
      </c>
      <c r="FT45" s="22">
        <f t="shared" si="24"/>
        <v>13.400959193733893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11.499999999999996</v>
      </c>
      <c r="FZ45" s="12">
        <f>IF('Données projet'!$A$244&gt;35,FZ44+FY45-GH44,IF(A45&lt;'Données projet'!$A$244,$FW$205^A45,IF(A45='Données projet'!$A$244,'Données projet'!$B$244,FZ44+FY45-GH44)))</f>
        <v>231.1999999999999</v>
      </c>
      <c r="GA45" s="17">
        <f>FZ45*VLOOKUP('Données projet'!$B$17,Paramètres!$A$1:$I$89,3,0)*VLOOKUP('Données projet'!$B$17,Paramètres!$A$1:$I$89,5,0)</f>
        <v>108.20159999999994</v>
      </c>
      <c r="GB45" s="13">
        <f t="shared" si="49"/>
        <v>28.906861857161235</v>
      </c>
      <c r="GC45" s="20">
        <f t="shared" si="25"/>
        <v>238.79723773455569</v>
      </c>
      <c r="GD45" s="59">
        <f t="shared" si="26"/>
        <v>532.13057106788904</v>
      </c>
      <c r="GE45" s="59">
        <f ca="1">AVERAGE(OFFSET($GD$3,0,0,'Données projet'!$E$17+1,1))-AVERAGE(OFFSET($H$3,0,0,'Données projet'!$E$17+1,1))</f>
        <v>215.23235148064941</v>
      </c>
      <c r="GF45" s="59">
        <f t="shared" si="50"/>
        <v>184.07239726900434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2.4715494037097008</v>
      </c>
      <c r="GM45" s="21">
        <f>EXP(-LN(2)/25)*GM44+(1-EXP(-LN(2)/25))/(LN(2)/25)*Calculateur!GH45*Calculateur!GJ45*VLOOKUP('Données projet'!$B$17,Paramètres!$A$1:$I$89,3,0)*0.475*44/12</f>
        <v>5.6321921680049245</v>
      </c>
      <c r="GN45" s="21">
        <f>EXP(-LN(2)/2)*GN44+(1-EXP(-LN(2)/2))/(LN(2)/2)*GH45*GK45*VLOOKUP('Données projet'!$B$17,Paramètres!$A$1:$I$89,3,0)*0.475*44/12</f>
        <v>0.15362775750462487</v>
      </c>
      <c r="GO45" s="21">
        <f t="shared" si="27"/>
        <v>8.2573693292192498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11</v>
      </c>
      <c r="GU45" s="12">
        <f>IF('Données projet'!$A$270&gt;35,GU44+GT45-HC44,IF(A45&lt;'Données projet'!$A$270,$GR$205^A45,IF(A45='Données projet'!$A$270,'Données projet'!$B$270,GU44+GT45-HC44)))</f>
        <v>320.99999999999989</v>
      </c>
      <c r="GV45" s="17">
        <f>GU45*VLOOKUP('Données projet'!$B$18,Paramètres!$A$1:$I$89,3,0)*VLOOKUP('Données projet'!$B$18,Paramètres!$A$1:$I$89,5,0)</f>
        <v>191.95799999999997</v>
      </c>
      <c r="GW45" s="13">
        <f t="shared" si="51"/>
        <v>47.972580210954568</v>
      </c>
      <c r="GX45" s="20">
        <f t="shared" si="28"/>
        <v>417.87909386741245</v>
      </c>
      <c r="GY45" s="59">
        <f t="shared" si="29"/>
        <v>711.21242720074576</v>
      </c>
      <c r="GZ45" s="59">
        <f ca="1">AVERAGE(OFFSET($GY$3,0,0,'Données projet'!$E$18+1,1))-AVERAGE(OFFSET($H$3,0,0,'Données projet'!$E$18+1,1))</f>
        <v>227.89848316900191</v>
      </c>
      <c r="HA45" s="59">
        <f t="shared" si="52"/>
        <v>239.85955661394541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6.2621284947102751</v>
      </c>
      <c r="HH45" s="21">
        <f>EXP(-LN(2)/25)*HH44+(1-EXP(-LN(2)/25))/(LN(2)/25)*Calculateur!HC45*Calculateur!HE45*VLOOKUP('Données projet'!$B$18,Paramètres!$A$1:$I$89,3,0)*0.475*44/12</f>
        <v>12.291561537947988</v>
      </c>
      <c r="HI45" s="21">
        <f>EXP(-LN(2)/2)*HI44+(1-EXP(-LN(2)/2))/(LN(2)/2)*HC45*HF45*VLOOKUP('Données projet'!$B$18,Paramètres!$A$1:$I$89,3,0)*0.475*44/12</f>
        <v>0.10474329082176072</v>
      </c>
      <c r="HJ45" s="22">
        <f t="shared" si="30"/>
        <v>18.658433323480025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</v>
      </c>
      <c r="N46" s="13">
        <f>IF('Données projet'!$A$36&gt;35,N45+M46-V45,IF(A46&lt;'Données projet'!$A$36,$K$205^A46,IF(A46='Données projet'!$A$36,'Données projet'!$B$36,N45+M46-V45)))</f>
        <v>414.00000000000006</v>
      </c>
      <c r="O46" s="13">
        <f>N46*VLOOKUP('Données projet'!$B$9,Paramètres!$A$1:$I$89,3,0)*VLOOKUP('Données projet'!$B$9,Paramètres!$A$1:$I$89,5,0)</f>
        <v>231.42600000000002</v>
      </c>
      <c r="P46" s="13">
        <f t="shared" si="33"/>
        <v>56.590905067453221</v>
      </c>
      <c r="Q46" s="20">
        <f t="shared" si="53"/>
        <v>501.62944299248107</v>
      </c>
      <c r="R46" s="59">
        <f t="shared" si="0"/>
        <v>794.96277632581439</v>
      </c>
      <c r="S46" s="59">
        <f ca="1">AVERAGE(OFFSET($R$3,0,0,'Données projet'!$E$9+1,1))-AVERAGE(OFFSET($H$3,0,0,'Données projet'!$E$9+1,1))</f>
        <v>370.69652285220093</v>
      </c>
      <c r="T46" s="59">
        <f t="shared" si="34"/>
        <v>376.53494965377718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7.9449698480083928</v>
      </c>
      <c r="AA46" s="21">
        <f>EXP(-LN(2)/25)*AA45+(1-EXP(-LN(2)/25))/(LN(2)/25)*Calculateur!V46*Calculateur!X46*VLOOKUP('Données projet'!$B$9,Paramètres!$A$1:$I$89,3,0)*0.475*44/12</f>
        <v>23.2961654037458</v>
      </c>
      <c r="AB46" s="21">
        <f>EXP(-LN(2)/2)*AB45+(1-EXP(-LN(2)/2))/(LN(2)/2)*V46*Y46*VLOOKUP('Données projet'!$B$9,Paramètres!$A$1:$I$89,3,0)*0.475*44/12</f>
        <v>0.36161622584142189</v>
      </c>
      <c r="AC46" s="22">
        <f t="shared" si="3"/>
        <v>31.602751477595618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163.40687999999997</v>
      </c>
      <c r="AK46" s="13">
        <f t="shared" si="35"/>
        <v>41.610001881769797</v>
      </c>
      <c r="AL46" s="20">
        <f t="shared" si="4"/>
        <v>357.07106927741569</v>
      </c>
      <c r="AM46" s="59">
        <f t="shared" si="5"/>
        <v>650.404402610749</v>
      </c>
      <c r="AN46" s="59">
        <f ca="1">AVERAGE(OFFSET($AM$3,0,0,'Données projet'!$E$10+1,1))-AVERAGE(OFFSET($H$3,0,0,'Données projet'!$E$10+1,1))</f>
        <v>321.03881567735544</v>
      </c>
      <c r="AO46" s="59">
        <f t="shared" si="36"/>
        <v>234.87694492493506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1.86185151993732</v>
      </c>
      <c r="AV46" s="21">
        <f>EXP(-LN(2)/25)*AV45+(1-EXP(-LN(2)/25))/(LN(2)/25)*Calculateur!AQ46*Calculateur!AS46*VLOOKUP('Données projet'!$B$10,Paramètres!$A$1:$I$89,3,0)*0.475*44/12</f>
        <v>9.4532320801967771</v>
      </c>
      <c r="AW46" s="21">
        <f>EXP(-LN(2)/2)*AW45+(1-EXP(-LN(2)/2))/(LN(2)/2)*AQ46*AT46*VLOOKUP('Données projet'!$B$10,Paramètres!$A$1:$I$89,3,0)*0.475*44/12</f>
        <v>0.24019626655387488</v>
      </c>
      <c r="AX46" s="21">
        <f t="shared" si="6"/>
        <v>11.555279866687972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13.1</v>
      </c>
      <c r="BD46" s="12">
        <f>IF('Données projet'!$A$88&gt;35,BD45+BC46-BL45,IF(A46&lt;'Données projet'!$A$88,$BA$205^A46,IF(A46='Données projet'!$A$88,'Données projet'!$B$88,BD45+BC46-BL45)))</f>
        <v>303.29999999999995</v>
      </c>
      <c r="BE46" s="13">
        <f>BD46*VLOOKUP('Données projet'!$B$11,Paramètres!$A$1:$I$89,3,0)*VLOOKUP('Données projet'!$B$11,Paramètres!$A$1:$I$89,5,0)</f>
        <v>165.60179999999997</v>
      </c>
      <c r="BF46" s="13">
        <f t="shared" si="37"/>
        <v>42.103475388783878</v>
      </c>
      <c r="BG46" s="20">
        <f t="shared" si="7"/>
        <v>361.7533546354652</v>
      </c>
      <c r="BH46" s="59">
        <f t="shared" si="8"/>
        <v>655.08668796879851</v>
      </c>
      <c r="BI46" s="59">
        <f ca="1">AVERAGE(OFFSET($BH$3,0,0,'Données projet'!$E$11+1,1))-AVERAGE(OFFSET($H$3,0,0,'Données projet'!$E$11+1,1))</f>
        <v>248.1486444660062</v>
      </c>
      <c r="BJ46" s="59">
        <f t="shared" si="38"/>
        <v>293.34458072322127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6.5844147577574832</v>
      </c>
      <c r="BQ46" s="21">
        <f>EXP(-LN(2)/25)*BQ45+(1-EXP(-LN(2)/25))/(LN(2)/25)*Calculateur!BL46*Calculateur!BN46*VLOOKUP('Données projet'!$B$11,Paramètres!$A$1:$I$89,3,0)*0.475*44/12</f>
        <v>23.736960953786664</v>
      </c>
      <c r="BR46" s="21">
        <f>EXP(-LN(2)/2)*BR45+(1-EXP(-LN(2)/2))/(LN(2)/2)*BL46*BO46*VLOOKUP('Données projet'!$B$11,Paramètres!$A$1:$I$89,3,0)*0.475*44/12</f>
        <v>0.27822912925861143</v>
      </c>
      <c r="BS46" s="22">
        <f t="shared" si="9"/>
        <v>30.599604840802758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9.4</v>
      </c>
      <c r="BY46" s="12">
        <f>IF('Données projet'!$A$114&gt;35,BY45+BX46-CG45,IF(A46&lt;'Données projet'!$A$114,$BV$205^A46,IF(A46='Données projet'!$A$114,'Données projet'!$B$114,BY45+BX46-CG45)))</f>
        <v>202.20000000000005</v>
      </c>
      <c r="BZ46" s="13">
        <f>BY46*VLOOKUP('Données projet'!$B$12,Paramètres!$A$1:$I$89,3,0)*VLOOKUP('Données projet'!$B$12,Paramètres!$A$1:$I$89,5,0)</f>
        <v>176.64192000000008</v>
      </c>
      <c r="CA46" s="13">
        <f t="shared" si="39"/>
        <v>44.574258350008236</v>
      </c>
      <c r="CB46" s="20">
        <f t="shared" si="10"/>
        <v>385.28484395959777</v>
      </c>
      <c r="CC46" s="59">
        <f t="shared" si="11"/>
        <v>678.61817729293102</v>
      </c>
      <c r="CD46" s="59">
        <f ca="1">AVERAGE(OFFSET($CC$3,0,0,'Données projet'!$E$12+1,1))-AVERAGE(OFFSET($H$3,0,0,'Données projet'!$E$12+1,1))</f>
        <v>243.38048563215585</v>
      </c>
      <c r="CE46" s="59">
        <f t="shared" si="40"/>
        <v>372.1604147006675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5.6497563363615235</v>
      </c>
      <c r="CL46" s="21">
        <f>EXP(-LN(2)/25)*CL45+(1-EXP(-LN(2)/25))/(LN(2)/25)*Calculateur!CG46*Calculateur!CI46*VLOOKUP('Données projet'!$B$12,Paramètres!$A$1:$I$89,3,0)*0.475*44/12</f>
        <v>13.502812281755693</v>
      </c>
      <c r="CM46" s="21">
        <f>EXP(-LN(2)/2)*CM45+(1-EXP(-LN(2)/2))/(LN(2)/2)*CG46*CJ46*VLOOKUP('Données projet'!$B$12,Paramètres!$A$1:$I$89,3,0)*0.475*44/12</f>
        <v>0.32388737980778742</v>
      </c>
      <c r="CN46" s="22">
        <f t="shared" si="12"/>
        <v>19.476455997925001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23.4</v>
      </c>
      <c r="CT46" s="12">
        <f>IF('Données projet'!$A$140&gt;35,CT45+CS46-DB45,IF(A46&lt;'Données projet'!$A$140,$CQ$205^A46,IF(A46='Données projet'!$A$140,'Données projet'!$B$140,CT45+CS46-DB45)))</f>
        <v>406.2000000000001</v>
      </c>
      <c r="CU46" s="17">
        <f>CT46*VLOOKUP('Données projet'!$B$13,Paramètres!$A$1:$I$89,3,0)*VLOOKUP('Données projet'!$B$13,Paramètres!$A$1:$I$89,5,0)</f>
        <v>195.38220000000007</v>
      </c>
      <c r="CV46" s="13">
        <f t="shared" si="41"/>
        <v>48.727939451029641</v>
      </c>
      <c r="CW46" s="20">
        <f t="shared" si="13"/>
        <v>425.15849287721011</v>
      </c>
      <c r="CX46" s="59">
        <f t="shared" si="14"/>
        <v>718.49182621054342</v>
      </c>
      <c r="CY46" s="59">
        <f ca="1">AVERAGE(OFFSET($CX$3,0,0,'Données projet'!$E$13+1,1))-AVERAGE(OFFSET($H$3,0,0,'Données projet'!$E$13+1,1))</f>
        <v>297.21955661193238</v>
      </c>
      <c r="CZ46" s="59">
        <f t="shared" si="42"/>
        <v>273.69206144662144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5.2086624031239959</v>
      </c>
      <c r="DG46" s="21">
        <f>EXP(-LN(2)/25)*DG45+(1-EXP(-LN(2)/25))/(LN(2)/25)*Calculateur!DB46*Calculateur!DD46*VLOOKUP('Données projet'!$B$13,Paramètres!$A$1:$I$89,3,0)*0.475*44/12</f>
        <v>9.3609169194410384</v>
      </c>
      <c r="DH46" s="21">
        <f>EXP(-LN(2)/2)*DH45+(1-EXP(-LN(2)/2))/(LN(2)/2)*DB46*DE46*VLOOKUP('Données projet'!$B$13,Paramètres!$A$1:$I$89,3,0)*0.475*44/12</f>
        <v>0.23105579649357957</v>
      </c>
      <c r="DI46" s="22">
        <f t="shared" si="15"/>
        <v>14.800635119058613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175.50935999999993</v>
      </c>
      <c r="DQ46" s="13">
        <f t="shared" si="43"/>
        <v>44.321637208794016</v>
      </c>
      <c r="DR46" s="20">
        <f t="shared" si="16"/>
        <v>382.87232013864946</v>
      </c>
      <c r="DS46" s="59">
        <f t="shared" si="17"/>
        <v>676.20565347198271</v>
      </c>
      <c r="DT46" s="59">
        <f ca="1">AVERAGE(OFFSET($DS$3,0,0,'Données projet'!$E$14+1,1))-AVERAGE(OFFSET($H$3,0,0,'Données projet'!$E$14+1,1))</f>
        <v>260.20517190557814</v>
      </c>
      <c r="DU46" s="59">
        <f t="shared" si="44"/>
        <v>307.22009971147133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2.5223459594980846</v>
      </c>
      <c r="EB46" s="21">
        <f>EXP(-LN(2)/25)*EB45+(1-EXP(-LN(2)/25))/(LN(2)/25)*Calculateur!DW46*Calculateur!DY46*VLOOKUP('Données projet'!$B$14,Paramètres!$A$1:$I$89,3,0)*0.475*44/12</f>
        <v>14.309792968218567</v>
      </c>
      <c r="EC46" s="21">
        <f>EXP(-LN(2)/2)*EC45+(1-EXP(-LN(2)/2))/(LN(2)/2)*DW46*DZ46*VLOOKUP('Données projet'!$B$14,Paramètres!$A$1:$I$89,3,0)*0.475*44/12</f>
        <v>0.26559631458281824</v>
      </c>
      <c r="ED46" s="22">
        <f t="shared" si="18"/>
        <v>17.097735242299471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18.8</v>
      </c>
      <c r="EJ46" s="12">
        <f>IF('Données projet'!$A$192&gt;35,EJ45+EI46-ER45,IF(A46&lt;'Données projet'!$A$192,$EG$205^A46,IF(A46='Données projet'!$A$192,'Données projet'!$B$192,EJ45+EI46-ER45)))</f>
        <v>269.40000000000009</v>
      </c>
      <c r="EK46" s="17">
        <f>EJ46*VLOOKUP('Données projet'!$B$15,Paramètres!$A$1:$I$89,3,0)*VLOOKUP('Données projet'!$B$15,Paramètres!$A$1:$I$89,5,0)</f>
        <v>161.10120000000006</v>
      </c>
      <c r="EL46" s="13">
        <f t="shared" si="45"/>
        <v>41.090794903447133</v>
      </c>
      <c r="EM46" s="20">
        <f t="shared" si="19"/>
        <v>352.15105779017057</v>
      </c>
      <c r="EN46" s="59">
        <f t="shared" si="20"/>
        <v>645.48439112350388</v>
      </c>
      <c r="EO46" s="59">
        <f ca="1">AVERAGE(OFFSET($EN$3,0,0,'Données projet'!$E$15+1,1))-AVERAGE(OFFSET($H$3,0,0,'Données projet'!$E$15+1,1))</f>
        <v>259.30247982593914</v>
      </c>
      <c r="EP46" s="59">
        <f t="shared" si="46"/>
        <v>275.24740346220779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12.57571535579666</v>
      </c>
      <c r="EX46" s="21">
        <f>EXP(-LN(2)/2)*EX45+(1-EXP(-LN(2)/2))/(LN(2)/2)*ER46*EU46*VLOOKUP('Données projet'!$B$15,Paramètres!$A$1:$I$89,3,0)*0.475*44/12</f>
        <v>0.3168774211439897</v>
      </c>
      <c r="EY46" s="22">
        <f t="shared" si="21"/>
        <v>12.892592776940649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11.2</v>
      </c>
      <c r="FE46" s="12">
        <f>IF('Données projet'!$A$218&gt;35,FE45+FD46-FM45,IF(A46&lt;'Données projet'!$A$218,$FB$205^A46,IF(A46='Données projet'!$A$218,'Données projet'!$B$218,FE45+FD46-FM45)))</f>
        <v>180.59999999999997</v>
      </c>
      <c r="FF46" s="17">
        <f>FE46*VLOOKUP('Données projet'!$B$16,Paramètres!$A$1:$I$89,3,0)*VLOOKUP('Données projet'!$B$16,Paramètres!$A$1:$I$89,5,0)</f>
        <v>183.1284</v>
      </c>
      <c r="FG46" s="13">
        <f t="shared" si="47"/>
        <v>46.017498014577676</v>
      </c>
      <c r="FH46" s="20">
        <f t="shared" si="22"/>
        <v>399.09577237538946</v>
      </c>
      <c r="FI46" s="59">
        <f t="shared" si="23"/>
        <v>692.42910570872277</v>
      </c>
      <c r="FJ46" s="59">
        <f ca="1">AVERAGE(OFFSET($FI$3,0,0,'Données projet'!$E$16+1,1))-AVERAGE(OFFSET($H$3,0,0,'Données projet'!$E$16+1,1))</f>
        <v>372.91317851957336</v>
      </c>
      <c r="FK46" s="59">
        <f t="shared" si="48"/>
        <v>269.69187715858413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2.0865577378607902</v>
      </c>
      <c r="FR46" s="21">
        <f>EXP(-LN(2)/25)*FR45+(1-EXP(-LN(2)/25))/(LN(2)/25)*Calculateur!FM46*Calculateur!FO46*VLOOKUP('Données projet'!$B$16,Paramètres!$A$1:$I$89,3,0)*0.475*44/12</f>
        <v>10.594139400220527</v>
      </c>
      <c r="FS46" s="21">
        <f>EXP(-LN(2)/2)*FS45+(1-EXP(-LN(2)/2))/(LN(2)/2)*FM46*FP46*VLOOKUP('Données projet'!$B$16,Paramètres!$A$1:$I$89,3,0)*0.475*44/12</f>
        <v>0.26918547113796326</v>
      </c>
      <c r="FT46" s="22">
        <f t="shared" si="24"/>
        <v>12.94988260921928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11.499999999999996</v>
      </c>
      <c r="FZ46" s="12">
        <f>IF('Données projet'!$A$244&gt;35,FZ45+FY46-GH45,IF(A46&lt;'Données projet'!$A$244,$FW$205^A46,IF(A46='Données projet'!$A$244,'Données projet'!$B$244,FZ45+FY46-GH45)))</f>
        <v>242.6999999999999</v>
      </c>
      <c r="GA46" s="17">
        <f>FZ46*VLOOKUP('Données projet'!$B$17,Paramètres!$A$1:$I$89,3,0)*VLOOKUP('Données projet'!$B$17,Paramètres!$A$1:$I$89,5,0)</f>
        <v>113.58359999999995</v>
      </c>
      <c r="GB46" s="13">
        <f t="shared" si="49"/>
        <v>30.17372688298952</v>
      </c>
      <c r="GC46" s="20">
        <f t="shared" si="25"/>
        <v>250.37734432120666</v>
      </c>
      <c r="GD46" s="59">
        <f t="shared" si="26"/>
        <v>543.71067765453995</v>
      </c>
      <c r="GE46" s="59">
        <f ca="1">AVERAGE(OFFSET($GD$3,0,0,'Données projet'!$E$17+1,1))-AVERAGE(OFFSET($H$3,0,0,'Données projet'!$E$17+1,1))</f>
        <v>215.23235148064941</v>
      </c>
      <c r="GF46" s="59">
        <f t="shared" si="50"/>
        <v>184.07239726900434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2.4230838273992368</v>
      </c>
      <c r="GM46" s="21">
        <f>EXP(-LN(2)/25)*GM45+(1-EXP(-LN(2)/25))/(LN(2)/25)*Calculateur!GH46*Calculateur!GJ46*VLOOKUP('Données projet'!$B$17,Paramètres!$A$1:$I$89,3,0)*0.475*44/12</f>
        <v>5.4781795769867161</v>
      </c>
      <c r="GN46" s="21">
        <f>EXP(-LN(2)/2)*GN45+(1-EXP(-LN(2)/2))/(LN(2)/2)*GH46*GK46*VLOOKUP('Données projet'!$B$17,Paramètres!$A$1:$I$89,3,0)*0.475*44/12</f>
        <v>0.10863122911000277</v>
      </c>
      <c r="GO46" s="21">
        <f t="shared" si="27"/>
        <v>8.0098946334959553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11</v>
      </c>
      <c r="GU46" s="12">
        <f>IF('Données projet'!$A$270&gt;35,GU45+GT46-HC45,IF(A46&lt;'Données projet'!$A$270,$GR$205^A46,IF(A46='Données projet'!$A$270,'Données projet'!$B$270,GU45+GT46-HC45)))</f>
        <v>331.99999999999989</v>
      </c>
      <c r="GV46" s="17">
        <f>GU46*VLOOKUP('Données projet'!$B$18,Paramètres!$A$1:$I$89,3,0)*VLOOKUP('Données projet'!$B$18,Paramètres!$A$1:$I$89,5,0)</f>
        <v>198.53599999999994</v>
      </c>
      <c r="GW46" s="13">
        <f t="shared" si="51"/>
        <v>49.422287391228707</v>
      </c>
      <c r="GX46" s="20">
        <f t="shared" si="28"/>
        <v>431.86068387305653</v>
      </c>
      <c r="GY46" s="59">
        <f t="shared" si="29"/>
        <v>725.19401720638984</v>
      </c>
      <c r="GZ46" s="59">
        <f ca="1">AVERAGE(OFFSET($GY$3,0,0,'Données projet'!$E$18+1,1))-AVERAGE(OFFSET($H$3,0,0,'Données projet'!$E$18+1,1))</f>
        <v>227.89848316900191</v>
      </c>
      <c r="HA46" s="59">
        <f t="shared" si="52"/>
        <v>239.85955661394541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6.1393319744502417</v>
      </c>
      <c r="HH46" s="21">
        <f>EXP(-LN(2)/25)*HH45+(1-EXP(-LN(2)/25))/(LN(2)/25)*Calculateur!HC46*Calculateur!HE46*VLOOKUP('Données projet'!$B$18,Paramètres!$A$1:$I$89,3,0)*0.475*44/12</f>
        <v>11.955448141307672</v>
      </c>
      <c r="HI46" s="21">
        <f>EXP(-LN(2)/2)*HI45+(1-EXP(-LN(2)/2))/(LN(2)/2)*HC46*HF46*VLOOKUP('Données projet'!$B$18,Paramètres!$A$1:$I$89,3,0)*0.475*44/12</f>
        <v>7.4064691223861667E-2</v>
      </c>
      <c r="HJ46" s="22">
        <f t="shared" si="30"/>
        <v>18.168844806981774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</v>
      </c>
      <c r="N47" s="13">
        <f>IF('Données projet'!$A$36&gt;35,N46+M47-V46,IF(A47&lt;'Données projet'!$A$36,$K$205^A47,IF(A47='Données projet'!$A$36,'Données projet'!$B$36,N46+M47-V46)))</f>
        <v>435.00000000000006</v>
      </c>
      <c r="O47" s="13">
        <f>N47*VLOOKUP('Données projet'!$B$9,Paramètres!$A$1:$I$89,3,0)*VLOOKUP('Données projet'!$B$9,Paramètres!$A$1:$I$89,5,0)</f>
        <v>243.16500000000002</v>
      </c>
      <c r="P47" s="13">
        <f t="shared" si="33"/>
        <v>59.119975548046618</v>
      </c>
      <c r="Q47" s="20">
        <f t="shared" si="53"/>
        <v>526.47966574618124</v>
      </c>
      <c r="R47" s="59">
        <f t="shared" si="0"/>
        <v>819.81299907951461</v>
      </c>
      <c r="S47" s="59">
        <f ca="1">AVERAGE(OFFSET($R$3,0,0,'Données projet'!$E$9+1,1))-AVERAGE(OFFSET($H$3,0,0,'Données projet'!$E$9+1,1))</f>
        <v>370.69652285220093</v>
      </c>
      <c r="T47" s="59">
        <f t="shared" si="34"/>
        <v>376.53494965377718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7.7891738352420576</v>
      </c>
      <c r="AA47" s="21">
        <f>EXP(-LN(2)/25)*AA46+(1-EXP(-LN(2)/25))/(LN(2)/25)*Calculateur!V47*Calculateur!X47*VLOOKUP('Données projet'!$B$9,Paramètres!$A$1:$I$89,3,0)*0.475*44/12</f>
        <v>22.659130535688277</v>
      </c>
      <c r="AB47" s="21">
        <f>EXP(-LN(2)/2)*AB46+(1-EXP(-LN(2)/2))/(LN(2)/2)*V47*Y47*VLOOKUP('Données projet'!$B$9,Paramètres!$A$1:$I$89,3,0)*0.475*44/12</f>
        <v>0.25570128547955545</v>
      </c>
      <c r="AC47" s="22">
        <f t="shared" si="3"/>
        <v>30.70400565640989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173.54063999999997</v>
      </c>
      <c r="AK47" s="13">
        <f t="shared" si="35"/>
        <v>43.882055316228445</v>
      </c>
      <c r="AL47" s="20">
        <f t="shared" si="4"/>
        <v>378.6778610090978</v>
      </c>
      <c r="AM47" s="59">
        <f t="shared" si="5"/>
        <v>672.01119434243105</v>
      </c>
      <c r="AN47" s="59">
        <f ca="1">AVERAGE(OFFSET($AM$3,0,0,'Données projet'!$E$10+1,1))-AVERAGE(OFFSET($H$3,0,0,'Données projet'!$E$10+1,1))</f>
        <v>321.03881567735544</v>
      </c>
      <c r="AO47" s="59">
        <f t="shared" si="36"/>
        <v>234.87694492493506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1.8253417472486435</v>
      </c>
      <c r="AV47" s="21">
        <f>EXP(-LN(2)/25)*AV46+(1-EXP(-LN(2)/25))/(LN(2)/25)*Calculateur!AQ47*Calculateur!AS47*VLOOKUP('Données projet'!$B$10,Paramètres!$A$1:$I$89,3,0)*0.475*44/12</f>
        <v>9.1947329518399261</v>
      </c>
      <c r="AW47" s="21">
        <f>EXP(-LN(2)/2)*AW46+(1-EXP(-LN(2)/2))/(LN(2)/2)*AQ47*AT47*VLOOKUP('Données projet'!$B$10,Paramètres!$A$1:$I$89,3,0)*0.475*44/12</f>
        <v>0.16984440889593647</v>
      </c>
      <c r="AX47" s="21">
        <f t="shared" si="6"/>
        <v>11.189919107984506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13.1</v>
      </c>
      <c r="BD47" s="12">
        <f>IF('Données projet'!$A$88&gt;35,BD46+BC47-BL46,IF(A47&lt;'Données projet'!$A$88,$BA$205^A47,IF(A47='Données projet'!$A$88,'Données projet'!$B$88,BD46+BC47-BL46)))</f>
        <v>316.39999999999998</v>
      </c>
      <c r="BE47" s="13">
        <f>BD47*VLOOKUP('Données projet'!$B$11,Paramètres!$A$1:$I$89,3,0)*VLOOKUP('Données projet'!$B$11,Paramètres!$A$1:$I$89,5,0)</f>
        <v>172.75439999999998</v>
      </c>
      <c r="BF47" s="13">
        <f t="shared" si="37"/>
        <v>43.706339319278051</v>
      </c>
      <c r="BG47" s="20">
        <f t="shared" si="7"/>
        <v>377.00245431440914</v>
      </c>
      <c r="BH47" s="59">
        <f t="shared" si="8"/>
        <v>670.33578764774245</v>
      </c>
      <c r="BI47" s="59">
        <f ca="1">AVERAGE(OFFSET($BH$3,0,0,'Données projet'!$E$11+1,1))-AVERAGE(OFFSET($H$3,0,0,'Données projet'!$E$11+1,1))</f>
        <v>248.1486444660062</v>
      </c>
      <c r="BJ47" s="59">
        <f t="shared" si="38"/>
        <v>293.34458072322127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6.4552984004543044</v>
      </c>
      <c r="BQ47" s="21">
        <f>EXP(-LN(2)/25)*BQ46+(1-EXP(-LN(2)/25))/(LN(2)/25)*Calculateur!BL47*Calculateur!BN47*VLOOKUP('Données projet'!$B$11,Paramètres!$A$1:$I$89,3,0)*0.475*44/12</f>
        <v>23.087872508232842</v>
      </c>
      <c r="BR47" s="21">
        <f>EXP(-LN(2)/2)*BR46+(1-EXP(-LN(2)/2))/(LN(2)/2)*BL47*BO47*VLOOKUP('Données projet'!$B$11,Paramètres!$A$1:$I$89,3,0)*0.475*44/12</f>
        <v>0.1967377040223926</v>
      </c>
      <c r="BS47" s="22">
        <f t="shared" si="9"/>
        <v>29.739908612709538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9.4</v>
      </c>
      <c r="BY47" s="12">
        <f>IF('Données projet'!$A$114&gt;35,BY46+BX47-CG46,IF(A47&lt;'Données projet'!$A$114,$BV$205^A47,IF(A47='Données projet'!$A$114,'Données projet'!$B$114,BY46+BX47-CG46)))</f>
        <v>211.60000000000005</v>
      </c>
      <c r="BZ47" s="13">
        <f>BY47*VLOOKUP('Données projet'!$B$12,Paramètres!$A$1:$I$89,3,0)*VLOOKUP('Données projet'!$B$12,Paramètres!$A$1:$I$89,5,0)</f>
        <v>184.85376000000008</v>
      </c>
      <c r="CA47" s="13">
        <f t="shared" si="39"/>
        <v>46.400380376458202</v>
      </c>
      <c r="CB47" s="20">
        <f t="shared" si="10"/>
        <v>402.76762782233146</v>
      </c>
      <c r="CC47" s="59">
        <f t="shared" si="11"/>
        <v>696.10096115566478</v>
      </c>
      <c r="CD47" s="59">
        <f ca="1">AVERAGE(OFFSET($CC$3,0,0,'Données projet'!$E$12+1,1))-AVERAGE(OFFSET($H$3,0,0,'Données projet'!$E$12+1,1))</f>
        <v>243.38048563215585</v>
      </c>
      <c r="CE47" s="59">
        <f t="shared" si="40"/>
        <v>372.1604147006675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5.5389680606165737</v>
      </c>
      <c r="CL47" s="21">
        <f>EXP(-LN(2)/25)*CL46+(1-EXP(-LN(2)/25))/(LN(2)/25)*Calculateur!CG47*Calculateur!CI47*VLOOKUP('Données projet'!$B$12,Paramètres!$A$1:$I$89,3,0)*0.475*44/12</f>
        <v>13.133577169829048</v>
      </c>
      <c r="CM47" s="21">
        <f>EXP(-LN(2)/2)*CM46+(1-EXP(-LN(2)/2))/(LN(2)/2)*CG47*CJ47*VLOOKUP('Données projet'!$B$12,Paramètres!$A$1:$I$89,3,0)*0.475*44/12</f>
        <v>0.22902296260282937</v>
      </c>
      <c r="CN47" s="22">
        <f t="shared" si="12"/>
        <v>18.901568193048451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23.4</v>
      </c>
      <c r="CT47" s="12">
        <f>IF('Données projet'!$A$140&gt;35,CT46+CS47-DB46,IF(A47&lt;'Données projet'!$A$140,$CQ$205^A47,IF(A47='Données projet'!$A$140,'Données projet'!$B$140,CT46+CS47-DB46)))</f>
        <v>429.60000000000008</v>
      </c>
      <c r="CU47" s="17">
        <f>CT47*VLOOKUP('Données projet'!$B$13,Paramètres!$A$1:$I$89,3,0)*VLOOKUP('Données projet'!$B$13,Paramètres!$A$1:$I$89,5,0)</f>
        <v>206.63760000000005</v>
      </c>
      <c r="CV47" s="13">
        <f t="shared" si="41"/>
        <v>51.200127881281993</v>
      </c>
      <c r="CW47" s="20">
        <f t="shared" si="13"/>
        <v>449.06737605989952</v>
      </c>
      <c r="CX47" s="59">
        <f t="shared" si="14"/>
        <v>742.40070939323277</v>
      </c>
      <c r="CY47" s="59">
        <f ca="1">AVERAGE(OFFSET($CX$3,0,0,'Données projet'!$E$13+1,1))-AVERAGE(OFFSET($H$3,0,0,'Données projet'!$E$13+1,1))</f>
        <v>297.21955661193238</v>
      </c>
      <c r="CZ47" s="59">
        <f t="shared" si="42"/>
        <v>273.69206144662144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5.1065237103691006</v>
      </c>
      <c r="DG47" s="21">
        <f>EXP(-LN(2)/25)*DG46+(1-EXP(-LN(2)/25))/(LN(2)/25)*Calculateur!DB47*Calculateur!DD47*VLOOKUP('Données projet'!$B$13,Paramètres!$A$1:$I$89,3,0)*0.475*44/12</f>
        <v>9.1049421540096969</v>
      </c>
      <c r="DH47" s="21">
        <f>EXP(-LN(2)/2)*DH46+(1-EXP(-LN(2)/2))/(LN(2)/2)*DB47*DE47*VLOOKUP('Données projet'!$B$13,Paramètres!$A$1:$I$89,3,0)*0.475*44/12</f>
        <v>0.16338112053306902</v>
      </c>
      <c r="DI47" s="22">
        <f t="shared" si="15"/>
        <v>14.374846984911867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182.82887999999994</v>
      </c>
      <c r="DQ47" s="13">
        <f t="shared" si="43"/>
        <v>45.950987516613559</v>
      </c>
      <c r="DR47" s="20">
        <f t="shared" si="16"/>
        <v>398.45826925810184</v>
      </c>
      <c r="DS47" s="59">
        <f t="shared" si="17"/>
        <v>691.79160259143509</v>
      </c>
      <c r="DT47" s="59">
        <f ca="1">AVERAGE(OFFSET($DS$3,0,0,'Données projet'!$E$14+1,1))-AVERAGE(OFFSET($H$3,0,0,'Données projet'!$E$14+1,1))</f>
        <v>260.20517190557814</v>
      </c>
      <c r="DU47" s="59">
        <f t="shared" si="44"/>
        <v>307.22009971147133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2.4728842937114504</v>
      </c>
      <c r="EB47" s="21">
        <f>EXP(-LN(2)/25)*EB46+(1-EXP(-LN(2)/25))/(LN(2)/25)*Calculateur!DW47*Calculateur!DY47*VLOOKUP('Données projet'!$B$14,Paramètres!$A$1:$I$89,3,0)*0.475*44/12</f>
        <v>13.918490926983322</v>
      </c>
      <c r="EC47" s="21">
        <f>EXP(-LN(2)/2)*EC46+(1-EXP(-LN(2)/2))/(LN(2)/2)*DW47*DZ47*VLOOKUP('Données projet'!$B$14,Paramètres!$A$1:$I$89,3,0)*0.475*44/12</f>
        <v>0.1878049550996663</v>
      </c>
      <c r="ED47" s="22">
        <f t="shared" si="18"/>
        <v>16.579180175794438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18.8</v>
      </c>
      <c r="EJ47" s="12">
        <f>IF('Données projet'!$A$192&gt;35,EJ46+EI47-ER46,IF(A47&lt;'Données projet'!$A$192,$EG$205^A47,IF(A47='Données projet'!$A$192,'Données projet'!$B$192,EJ46+EI47-ER46)))</f>
        <v>288.2000000000001</v>
      </c>
      <c r="EK47" s="17">
        <f>EJ47*VLOOKUP('Données projet'!$B$15,Paramètres!$A$1:$I$89,3,0)*VLOOKUP('Données projet'!$B$15,Paramètres!$A$1:$I$89,5,0)</f>
        <v>172.34360000000009</v>
      </c>
      <c r="EL47" s="13">
        <f t="shared" si="45"/>
        <v>43.614493030708267</v>
      </c>
      <c r="EM47" s="20">
        <f t="shared" si="19"/>
        <v>376.12701202848376</v>
      </c>
      <c r="EN47" s="59">
        <f t="shared" si="20"/>
        <v>669.46034536181708</v>
      </c>
      <c r="EO47" s="59">
        <f ca="1">AVERAGE(OFFSET($EN$3,0,0,'Données projet'!$E$15+1,1))-AVERAGE(OFFSET($H$3,0,0,'Données projet'!$E$15+1,1))</f>
        <v>259.30247982593914</v>
      </c>
      <c r="EP47" s="59">
        <f t="shared" si="46"/>
        <v>275.24740346220779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12.231831758064272</v>
      </c>
      <c r="EX47" s="21">
        <f>EXP(-LN(2)/2)*EX46+(1-EXP(-LN(2)/2))/(LN(2)/2)*ER47*EU47*VLOOKUP('Données projet'!$B$15,Paramètres!$A$1:$I$89,3,0)*0.475*44/12</f>
        <v>0.2240661732958206</v>
      </c>
      <c r="EY47" s="22">
        <f t="shared" si="21"/>
        <v>12.455897931360093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11.2</v>
      </c>
      <c r="FE47" s="12">
        <f>IF('Données projet'!$A$218&gt;35,FE46+FD47-FM46,IF(A47&lt;'Données projet'!$A$218,$FB$205^A47,IF(A47='Données projet'!$A$218,'Données projet'!$B$218,FE46+FD47-FM46)))</f>
        <v>191.79999999999995</v>
      </c>
      <c r="FF47" s="17">
        <f>FE47*VLOOKUP('Données projet'!$B$16,Paramètres!$A$1:$I$89,3,0)*VLOOKUP('Données projet'!$B$16,Paramètres!$A$1:$I$89,5,0)</f>
        <v>194.48519999999996</v>
      </c>
      <c r="FG47" s="13">
        <f t="shared" si="47"/>
        <v>48.530216343846028</v>
      </c>
      <c r="FH47" s="20">
        <f t="shared" si="22"/>
        <v>423.2518501321984</v>
      </c>
      <c r="FI47" s="59">
        <f t="shared" si="23"/>
        <v>716.58518346553171</v>
      </c>
      <c r="FJ47" s="59">
        <f ca="1">AVERAGE(OFFSET($FI$3,0,0,'Données projet'!$E$16+1,1))-AVERAGE(OFFSET($H$3,0,0,'Données projet'!$E$16+1,1))</f>
        <v>372.91317851957336</v>
      </c>
      <c r="FK47" s="59">
        <f t="shared" si="48"/>
        <v>269.69187715858413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2.0456416132958939</v>
      </c>
      <c r="FR47" s="21">
        <f>EXP(-LN(2)/25)*FR46+(1-EXP(-LN(2)/25))/(LN(2)/25)*Calculateur!FM47*Calculateur!FO47*VLOOKUP('Données projet'!$B$16,Paramètres!$A$1:$I$89,3,0)*0.475*44/12</f>
        <v>10.304442101199919</v>
      </c>
      <c r="FS47" s="21">
        <f>EXP(-LN(2)/2)*FS46+(1-EXP(-LN(2)/2))/(LN(2)/2)*FM47*FP47*VLOOKUP('Données projet'!$B$16,Paramètres!$A$1:$I$89,3,0)*0.475*44/12</f>
        <v>0.19034287203854949</v>
      </c>
      <c r="FT47" s="22">
        <f t="shared" si="24"/>
        <v>12.540426586534362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11.499999999999996</v>
      </c>
      <c r="FZ47" s="12">
        <f>IF('Données projet'!$A$244&gt;35,FZ46+FY47-GH46,IF(A47&lt;'Données projet'!$A$244,$FW$205^A47,IF(A47='Données projet'!$A$244,'Données projet'!$B$244,FZ46+FY47-GH46)))</f>
        <v>254.1999999999999</v>
      </c>
      <c r="GA47" s="17">
        <f>FZ47*VLOOKUP('Données projet'!$B$17,Paramètres!$A$1:$I$89,3,0)*VLOOKUP('Données projet'!$B$17,Paramètres!$A$1:$I$89,5,0)</f>
        <v>118.96559999999995</v>
      </c>
      <c r="GB47" s="13">
        <f t="shared" si="49"/>
        <v>31.433621056182272</v>
      </c>
      <c r="GC47" s="20">
        <f t="shared" si="25"/>
        <v>261.945310006184</v>
      </c>
      <c r="GD47" s="59">
        <f t="shared" si="26"/>
        <v>555.27864333951732</v>
      </c>
      <c r="GE47" s="59">
        <f ca="1">AVERAGE(OFFSET($GD$3,0,0,'Données projet'!$E$17+1,1))-AVERAGE(OFFSET($H$3,0,0,'Données projet'!$E$17+1,1))</f>
        <v>215.23235148064941</v>
      </c>
      <c r="GF47" s="59">
        <f t="shared" si="50"/>
        <v>184.07239726900434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2.3755686314791387</v>
      </c>
      <c r="GM47" s="21">
        <f>EXP(-LN(2)/25)*GM46+(1-EXP(-LN(2)/25))/(LN(2)/25)*Calculateur!GH47*Calculateur!GJ47*VLOOKUP('Données projet'!$B$17,Paramètres!$A$1:$I$89,3,0)*0.475*44/12</f>
        <v>5.3283784683690714</v>
      </c>
      <c r="GN47" s="21">
        <f>EXP(-LN(2)/2)*GN46+(1-EXP(-LN(2)/2))/(LN(2)/2)*GH47*GK47*VLOOKUP('Données projet'!$B$17,Paramètres!$A$1:$I$89,3,0)*0.475*44/12</f>
        <v>7.6813878752312437E-2</v>
      </c>
      <c r="GO47" s="21">
        <f t="shared" si="27"/>
        <v>7.7807609786005223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11</v>
      </c>
      <c r="GU47" s="12">
        <f>IF('Données projet'!$A$270&gt;35,GU46+GT47-HC46,IF(A47&lt;'Données projet'!$A$270,$GR$205^A47,IF(A47='Données projet'!$A$270,'Données projet'!$B$270,GU46+GT47-HC46)))</f>
        <v>342.99999999999989</v>
      </c>
      <c r="GV47" s="17">
        <f>GU47*VLOOKUP('Données projet'!$B$18,Paramètres!$A$1:$I$89,3,0)*VLOOKUP('Données projet'!$B$18,Paramètres!$A$1:$I$89,5,0)</f>
        <v>205.11399999999995</v>
      </c>
      <c r="GW47" s="13">
        <f t="shared" si="51"/>
        <v>50.86641328088502</v>
      </c>
      <c r="GX47" s="20">
        <f t="shared" si="28"/>
        <v>445.8325531308746</v>
      </c>
      <c r="GY47" s="59">
        <f t="shared" si="29"/>
        <v>739.16588646420792</v>
      </c>
      <c r="GZ47" s="59">
        <f ca="1">AVERAGE(OFFSET($GY$3,0,0,'Données projet'!$E$18+1,1))-AVERAGE(OFFSET($H$3,0,0,'Données projet'!$E$18+1,1))</f>
        <v>227.89848316900191</v>
      </c>
      <c r="HA47" s="59">
        <f t="shared" si="52"/>
        <v>239.85955661394541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6.0189434190540263</v>
      </c>
      <c r="HH47" s="21">
        <f>EXP(-LN(2)/25)*HH46+(1-EXP(-LN(2)/25))/(LN(2)/25)*Calculateur!HC47*Calculateur!HE47*VLOOKUP('Données projet'!$B$18,Paramètres!$A$1:$I$89,3,0)*0.475*44/12</f>
        <v>11.62852578317392</v>
      </c>
      <c r="HI47" s="21">
        <f>EXP(-LN(2)/2)*HI46+(1-EXP(-LN(2)/2))/(LN(2)/2)*HC47*HF47*VLOOKUP('Données projet'!$B$18,Paramètres!$A$1:$I$89,3,0)*0.475*44/12</f>
        <v>5.2371645410880359E-2</v>
      </c>
      <c r="HJ47" s="22">
        <f t="shared" si="30"/>
        <v>17.699840847638825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</v>
      </c>
      <c r="N48" s="13">
        <f>IF('Données projet'!$A$36&gt;35,N47+M48-V47,IF(A48&lt;'Données projet'!$A$36,$K$205^A48,IF(A48='Données projet'!$A$36,'Données projet'!$B$36,N47+M48-V47)))</f>
        <v>456.00000000000006</v>
      </c>
      <c r="O48" s="13">
        <f>N48*VLOOKUP('Données projet'!$B$9,Paramètres!$A$1:$I$89,3,0)*VLOOKUP('Données projet'!$B$9,Paramètres!$A$1:$I$89,5,0)</f>
        <v>254.90400000000002</v>
      </c>
      <c r="P48" s="13">
        <f t="shared" si="33"/>
        <v>61.634868437438257</v>
      </c>
      <c r="Q48" s="20">
        <f t="shared" si="53"/>
        <v>551.30519586187165</v>
      </c>
      <c r="R48" s="59">
        <f t="shared" si="0"/>
        <v>844.63852919520491</v>
      </c>
      <c r="S48" s="59">
        <f ca="1">AVERAGE(OFFSET($R$3,0,0,'Données projet'!$E$9+1,1))-AVERAGE(OFFSET($H$3,0,0,'Données projet'!$E$9+1,1))</f>
        <v>370.69652285220093</v>
      </c>
      <c r="T48" s="59">
        <f t="shared" si="34"/>
        <v>376.53494965377718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7.6364328872598852</v>
      </c>
      <c r="AA48" s="21">
        <f>EXP(-LN(2)/25)*AA47+(1-EXP(-LN(2)/25))/(LN(2)/25)*Calculateur!V48*Calculateur!X48*VLOOKUP('Données projet'!$B$9,Paramètres!$A$1:$I$89,3,0)*0.475*44/12</f>
        <v>22.039515419597993</v>
      </c>
      <c r="AB48" s="21">
        <f>EXP(-LN(2)/2)*AB47+(1-EXP(-LN(2)/2))/(LN(2)/2)*V48*Y48*VLOOKUP('Données projet'!$B$9,Paramètres!$A$1:$I$89,3,0)*0.475*44/12</f>
        <v>0.18080811292071094</v>
      </c>
      <c r="AC48" s="22">
        <f t="shared" si="3"/>
        <v>29.856756419778591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183.67439999999993</v>
      </c>
      <c r="AK48" s="13">
        <f t="shared" si="35"/>
        <v>46.138708549418673</v>
      </c>
      <c r="AL48" s="20">
        <f t="shared" si="4"/>
        <v>400.25783072357075</v>
      </c>
      <c r="AM48" s="59">
        <f t="shared" si="5"/>
        <v>693.59116405690406</v>
      </c>
      <c r="AN48" s="59">
        <f ca="1">AVERAGE(OFFSET($AM$3,0,0,'Données projet'!$E$10+1,1))-AVERAGE(OFFSET($H$3,0,0,'Données projet'!$E$10+1,1))</f>
        <v>321.03881567735544</v>
      </c>
      <c r="AO48" s="59">
        <f t="shared" si="36"/>
        <v>234.87694492493506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1.7895479089336295</v>
      </c>
      <c r="AV48" s="21">
        <f>EXP(-LN(2)/25)*AV47+(1-EXP(-LN(2)/25))/(LN(2)/25)*Calculateur!AQ48*Calculateur!AS48*VLOOKUP('Données projet'!$B$10,Paramètres!$A$1:$I$89,3,0)*0.475*44/12</f>
        <v>8.9433024957418716</v>
      </c>
      <c r="AW48" s="21">
        <f>EXP(-LN(2)/2)*AW47+(1-EXP(-LN(2)/2))/(LN(2)/2)*AQ48*AT48*VLOOKUP('Données projet'!$B$10,Paramètres!$A$1:$I$89,3,0)*0.475*44/12</f>
        <v>0.12009813327693745</v>
      </c>
      <c r="AX48" s="21">
        <f t="shared" si="6"/>
        <v>10.852948537952438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13.1</v>
      </c>
      <c r="BD48" s="12">
        <f>IF('Données projet'!$A$88&gt;35,BD47+BC48-BL47,IF(A48&lt;'Données projet'!$A$88,$BA$205^A48,IF(A48='Données projet'!$A$88,'Données projet'!$B$88,BD47+BC48-BL47)))</f>
        <v>329.5</v>
      </c>
      <c r="BE48" s="13">
        <f>BD48*VLOOKUP('Données projet'!$B$11,Paramètres!$A$1:$I$89,3,0)*VLOOKUP('Données projet'!$B$11,Paramètres!$A$1:$I$89,5,0)</f>
        <v>179.90699999999998</v>
      </c>
      <c r="BF48" s="13">
        <f t="shared" si="37"/>
        <v>45.301494757695771</v>
      </c>
      <c r="BG48" s="20">
        <f t="shared" si="7"/>
        <v>392.2381283696534</v>
      </c>
      <c r="BH48" s="59">
        <f t="shared" si="8"/>
        <v>685.57146170298665</v>
      </c>
      <c r="BI48" s="59">
        <f ca="1">AVERAGE(OFFSET($BH$3,0,0,'Données projet'!$E$11+1,1))-AVERAGE(OFFSET($H$3,0,0,'Données projet'!$E$11+1,1))</f>
        <v>248.1486444660062</v>
      </c>
      <c r="BJ48" s="59">
        <f t="shared" si="38"/>
        <v>293.34458072322127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6.3287139361646396</v>
      </c>
      <c r="BQ48" s="21">
        <f>EXP(-LN(2)/25)*BQ47+(1-EXP(-LN(2)/25))/(LN(2)/25)*Calculateur!BL48*Calculateur!BN48*VLOOKUP('Données projet'!$B$11,Paramètres!$A$1:$I$89,3,0)*0.475*44/12</f>
        <v>22.456533420356767</v>
      </c>
      <c r="BR48" s="21">
        <f>EXP(-LN(2)/2)*BR47+(1-EXP(-LN(2)/2))/(LN(2)/2)*BL48*BO48*VLOOKUP('Données projet'!$B$11,Paramètres!$A$1:$I$89,3,0)*0.475*44/12</f>
        <v>0.13911456462930571</v>
      </c>
      <c r="BS48" s="22">
        <f t="shared" si="9"/>
        <v>28.924361921150712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9.4</v>
      </c>
      <c r="BY48" s="12">
        <f>IF('Données projet'!$A$114&gt;35,BY47+BX48-CG47,IF(A48&lt;'Données projet'!$A$114,$BV$205^A48,IF(A48='Données projet'!$A$114,'Données projet'!$B$114,BY47+BX48-CG47)))</f>
        <v>221.00000000000006</v>
      </c>
      <c r="BZ48" s="13">
        <f>BY48*VLOOKUP('Données projet'!$B$12,Paramètres!$A$1:$I$89,3,0)*VLOOKUP('Données projet'!$B$12,Paramètres!$A$1:$I$89,5,0)</f>
        <v>193.06560000000007</v>
      </c>
      <c r="CA48" s="13">
        <f t="shared" si="39"/>
        <v>48.217080828790458</v>
      </c>
      <c r="CB48" s="20">
        <f t="shared" si="10"/>
        <v>420.23400244347687</v>
      </c>
      <c r="CC48" s="59">
        <f t="shared" si="11"/>
        <v>713.56733577681018</v>
      </c>
      <c r="CD48" s="59">
        <f ca="1">AVERAGE(OFFSET($CC$3,0,0,'Données projet'!$E$12+1,1))-AVERAGE(OFFSET($H$3,0,0,'Données projet'!$E$12+1,1))</f>
        <v>243.38048563215585</v>
      </c>
      <c r="CE48" s="59">
        <f t="shared" si="40"/>
        <v>372.1604147006675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5.4303522753848066</v>
      </c>
      <c r="CL48" s="21">
        <f>EXP(-LN(2)/25)*CL47+(1-EXP(-LN(2)/25))/(LN(2)/25)*Calculateur!CG48*Calculateur!CI48*VLOOKUP('Données projet'!$B$12,Paramètres!$A$1:$I$89,3,0)*0.475*44/12</f>
        <v>12.774438811455266</v>
      </c>
      <c r="CM48" s="21">
        <f>EXP(-LN(2)/2)*CM47+(1-EXP(-LN(2)/2))/(LN(2)/2)*CG48*CJ48*VLOOKUP('Données projet'!$B$12,Paramètres!$A$1:$I$89,3,0)*0.475*44/12</f>
        <v>0.16194368990389374</v>
      </c>
      <c r="CN48" s="22">
        <f t="shared" si="12"/>
        <v>18.366734776743964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23.4</v>
      </c>
      <c r="CT48" s="12">
        <f>IF('Données projet'!$A$140&gt;35,CT47+CS48-DB47,IF(A48&lt;'Données projet'!$A$140,$CQ$205^A48,IF(A48='Données projet'!$A$140,'Données projet'!$B$140,CT47+CS48-DB47)))</f>
        <v>453.00000000000006</v>
      </c>
      <c r="CU48" s="17">
        <f>CT48*VLOOKUP('Données projet'!$B$13,Paramètres!$A$1:$I$89,3,0)*VLOOKUP('Données projet'!$B$13,Paramètres!$A$1:$I$89,5,0)</f>
        <v>217.89300000000003</v>
      </c>
      <c r="CV48" s="13">
        <f t="shared" si="41"/>
        <v>53.65668350861781</v>
      </c>
      <c r="CW48" s="20">
        <f t="shared" si="13"/>
        <v>472.94903211084261</v>
      </c>
      <c r="CX48" s="59">
        <f t="shared" si="14"/>
        <v>766.28236544417587</v>
      </c>
      <c r="CY48" s="59">
        <f ca="1">AVERAGE(OFFSET($CX$3,0,0,'Données projet'!$E$13+1,1))-AVERAGE(OFFSET($H$3,0,0,'Données projet'!$E$13+1,1))</f>
        <v>297.21955661193238</v>
      </c>
      <c r="CZ48" s="59">
        <f t="shared" si="42"/>
        <v>273.69206144662144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5.0063878950806773</v>
      </c>
      <c r="DG48" s="21">
        <f>EXP(-LN(2)/25)*DG47+(1-EXP(-LN(2)/25))/(LN(2)/25)*Calculateur!DB48*Calculateur!DD48*VLOOKUP('Données projet'!$B$13,Paramètres!$A$1:$I$89,3,0)*0.475*44/12</f>
        <v>8.8559670320002031</v>
      </c>
      <c r="DH48" s="21">
        <f>EXP(-LN(2)/2)*DH47+(1-EXP(-LN(2)/2))/(LN(2)/2)*DB48*DE48*VLOOKUP('Données projet'!$B$13,Paramètres!$A$1:$I$89,3,0)*0.475*44/12</f>
        <v>0.11552789824678979</v>
      </c>
      <c r="DI48" s="22">
        <f t="shared" si="15"/>
        <v>13.977882825327669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190.14839999999992</v>
      </c>
      <c r="DQ48" s="13">
        <f t="shared" si="43"/>
        <v>47.572760493232991</v>
      </c>
      <c r="DR48" s="20">
        <f t="shared" si="16"/>
        <v>414.03102119238065</v>
      </c>
      <c r="DS48" s="59">
        <f t="shared" si="17"/>
        <v>707.36435452571391</v>
      </c>
      <c r="DT48" s="59">
        <f ca="1">AVERAGE(OFFSET($DS$3,0,0,'Données projet'!$E$14+1,1))-AVERAGE(OFFSET($H$3,0,0,'Données projet'!$E$14+1,1))</f>
        <v>260.20517190557814</v>
      </c>
      <c r="DU48" s="59">
        <f t="shared" si="44"/>
        <v>307.22009971147133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2.4243925410222547</v>
      </c>
      <c r="EB48" s="21">
        <f>EXP(-LN(2)/25)*EB47+(1-EXP(-LN(2)/25))/(LN(2)/25)*Calculateur!DW48*Calculateur!DY48*VLOOKUP('Données projet'!$B$14,Paramètres!$A$1:$I$89,3,0)*0.475*44/12</f>
        <v>13.537889060643337</v>
      </c>
      <c r="EC48" s="21">
        <f>EXP(-LN(2)/2)*EC47+(1-EXP(-LN(2)/2))/(LN(2)/2)*DW48*DZ48*VLOOKUP('Données projet'!$B$14,Paramètres!$A$1:$I$89,3,0)*0.475*44/12</f>
        <v>0.13279815729140912</v>
      </c>
      <c r="ED48" s="22">
        <f t="shared" si="18"/>
        <v>16.095079758956999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18.8</v>
      </c>
      <c r="EJ48" s="12">
        <f>IF('Données projet'!$A$192&gt;35,EJ47+EI48-ER47,IF(A48&lt;'Données projet'!$A$192,$EG$205^A48,IF(A48='Données projet'!$A$192,'Données projet'!$B$192,EJ47+EI48-ER47)))</f>
        <v>307.00000000000011</v>
      </c>
      <c r="EK48" s="17">
        <f>EJ48*VLOOKUP('Données projet'!$B$15,Paramètres!$A$1:$I$89,3,0)*VLOOKUP('Données projet'!$B$15,Paramètres!$A$1:$I$89,5,0)</f>
        <v>183.58600000000007</v>
      </c>
      <c r="EL48" s="13">
        <f t="shared" si="45"/>
        <v>46.119086835316438</v>
      </c>
      <c r="EM48" s="20">
        <f t="shared" si="19"/>
        <v>400.0696929048429</v>
      </c>
      <c r="EN48" s="59">
        <f t="shared" si="20"/>
        <v>693.40302623817615</v>
      </c>
      <c r="EO48" s="59">
        <f ca="1">AVERAGE(OFFSET($EN$3,0,0,'Données projet'!$E$15+1,1))-AVERAGE(OFFSET($H$3,0,0,'Données projet'!$E$15+1,1))</f>
        <v>259.30247982593914</v>
      </c>
      <c r="EP48" s="59">
        <f t="shared" si="46"/>
        <v>275.24740346220779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11.897351675395928</v>
      </c>
      <c r="EX48" s="21">
        <f>EXP(-LN(2)/2)*EX47+(1-EXP(-LN(2)/2))/(LN(2)/2)*ER48*EU48*VLOOKUP('Données projet'!$B$15,Paramètres!$A$1:$I$89,3,0)*0.475*44/12</f>
        <v>0.15843871057199485</v>
      </c>
      <c r="EY48" s="22">
        <f t="shared" si="21"/>
        <v>12.055790385967923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11.2</v>
      </c>
      <c r="FE48" s="12">
        <f>IF('Données projet'!$A$218&gt;35,FE47+FD48-FM47,IF(A48&lt;'Données projet'!$A$218,$FB$205^A48,IF(A48='Données projet'!$A$218,'Données projet'!$B$218,FE47+FD48-FM47)))</f>
        <v>202.99999999999994</v>
      </c>
      <c r="FF48" s="17">
        <f>FE48*VLOOKUP('Données projet'!$B$16,Paramètres!$A$1:$I$89,3,0)*VLOOKUP('Données projet'!$B$16,Paramètres!$A$1:$I$89,5,0)</f>
        <v>205.84199999999996</v>
      </c>
      <c r="FG48" s="13">
        <f t="shared" si="47"/>
        <v>51.025903221558437</v>
      </c>
      <c r="FH48" s="20">
        <f t="shared" si="22"/>
        <v>447.37826477754749</v>
      </c>
      <c r="FI48" s="59">
        <f t="shared" si="23"/>
        <v>740.7115981108808</v>
      </c>
      <c r="FJ48" s="59">
        <f ca="1">AVERAGE(OFFSET($FI$3,0,0,'Données projet'!$E$16+1,1))-AVERAGE(OFFSET($H$3,0,0,'Données projet'!$E$16+1,1))</f>
        <v>372.91317851957336</v>
      </c>
      <c r="FK48" s="59">
        <f t="shared" si="48"/>
        <v>269.69187715858413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2.0055278289773435</v>
      </c>
      <c r="FR48" s="21">
        <f>EXP(-LN(2)/25)*FR47+(1-EXP(-LN(2)/25))/(LN(2)/25)*Calculateur!FM48*Calculateur!FO48*VLOOKUP('Données projet'!$B$16,Paramètres!$A$1:$I$89,3,0)*0.475*44/12</f>
        <v>10.022666590055548</v>
      </c>
      <c r="FS48" s="21">
        <f>EXP(-LN(2)/2)*FS47+(1-EXP(-LN(2)/2))/(LN(2)/2)*FM48*FP48*VLOOKUP('Données projet'!$B$16,Paramètres!$A$1:$I$89,3,0)*0.475*44/12</f>
        <v>0.13459273556898163</v>
      </c>
      <c r="FT48" s="22">
        <f t="shared" si="24"/>
        <v>12.162787154601874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11.499999999999996</v>
      </c>
      <c r="FZ48" s="12">
        <f>IF('Données projet'!$A$244&gt;35,FZ47+FY48-GH47,IF(A48&lt;'Données projet'!$A$244,$FW$205^A48,IF(A48='Données projet'!$A$244,'Données projet'!$B$244,FZ47+FY48-GH47)))</f>
        <v>265.69999999999987</v>
      </c>
      <c r="GA48" s="17">
        <f>FZ48*VLOOKUP('Données projet'!$B$17,Paramètres!$A$1:$I$89,3,0)*VLOOKUP('Données projet'!$B$17,Paramètres!$A$1:$I$89,5,0)</f>
        <v>124.34759999999994</v>
      </c>
      <c r="GB48" s="13">
        <f t="shared" si="49"/>
        <v>32.68689576547478</v>
      </c>
      <c r="GC48" s="20">
        <f t="shared" si="25"/>
        <v>273.50174679153514</v>
      </c>
      <c r="GD48" s="59">
        <f t="shared" si="26"/>
        <v>566.83508012486845</v>
      </c>
      <c r="GE48" s="59">
        <f ca="1">AVERAGE(OFFSET($GD$3,0,0,'Données projet'!$E$17+1,1))-AVERAGE(OFFSET($H$3,0,0,'Données projet'!$E$17+1,1))</f>
        <v>215.23235148064941</v>
      </c>
      <c r="GF48" s="59">
        <f t="shared" si="50"/>
        <v>184.07239726900434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2.3289851795696257</v>
      </c>
      <c r="GM48" s="21">
        <f>EXP(-LN(2)/25)*GM47+(1-EXP(-LN(2)/25))/(LN(2)/25)*Calculateur!GH48*Calculateur!GJ48*VLOOKUP('Données projet'!$B$17,Paramètres!$A$1:$I$89,3,0)*0.475*44/12</f>
        <v>5.1826736789442736</v>
      </c>
      <c r="GN48" s="21">
        <f>EXP(-LN(2)/2)*GN47+(1-EXP(-LN(2)/2))/(LN(2)/2)*GH48*GK48*VLOOKUP('Données projet'!$B$17,Paramètres!$A$1:$I$89,3,0)*0.475*44/12</f>
        <v>5.4315614555001383E-2</v>
      </c>
      <c r="GO48" s="21">
        <f t="shared" si="27"/>
        <v>7.5659744730689003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11</v>
      </c>
      <c r="GU48" s="12">
        <f>IF('Données projet'!$A$270&gt;35,GU47+GT48-HC47,IF(A48&lt;'Données projet'!$A$270,$GR$205^A48,IF(A48='Données projet'!$A$270,'Données projet'!$B$270,GU47+GT48-HC47)))</f>
        <v>353.99999999999989</v>
      </c>
      <c r="GV48" s="17">
        <f>GU48*VLOOKUP('Données projet'!$B$18,Paramètres!$A$1:$I$89,3,0)*VLOOKUP('Données projet'!$B$18,Paramètres!$A$1:$I$89,5,0)</f>
        <v>211.69199999999995</v>
      </c>
      <c r="GW48" s="13">
        <f t="shared" si="51"/>
        <v>52.305157403317835</v>
      </c>
      <c r="GX48" s="20">
        <f t="shared" si="28"/>
        <v>459.79504914411177</v>
      </c>
      <c r="GY48" s="59">
        <f t="shared" si="29"/>
        <v>753.12838247744503</v>
      </c>
      <c r="GZ48" s="59">
        <f ca="1">AVERAGE(OFFSET($GY$3,0,0,'Données projet'!$E$18+1,1))-AVERAGE(OFFSET($H$3,0,0,'Données projet'!$E$18+1,1))</f>
        <v>227.89848316900191</v>
      </c>
      <c r="HA48" s="59">
        <f t="shared" si="52"/>
        <v>239.85955661394541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5.9009156097993625</v>
      </c>
      <c r="HH48" s="21">
        <f>EXP(-LN(2)/25)*HH47+(1-EXP(-LN(2)/25))/(LN(2)/25)*Calculateur!HC48*Calculateur!HE48*VLOOKUP('Données projet'!$B$18,Paramètres!$A$1:$I$89,3,0)*0.475*44/12</f>
        <v>11.310543134115436</v>
      </c>
      <c r="HI48" s="21">
        <f>EXP(-LN(2)/2)*HI47+(1-EXP(-LN(2)/2))/(LN(2)/2)*HC48*HF48*VLOOKUP('Données projet'!$B$18,Paramètres!$A$1:$I$89,3,0)*0.475*44/12</f>
        <v>3.7032345611930834E-2</v>
      </c>
      <c r="HJ48" s="22">
        <f t="shared" si="30"/>
        <v>17.248491089526727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</v>
      </c>
      <c r="N49" s="13">
        <f>IF('Données projet'!$A$36&gt;35,N48+M49-V48,IF(A49&lt;'Données projet'!$A$36,$K$205^A49,IF(A49='Données projet'!$A$36,'Données projet'!$B$36,N48+M49-V48)))</f>
        <v>477.00000000000006</v>
      </c>
      <c r="O49" s="13">
        <f>N49*VLOOKUP('Données projet'!$B$9,Paramètres!$A$1:$I$89,3,0)*VLOOKUP('Données projet'!$B$9,Paramètres!$A$1:$I$89,5,0)</f>
        <v>266.64300000000003</v>
      </c>
      <c r="P49" s="13">
        <f t="shared" si="33"/>
        <v>64.136311225795083</v>
      </c>
      <c r="Q49" s="20">
        <f t="shared" si="53"/>
        <v>576.10730038492648</v>
      </c>
      <c r="R49" s="59">
        <f t="shared" si="0"/>
        <v>869.44063371825973</v>
      </c>
      <c r="S49" s="59">
        <f ca="1">AVERAGE(OFFSET($R$3,0,0,'Données projet'!$E$9+1,1))-AVERAGE(OFFSET($H$3,0,0,'Données projet'!$E$9+1,1))</f>
        <v>370.69652285220093</v>
      </c>
      <c r="T49" s="59">
        <f t="shared" si="34"/>
        <v>376.53494965377718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7.4866870961048644</v>
      </c>
      <c r="AA49" s="21">
        <f>EXP(-LN(2)/25)*AA48+(1-EXP(-LN(2)/25))/(LN(2)/25)*Calculateur!V49*Calculateur!X49*VLOOKUP('Données projet'!$B$9,Paramètres!$A$1:$I$89,3,0)*0.475*44/12</f>
        <v>21.436843711441341</v>
      </c>
      <c r="AB49" s="21">
        <f>EXP(-LN(2)/2)*AB48+(1-EXP(-LN(2)/2))/(LN(2)/2)*V49*Y49*VLOOKUP('Données projet'!$B$9,Paramètres!$A$1:$I$89,3,0)*0.475*44/12</f>
        <v>0.12785064273977773</v>
      </c>
      <c r="AC49" s="22">
        <f t="shared" si="3"/>
        <v>29.051381450285984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193.80815999999993</v>
      </c>
      <c r="AK49" s="13">
        <f t="shared" si="35"/>
        <v>48.380908095574689</v>
      </c>
      <c r="AL49" s="20">
        <f t="shared" si="4"/>
        <v>421.81262693312578</v>
      </c>
      <c r="AM49" s="59">
        <f t="shared" si="5"/>
        <v>715.14596026645904</v>
      </c>
      <c r="AN49" s="59">
        <f ca="1">AVERAGE(OFFSET($AM$3,0,0,'Données projet'!$E$10+1,1))-AVERAGE(OFFSET($H$3,0,0,'Données projet'!$E$10+1,1))</f>
        <v>321.03881567735544</v>
      </c>
      <c r="AO49" s="59">
        <f t="shared" si="36"/>
        <v>234.87694492493506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1.7544559659558872</v>
      </c>
      <c r="AV49" s="21">
        <f>EXP(-LN(2)/25)*AV48+(1-EXP(-LN(2)/25))/(LN(2)/25)*Calculateur!AQ49*Calculateur!AS49*VLOOKUP('Données projet'!$B$10,Paramètres!$A$1:$I$89,3,0)*0.475*44/12</f>
        <v>8.6987474186879723</v>
      </c>
      <c r="AW49" s="21">
        <f>EXP(-LN(2)/2)*AW48+(1-EXP(-LN(2)/2))/(LN(2)/2)*AQ49*AT49*VLOOKUP('Données projet'!$B$10,Paramètres!$A$1:$I$89,3,0)*0.475*44/12</f>
        <v>8.4922204447968247E-2</v>
      </c>
      <c r="AX49" s="21">
        <f t="shared" si="6"/>
        <v>10.538125589091829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13.1</v>
      </c>
      <c r="BD49" s="12">
        <f>IF('Données projet'!$A$88&gt;35,BD48+BC49-BL48,IF(A49&lt;'Données projet'!$A$88,$BA$205^A49,IF(A49='Données projet'!$A$88,'Données projet'!$B$88,BD48+BC49-BL48)))</f>
        <v>342.6</v>
      </c>
      <c r="BE49" s="13">
        <f>BD49*VLOOKUP('Données projet'!$B$11,Paramètres!$A$1:$I$89,3,0)*VLOOKUP('Données projet'!$B$11,Paramètres!$A$1:$I$89,5,0)</f>
        <v>187.05959999999999</v>
      </c>
      <c r="BF49" s="13">
        <f t="shared" si="37"/>
        <v>46.889283237928609</v>
      </c>
      <c r="BG49" s="20">
        <f t="shared" si="7"/>
        <v>407.46097163939231</v>
      </c>
      <c r="BH49" s="59">
        <f t="shared" si="8"/>
        <v>700.79430497272563</v>
      </c>
      <c r="BI49" s="59">
        <f ca="1">AVERAGE(OFFSET($BH$3,0,0,'Données projet'!$E$11+1,1))-AVERAGE(OFFSET($H$3,0,0,'Données projet'!$E$11+1,1))</f>
        <v>248.1486444660062</v>
      </c>
      <c r="BJ49" s="59">
        <f t="shared" si="38"/>
        <v>293.34458072322127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6.2046117160107954</v>
      </c>
      <c r="BQ49" s="21">
        <f>EXP(-LN(2)/25)*BQ48+(1-EXP(-LN(2)/25))/(LN(2)/25)*Calculateur!BL49*Calculateur!BN49*VLOOKUP('Données projet'!$B$11,Paramètres!$A$1:$I$89,3,0)*0.475*44/12</f>
        <v>21.842458333039342</v>
      </c>
      <c r="BR49" s="21">
        <f>EXP(-LN(2)/2)*BR48+(1-EXP(-LN(2)/2))/(LN(2)/2)*BL49*BO49*VLOOKUP('Données projet'!$B$11,Paramètres!$A$1:$I$89,3,0)*0.475*44/12</f>
        <v>9.8368852011196301E-2</v>
      </c>
      <c r="BS49" s="22">
        <f t="shared" si="9"/>
        <v>28.145438901061333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9.4</v>
      </c>
      <c r="BY49" s="12">
        <f>IF('Données projet'!$A$114&gt;35,BY48+BX49-CG48,IF(A49&lt;'Données projet'!$A$114,$BV$205^A49,IF(A49='Données projet'!$A$114,'Données projet'!$B$114,BY48+BX49-CG48)))</f>
        <v>230.40000000000006</v>
      </c>
      <c r="BZ49" s="13">
        <f>BY49*VLOOKUP('Données projet'!$B$12,Paramètres!$A$1:$I$89,3,0)*VLOOKUP('Données projet'!$B$12,Paramètres!$A$1:$I$89,5,0)</f>
        <v>201.2774400000001</v>
      </c>
      <c r="CA49" s="13">
        <f t="shared" si="39"/>
        <v>50.024806258462817</v>
      </c>
      <c r="CB49" s="20">
        <f t="shared" si="10"/>
        <v>437.68474556682287</v>
      </c>
      <c r="CC49" s="59">
        <f t="shared" si="11"/>
        <v>731.01807890015618</v>
      </c>
      <c r="CD49" s="59">
        <f ca="1">AVERAGE(OFFSET($CC$3,0,0,'Données projet'!$E$12+1,1))-AVERAGE(OFFSET($H$3,0,0,'Données projet'!$E$12+1,1))</f>
        <v>243.38048563215585</v>
      </c>
      <c r="CE49" s="59">
        <f t="shared" si="40"/>
        <v>372.1604147006675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5.3238663794523475</v>
      </c>
      <c r="CL49" s="21">
        <f>EXP(-LN(2)/25)*CL48+(1-EXP(-LN(2)/25))/(LN(2)/25)*Calculateur!CG49*Calculateur!CI49*VLOOKUP('Données projet'!$B$12,Paramètres!$A$1:$I$89,3,0)*0.475*44/12</f>
        <v>12.42512111037748</v>
      </c>
      <c r="CM49" s="21">
        <f>EXP(-LN(2)/2)*CM48+(1-EXP(-LN(2)/2))/(LN(2)/2)*CG49*CJ49*VLOOKUP('Données projet'!$B$12,Paramètres!$A$1:$I$89,3,0)*0.475*44/12</f>
        <v>0.1145114813014147</v>
      </c>
      <c r="CN49" s="22">
        <f t="shared" si="12"/>
        <v>17.863498971131243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23.4</v>
      </c>
      <c r="CT49" s="12">
        <f>IF('Données projet'!$A$140&gt;35,CT48+CS49-DB48,IF(A49&lt;'Données projet'!$A$140,$CQ$205^A49,IF(A49='Données projet'!$A$140,'Données projet'!$B$140,CT48+CS49-DB48)))</f>
        <v>476.40000000000003</v>
      </c>
      <c r="CU49" s="17">
        <f>CT49*VLOOKUP('Données projet'!$B$13,Paramètres!$A$1:$I$89,3,0)*VLOOKUP('Données projet'!$B$13,Paramètres!$A$1:$I$89,5,0)</f>
        <v>229.14840000000001</v>
      </c>
      <c r="CV49" s="13">
        <f t="shared" si="41"/>
        <v>56.098505966182572</v>
      </c>
      <c r="CW49" s="20">
        <f t="shared" si="13"/>
        <v>496.80502789110125</v>
      </c>
      <c r="CX49" s="59">
        <f t="shared" si="14"/>
        <v>790.13836122443456</v>
      </c>
      <c r="CY49" s="59">
        <f ca="1">AVERAGE(OFFSET($CX$3,0,0,'Données projet'!$E$13+1,1))-AVERAGE(OFFSET($H$3,0,0,'Données projet'!$E$13+1,1))</f>
        <v>297.21955661193238</v>
      </c>
      <c r="CZ49" s="59">
        <f t="shared" si="42"/>
        <v>273.69206144662144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4.9082156820532434</v>
      </c>
      <c r="DG49" s="21">
        <f>EXP(-LN(2)/25)*DG48+(1-EXP(-LN(2)/25))/(LN(2)/25)*Calculateur!DB49*Calculateur!DD49*VLOOKUP('Données projet'!$B$13,Paramètres!$A$1:$I$89,3,0)*0.475*44/12</f>
        <v>8.6138001477950912</v>
      </c>
      <c r="DH49" s="21">
        <f>EXP(-LN(2)/2)*DH48+(1-EXP(-LN(2)/2))/(LN(2)/2)*DB49*DE49*VLOOKUP('Données projet'!$B$13,Paramètres!$A$1:$I$89,3,0)*0.475*44/12</f>
        <v>8.1690560266534512E-2</v>
      </c>
      <c r="DI49" s="22">
        <f t="shared" si="15"/>
        <v>13.603706390114869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197.46791999999991</v>
      </c>
      <c r="DQ49" s="13">
        <f t="shared" si="43"/>
        <v>49.187281204902298</v>
      </c>
      <c r="DR49" s="20">
        <f t="shared" si="16"/>
        <v>429.591142098538</v>
      </c>
      <c r="DS49" s="59">
        <f t="shared" si="17"/>
        <v>722.92447543187131</v>
      </c>
      <c r="DT49" s="59">
        <f ca="1">AVERAGE(OFFSET($DS$3,0,0,'Données projet'!$E$14+1,1))-AVERAGE(OFFSET($H$3,0,0,'Données projet'!$E$14+1,1))</f>
        <v>260.20517190557814</v>
      </c>
      <c r="DU49" s="59">
        <f t="shared" si="44"/>
        <v>307.22009971147133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2.3768516820262455</v>
      </c>
      <c r="EB49" s="21">
        <f>EXP(-LN(2)/25)*EB48+(1-EXP(-LN(2)/25))/(LN(2)/25)*Calculateur!DW49*Calculateur!DY49*VLOOKUP('Données projet'!$B$14,Paramètres!$A$1:$I$89,3,0)*0.475*44/12</f>
        <v>13.167694772353402</v>
      </c>
      <c r="EC49" s="21">
        <f>EXP(-LN(2)/2)*EC48+(1-EXP(-LN(2)/2))/(LN(2)/2)*DW49*DZ49*VLOOKUP('Données projet'!$B$14,Paramètres!$A$1:$I$89,3,0)*0.475*44/12</f>
        <v>9.3902477549833149E-2</v>
      </c>
      <c r="ED49" s="22">
        <f t="shared" si="18"/>
        <v>15.63844893192948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18.8</v>
      </c>
      <c r="EJ49" s="12">
        <f>IF('Données projet'!$A$192&gt;35,EJ48+EI49-ER48,IF(A49&lt;'Données projet'!$A$192,$EG$205^A49,IF(A49='Données projet'!$A$192,'Données projet'!$B$192,EJ48+EI49-ER48)))</f>
        <v>325.80000000000013</v>
      </c>
      <c r="EK49" s="17">
        <f>EJ49*VLOOKUP('Données projet'!$B$15,Paramètres!$A$1:$I$89,3,0)*VLOOKUP('Données projet'!$B$15,Paramètres!$A$1:$I$89,5,0)</f>
        <v>194.82840000000007</v>
      </c>
      <c r="EL49" s="13">
        <f t="shared" si="45"/>
        <v>48.605879434898576</v>
      </c>
      <c r="EM49" s="20">
        <f t="shared" si="19"/>
        <v>423.98137001578181</v>
      </c>
      <c r="EN49" s="59">
        <f t="shared" si="20"/>
        <v>717.31470334911512</v>
      </c>
      <c r="EO49" s="59">
        <f ca="1">AVERAGE(OFFSET($EN$3,0,0,'Données projet'!$E$15+1,1))-AVERAGE(OFFSET($H$3,0,0,'Données projet'!$E$15+1,1))</f>
        <v>259.30247982593914</v>
      </c>
      <c r="EP49" s="59">
        <f t="shared" si="46"/>
        <v>275.24740346220779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11.572017968177693</v>
      </c>
      <c r="EX49" s="21">
        <f>EXP(-LN(2)/2)*EX48+(1-EXP(-LN(2)/2))/(LN(2)/2)*ER49*EU49*VLOOKUP('Données projet'!$B$15,Paramètres!$A$1:$I$89,3,0)*0.475*44/12</f>
        <v>0.1120330866479103</v>
      </c>
      <c r="EY49" s="22">
        <f t="shared" si="21"/>
        <v>11.684051054825604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11.2</v>
      </c>
      <c r="FE49" s="12">
        <f>IF('Données projet'!$A$218&gt;35,FE48+FD49-FM48,IF(A49&lt;'Données projet'!$A$218,$FB$205^A49,IF(A49='Données projet'!$A$218,'Données projet'!$B$218,FE48+FD49-FM48)))</f>
        <v>214.19999999999993</v>
      </c>
      <c r="FF49" s="17">
        <f>FE49*VLOOKUP('Données projet'!$B$16,Paramètres!$A$1:$I$89,3,0)*VLOOKUP('Données projet'!$B$16,Paramètres!$A$1:$I$89,5,0)</f>
        <v>217.19879999999995</v>
      </c>
      <c r="FG49" s="13">
        <f t="shared" si="47"/>
        <v>53.505605420483995</v>
      </c>
      <c r="FH49" s="20">
        <f t="shared" si="22"/>
        <v>471.4768394406762</v>
      </c>
      <c r="FI49" s="59">
        <f t="shared" si="23"/>
        <v>764.81017277400952</v>
      </c>
      <c r="FJ49" s="59">
        <f ca="1">AVERAGE(OFFSET($FI$3,0,0,'Données projet'!$E$16+1,1))-AVERAGE(OFFSET($H$3,0,0,'Données projet'!$E$16+1,1))</f>
        <v>372.91317851957336</v>
      </c>
      <c r="FK49" s="59">
        <f t="shared" si="48"/>
        <v>269.69187715858413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1.9662006515022874</v>
      </c>
      <c r="FR49" s="21">
        <f>EXP(-LN(2)/25)*FR48+(1-EXP(-LN(2)/25))/(LN(2)/25)*Calculateur!FM49*Calculateur!FO49*VLOOKUP('Données projet'!$B$16,Paramètres!$A$1:$I$89,3,0)*0.475*44/12</f>
        <v>9.7485962450813499</v>
      </c>
      <c r="FS49" s="21">
        <f>EXP(-LN(2)/2)*FS48+(1-EXP(-LN(2)/2))/(LN(2)/2)*FM49*FP49*VLOOKUP('Données projet'!$B$16,Paramètres!$A$1:$I$89,3,0)*0.475*44/12</f>
        <v>9.5171436019274747E-2</v>
      </c>
      <c r="FT49" s="22">
        <f t="shared" si="24"/>
        <v>11.809968332602912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11.499999999999996</v>
      </c>
      <c r="FZ49" s="12">
        <f>IF('Données projet'!$A$244&gt;35,FZ48+FY49-GH48,IF(A49&lt;'Données projet'!$A$244,$FW$205^A49,IF(A49='Données projet'!$A$244,'Données projet'!$B$244,FZ48+FY49-GH48)))</f>
        <v>277.19999999999987</v>
      </c>
      <c r="GA49" s="17">
        <f>FZ49*VLOOKUP('Données projet'!$B$17,Paramètres!$A$1:$I$89,3,0)*VLOOKUP('Données projet'!$B$17,Paramètres!$A$1:$I$89,5,0)</f>
        <v>129.72959999999992</v>
      </c>
      <c r="GB49" s="13">
        <f t="shared" si="49"/>
        <v>33.933870261867483</v>
      </c>
      <c r="GC49" s="20">
        <f t="shared" si="25"/>
        <v>285.04721070608576</v>
      </c>
      <c r="GD49" s="59">
        <f t="shared" si="26"/>
        <v>578.38054403941908</v>
      </c>
      <c r="GE49" s="59">
        <f ca="1">AVERAGE(OFFSET($GD$3,0,0,'Données projet'!$E$17+1,1))-AVERAGE(OFFSET($H$3,0,0,'Données projet'!$E$17+1,1))</f>
        <v>215.23235148064941</v>
      </c>
      <c r="GF49" s="59">
        <f t="shared" si="50"/>
        <v>184.07239726900434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2.2833152007389583</v>
      </c>
      <c r="GM49" s="21">
        <f>EXP(-LN(2)/25)*GM48+(1-EXP(-LN(2)/25))/(LN(2)/25)*Calculateur!GH49*Calculateur!GJ49*VLOOKUP('Données projet'!$B$17,Paramètres!$A$1:$I$89,3,0)*0.475*44/12</f>
        <v>5.040953194648579</v>
      </c>
      <c r="GN49" s="21">
        <f>EXP(-LN(2)/2)*GN48+(1-EXP(-LN(2)/2))/(LN(2)/2)*GH49*GK49*VLOOKUP('Données projet'!$B$17,Paramètres!$A$1:$I$89,3,0)*0.475*44/12</f>
        <v>3.8406939376156218E-2</v>
      </c>
      <c r="GO49" s="21">
        <f t="shared" si="27"/>
        <v>7.3626753347636944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>
        <f>VLOOKUP(A49,'Données projet'!$A$269:$I$289,2,0)</f>
        <v>365</v>
      </c>
      <c r="GS49" s="12">
        <f>VLOOKUP(A49,'Données projet'!$A$269:$I$289,9,0)</f>
        <v>11</v>
      </c>
      <c r="GT49" s="12">
        <f t="array" ref="GT49">INDEX(GS:GS,MIN(IF(ISNUMBER(GS49:GS245),ROW(GS49:GS245),"")))</f>
        <v>11</v>
      </c>
      <c r="GU49" s="12">
        <f>IF('Données projet'!$A$270&gt;35,GU48+GT49-HC48,IF(A49&lt;'Données projet'!$A$270,$GR$205^A49,IF(A49='Données projet'!$A$270,'Données projet'!$B$270,GU48+GT49-HC48)))</f>
        <v>364.99999999999989</v>
      </c>
      <c r="GV49" s="17">
        <f>GU49*VLOOKUP('Données projet'!$B$18,Paramètres!$A$1:$I$89,3,0)*VLOOKUP('Données projet'!$B$18,Paramètres!$A$1:$I$89,5,0)</f>
        <v>218.26999999999995</v>
      </c>
      <c r="GW49" s="13">
        <f t="shared" si="51"/>
        <v>53.738706177800289</v>
      </c>
      <c r="GX49" s="20">
        <f t="shared" si="28"/>
        <v>473.74849659300207</v>
      </c>
      <c r="GY49" s="59">
        <f t="shared" si="29"/>
        <v>767.08182992633533</v>
      </c>
      <c r="GZ49" s="59">
        <f ca="1">AVERAGE(OFFSET($GY$3,0,0,'Données projet'!$E$18+1,1))-AVERAGE(OFFSET($H$3,0,0,'Données projet'!$E$18+1,1))</f>
        <v>227.89848316900191</v>
      </c>
      <c r="HA49" s="59">
        <f t="shared" si="52"/>
        <v>239.85955661394541</v>
      </c>
      <c r="HB49" s="15">
        <f>IF(ISNA(VLOOKUP(A49,'Données projet'!$A$269:$I$289,3,0)),0,VLOOKUP(A49,'Données projet'!$A$269:$I$289,3,0))</f>
        <v>7</v>
      </c>
      <c r="HC49" s="15">
        <f>IF(ISNA(VLOOKUP(A49,'Données projet'!$A$269:$I$289,4,0)),0,VLOOKUP(A49,'Données projet'!$A$269:$I$289,4,0))</f>
        <v>21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5.7852022538943269</v>
      </c>
      <c r="HH49" s="21">
        <f>EXP(-LN(2)/25)*HH48+(1-EXP(-LN(2)/25))/(LN(2)/25)*Calculateur!HC49*Calculateur!HE49*VLOOKUP('Données projet'!$B$18,Paramètres!$A$1:$I$89,3,0)*0.475*44/12</f>
        <v>11.001255737317436</v>
      </c>
      <c r="HI49" s="21">
        <f>EXP(-LN(2)/2)*HI48+(1-EXP(-LN(2)/2))/(LN(2)/2)*HC49*HF49*VLOOKUP('Données projet'!$B$18,Paramètres!$A$1:$I$89,3,0)*0.475*44/12</f>
        <v>2.6185822705440179E-2</v>
      </c>
      <c r="HJ49" s="22">
        <f t="shared" si="30"/>
        <v>16.812643813917202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</v>
      </c>
      <c r="N50" s="13">
        <f>IF('Données projet'!$A$36&gt;35,N49+M50-V49,IF(A50&lt;'Données projet'!$A$36,$K$205^A50,IF(A50='Données projet'!$A$36,'Données projet'!$B$36,N49+M50-V49)))</f>
        <v>498.00000000000006</v>
      </c>
      <c r="O50" s="13">
        <f>N50*VLOOKUP('Données projet'!$B$9,Paramètres!$A$1:$I$89,3,0)*VLOOKUP('Données projet'!$B$9,Paramètres!$A$1:$I$89,5,0)</f>
        <v>278.38200000000001</v>
      </c>
      <c r="P50" s="13">
        <f t="shared" si="33"/>
        <v>66.624963725642488</v>
      </c>
      <c r="Q50" s="20">
        <f t="shared" si="53"/>
        <v>600.88712848882722</v>
      </c>
      <c r="R50" s="59">
        <f t="shared" si="0"/>
        <v>894.22046182216059</v>
      </c>
      <c r="S50" s="59">
        <f ca="1">AVERAGE(OFFSET($R$3,0,0,'Données projet'!$E$9+1,1))-AVERAGE(OFFSET($H$3,0,0,'Données projet'!$E$9+1,1))</f>
        <v>370.69652285220093</v>
      </c>
      <c r="T50" s="59">
        <f t="shared" si="34"/>
        <v>376.53494965377718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7.3398777285784789</v>
      </c>
      <c r="AA50" s="21">
        <f>EXP(-LN(2)/25)*AA49+(1-EXP(-LN(2)/25))/(LN(2)/25)*Calculateur!V50*Calculateur!X50*VLOOKUP('Données projet'!$B$9,Paramètres!$A$1:$I$89,3,0)*0.475*44/12</f>
        <v>20.850652092837361</v>
      </c>
      <c r="AB50" s="21">
        <f>EXP(-LN(2)/2)*AB49+(1-EXP(-LN(2)/2))/(LN(2)/2)*V50*Y50*VLOOKUP('Données projet'!$B$9,Paramètres!$A$1:$I$89,3,0)*0.475*44/12</f>
        <v>9.0404056460355472E-2</v>
      </c>
      <c r="AC50" s="22">
        <f t="shared" si="3"/>
        <v>28.280933877876194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203.94191999999993</v>
      </c>
      <c r="AK50" s="13">
        <f t="shared" si="35"/>
        <v>50.609495896501116</v>
      </c>
      <c r="AL50" s="20">
        <f t="shared" si="4"/>
        <v>443.3437160197393</v>
      </c>
      <c r="AM50" s="59">
        <f t="shared" si="5"/>
        <v>736.67704935307256</v>
      </c>
      <c r="AN50" s="59">
        <f ca="1">AVERAGE(OFFSET($AM$3,0,0,'Données projet'!$E$10+1,1))-AVERAGE(OFFSET($H$3,0,0,'Données projet'!$E$10+1,1))</f>
        <v>321.03881567735544</v>
      </c>
      <c r="AO50" s="59">
        <f t="shared" si="36"/>
        <v>234.87694492493506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1.7200521545759666</v>
      </c>
      <c r="AV50" s="21">
        <f>EXP(-LN(2)/25)*AV49+(1-EXP(-LN(2)/25))/(LN(2)/25)*Calculateur!AQ50*Calculateur!AS50*VLOOKUP('Données projet'!$B$10,Paramètres!$A$1:$I$89,3,0)*0.475*44/12</f>
        <v>8.4608797130767037</v>
      </c>
      <c r="AW50" s="21">
        <f>EXP(-LN(2)/2)*AW49+(1-EXP(-LN(2)/2))/(LN(2)/2)*AQ50*AT50*VLOOKUP('Données projet'!$B$10,Paramètres!$A$1:$I$89,3,0)*0.475*44/12</f>
        <v>6.0049066638468741E-2</v>
      </c>
      <c r="AX50" s="21">
        <f t="shared" si="6"/>
        <v>10.240980934291139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13.1</v>
      </c>
      <c r="BD50" s="12">
        <f>IF('Données projet'!$A$88&gt;35,BD49+BC50-BL49,IF(A50&lt;'Données projet'!$A$88,$BA$205^A50,IF(A50='Données projet'!$A$88,'Données projet'!$B$88,BD49+BC50-BL49)))</f>
        <v>355.70000000000005</v>
      </c>
      <c r="BE50" s="13">
        <f>BD50*VLOOKUP('Données projet'!$B$11,Paramètres!$A$1:$I$89,3,0)*VLOOKUP('Données projet'!$B$11,Paramètres!$A$1:$I$89,5,0)</f>
        <v>194.21220000000002</v>
      </c>
      <c r="BF50" s="13">
        <f t="shared" si="37"/>
        <v>48.470018696162889</v>
      </c>
      <c r="BG50" s="20">
        <f t="shared" si="7"/>
        <v>422.67153089581711</v>
      </c>
      <c r="BH50" s="59">
        <f t="shared" si="8"/>
        <v>716.00486422915037</v>
      </c>
      <c r="BI50" s="59">
        <f ca="1">AVERAGE(OFFSET($BH$3,0,0,'Données projet'!$E$11+1,1))-AVERAGE(OFFSET($H$3,0,0,'Données projet'!$E$11+1,1))</f>
        <v>248.1486444660062</v>
      </c>
      <c r="BJ50" s="59">
        <f t="shared" si="38"/>
        <v>293.34458072322127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6.0829430646992879</v>
      </c>
      <c r="BQ50" s="21">
        <f>EXP(-LN(2)/25)*BQ49+(1-EXP(-LN(2)/25))/(LN(2)/25)*Calculateur!BL50*Calculateur!BN50*VLOOKUP('Données projet'!$B$11,Paramètres!$A$1:$I$89,3,0)*0.475*44/12</f>
        <v>21.24517516127742</v>
      </c>
      <c r="BR50" s="21">
        <f>EXP(-LN(2)/2)*BR49+(1-EXP(-LN(2)/2))/(LN(2)/2)*BL50*BO50*VLOOKUP('Données projet'!$B$11,Paramètres!$A$1:$I$89,3,0)*0.475*44/12</f>
        <v>6.9557282314652857E-2</v>
      </c>
      <c r="BS50" s="22">
        <f t="shared" si="9"/>
        <v>27.397675508291361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9.4</v>
      </c>
      <c r="BY50" s="12">
        <f>IF('Données projet'!$A$114&gt;35,BY49+BX50-CG49,IF(A50&lt;'Données projet'!$A$114,$BV$205^A50,IF(A50='Données projet'!$A$114,'Données projet'!$B$114,BY49+BX50-CG49)))</f>
        <v>239.80000000000007</v>
      </c>
      <c r="BZ50" s="13">
        <f>BY50*VLOOKUP('Données projet'!$B$12,Paramètres!$A$1:$I$89,3,0)*VLOOKUP('Données projet'!$B$12,Paramètres!$A$1:$I$89,5,0)</f>
        <v>209.48928000000006</v>
      </c>
      <c r="CA50" s="13">
        <f t="shared" si="39"/>
        <v>51.823964717594407</v>
      </c>
      <c r="CB50" s="20">
        <f t="shared" si="10"/>
        <v>455.12056788314362</v>
      </c>
      <c r="CC50" s="59">
        <f t="shared" si="11"/>
        <v>748.45390121647688</v>
      </c>
      <c r="CD50" s="59">
        <f ca="1">AVERAGE(OFFSET($CC$3,0,0,'Données projet'!$E$12+1,1))-AVERAGE(OFFSET($H$3,0,0,'Données projet'!$E$12+1,1))</f>
        <v>243.38048563215585</v>
      </c>
      <c r="CE50" s="59">
        <f t="shared" si="40"/>
        <v>372.1604147006675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5.2194686069891407</v>
      </c>
      <c r="CL50" s="21">
        <f>EXP(-LN(2)/25)*CL49+(1-EXP(-LN(2)/25))/(LN(2)/25)*Calculateur!CG50*Calculateur!CI50*VLOOKUP('Données projet'!$B$12,Paramètres!$A$1:$I$89,3,0)*0.475*44/12</f>
        <v>12.085355520205487</v>
      </c>
      <c r="CM50" s="21">
        <f>EXP(-LN(2)/2)*CM49+(1-EXP(-LN(2)/2))/(LN(2)/2)*CG50*CJ50*VLOOKUP('Données projet'!$B$12,Paramètres!$A$1:$I$89,3,0)*0.475*44/12</f>
        <v>8.097184495194687E-2</v>
      </c>
      <c r="CN50" s="22">
        <f t="shared" si="12"/>
        <v>17.385795972146575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23.4</v>
      </c>
      <c r="CT50" s="12">
        <f>IF('Données projet'!$A$140&gt;35,CT49+CS50-DB49,IF(A50&lt;'Données projet'!$A$140,$CQ$205^A50,IF(A50='Données projet'!$A$140,'Données projet'!$B$140,CT49+CS50-DB49)))</f>
        <v>499.8</v>
      </c>
      <c r="CU50" s="17">
        <f>CT50*VLOOKUP('Données projet'!$B$13,Paramètres!$A$1:$I$89,3,0)*VLOOKUP('Données projet'!$B$13,Paramètres!$A$1:$I$89,5,0)</f>
        <v>240.40380000000002</v>
      </c>
      <c r="CV50" s="13">
        <f t="shared" si="41"/>
        <v>58.526401517229864</v>
      </c>
      <c r="CW50" s="20">
        <f t="shared" si="13"/>
        <v>520.63676764250874</v>
      </c>
      <c r="CX50" s="59">
        <f t="shared" si="14"/>
        <v>813.97010097584212</v>
      </c>
      <c r="CY50" s="59">
        <f ca="1">AVERAGE(OFFSET($CX$3,0,0,'Données projet'!$E$13+1,1))-AVERAGE(OFFSET($H$3,0,0,'Données projet'!$E$13+1,1))</f>
        <v>297.21955661193238</v>
      </c>
      <c r="CZ50" s="59">
        <f t="shared" si="42"/>
        <v>273.69206144662144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4.8119685662441407</v>
      </c>
      <c r="DG50" s="21">
        <f>EXP(-LN(2)/25)*DG49+(1-EXP(-LN(2)/25))/(LN(2)/25)*Calculateur!DB50*Calculateur!DD50*VLOOKUP('Données projet'!$B$13,Paramètres!$A$1:$I$89,3,0)*0.475*44/12</f>
        <v>8.3782553297735713</v>
      </c>
      <c r="DH50" s="21">
        <f>EXP(-LN(2)/2)*DH49+(1-EXP(-LN(2)/2))/(LN(2)/2)*DB50*DE50*VLOOKUP('Données projet'!$B$13,Paramètres!$A$1:$I$89,3,0)*0.475*44/12</f>
        <v>5.7763949123394893E-2</v>
      </c>
      <c r="DI50" s="22">
        <f t="shared" si="15"/>
        <v>13.247987845141107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204.78743999999992</v>
      </c>
      <c r="DQ50" s="13">
        <f t="shared" si="43"/>
        <v>50.794849254094281</v>
      </c>
      <c r="DR50" s="20">
        <f t="shared" si="16"/>
        <v>445.1391537842141</v>
      </c>
      <c r="DS50" s="59">
        <f t="shared" si="17"/>
        <v>738.47248711754742</v>
      </c>
      <c r="DT50" s="59">
        <f ca="1">AVERAGE(OFFSET($DS$3,0,0,'Données projet'!$E$14+1,1))-AVERAGE(OFFSET($H$3,0,0,'Données projet'!$E$14+1,1))</f>
        <v>260.20517190557814</v>
      </c>
      <c r="DU50" s="59">
        <f t="shared" si="44"/>
        <v>307.22009971147133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2.3302430702780872</v>
      </c>
      <c r="EB50" s="21">
        <f>EXP(-LN(2)/25)*EB49+(1-EXP(-LN(2)/25))/(LN(2)/25)*Calculateur!DW50*Calculateur!DY50*VLOOKUP('Données projet'!$B$14,Paramètres!$A$1:$I$89,3,0)*0.475*44/12</f>
        <v>12.807623466344426</v>
      </c>
      <c r="EC50" s="21">
        <f>EXP(-LN(2)/2)*EC49+(1-EXP(-LN(2)/2))/(LN(2)/2)*DW50*DZ50*VLOOKUP('Données projet'!$B$14,Paramètres!$A$1:$I$89,3,0)*0.475*44/12</f>
        <v>6.639907864570456E-2</v>
      </c>
      <c r="ED50" s="22">
        <f t="shared" si="18"/>
        <v>15.204265615268216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18.8</v>
      </c>
      <c r="EJ50" s="12">
        <f>IF('Données projet'!$A$192&gt;35,EJ49+EI50-ER49,IF(A50&lt;'Données projet'!$A$192,$EG$205^A50,IF(A50='Données projet'!$A$192,'Données projet'!$B$192,EJ49+EI50-ER49)))</f>
        <v>344.60000000000014</v>
      </c>
      <c r="EK50" s="17">
        <f>EJ50*VLOOKUP('Données projet'!$B$15,Paramètres!$A$1:$I$89,3,0)*VLOOKUP('Données projet'!$B$15,Paramètres!$A$1:$I$89,5,0)</f>
        <v>206.07080000000011</v>
      </c>
      <c r="EL50" s="13">
        <f t="shared" si="45"/>
        <v>51.076015061754575</v>
      </c>
      <c r="EM50" s="20">
        <f t="shared" si="19"/>
        <v>447.86403623255609</v>
      </c>
      <c r="EN50" s="59">
        <f t="shared" si="20"/>
        <v>741.1973695658894</v>
      </c>
      <c r="EO50" s="59">
        <f ca="1">AVERAGE(OFFSET($EN$3,0,0,'Données projet'!$E$15+1,1))-AVERAGE(OFFSET($H$3,0,0,'Données projet'!$E$15+1,1))</f>
        <v>259.30247982593914</v>
      </c>
      <c r="EP50" s="59">
        <f t="shared" si="46"/>
        <v>275.24740346220779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11.255580528291897</v>
      </c>
      <c r="EX50" s="21">
        <f>EXP(-LN(2)/2)*EX49+(1-EXP(-LN(2)/2))/(LN(2)/2)*ER50*EU50*VLOOKUP('Données projet'!$B$15,Paramètres!$A$1:$I$89,3,0)*0.475*44/12</f>
        <v>7.9219355285997425E-2</v>
      </c>
      <c r="EY50" s="22">
        <f t="shared" si="21"/>
        <v>11.334799883577896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11.2</v>
      </c>
      <c r="FE50" s="12">
        <f>IF('Données projet'!$A$218&gt;35,FE49+FD50-FM49,IF(A50&lt;'Données projet'!$A$218,$FB$205^A50,IF(A50='Données projet'!$A$218,'Données projet'!$B$218,FE49+FD50-FM49)))</f>
        <v>225.39999999999992</v>
      </c>
      <c r="FF50" s="17">
        <f>FE50*VLOOKUP('Données projet'!$B$16,Paramètres!$A$1:$I$89,3,0)*VLOOKUP('Données projet'!$B$16,Paramètres!$A$1:$I$89,5,0)</f>
        <v>228.55559999999994</v>
      </c>
      <c r="FG50" s="13">
        <f t="shared" si="47"/>
        <v>55.970254064236521</v>
      </c>
      <c r="FH50" s="20">
        <f t="shared" si="22"/>
        <v>495.54919582854518</v>
      </c>
      <c r="FI50" s="59">
        <f t="shared" si="23"/>
        <v>788.88252916187844</v>
      </c>
      <c r="FJ50" s="59">
        <f ca="1">AVERAGE(OFFSET($FI$3,0,0,'Données projet'!$E$16+1,1))-AVERAGE(OFFSET($H$3,0,0,'Données projet'!$E$16+1,1))</f>
        <v>372.91317851957336</v>
      </c>
      <c r="FK50" s="59">
        <f t="shared" si="48"/>
        <v>269.69187715858413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1.9276446559903075</v>
      </c>
      <c r="FR50" s="21">
        <f>EXP(-LN(2)/25)*FR49+(1-EXP(-LN(2)/25))/(LN(2)/25)*Calculateur!FM50*Calculateur!FO50*VLOOKUP('Données projet'!$B$16,Paramètres!$A$1:$I$89,3,0)*0.475*44/12</f>
        <v>9.4820203681032051</v>
      </c>
      <c r="FS50" s="21">
        <f>EXP(-LN(2)/2)*FS49+(1-EXP(-LN(2)/2))/(LN(2)/2)*FM50*FP50*VLOOKUP('Données projet'!$B$16,Paramètres!$A$1:$I$89,3,0)*0.475*44/12</f>
        <v>6.7296367784490815E-2</v>
      </c>
      <c r="FT50" s="22">
        <f t="shared" si="24"/>
        <v>11.476961391878005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11.499999999999996</v>
      </c>
      <c r="FZ50" s="12">
        <f>IF('Données projet'!$A$244&gt;35,FZ49+FY50-GH49,IF(A50&lt;'Données projet'!$A$244,$FW$205^A50,IF(A50='Données projet'!$A$244,'Données projet'!$B$244,FZ49+FY50-GH49)))</f>
        <v>288.69999999999987</v>
      </c>
      <c r="GA50" s="17">
        <f>FZ50*VLOOKUP('Données projet'!$B$17,Paramètres!$A$1:$I$89,3,0)*VLOOKUP('Données projet'!$B$17,Paramètres!$A$1:$I$89,5,0)</f>
        <v>135.11159999999992</v>
      </c>
      <c r="GB50" s="13">
        <f t="shared" si="49"/>
        <v>35.174835808562257</v>
      </c>
      <c r="GC50" s="20">
        <f t="shared" si="25"/>
        <v>296.58220903324576</v>
      </c>
      <c r="GD50" s="59">
        <f t="shared" si="26"/>
        <v>589.91554236657907</v>
      </c>
      <c r="GE50" s="59">
        <f ca="1">AVERAGE(OFFSET($GD$3,0,0,'Données projet'!$E$17+1,1))-AVERAGE(OFFSET($H$3,0,0,'Données projet'!$E$17+1,1))</f>
        <v>215.23235148064941</v>
      </c>
      <c r="GF50" s="59">
        <f t="shared" si="50"/>
        <v>184.07239726900434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2.2385407823372234</v>
      </c>
      <c r="GM50" s="21">
        <f>EXP(-LN(2)/25)*GM49+(1-EXP(-LN(2)/25))/(LN(2)/25)*Calculateur!GH50*Calculateur!GJ50*VLOOKUP('Données projet'!$B$17,Paramètres!$A$1:$I$89,3,0)*0.475*44/12</f>
        <v>4.9031080644487064</v>
      </c>
      <c r="GN50" s="21">
        <f>EXP(-LN(2)/2)*GN49+(1-EXP(-LN(2)/2))/(LN(2)/2)*GH50*GK50*VLOOKUP('Données projet'!$B$17,Paramètres!$A$1:$I$89,3,0)*0.475*44/12</f>
        <v>2.7157807277500692E-2</v>
      </c>
      <c r="GO50" s="21">
        <f t="shared" si="27"/>
        <v>7.168806654063431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7.25</v>
      </c>
      <c r="GU50" s="12">
        <f>IF('Données projet'!$A$270&gt;35,GU49+GT50-HC49,IF(A50&lt;'Données projet'!$A$270,$GR$205^A50,IF(A50='Données projet'!$A$270,'Données projet'!$B$270,GU49+GT50-HC49)))</f>
        <v>351.24999999999989</v>
      </c>
      <c r="GV50" s="17">
        <f>GU50*VLOOKUP('Données projet'!$B$18,Paramètres!$A$1:$I$89,3,0)*VLOOKUP('Données projet'!$B$18,Paramètres!$A$1:$I$89,5,0)</f>
        <v>210.04749999999996</v>
      </c>
      <c r="GW50" s="13">
        <f t="shared" si="51"/>
        <v>51.945965506750461</v>
      </c>
      <c r="GX50" s="20">
        <f t="shared" si="28"/>
        <v>456.3052857575903</v>
      </c>
      <c r="GY50" s="59">
        <f t="shared" si="29"/>
        <v>749.63861909092361</v>
      </c>
      <c r="GZ50" s="59">
        <f ca="1">AVERAGE(OFFSET($GY$3,0,0,'Données projet'!$E$18+1,1))-AVERAGE(OFFSET($H$3,0,0,'Données projet'!$E$18+1,1))</f>
        <v>227.89848316900191</v>
      </c>
      <c r="HA50" s="59">
        <f t="shared" si="52"/>
        <v>239.85955661394541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5.6717579663204116</v>
      </c>
      <c r="HH50" s="21">
        <f>EXP(-LN(2)/25)*HH49+(1-EXP(-LN(2)/25))/(LN(2)/25)*Calculateur!HC50*Calculateur!HE50*VLOOKUP('Données projet'!$B$18,Paramètres!$A$1:$I$89,3,0)*0.475*44/12</f>
        <v>10.700425820649595</v>
      </c>
      <c r="HI50" s="21">
        <f>EXP(-LN(2)/2)*HI49+(1-EXP(-LN(2)/2))/(LN(2)/2)*HC50*HF50*VLOOKUP('Données projet'!$B$18,Paramètres!$A$1:$I$89,3,0)*0.475*44/12</f>
        <v>1.8516172805965417E-2</v>
      </c>
      <c r="HJ50" s="22">
        <f t="shared" si="30"/>
        <v>16.390699959775972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21</v>
      </c>
      <c r="N51" s="13">
        <f>IF('Données projet'!$A$36&gt;35,N50+M51-V50,IF(A51&lt;'Données projet'!$A$36,$K$205^A51,IF(A51='Données projet'!$A$36,'Données projet'!$B$36,N50+M51-V50)))</f>
        <v>519</v>
      </c>
      <c r="O51" s="13">
        <f>N51*VLOOKUP('Données projet'!$B$9,Paramètres!$A$1:$I$89,3,0)*VLOOKUP('Données projet'!$B$9,Paramètres!$A$1:$I$89,5,0)</f>
        <v>290.12099999999998</v>
      </c>
      <c r="P51" s="13">
        <f t="shared" si="33"/>
        <v>69.101426954815722</v>
      </c>
      <c r="Q51" s="20">
        <f t="shared" si="53"/>
        <v>625.64572694630408</v>
      </c>
      <c r="R51" s="59">
        <f t="shared" si="0"/>
        <v>918.97906027963745</v>
      </c>
      <c r="S51" s="59">
        <f ca="1">AVERAGE(OFFSET($R$3,0,0,'Données projet'!$E$9+1,1))-AVERAGE(OFFSET($H$3,0,0,'Données projet'!$E$9+1,1))</f>
        <v>370.69652285220093</v>
      </c>
      <c r="T51" s="59">
        <f t="shared" si="34"/>
        <v>376.53494965377718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7.1959472032044136</v>
      </c>
      <c r="AA51" s="21">
        <f>EXP(-LN(2)/25)*AA50+(1-EXP(-LN(2)/25))/(LN(2)/25)*Calculateur!V51*Calculateur!X51*VLOOKUP('Données projet'!$B$9,Paramètres!$A$1:$I$89,3,0)*0.475*44/12</f>
        <v>20.280489914870586</v>
      </c>
      <c r="AB51" s="21">
        <f>EXP(-LN(2)/2)*AB50+(1-EXP(-LN(2)/2))/(LN(2)/2)*V51*Y51*VLOOKUP('Données projet'!$B$9,Paramètres!$A$1:$I$89,3,0)*0.475*44/12</f>
        <v>6.3925321369888863E-2</v>
      </c>
      <c r="AC51" s="22">
        <f t="shared" si="3"/>
        <v>27.540362439444888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214.07567999999992</v>
      </c>
      <c r="AK51" s="13">
        <f t="shared" si="35"/>
        <v>52.825225496078176</v>
      </c>
      <c r="AL51" s="20">
        <f t="shared" si="4"/>
        <v>464.85241040566939</v>
      </c>
      <c r="AM51" s="59">
        <f t="shared" si="5"/>
        <v>758.18574373900265</v>
      </c>
      <c r="AN51" s="59">
        <f ca="1">AVERAGE(OFFSET($AM$3,0,0,'Données projet'!$E$10+1,1))-AVERAGE(OFFSET($H$3,0,0,'Données projet'!$E$10+1,1))</f>
        <v>321.03881567735544</v>
      </c>
      <c r="AO51" s="59">
        <f t="shared" si="36"/>
        <v>234.87694492493506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1.6863229809529534</v>
      </c>
      <c r="AV51" s="21">
        <f>EXP(-LN(2)/25)*AV50+(1-EXP(-LN(2)/25))/(LN(2)/25)*Calculateur!AQ51*Calculateur!AS51*VLOOKUP('Données projet'!$B$10,Paramètres!$A$1:$I$89,3,0)*0.475*44/12</f>
        <v>8.2295165123842953</v>
      </c>
      <c r="AW51" s="21">
        <f>EXP(-LN(2)/2)*AW50+(1-EXP(-LN(2)/2))/(LN(2)/2)*AQ51*AT51*VLOOKUP('Données projet'!$B$10,Paramètres!$A$1:$I$89,3,0)*0.475*44/12</f>
        <v>4.246110222398413E-2</v>
      </c>
      <c r="AX51" s="21">
        <f t="shared" si="6"/>
        <v>9.9583005955612318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13.1</v>
      </c>
      <c r="BD51" s="12">
        <f>IF('Données projet'!$A$88&gt;35,BD50+BC51-BL50,IF(A51&lt;'Données projet'!$A$88,$BA$205^A51,IF(A51='Données projet'!$A$88,'Données projet'!$B$88,BD50+BC51-BL50)))</f>
        <v>368.80000000000007</v>
      </c>
      <c r="BE51" s="13">
        <f>BD51*VLOOKUP('Données projet'!$B$11,Paramètres!$A$1:$I$89,3,0)*VLOOKUP('Données projet'!$B$11,Paramètres!$A$1:$I$89,5,0)</f>
        <v>201.36480000000003</v>
      </c>
      <c r="BF51" s="13">
        <f t="shared" si="37"/>
        <v>50.04399063451806</v>
      </c>
      <c r="BG51" s="20">
        <f t="shared" si="7"/>
        <v>437.87031035511899</v>
      </c>
      <c r="BH51" s="59">
        <f t="shared" si="8"/>
        <v>731.2036436884523</v>
      </c>
      <c r="BI51" s="59">
        <f ca="1">AVERAGE(OFFSET($BH$3,0,0,'Données projet'!$E$11+1,1))-AVERAGE(OFFSET($H$3,0,0,'Données projet'!$E$11+1,1))</f>
        <v>248.1486444660062</v>
      </c>
      <c r="BJ51" s="59">
        <f t="shared" si="38"/>
        <v>293.34458072322127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5.9636602614294496</v>
      </c>
      <c r="BQ51" s="21">
        <f>EXP(-LN(2)/25)*BQ50+(1-EXP(-LN(2)/25))/(LN(2)/25)*Calculateur!BL51*Calculateur!BN51*VLOOKUP('Données projet'!$B$11,Paramètres!$A$1:$I$89,3,0)*0.475*44/12</f>
        <v>20.664224729257082</v>
      </c>
      <c r="BR51" s="21">
        <f>EXP(-LN(2)/2)*BR50+(1-EXP(-LN(2)/2))/(LN(2)/2)*BL51*BO51*VLOOKUP('Données projet'!$B$11,Paramètres!$A$1:$I$89,3,0)*0.475*44/12</f>
        <v>4.918442600559815E-2</v>
      </c>
      <c r="BS51" s="22">
        <f t="shared" si="9"/>
        <v>26.677069416692131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9.4</v>
      </c>
      <c r="BY51" s="12">
        <f>IF('Données projet'!$A$114&gt;35,BY50+BX51-CG50,IF(A51&lt;'Données projet'!$A$114,$BV$205^A51,IF(A51='Données projet'!$A$114,'Données projet'!$B$114,BY50+BX51-CG50)))</f>
        <v>249.20000000000007</v>
      </c>
      <c r="BZ51" s="13">
        <f>BY51*VLOOKUP('Données projet'!$B$12,Paramètres!$A$1:$I$89,3,0)*VLOOKUP('Données projet'!$B$12,Paramètres!$A$1:$I$89,5,0)</f>
        <v>217.70112000000009</v>
      </c>
      <c r="CA51" s="13">
        <f t="shared" si="39"/>
        <v>53.614930456328594</v>
      </c>
      <c r="CB51" s="20">
        <f t="shared" si="10"/>
        <v>472.54212121143911</v>
      </c>
      <c r="CC51" s="59">
        <f t="shared" si="11"/>
        <v>765.87545454477242</v>
      </c>
      <c r="CD51" s="59">
        <f ca="1">AVERAGE(OFFSET($CC$3,0,0,'Données projet'!$E$12+1,1))-AVERAGE(OFFSET($H$3,0,0,'Données projet'!$E$12+1,1))</f>
        <v>243.38048563215585</v>
      </c>
      <c r="CE51" s="59">
        <f t="shared" si="40"/>
        <v>372.1604147006675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5.1171180111675829</v>
      </c>
      <c r="CL51" s="21">
        <f>EXP(-LN(2)/25)*CL50+(1-EXP(-LN(2)/25))/(LN(2)/25)*Calculateur!CG51*Calculateur!CI51*VLOOKUP('Données projet'!$B$12,Paramètres!$A$1:$I$89,3,0)*0.475*44/12</f>
        <v>11.754880837964244</v>
      </c>
      <c r="CM51" s="21">
        <f>EXP(-LN(2)/2)*CM50+(1-EXP(-LN(2)/2))/(LN(2)/2)*CG51*CJ51*VLOOKUP('Données projet'!$B$12,Paramètres!$A$1:$I$89,3,0)*0.475*44/12</f>
        <v>5.7255740650707349E-2</v>
      </c>
      <c r="CN51" s="22">
        <f t="shared" si="12"/>
        <v>16.929254589782534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23.4</v>
      </c>
      <c r="CT51" s="12">
        <f>IF('Données projet'!$A$140&gt;35,CT50+CS51-DB50,IF(A51&lt;'Données projet'!$A$140,$CQ$205^A51,IF(A51='Données projet'!$A$140,'Données projet'!$B$140,CT50+CS51-DB50)))</f>
        <v>523.20000000000005</v>
      </c>
      <c r="CU51" s="17">
        <f>CT51*VLOOKUP('Données projet'!$B$13,Paramètres!$A$1:$I$89,3,0)*VLOOKUP('Données projet'!$B$13,Paramètres!$A$1:$I$89,5,0)</f>
        <v>251.65920000000003</v>
      </c>
      <c r="CV51" s="13">
        <f t="shared" si="41"/>
        <v>60.941096662073818</v>
      </c>
      <c r="CW51" s="20">
        <f t="shared" si="13"/>
        <v>544.44551668644533</v>
      </c>
      <c r="CX51" s="59">
        <f t="shared" si="14"/>
        <v>837.7788500197787</v>
      </c>
      <c r="CY51" s="59">
        <f ca="1">AVERAGE(OFFSET($CX$3,0,0,'Données projet'!$E$13+1,1))-AVERAGE(OFFSET($H$3,0,0,'Données projet'!$E$13+1,1))</f>
        <v>297.21955661193238</v>
      </c>
      <c r="CZ51" s="59">
        <f t="shared" si="42"/>
        <v>273.69206144662144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4.7176087976711099</v>
      </c>
      <c r="DG51" s="21">
        <f>EXP(-LN(2)/25)*DG50+(1-EXP(-LN(2)/25))/(LN(2)/25)*Calculateur!DB51*Calculateur!DD51*VLOOKUP('Données projet'!$B$13,Paramètres!$A$1:$I$89,3,0)*0.475*44/12</f>
        <v>8.1491514971876136</v>
      </c>
      <c r="DH51" s="21">
        <f>EXP(-LN(2)/2)*DH50+(1-EXP(-LN(2)/2))/(LN(2)/2)*DB51*DE51*VLOOKUP('Données projet'!$B$13,Paramètres!$A$1:$I$89,3,0)*0.475*44/12</f>
        <v>4.0845280133267256E-2</v>
      </c>
      <c r="DI51" s="22">
        <f t="shared" si="15"/>
        <v>12.90760557499199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212.10695999999987</v>
      </c>
      <c r="DQ51" s="13">
        <f t="shared" si="43"/>
        <v>52.395741612408194</v>
      </c>
      <c r="DR51" s="20">
        <f t="shared" si="16"/>
        <v>460.67553864161073</v>
      </c>
      <c r="DS51" s="59">
        <f t="shared" si="17"/>
        <v>754.00887197494399</v>
      </c>
      <c r="DT51" s="59">
        <f ca="1">AVERAGE(OFFSET($DS$3,0,0,'Données projet'!$E$14+1,1))-AVERAGE(OFFSET($H$3,0,0,'Données projet'!$E$14+1,1))</f>
        <v>260.20517190557814</v>
      </c>
      <c r="DU51" s="59">
        <f t="shared" si="44"/>
        <v>307.22009971147133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2.2845484249778645</v>
      </c>
      <c r="EB51" s="21">
        <f>EXP(-LN(2)/25)*EB50+(1-EXP(-LN(2)/25))/(LN(2)/25)*Calculateur!DW51*Calculateur!DY51*VLOOKUP('Données projet'!$B$14,Paramètres!$A$1:$I$89,3,0)*0.475*44/12</f>
        <v>12.457398329133591</v>
      </c>
      <c r="EC51" s="21">
        <f>EXP(-LN(2)/2)*EC50+(1-EXP(-LN(2)/2))/(LN(2)/2)*DW51*DZ51*VLOOKUP('Données projet'!$B$14,Paramètres!$A$1:$I$89,3,0)*0.475*44/12</f>
        <v>4.6951238774916575E-2</v>
      </c>
      <c r="ED51" s="22">
        <f t="shared" si="18"/>
        <v>14.788897992886373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18.8</v>
      </c>
      <c r="EJ51" s="12">
        <f>IF('Données projet'!$A$192&gt;35,EJ50+EI51-ER50,IF(A51&lt;'Données projet'!$A$192,$EG$205^A51,IF(A51='Données projet'!$A$192,'Données projet'!$B$192,EJ50+EI51-ER50)))</f>
        <v>363.40000000000015</v>
      </c>
      <c r="EK51" s="17">
        <f>EJ51*VLOOKUP('Données projet'!$B$15,Paramètres!$A$1:$I$89,3,0)*VLOOKUP('Données projet'!$B$15,Paramètres!$A$1:$I$89,5,0)</f>
        <v>217.31320000000011</v>
      </c>
      <c r="EL51" s="13">
        <f t="shared" si="45"/>
        <v>53.530506047441797</v>
      </c>
      <c r="EM51" s="20">
        <f t="shared" si="19"/>
        <v>471.71945469929466</v>
      </c>
      <c r="EN51" s="59">
        <f t="shared" si="20"/>
        <v>765.05278803262797</v>
      </c>
      <c r="EO51" s="59">
        <f ca="1">AVERAGE(OFFSET($EN$3,0,0,'Données projet'!$E$15+1,1))-AVERAGE(OFFSET($H$3,0,0,'Données projet'!$E$15+1,1))</f>
        <v>259.30247982593914</v>
      </c>
      <c r="EP51" s="59">
        <f t="shared" si="46"/>
        <v>275.24740346220779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10.947796086840501</v>
      </c>
      <c r="EX51" s="21">
        <f>EXP(-LN(2)/2)*EX50+(1-EXP(-LN(2)/2))/(LN(2)/2)*ER51*EU51*VLOOKUP('Données projet'!$B$15,Paramètres!$A$1:$I$89,3,0)*0.475*44/12</f>
        <v>5.6016543323955149E-2</v>
      </c>
      <c r="EY51" s="22">
        <f t="shared" si="21"/>
        <v>11.003812630164456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11.2</v>
      </c>
      <c r="FE51" s="12">
        <f>IF('Données projet'!$A$218&gt;35,FE50+FD51-FM50,IF(A51&lt;'Données projet'!$A$218,$FB$205^A51,IF(A51='Données projet'!$A$218,'Données projet'!$B$218,FE50+FD51-FM50)))</f>
        <v>236.59999999999991</v>
      </c>
      <c r="FF51" s="17">
        <f>FE51*VLOOKUP('Données projet'!$B$16,Paramètres!$A$1:$I$89,3,0)*VLOOKUP('Données projet'!$B$16,Paramètres!$A$1:$I$89,5,0)</f>
        <v>239.91239999999991</v>
      </c>
      <c r="FG51" s="13">
        <f t="shared" si="47"/>
        <v>58.420682515047339</v>
      </c>
      <c r="FH51" s="20">
        <f t="shared" si="22"/>
        <v>519.59678538037394</v>
      </c>
      <c r="FI51" s="59">
        <f t="shared" si="23"/>
        <v>812.93011871370732</v>
      </c>
      <c r="FJ51" s="59">
        <f ca="1">AVERAGE(OFFSET($FI$3,0,0,'Données projet'!$E$16+1,1))-AVERAGE(OFFSET($H$3,0,0,'Données projet'!$E$16+1,1))</f>
        <v>372.91317851957336</v>
      </c>
      <c r="FK51" s="59">
        <f t="shared" si="48"/>
        <v>269.69187715858413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1.8898447200334825</v>
      </c>
      <c r="FR51" s="21">
        <f>EXP(-LN(2)/25)*FR50+(1-EXP(-LN(2)/25))/(LN(2)/25)*Calculateur!FM51*Calculateur!FO51*VLOOKUP('Données projet'!$B$16,Paramètres!$A$1:$I$89,3,0)*0.475*44/12</f>
        <v>9.2227340224996439</v>
      </c>
      <c r="FS51" s="21">
        <f>EXP(-LN(2)/2)*FS50+(1-EXP(-LN(2)/2))/(LN(2)/2)*FM51*FP51*VLOOKUP('Données projet'!$B$16,Paramètres!$A$1:$I$89,3,0)*0.475*44/12</f>
        <v>4.7585718009637373E-2</v>
      </c>
      <c r="FT51" s="22">
        <f t="shared" si="24"/>
        <v>11.160164460542763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11.499999999999996</v>
      </c>
      <c r="FZ51" s="12">
        <f>IF('Données projet'!$A$244&gt;35,FZ50+FY51-GH50,IF(A51&lt;'Données projet'!$A$244,$FW$205^A51,IF(A51='Données projet'!$A$244,'Données projet'!$B$244,FZ50+FY51-GH50)))</f>
        <v>300.19999999999987</v>
      </c>
      <c r="GA51" s="17">
        <f>FZ51*VLOOKUP('Données projet'!$B$17,Paramètres!$A$1:$I$89,3,0)*VLOOKUP('Données projet'!$B$17,Paramètres!$A$1:$I$89,5,0)</f>
        <v>140.49359999999993</v>
      </c>
      <c r="GB51" s="13">
        <f t="shared" si="49"/>
        <v>36.410059151057915</v>
      </c>
      <c r="GC51" s="20">
        <f t="shared" si="25"/>
        <v>308.10720635475906</v>
      </c>
      <c r="GD51" s="59">
        <f t="shared" si="26"/>
        <v>601.44053968809237</v>
      </c>
      <c r="GE51" s="59">
        <f ca="1">AVERAGE(OFFSET($GD$3,0,0,'Données projet'!$E$17+1,1))-AVERAGE(OFFSET($H$3,0,0,'Données projet'!$E$17+1,1))</f>
        <v>215.23235148064941</v>
      </c>
      <c r="GF51" s="59">
        <f t="shared" si="50"/>
        <v>184.07239726900434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2.194644362970648</v>
      </c>
      <c r="GM51" s="21">
        <f>EXP(-LN(2)/25)*GM50+(1-EXP(-LN(2)/25))/(LN(2)/25)*Calculateur!GH51*Calculateur!GJ51*VLOOKUP('Données projet'!$B$17,Paramètres!$A$1:$I$89,3,0)*0.475*44/12</f>
        <v>4.7690323165831092</v>
      </c>
      <c r="GN51" s="21">
        <f>EXP(-LN(2)/2)*GN50+(1-EXP(-LN(2)/2))/(LN(2)/2)*GH51*GK51*VLOOKUP('Données projet'!$B$17,Paramètres!$A$1:$I$89,3,0)*0.475*44/12</f>
        <v>1.9203469688078109E-2</v>
      </c>
      <c r="GO51" s="21">
        <f t="shared" si="27"/>
        <v>6.9828801492418346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7.25</v>
      </c>
      <c r="GU51" s="12">
        <f>IF('Données projet'!$A$270&gt;35,GU50+GT51-HC50,IF(A51&lt;'Données projet'!$A$270,$GR$205^A51,IF(A51='Données projet'!$A$270,'Données projet'!$B$270,GU50+GT51-HC50)))</f>
        <v>358.49999999999989</v>
      </c>
      <c r="GV51" s="17">
        <f>GU51*VLOOKUP('Données projet'!$B$18,Paramètres!$A$1:$I$89,3,0)*VLOOKUP('Données projet'!$B$18,Paramètres!$A$1:$I$89,5,0)</f>
        <v>214.38299999999995</v>
      </c>
      <c r="GW51" s="13">
        <f t="shared" si="51"/>
        <v>52.892226959987113</v>
      </c>
      <c r="GX51" s="20">
        <f t="shared" si="28"/>
        <v>465.50435362197749</v>
      </c>
      <c r="GY51" s="59">
        <f t="shared" si="29"/>
        <v>758.8376869553108</v>
      </c>
      <c r="GZ51" s="59">
        <f ca="1">AVERAGE(OFFSET($GY$3,0,0,'Données projet'!$E$18+1,1))-AVERAGE(OFFSET($H$3,0,0,'Données projet'!$E$18+1,1))</f>
        <v>227.89848316900191</v>
      </c>
      <c r="HA51" s="59">
        <f t="shared" si="52"/>
        <v>239.85955661394541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5.5605382520316375</v>
      </c>
      <c r="HH51" s="21">
        <f>EXP(-LN(2)/25)*HH50+(1-EXP(-LN(2)/25))/(LN(2)/25)*Calculateur!HC51*Calculateur!HE51*VLOOKUP('Données projet'!$B$18,Paramètres!$A$1:$I$89,3,0)*0.475*44/12</f>
        <v>10.407822113872994</v>
      </c>
      <c r="HI51" s="21">
        <f>EXP(-LN(2)/2)*HI50+(1-EXP(-LN(2)/2))/(LN(2)/2)*HC51*HF51*VLOOKUP('Données projet'!$B$18,Paramètres!$A$1:$I$89,3,0)*0.475*44/12</f>
        <v>1.309291135272009E-2</v>
      </c>
      <c r="HJ51" s="22">
        <f t="shared" si="30"/>
        <v>15.981453277257351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21</v>
      </c>
      <c r="N52" s="13">
        <f>IF('Données projet'!$A$36&gt;35,N51+M52-V51,IF(A52&lt;'Données projet'!$A$36,$K$205^A52,IF(A52='Données projet'!$A$36,'Données projet'!$B$36,N51+M52-V51)))</f>
        <v>540</v>
      </c>
      <c r="O52" s="13">
        <f>N52*VLOOKUP('Données projet'!$B$9,Paramètres!$A$1:$I$89,3,0)*VLOOKUP('Données projet'!$B$9,Paramètres!$A$1:$I$89,5,0)</f>
        <v>301.86</v>
      </c>
      <c r="P52" s="13">
        <f t="shared" si="33"/>
        <v>71.566250541226992</v>
      </c>
      <c r="Q52" s="20">
        <f t="shared" si="53"/>
        <v>650.38405302597027</v>
      </c>
      <c r="R52" s="59">
        <f t="shared" si="0"/>
        <v>943.71738635930365</v>
      </c>
      <c r="S52" s="59">
        <f ca="1">AVERAGE(OFFSET($R$3,0,0,'Données projet'!$E$9+1,1))-AVERAGE(OFFSET($H$3,0,0,'Données projet'!$E$9+1,1))</f>
        <v>370.69652285220093</v>
      </c>
      <c r="T52" s="59">
        <f t="shared" si="34"/>
        <v>376.53494965377718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7.0548390676439823</v>
      </c>
      <c r="AA52" s="21">
        <f>EXP(-LN(2)/25)*AA51+(1-EXP(-LN(2)/25))/(LN(2)/25)*Calculateur!V52*Calculateur!X52*VLOOKUP('Données projet'!$B$9,Paramètres!$A$1:$I$89,3,0)*0.475*44/12</f>
        <v>19.725918851643836</v>
      </c>
      <c r="AB52" s="21">
        <f>EXP(-LN(2)/2)*AB51+(1-EXP(-LN(2)/2))/(LN(2)/2)*V52*Y52*VLOOKUP('Données projet'!$B$9,Paramètres!$A$1:$I$89,3,0)*0.475*44/12</f>
        <v>4.5202028230177736E-2</v>
      </c>
      <c r="AC52" s="22">
        <f t="shared" si="3"/>
        <v>26.825959947517998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224.20943999999992</v>
      </c>
      <c r="AK52" s="13">
        <f t="shared" si="35"/>
        <v>55.028775065392324</v>
      </c>
      <c r="AL52" s="20">
        <f t="shared" si="4"/>
        <v>486.33989123889143</v>
      </c>
      <c r="AM52" s="59">
        <f t="shared" si="5"/>
        <v>779.67322457222474</v>
      </c>
      <c r="AN52" s="59">
        <f ca="1">AVERAGE(OFFSET($AM$3,0,0,'Données projet'!$E$10+1,1))-AVERAGE(OFFSET($H$3,0,0,'Données projet'!$E$10+1,1))</f>
        <v>321.03881567735544</v>
      </c>
      <c r="AO52" s="59">
        <f t="shared" si="36"/>
        <v>234.87694492493506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1.6532552158519229</v>
      </c>
      <c r="AV52" s="21">
        <f>EXP(-LN(2)/25)*AV51+(1-EXP(-LN(2)/25))/(LN(2)/25)*Calculateur!AQ52*Calculateur!AS52*VLOOKUP('Données projet'!$B$10,Paramètres!$A$1:$I$89,3,0)*0.475*44/12</f>
        <v>8.0044799505816826</v>
      </c>
      <c r="AW52" s="21">
        <f>EXP(-LN(2)/2)*AW51+(1-EXP(-LN(2)/2))/(LN(2)/2)*AQ52*AT52*VLOOKUP('Données projet'!$B$10,Paramètres!$A$1:$I$89,3,0)*0.475*44/12</f>
        <v>3.0024533319234374E-2</v>
      </c>
      <c r="AX52" s="21">
        <f t="shared" si="6"/>
        <v>9.6877596997528403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13.1</v>
      </c>
      <c r="BD52" s="12">
        <f>IF('Données projet'!$A$88&gt;35,BD51+BC52-BL51,IF(A52&lt;'Données projet'!$A$88,$BA$205^A52,IF(A52='Données projet'!$A$88,'Données projet'!$B$88,BD51+BC52-BL51)))</f>
        <v>381.90000000000009</v>
      </c>
      <c r="BE52" s="13">
        <f>BD52*VLOOKUP('Données projet'!$B$11,Paramètres!$A$1:$I$89,3,0)*VLOOKUP('Données projet'!$B$11,Paramètres!$A$1:$I$89,5,0)</f>
        <v>208.51740000000004</v>
      </c>
      <c r="BF52" s="13">
        <f t="shared" si="37"/>
        <v>51.611466822557574</v>
      </c>
      <c r="BG52" s="20">
        <f t="shared" si="7"/>
        <v>453.05777638262111</v>
      </c>
      <c r="BH52" s="59">
        <f t="shared" si="8"/>
        <v>746.39110971595437</v>
      </c>
      <c r="BI52" s="59">
        <f ca="1">AVERAGE(OFFSET($BH$3,0,0,'Données projet'!$E$11+1,1))-AVERAGE(OFFSET($H$3,0,0,'Données projet'!$E$11+1,1))</f>
        <v>248.1486444660062</v>
      </c>
      <c r="BJ52" s="59">
        <f t="shared" si="38"/>
        <v>293.34458072322127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5.8467165211764067</v>
      </c>
      <c r="BQ52" s="21">
        <f>EXP(-LN(2)/25)*BQ51+(1-EXP(-LN(2)/25))/(LN(2)/25)*Calculateur!BL52*Calculateur!BN52*VLOOKUP('Données projet'!$B$11,Paramètres!$A$1:$I$89,3,0)*0.475*44/12</f>
        <v>20.099160417351197</v>
      </c>
      <c r="BR52" s="21">
        <f>EXP(-LN(2)/2)*BR51+(1-EXP(-LN(2)/2))/(LN(2)/2)*BL52*BO52*VLOOKUP('Données projet'!$B$11,Paramètres!$A$1:$I$89,3,0)*0.475*44/12</f>
        <v>3.4778641157326429E-2</v>
      </c>
      <c r="BS52" s="22">
        <f t="shared" si="9"/>
        <v>25.980655579684932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9.4</v>
      </c>
      <c r="BY52" s="12">
        <f>IF('Données projet'!$A$114&gt;35,BY51+BX52-CG51,IF(A52&lt;'Données projet'!$A$114,$BV$205^A52,IF(A52='Données projet'!$A$114,'Données projet'!$B$114,BY51+BX52-CG51)))</f>
        <v>258.60000000000008</v>
      </c>
      <c r="BZ52" s="13">
        <f>BY52*VLOOKUP('Données projet'!$B$12,Paramètres!$A$1:$I$89,3,0)*VLOOKUP('Données projet'!$B$12,Paramètres!$A$1:$I$89,5,0)</f>
        <v>225.91296000000011</v>
      </c>
      <c r="CA52" s="13">
        <f t="shared" si="39"/>
        <v>55.398047891514715</v>
      </c>
      <c r="CB52" s="20">
        <f t="shared" si="10"/>
        <v>489.95000541105492</v>
      </c>
      <c r="CC52" s="59">
        <f t="shared" si="11"/>
        <v>783.28333874438817</v>
      </c>
      <c r="CD52" s="59">
        <f ca="1">AVERAGE(OFFSET($CC$3,0,0,'Données projet'!$E$12+1,1))-AVERAGE(OFFSET($H$3,0,0,'Données projet'!$E$12+1,1))</f>
        <v>243.38048563215585</v>
      </c>
      <c r="CE52" s="59">
        <f t="shared" si="40"/>
        <v>372.1604147006675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5.016774448102387</v>
      </c>
      <c r="CL52" s="21">
        <f>EXP(-LN(2)/25)*CL51+(1-EXP(-LN(2)/25))/(LN(2)/25)*Calculateur!CG52*Calculateur!CI52*VLOOKUP('Données projet'!$B$12,Paramètres!$A$1:$I$89,3,0)*0.475*44/12</f>
        <v>11.433443003287794</v>
      </c>
      <c r="CM52" s="21">
        <f>EXP(-LN(2)/2)*CM51+(1-EXP(-LN(2)/2))/(LN(2)/2)*CG52*CJ52*VLOOKUP('Données projet'!$B$12,Paramètres!$A$1:$I$89,3,0)*0.475*44/12</f>
        <v>4.0485922475973435E-2</v>
      </c>
      <c r="CN52" s="22">
        <f t="shared" si="12"/>
        <v>16.490703373866154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23.4</v>
      </c>
      <c r="CT52" s="12">
        <f>IF('Données projet'!$A$140&gt;35,CT51+CS52-DB51,IF(A52&lt;'Données projet'!$A$140,$CQ$205^A52,IF(A52='Données projet'!$A$140,'Données projet'!$B$140,CT51+CS52-DB51)))</f>
        <v>546.6</v>
      </c>
      <c r="CU52" s="17">
        <f>CT52*VLOOKUP('Données projet'!$B$13,Paramètres!$A$1:$I$89,3,0)*VLOOKUP('Données projet'!$B$13,Paramètres!$A$1:$I$89,5,0)</f>
        <v>262.91460000000001</v>
      </c>
      <c r="CV52" s="13">
        <f t="shared" si="41"/>
        <v>63.343249242006998</v>
      </c>
      <c r="CW52" s="20">
        <f t="shared" si="13"/>
        <v>568.23242076316217</v>
      </c>
      <c r="CX52" s="59">
        <f t="shared" si="14"/>
        <v>861.56575409649554</v>
      </c>
      <c r="CY52" s="59">
        <f ca="1">AVERAGE(OFFSET($CX$3,0,0,'Données projet'!$E$13+1,1))-AVERAGE(OFFSET($H$3,0,0,'Données projet'!$E$13+1,1))</f>
        <v>297.21955661193238</v>
      </c>
      <c r="CZ52" s="59">
        <f t="shared" si="42"/>
        <v>273.69206144662144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4.6250993666060207</v>
      </c>
      <c r="DG52" s="21">
        <f>EXP(-LN(2)/25)*DG51+(1-EXP(-LN(2)/25))/(LN(2)/25)*Calculateur!DB52*Calculateur!DD52*VLOOKUP('Données projet'!$B$13,Paramètres!$A$1:$I$89,3,0)*0.475*44/12</f>
        <v>7.9263125209517664</v>
      </c>
      <c r="DH52" s="21">
        <f>EXP(-LN(2)/2)*DH51+(1-EXP(-LN(2)/2))/(LN(2)/2)*DB52*DE52*VLOOKUP('Données projet'!$B$13,Paramètres!$A$1:$I$89,3,0)*0.475*44/12</f>
        <v>2.8881974561697447E-2</v>
      </c>
      <c r="DI52" s="22">
        <f t="shared" si="15"/>
        <v>12.580293862119484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219.42647999999991</v>
      </c>
      <c r="DQ52" s="13">
        <f t="shared" si="43"/>
        <v>53.990215051449674</v>
      </c>
      <c r="DR52" s="20">
        <f t="shared" si="16"/>
        <v>476.20074388127472</v>
      </c>
      <c r="DS52" s="59">
        <f t="shared" si="17"/>
        <v>769.53407721460803</v>
      </c>
      <c r="DT52" s="59">
        <f ca="1">AVERAGE(OFFSET($DS$3,0,0,'Données projet'!$E$14+1,1))-AVERAGE(OFFSET($H$3,0,0,'Données projet'!$E$14+1,1))</f>
        <v>260.20517190557814</v>
      </c>
      <c r="DU52" s="59">
        <f t="shared" si="44"/>
        <v>307.22009971147133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2.2397498238009974</v>
      </c>
      <c r="EB52" s="21">
        <f>EXP(-LN(2)/25)*EB51+(1-EXP(-LN(2)/25))/(LN(2)/25)*Calculateur!DW52*Calculateur!DY52*VLOOKUP('Données projet'!$B$14,Paramètres!$A$1:$I$89,3,0)*0.475*44/12</f>
        <v>12.116750116717327</v>
      </c>
      <c r="EC52" s="21">
        <f>EXP(-LN(2)/2)*EC51+(1-EXP(-LN(2)/2))/(LN(2)/2)*DW52*DZ52*VLOOKUP('Données projet'!$B$14,Paramètres!$A$1:$I$89,3,0)*0.475*44/12</f>
        <v>3.319953932285228E-2</v>
      </c>
      <c r="ED52" s="22">
        <f t="shared" si="18"/>
        <v>14.389699479841177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18.8</v>
      </c>
      <c r="EJ52" s="12">
        <f>IF('Données projet'!$A$192&gt;35,EJ51+EI52-ER51,IF(A52&lt;'Données projet'!$A$192,$EG$205^A52,IF(A52='Données projet'!$A$192,'Données projet'!$B$192,EJ51+EI52-ER51)))</f>
        <v>382.20000000000016</v>
      </c>
      <c r="EK52" s="17">
        <f>EJ52*VLOOKUP('Données projet'!$B$15,Paramètres!$A$1:$I$89,3,0)*VLOOKUP('Données projet'!$B$15,Paramètres!$A$1:$I$89,5,0)</f>
        <v>228.55560000000008</v>
      </c>
      <c r="EL52" s="13">
        <f t="shared" si="45"/>
        <v>55.97025406423657</v>
      </c>
      <c r="EM52" s="20">
        <f t="shared" si="19"/>
        <v>495.54919582854546</v>
      </c>
      <c r="EN52" s="59">
        <f t="shared" si="20"/>
        <v>788.88252916187878</v>
      </c>
      <c r="EO52" s="59">
        <f ca="1">AVERAGE(OFFSET($EN$3,0,0,'Données projet'!$E$15+1,1))-AVERAGE(OFFSET($H$3,0,0,'Données projet'!$E$15+1,1))</f>
        <v>259.30247982593914</v>
      </c>
      <c r="EP52" s="59">
        <f t="shared" si="46"/>
        <v>275.24740346220779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10.648428027126274</v>
      </c>
      <c r="EX52" s="21">
        <f>EXP(-LN(2)/2)*EX51+(1-EXP(-LN(2)/2))/(LN(2)/2)*ER52*EU52*VLOOKUP('Données projet'!$B$15,Paramètres!$A$1:$I$89,3,0)*0.475*44/12</f>
        <v>3.9609677642998713E-2</v>
      </c>
      <c r="EY52" s="22">
        <f t="shared" si="21"/>
        <v>10.688037704769272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11.2</v>
      </c>
      <c r="FE52" s="12">
        <f>IF('Données projet'!$A$218&gt;35,FE51+FD52-FM51,IF(A52&lt;'Données projet'!$A$218,$FB$205^A52,IF(A52='Données projet'!$A$218,'Données projet'!$B$218,FE51+FD52-FM51)))</f>
        <v>247.7999999999999</v>
      </c>
      <c r="FF52" s="17">
        <f>FE52*VLOOKUP('Données projet'!$B$16,Paramètres!$A$1:$I$89,3,0)*VLOOKUP('Données projet'!$B$16,Paramètres!$A$1:$I$89,5,0)</f>
        <v>251.2691999999999</v>
      </c>
      <c r="FG52" s="13">
        <f t="shared" si="47"/>
        <v>60.857640778569092</v>
      </c>
      <c r="FH52" s="20">
        <f t="shared" si="22"/>
        <v>543.62091435600757</v>
      </c>
      <c r="FI52" s="59">
        <f t="shared" si="23"/>
        <v>836.95424768934095</v>
      </c>
      <c r="FJ52" s="59">
        <f ca="1">AVERAGE(OFFSET($FI$3,0,0,'Données projet'!$E$16+1,1))-AVERAGE(OFFSET($H$3,0,0,'Données projet'!$E$16+1,1))</f>
        <v>372.91317851957336</v>
      </c>
      <c r="FK52" s="59">
        <f t="shared" si="48"/>
        <v>269.69187715858413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1.8527860177650863</v>
      </c>
      <c r="FR52" s="21">
        <f>EXP(-LN(2)/25)*FR51+(1-EXP(-LN(2)/25))/(LN(2)/25)*Calculateur!FM52*Calculateur!FO52*VLOOKUP('Données projet'!$B$16,Paramètres!$A$1:$I$89,3,0)*0.475*44/12</f>
        <v>8.9705378756518872</v>
      </c>
      <c r="FS52" s="21">
        <f>EXP(-LN(2)/2)*FS51+(1-EXP(-LN(2)/2))/(LN(2)/2)*FM52*FP52*VLOOKUP('Données projet'!$B$16,Paramètres!$A$1:$I$89,3,0)*0.475*44/12</f>
        <v>3.3648183892245408E-2</v>
      </c>
      <c r="FT52" s="22">
        <f t="shared" si="24"/>
        <v>10.856972077309218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11.499999999999996</v>
      </c>
      <c r="FZ52" s="12">
        <f>IF('Données projet'!$A$244&gt;35,FZ51+FY52-GH51,IF(A52&lt;'Données projet'!$A$244,$FW$205^A52,IF(A52='Données projet'!$A$244,'Données projet'!$B$244,FZ51+FY52-GH51)))</f>
        <v>311.69999999999987</v>
      </c>
      <c r="GA52" s="17">
        <f>FZ52*VLOOKUP('Données projet'!$B$17,Paramètres!$A$1:$I$89,3,0)*VLOOKUP('Données projet'!$B$17,Paramètres!$A$1:$I$89,5,0)</f>
        <v>145.87559999999993</v>
      </c>
      <c r="GB52" s="13">
        <f t="shared" si="49"/>
        <v>37.639785440563628</v>
      </c>
      <c r="GC52" s="20">
        <f t="shared" si="25"/>
        <v>319.62262964231485</v>
      </c>
      <c r="GD52" s="59">
        <f t="shared" si="26"/>
        <v>612.95596297564816</v>
      </c>
      <c r="GE52" s="59">
        <f ca="1">AVERAGE(OFFSET($GD$3,0,0,'Données projet'!$E$17+1,1))-AVERAGE(OFFSET($H$3,0,0,'Données projet'!$E$17+1,1))</f>
        <v>215.23235148064941</v>
      </c>
      <c r="GF52" s="59">
        <f t="shared" si="50"/>
        <v>184.07239726900434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2.1516087256136793</v>
      </c>
      <c r="GM52" s="21">
        <f>EXP(-LN(2)/25)*GM51+(1-EXP(-LN(2)/25))/(LN(2)/25)*Calculateur!GH52*Calculateur!GJ52*VLOOKUP('Données projet'!$B$17,Paramètres!$A$1:$I$89,3,0)*0.475*44/12</f>
        <v>4.638622877093634</v>
      </c>
      <c r="GN52" s="21">
        <f>EXP(-LN(2)/2)*GN51+(1-EXP(-LN(2)/2))/(LN(2)/2)*GH52*GK52*VLOOKUP('Données projet'!$B$17,Paramètres!$A$1:$I$89,3,0)*0.475*44/12</f>
        <v>1.3578903638750346E-2</v>
      </c>
      <c r="GO52" s="21">
        <f t="shared" si="27"/>
        <v>6.8038105063460641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7.25</v>
      </c>
      <c r="GU52" s="12">
        <f>IF('Données projet'!$A$270&gt;35,GU51+GT52-HC51,IF(A52&lt;'Données projet'!$A$270,$GR$205^A52,IF(A52='Données projet'!$A$270,'Données projet'!$B$270,GU51+GT52-HC51)))</f>
        <v>365.74999999999989</v>
      </c>
      <c r="GV52" s="17">
        <f>GU52*VLOOKUP('Données projet'!$B$18,Paramètres!$A$1:$I$89,3,0)*VLOOKUP('Données projet'!$B$18,Paramètres!$A$1:$I$89,5,0)</f>
        <v>218.71849999999995</v>
      </c>
      <c r="GW52" s="13">
        <f t="shared" si="51"/>
        <v>53.836263396856545</v>
      </c>
      <c r="GX52" s="20">
        <f t="shared" si="28"/>
        <v>474.69954624952516</v>
      </c>
      <c r="GY52" s="59">
        <f t="shared" si="29"/>
        <v>768.03287958285841</v>
      </c>
      <c r="GZ52" s="59">
        <f ca="1">AVERAGE(OFFSET($GY$3,0,0,'Données projet'!$E$18+1,1))-AVERAGE(OFFSET($H$3,0,0,'Données projet'!$E$18+1,1))</f>
        <v>227.89848316900191</v>
      </c>
      <c r="HA52" s="59">
        <f t="shared" si="52"/>
        <v>239.85955661394541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5.4514994885027388</v>
      </c>
      <c r="HH52" s="21">
        <f>EXP(-LN(2)/25)*HH51+(1-EXP(-LN(2)/25))/(LN(2)/25)*Calculateur!HC52*Calculateur!HE52*VLOOKUP('Données projet'!$B$18,Paramètres!$A$1:$I$89,3,0)*0.475*44/12</f>
        <v>10.123219670845559</v>
      </c>
      <c r="HI52" s="21">
        <f>EXP(-LN(2)/2)*HI51+(1-EXP(-LN(2)/2))/(LN(2)/2)*HC52*HF52*VLOOKUP('Données projet'!$B$18,Paramètres!$A$1:$I$89,3,0)*0.475*44/12</f>
        <v>9.2580864029827084E-3</v>
      </c>
      <c r="HJ52" s="22">
        <f t="shared" si="30"/>
        <v>15.583977245751282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561</v>
      </c>
      <c r="L53" s="12">
        <f>VLOOKUP(A53,'Données projet'!$A$35:$I$55,9,0)</f>
        <v>21</v>
      </c>
      <c r="M53" s="12">
        <f t="array" ref="M53">INDEX(L:L,MIN(IF(ISNUMBER(L53:L249),ROW(L53:L249),"")))</f>
        <v>21</v>
      </c>
      <c r="N53" s="13">
        <f>IF('Données projet'!$A$36&gt;35,N52+M53-V52,IF(A53&lt;'Données projet'!$A$36,$K$205^A53,IF(A53='Données projet'!$A$36,'Données projet'!$B$36,N52+M53-V52)))</f>
        <v>561</v>
      </c>
      <c r="O53" s="13">
        <f>N53*VLOOKUP('Données projet'!$B$9,Paramètres!$A$1:$I$89,3,0)*VLOOKUP('Données projet'!$B$9,Paramètres!$A$1:$I$89,5,0)</f>
        <v>313.59899999999999</v>
      </c>
      <c r="P53" s="13">
        <f t="shared" si="33"/>
        <v>74.019938943375337</v>
      </c>
      <c r="Q53" s="20">
        <f t="shared" si="53"/>
        <v>675.10298532637864</v>
      </c>
      <c r="R53" s="59">
        <f t="shared" si="0"/>
        <v>968.43631865971201</v>
      </c>
      <c r="S53" s="59">
        <f ca="1">AVERAGE(OFFSET($R$3,0,0,'Données projet'!$E$9+1,1))-AVERAGE(OFFSET($H$3,0,0,'Données projet'!$E$9+1,1))</f>
        <v>370.69652285220093</v>
      </c>
      <c r="T53" s="59">
        <f t="shared" si="34"/>
        <v>376.53494965377718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6.9164979765544263</v>
      </c>
      <c r="AA53" s="21">
        <f>EXP(-LN(2)/25)*AA52+(1-EXP(-LN(2)/25))/(LN(2)/25)*Calculateur!V53*Calculateur!X53*VLOOKUP('Données projet'!$B$9,Paramètres!$A$1:$I$89,3,0)*0.475*44/12</f>
        <v>19.186512563304646</v>
      </c>
      <c r="AB53" s="21">
        <f>EXP(-LN(2)/2)*AB52+(1-EXP(-LN(2)/2))/(LN(2)/2)*V53*Y53*VLOOKUP('Données projet'!$B$9,Paramètres!$A$1:$I$89,3,0)*0.475*44/12</f>
        <v>3.1962660684944431E-2</v>
      </c>
      <c r="AC53" s="22">
        <f t="shared" si="3"/>
        <v>26.134973200544014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234.34319999999988</v>
      </c>
      <c r="AK53" s="13">
        <f t="shared" si="35"/>
        <v>57.220758006491614</v>
      </c>
      <c r="AL53" s="20">
        <f t="shared" si="4"/>
        <v>507.80722686130594</v>
      </c>
      <c r="AM53" s="59">
        <f t="shared" si="5"/>
        <v>801.14056019463919</v>
      </c>
      <c r="AN53" s="59">
        <f ca="1">AVERAGE(OFFSET($AM$3,0,0,'Données projet'!$E$10+1,1))-AVERAGE(OFFSET($H$3,0,0,'Données projet'!$E$10+1,1))</f>
        <v>321.03881567735544</v>
      </c>
      <c r="AO53" s="59">
        <f t="shared" si="36"/>
        <v>234.87694492493506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1.6208358894551784</v>
      </c>
      <c r="AV53" s="21">
        <f>EXP(-LN(2)/25)*AV52+(1-EXP(-LN(2)/25))/(LN(2)/25)*Calculateur!AQ53*Calculateur!AS53*VLOOKUP('Données projet'!$B$10,Paramètres!$A$1:$I$89,3,0)*0.475*44/12</f>
        <v>7.7855970253957203</v>
      </c>
      <c r="AW53" s="21">
        <f>EXP(-LN(2)/2)*AW52+(1-EXP(-LN(2)/2))/(LN(2)/2)*AQ53*AT53*VLOOKUP('Données projet'!$B$10,Paramètres!$A$1:$I$89,3,0)*0.475*44/12</f>
        <v>2.1230551111992069E-2</v>
      </c>
      <c r="AX53" s="21">
        <f t="shared" si="6"/>
        <v>9.4276634659628922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395</v>
      </c>
      <c r="BB53" s="12">
        <f>VLOOKUP(A53,'Données projet'!$A$87:$I$107,9,0)</f>
        <v>13.1</v>
      </c>
      <c r="BC53" s="12">
        <f t="array" ref="BC53">INDEX(BB:BB,MIN(IF(ISNUMBER(BB53:BB249),ROW(BB53:BB249),"")))</f>
        <v>13.1</v>
      </c>
      <c r="BD53" s="12">
        <f>IF('Données projet'!$A$88&gt;35,BD52+BC53-BL52,IF(A53&lt;'Données projet'!$A$88,$BA$205^A53,IF(A53='Données projet'!$A$88,'Données projet'!$B$88,BD52+BC53-BL52)))</f>
        <v>395.00000000000011</v>
      </c>
      <c r="BE53" s="13">
        <f>BD53*VLOOKUP('Données projet'!$B$11,Paramètres!$A$1:$I$89,3,0)*VLOOKUP('Données projet'!$B$11,Paramètres!$A$1:$I$89,5,0)</f>
        <v>215.67000000000004</v>
      </c>
      <c r="BF53" s="13">
        <f t="shared" si="37"/>
        <v>53.17269561771495</v>
      </c>
      <c r="BG53" s="20">
        <f t="shared" si="7"/>
        <v>468.23436153418692</v>
      </c>
      <c r="BH53" s="59">
        <f t="shared" si="8"/>
        <v>761.56769486752023</v>
      </c>
      <c r="BI53" s="59">
        <f ca="1">AVERAGE(OFFSET($BH$3,0,0,'Données projet'!$E$11+1,1))-AVERAGE(OFFSET($H$3,0,0,'Données projet'!$E$11+1,1))</f>
        <v>248.1486444660062</v>
      </c>
      <c r="BJ53" s="59">
        <f t="shared" si="38"/>
        <v>293.34458072322127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75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5.7320659763410875</v>
      </c>
      <c r="BQ53" s="21">
        <f>EXP(-LN(2)/25)*BQ52+(1-EXP(-LN(2)/25))/(LN(2)/25)*Calculateur!BL53*Calculateur!BN53*VLOOKUP('Données projet'!$B$11,Paramètres!$A$1:$I$89,3,0)*0.475*44/12</f>
        <v>19.54954781876982</v>
      </c>
      <c r="BR53" s="21">
        <f>EXP(-LN(2)/2)*BR52+(1-EXP(-LN(2)/2))/(LN(2)/2)*BL53*BO53*VLOOKUP('Données projet'!$B$11,Paramètres!$A$1:$I$89,3,0)*0.475*44/12</f>
        <v>2.4592213002799075E-2</v>
      </c>
      <c r="BS53" s="22">
        <f t="shared" si="9"/>
        <v>25.306206008113705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268</v>
      </c>
      <c r="BW53" s="12">
        <f>VLOOKUP(A53,'Données projet'!$A$113:$I$133,9,0)</f>
        <v>9.4</v>
      </c>
      <c r="BX53" s="12">
        <f t="array" ref="BX53">INDEX(BW:BW,MIN(IF(ISNUMBER(BW53:BW249),ROW(BW53:BW249),"")))</f>
        <v>9.4</v>
      </c>
      <c r="BY53" s="12">
        <f>IF('Données projet'!$A$114&gt;35,BY52+BX53-CG52,IF(A53&lt;'Données projet'!$A$114,$BV$205^A53,IF(A53='Données projet'!$A$114,'Données projet'!$B$114,BY52+BX53-CG52)))</f>
        <v>268.00000000000006</v>
      </c>
      <c r="BZ53" s="13">
        <f>BY53*VLOOKUP('Données projet'!$B$12,Paramètres!$A$1:$I$89,3,0)*VLOOKUP('Données projet'!$B$12,Paramètres!$A$1:$I$89,5,0)</f>
        <v>234.12480000000008</v>
      </c>
      <c r="CA53" s="13">
        <f t="shared" si="39"/>
        <v>57.173634982132555</v>
      </c>
      <c r="CB53" s="20">
        <f t="shared" si="10"/>
        <v>507.34477426054764</v>
      </c>
      <c r="CC53" s="59">
        <f t="shared" si="11"/>
        <v>800.6781075938809</v>
      </c>
      <c r="CD53" s="59">
        <f ca="1">AVERAGE(OFFSET($CC$3,0,0,'Données projet'!$E$12+1,1))-AVERAGE(OFFSET($H$3,0,0,'Données projet'!$E$12+1,1))</f>
        <v>243.38048563215585</v>
      </c>
      <c r="CE53" s="59">
        <f t="shared" si="40"/>
        <v>372.1604147006675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69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4.91839856110537</v>
      </c>
      <c r="CL53" s="21">
        <f>EXP(-LN(2)/25)*CL52+(1-EXP(-LN(2)/25))/(LN(2)/25)*Calculateur!CG53*Calculateur!CI53*VLOOKUP('Données projet'!$B$12,Paramètres!$A$1:$I$89,3,0)*0.475*44/12</f>
        <v>11.120794903104253</v>
      </c>
      <c r="CM53" s="21">
        <f>EXP(-LN(2)/2)*CM52+(1-EXP(-LN(2)/2))/(LN(2)/2)*CG53*CJ53*VLOOKUP('Données projet'!$B$12,Paramètres!$A$1:$I$89,3,0)*0.475*44/12</f>
        <v>2.8627870325353674E-2</v>
      </c>
      <c r="CN53" s="22">
        <f t="shared" si="12"/>
        <v>16.06782133453498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570</v>
      </c>
      <c r="CR53" s="12">
        <f>VLOOKUP(A53,'Données projet'!$A$139:$I$159,9,0)</f>
        <v>23.4</v>
      </c>
      <c r="CS53" s="12">
        <f t="array" ref="CS53">INDEX(CR:CR,MIN(IF(ISNUMBER(CR53:CR249),ROW(CR53:CR249),"")))</f>
        <v>23.4</v>
      </c>
      <c r="CT53" s="12">
        <f>IF('Données projet'!$A$140&gt;35,CT52+CS53-DB52,IF(A53&lt;'Données projet'!$A$140,$CQ$205^A53,IF(A53='Données projet'!$A$140,'Données projet'!$B$140,CT52+CS53-DB52)))</f>
        <v>570</v>
      </c>
      <c r="CU53" s="17">
        <f>CT53*VLOOKUP('Données projet'!$B$13,Paramètres!$A$1:$I$89,3,0)*VLOOKUP('Données projet'!$B$13,Paramètres!$A$1:$I$89,5,0)</f>
        <v>274.17</v>
      </c>
      <c r="CV53" s="13">
        <f t="shared" si="41"/>
        <v>65.73345758815563</v>
      </c>
      <c r="CW53" s="20">
        <f t="shared" si="13"/>
        <v>591.99852196603786</v>
      </c>
      <c r="CX53" s="59">
        <f t="shared" si="14"/>
        <v>885.33185529937123</v>
      </c>
      <c r="CY53" s="59">
        <f ca="1">AVERAGE(OFFSET($CX$3,0,0,'Données projet'!$E$13+1,1))-AVERAGE(OFFSET($H$3,0,0,'Données projet'!$E$13+1,1))</f>
        <v>297.21955661193238</v>
      </c>
      <c r="CZ53" s="59">
        <f t="shared" si="42"/>
        <v>273.69206144662144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132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4.5344039890589363</v>
      </c>
      <c r="DG53" s="21">
        <f>EXP(-LN(2)/25)*DG52+(1-EXP(-LN(2)/25))/(LN(2)/25)*Calculateur!DB53*Calculateur!DD53*VLOOKUP('Données projet'!$B$13,Paramètres!$A$1:$I$89,3,0)*0.475*44/12</f>
        <v>7.7095670882396803</v>
      </c>
      <c r="DH53" s="21">
        <f>EXP(-LN(2)/2)*DH52+(1-EXP(-LN(2)/2))/(LN(2)/2)*DB53*DE53*VLOOKUP('Données projet'!$B$13,Paramètres!$A$1:$I$89,3,0)*0.475*44/12</f>
        <v>2.0422640066633628E-2</v>
      </c>
      <c r="DI53" s="22">
        <f t="shared" si="15"/>
        <v>12.264393717365252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226.74599999999987</v>
      </c>
      <c r="DQ53" s="13">
        <f t="shared" si="43"/>
        <v>55.578508240245917</v>
      </c>
      <c r="DR53" s="20">
        <f t="shared" si="16"/>
        <v>491.71518518509475</v>
      </c>
      <c r="DS53" s="59">
        <f t="shared" si="17"/>
        <v>785.04851851842807</v>
      </c>
      <c r="DT53" s="59">
        <f ca="1">AVERAGE(OFFSET($DS$3,0,0,'Données projet'!$E$14+1,1))-AVERAGE(OFFSET($H$3,0,0,'Données projet'!$E$14+1,1))</f>
        <v>260.20517190557814</v>
      </c>
      <c r="DU53" s="59">
        <f t="shared" si="44"/>
        <v>307.22009971147133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2.1958296958687598</v>
      </c>
      <c r="EB53" s="21">
        <f>EXP(-LN(2)/25)*EB52+(1-EXP(-LN(2)/25))/(LN(2)/25)*Calculateur!DW53*Calculateur!DY53*VLOOKUP('Données projet'!$B$14,Paramètres!$A$1:$I$89,3,0)*0.475*44/12</f>
        <v>11.785416947583496</v>
      </c>
      <c r="EC53" s="21">
        <f>EXP(-LN(2)/2)*EC52+(1-EXP(-LN(2)/2))/(LN(2)/2)*DW53*DZ53*VLOOKUP('Données projet'!$B$14,Paramètres!$A$1:$I$89,3,0)*0.475*44/12</f>
        <v>2.3475619387458287E-2</v>
      </c>
      <c r="ED53" s="22">
        <f t="shared" si="18"/>
        <v>14.004722262839714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401</v>
      </c>
      <c r="EH53" s="12">
        <f>VLOOKUP(A53,'Données projet'!$A$191:$I$211,9,0)</f>
        <v>18.8</v>
      </c>
      <c r="EI53" s="12">
        <f t="array" ref="EI53">INDEX(EH:EH,MIN(IF(ISNUMBER(EH53:EH249),ROW(EH53:EH249),"")))</f>
        <v>18.8</v>
      </c>
      <c r="EJ53" s="12">
        <f>IF('Données projet'!$A$192&gt;35,EJ52+EI53-ER52,IF(A53&lt;'Données projet'!$A$192,$EG$205^A53,IF(A53='Données projet'!$A$192,'Données projet'!$B$192,EJ52+EI53-ER52)))</f>
        <v>401.00000000000017</v>
      </c>
      <c r="EK53" s="17">
        <f>EJ53*VLOOKUP('Données projet'!$B$15,Paramètres!$A$1:$I$89,3,0)*VLOOKUP('Données projet'!$B$15,Paramètres!$A$1:$I$89,5,0)</f>
        <v>239.79800000000012</v>
      </c>
      <c r="EL53" s="13">
        <f t="shared" si="45"/>
        <v>58.396067068575292</v>
      </c>
      <c r="EM53" s="20">
        <f t="shared" si="19"/>
        <v>519.35466681110222</v>
      </c>
      <c r="EN53" s="59">
        <f t="shared" si="20"/>
        <v>812.68800014443559</v>
      </c>
      <c r="EO53" s="59">
        <f ca="1">AVERAGE(OFFSET($EN$3,0,0,'Données projet'!$E$15+1,1))-AVERAGE(OFFSET($H$3,0,0,'Données projet'!$E$15+1,1))</f>
        <v>259.30247982593914</v>
      </c>
      <c r="EP53" s="59">
        <f t="shared" si="46"/>
        <v>275.24740346220779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82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10.357246202748014</v>
      </c>
      <c r="EX53" s="21">
        <f>EXP(-LN(2)/2)*EX52+(1-EXP(-LN(2)/2))/(LN(2)/2)*ER53*EU53*VLOOKUP('Données projet'!$B$15,Paramètres!$A$1:$I$89,3,0)*0.475*44/12</f>
        <v>2.8008271661977575E-2</v>
      </c>
      <c r="EY53" s="22">
        <f t="shared" si="21"/>
        <v>10.385254474409992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259</v>
      </c>
      <c r="FC53" s="12">
        <f>VLOOKUP(A53,'Données projet'!$A$217:$I$237,9,0)</f>
        <v>11.2</v>
      </c>
      <c r="FD53" s="12">
        <f t="array" ref="FD53">INDEX(FC:FC,MIN(IF(ISNUMBER(FC53:FC249),ROW(FC53:FC249),"")))</f>
        <v>11.2</v>
      </c>
      <c r="FE53" s="12">
        <f>IF('Données projet'!$A$218&gt;35,FE52+FD53-FM52,IF(A53&lt;'Données projet'!$A$218,$FB$205^A53,IF(A53='Données projet'!$A$218,'Données projet'!$B$218,FE52+FD53-FM52)))</f>
        <v>258.99999999999989</v>
      </c>
      <c r="FF53" s="17">
        <f>FE53*VLOOKUP('Données projet'!$B$16,Paramètres!$A$1:$I$89,3,0)*VLOOKUP('Données projet'!$B$16,Paramètres!$A$1:$I$89,5,0)</f>
        <v>262.62599999999992</v>
      </c>
      <c r="FG53" s="13">
        <f t="shared" si="47"/>
        <v>63.281807230823397</v>
      </c>
      <c r="FH53" s="20">
        <f t="shared" si="22"/>
        <v>567.62276426035055</v>
      </c>
      <c r="FI53" s="59">
        <f t="shared" si="23"/>
        <v>860.95609759368381</v>
      </c>
      <c r="FJ53" s="59">
        <f ca="1">AVERAGE(OFFSET($FI$3,0,0,'Données projet'!$E$16+1,1))-AVERAGE(OFFSET($H$3,0,0,'Données projet'!$E$16+1,1))</f>
        <v>372.91317851957336</v>
      </c>
      <c r="FK53" s="59">
        <f t="shared" si="48"/>
        <v>269.69187715858413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56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1.8164540140445968</v>
      </c>
      <c r="FR53" s="21">
        <f>EXP(-LN(2)/25)*FR52+(1-EXP(-LN(2)/25))/(LN(2)/25)*Calculateur!FM53*Calculateur!FO53*VLOOKUP('Données projet'!$B$16,Paramètres!$A$1:$I$89,3,0)*0.475*44/12</f>
        <v>8.7252380457021026</v>
      </c>
      <c r="FS53" s="21">
        <f>EXP(-LN(2)/2)*FS52+(1-EXP(-LN(2)/2))/(LN(2)/2)*FM53*FP53*VLOOKUP('Données projet'!$B$16,Paramètres!$A$1:$I$89,3,0)*0.475*44/12</f>
        <v>2.3792859004818687E-2</v>
      </c>
      <c r="FT53" s="22">
        <f t="shared" si="24"/>
        <v>10.565484918751519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323.2</v>
      </c>
      <c r="FX53" s="12">
        <f>VLOOKUP(A53,'Données projet'!$A$243:$I$263,9,0)</f>
        <v>11.499999999999996</v>
      </c>
      <c r="FY53" s="12">
        <f t="array" ref="FY53">INDEX(FX:FX,MIN(IF(ISNUMBER(FX53:FX249),ROW(FX53:FX249),"")))</f>
        <v>11.499999999999996</v>
      </c>
      <c r="FZ53" s="12">
        <f>IF('Données projet'!$A$244&gt;35,FZ52+FY53-GH52,IF(A53&lt;'Données projet'!$A$244,$FW$205^A53,IF(A53='Données projet'!$A$244,'Données projet'!$B$244,FZ52+FY53-GH52)))</f>
        <v>323.19999999999987</v>
      </c>
      <c r="GA53" s="17">
        <f>FZ53*VLOOKUP('Données projet'!$B$17,Paramètres!$A$1:$I$89,3,0)*VLOOKUP('Données projet'!$B$17,Paramètres!$A$1:$I$89,5,0)</f>
        <v>151.25759999999994</v>
      </c>
      <c r="GB53" s="13">
        <f t="shared" si="49"/>
        <v>38.864240713854024</v>
      </c>
      <c r="GC53" s="20">
        <f t="shared" si="25"/>
        <v>331.12887257662896</v>
      </c>
      <c r="GD53" s="59">
        <f t="shared" si="26"/>
        <v>624.46220590996222</v>
      </c>
      <c r="GE53" s="59">
        <f ca="1">AVERAGE(OFFSET($GD$3,0,0,'Données projet'!$E$17+1,1))-AVERAGE(OFFSET($H$3,0,0,'Données projet'!$E$17+1,1))</f>
        <v>215.23235148064941</v>
      </c>
      <c r="GF53" s="59">
        <f t="shared" si="50"/>
        <v>184.07239726900434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83.4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2.1094169908561335</v>
      </c>
      <c r="GM53" s="21">
        <f>EXP(-LN(2)/25)*GM52+(1-EXP(-LN(2)/25))/(LN(2)/25)*Calculateur!GH53*Calculateur!GJ53*VLOOKUP('Données projet'!$B$17,Paramètres!$A$1:$I$89,3,0)*0.475*44/12</f>
        <v>4.5117794905849333</v>
      </c>
      <c r="GN53" s="21">
        <f>EXP(-LN(2)/2)*GN52+(1-EXP(-LN(2)/2))/(LN(2)/2)*GH53*GK53*VLOOKUP('Données projet'!$B$17,Paramètres!$A$1:$I$89,3,0)*0.475*44/12</f>
        <v>9.6017348440390546E-3</v>
      </c>
      <c r="GO53" s="21">
        <f t="shared" si="27"/>
        <v>6.6307982162851058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7.25</v>
      </c>
      <c r="GU53" s="12">
        <f>IF('Données projet'!$A$270&gt;35,GU52+GT53-HC52,IF(A53&lt;'Données projet'!$A$270,$GR$205^A53,IF(A53='Données projet'!$A$270,'Données projet'!$B$270,GU52+GT53-HC52)))</f>
        <v>372.99999999999989</v>
      </c>
      <c r="GV53" s="17">
        <f>GU53*VLOOKUP('Données projet'!$B$18,Paramètres!$A$1:$I$89,3,0)*VLOOKUP('Données projet'!$B$18,Paramètres!$A$1:$I$89,5,0)</f>
        <v>223.05399999999995</v>
      </c>
      <c r="GW53" s="13">
        <f t="shared" si="51"/>
        <v>54.778124005813339</v>
      </c>
      <c r="GX53" s="20">
        <f t="shared" si="28"/>
        <v>483.89094931012482</v>
      </c>
      <c r="GY53" s="59">
        <f t="shared" si="29"/>
        <v>777.22428264345808</v>
      </c>
      <c r="GZ53" s="59">
        <f ca="1">AVERAGE(OFFSET($GY$3,0,0,'Données projet'!$E$18+1,1))-AVERAGE(OFFSET($H$3,0,0,'Données projet'!$E$18+1,1))</f>
        <v>227.89848316900191</v>
      </c>
      <c r="HA53" s="59">
        <f t="shared" si="52"/>
        <v>239.85955661394541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5.3445989086195631</v>
      </c>
      <c r="HH53" s="21">
        <f>EXP(-LN(2)/25)*HH52+(1-EXP(-LN(2)/25))/(LN(2)/25)*Calculateur!HC53*Calculateur!HE53*VLOOKUP('Données projet'!$B$18,Paramètres!$A$1:$I$89,3,0)*0.475*44/12</f>
        <v>9.8463996965893017</v>
      </c>
      <c r="HI53" s="21">
        <f>EXP(-LN(2)/2)*HI52+(1-EXP(-LN(2)/2))/(LN(2)/2)*HC53*HF53*VLOOKUP('Données projet'!$B$18,Paramètres!$A$1:$I$89,3,0)*0.475*44/12</f>
        <v>6.5464556763600449E-3</v>
      </c>
      <c r="HJ53" s="22">
        <f t="shared" si="30"/>
        <v>15.197545060885226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460</v>
      </c>
      <c r="O54" s="13">
        <f>N54*VLOOKUP('Données projet'!$B$9,Paramètres!$A$1:$I$89,3,0)*VLOOKUP('Données projet'!$B$9,Paramètres!$A$1:$I$89,5,0)</f>
        <v>257.14</v>
      </c>
      <c r="P54" s="13">
        <f t="shared" si="33"/>
        <v>62.112349635142181</v>
      </c>
      <c r="Q54" s="20">
        <f t="shared" si="53"/>
        <v>556.03117561453928</v>
      </c>
      <c r="R54" s="59">
        <f t="shared" si="0"/>
        <v>849.36450894787254</v>
      </c>
      <c r="S54" s="59">
        <f ca="1">AVERAGE(OFFSET($R$3,0,0,'Données projet'!$E$9+1,1))-AVERAGE(OFFSET($H$3,0,0,'Données projet'!$E$9+1,1))</f>
        <v>370.69652285220093</v>
      </c>
      <c r="T54" s="59">
        <f t="shared" si="34"/>
        <v>376.53494965377718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6.7808696698814028</v>
      </c>
      <c r="AA54" s="21">
        <f>EXP(-LN(2)/25)*AA53+(1-EXP(-LN(2)/25))/(LN(2)/25)*Calculateur!V54*Calculateur!X54*VLOOKUP('Données projet'!$B$9,Paramètres!$A$1:$I$89,3,0)*0.475*44/12</f>
        <v>18.661856368286237</v>
      </c>
      <c r="AB54" s="21">
        <f>EXP(-LN(2)/2)*AB53+(1-EXP(-LN(2)/2))/(LN(2)/2)*V54*Y54*VLOOKUP('Données projet'!$B$9,Paramètres!$A$1:$I$89,3,0)*0.475*44/12</f>
        <v>2.2601014115088868E-2</v>
      </c>
      <c r="AC54" s="22">
        <f t="shared" si="3"/>
        <v>25.465327052282731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192.54143999999991</v>
      </c>
      <c r="AK54" s="13">
        <f t="shared" si="35"/>
        <v>48.101393902059698</v>
      </c>
      <c r="AL54" s="20">
        <f t="shared" si="4"/>
        <v>419.11960237942048</v>
      </c>
      <c r="AM54" s="59">
        <f t="shared" si="5"/>
        <v>712.45293571275374</v>
      </c>
      <c r="AN54" s="59">
        <f ca="1">AVERAGE(OFFSET($AM$3,0,0,'Données projet'!$E$10+1,1))-AVERAGE(OFFSET($H$3,0,0,'Données projet'!$E$10+1,1))</f>
        <v>321.03881567735544</v>
      </c>
      <c r="AO54" s="59">
        <f t="shared" si="36"/>
        <v>234.87694492493506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1.5890522862752376</v>
      </c>
      <c r="AV54" s="21">
        <f>EXP(-LN(2)/25)*AV53+(1-EXP(-LN(2)/25))/(LN(2)/25)*Calculateur!AQ54*Calculateur!AS54*VLOOKUP('Données projet'!$B$10,Paramètres!$A$1:$I$89,3,0)*0.475*44/12</f>
        <v>7.5726994653095208</v>
      </c>
      <c r="AW54" s="21">
        <f>EXP(-LN(2)/2)*AW53+(1-EXP(-LN(2)/2))/(LN(2)/2)*AQ54*AT54*VLOOKUP('Données projet'!$B$10,Paramètres!$A$1:$I$89,3,0)*0.475*44/12</f>
        <v>1.5012266659617191E-2</v>
      </c>
      <c r="AX54" s="21">
        <f t="shared" si="6"/>
        <v>9.1767640182443753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11.3</v>
      </c>
      <c r="BD54" s="12">
        <f>IF('Données projet'!$A$88&gt;35,BD53+BC54-BL53,IF(A54&lt;'Données projet'!$A$88,$BA$205^A54,IF(A54='Données projet'!$A$88,'Données projet'!$B$88,BD53+BC54-BL53)))</f>
        <v>331.30000000000013</v>
      </c>
      <c r="BE54" s="13">
        <f>BD54*VLOOKUP('Données projet'!$B$11,Paramètres!$A$1:$I$89,3,0)*VLOOKUP('Données projet'!$B$11,Paramètres!$A$1:$I$89,5,0)</f>
        <v>180.88980000000006</v>
      </c>
      <c r="BF54" s="13">
        <f t="shared" si="37"/>
        <v>45.520093422801835</v>
      </c>
      <c r="BG54" s="20">
        <f t="shared" si="7"/>
        <v>394.33056437804663</v>
      </c>
      <c r="BH54" s="59">
        <f t="shared" si="8"/>
        <v>687.66389771137995</v>
      </c>
      <c r="BI54" s="59">
        <f ca="1">AVERAGE(OFFSET($BH$3,0,0,'Données projet'!$E$11+1,1))-AVERAGE(OFFSET($H$3,0,0,'Données projet'!$E$11+1,1))</f>
        <v>248.1486444660062</v>
      </c>
      <c r="BJ54" s="59">
        <f t="shared" si="38"/>
        <v>293.34458072322127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5.6196636587600617</v>
      </c>
      <c r="BQ54" s="21">
        <f>EXP(-LN(2)/25)*BQ53+(1-EXP(-LN(2)/25))/(LN(2)/25)*Calculateur!BL54*Calculateur!BN54*VLOOKUP('Données projet'!$B$11,Paramètres!$A$1:$I$89,3,0)*0.475*44/12</f>
        <v>19.014964405599521</v>
      </c>
      <c r="BR54" s="21">
        <f>EXP(-LN(2)/2)*BR53+(1-EXP(-LN(2)/2))/(LN(2)/2)*BL54*BO54*VLOOKUP('Données projet'!$B$11,Paramètres!$A$1:$I$89,3,0)*0.475*44/12</f>
        <v>1.7389320578663214E-2</v>
      </c>
      <c r="BS54" s="22">
        <f t="shared" si="9"/>
        <v>24.652017384938244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7.2</v>
      </c>
      <c r="BY54" s="12">
        <f>IF('Données projet'!$A$114&gt;35,BY53+BX54-CG53,IF(A54&lt;'Données projet'!$A$114,$BV$205^A54,IF(A54='Données projet'!$A$114,'Données projet'!$B$114,BY53+BX54-CG53)))</f>
        <v>206.20000000000005</v>
      </c>
      <c r="BZ54" s="13">
        <f>BY54*VLOOKUP('Données projet'!$B$12,Paramètres!$A$1:$I$89,3,0)*VLOOKUP('Données projet'!$B$12,Paramètres!$A$1:$I$89,5,0)</f>
        <v>180.13632000000007</v>
      </c>
      <c r="CA54" s="13">
        <f t="shared" si="39"/>
        <v>45.352513518602144</v>
      </c>
      <c r="CB54" s="20">
        <f t="shared" si="10"/>
        <v>392.72638504489879</v>
      </c>
      <c r="CC54" s="59">
        <f t="shared" si="11"/>
        <v>686.05971837823211</v>
      </c>
      <c r="CD54" s="59">
        <f ca="1">AVERAGE(OFFSET($CC$3,0,0,'Données projet'!$E$12+1,1))-AVERAGE(OFFSET($H$3,0,0,'Données projet'!$E$12+1,1))</f>
        <v>243.38048563215585</v>
      </c>
      <c r="CE54" s="59">
        <f t="shared" si="40"/>
        <v>372.1604147006675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4.8219517652489978</v>
      </c>
      <c r="CL54" s="21">
        <f>EXP(-LN(2)/25)*CL53+(1-EXP(-LN(2)/25))/(LN(2)/25)*Calculateur!CG54*Calculateur!CI54*VLOOKUP('Données projet'!$B$12,Paramètres!$A$1:$I$89,3,0)*0.475*44/12</f>
        <v>10.81669618166168</v>
      </c>
      <c r="CM54" s="21">
        <f>EXP(-LN(2)/2)*CM53+(1-EXP(-LN(2)/2))/(LN(2)/2)*CG54*CJ54*VLOOKUP('Données projet'!$B$12,Paramètres!$A$1:$I$89,3,0)*0.475*44/12</f>
        <v>2.0242961237986717E-2</v>
      </c>
      <c r="CN54" s="22">
        <f t="shared" si="12"/>
        <v>15.658890908148663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19.2</v>
      </c>
      <c r="CT54" s="12">
        <f>IF('Données projet'!$A$140&gt;35,CT53+CS54-DB53,IF(A54&lt;'Données projet'!$A$140,$CQ$205^A54,IF(A54='Données projet'!$A$140,'Données projet'!$B$140,CT53+CS54-DB53)))</f>
        <v>457.20000000000005</v>
      </c>
      <c r="CU54" s="17">
        <f>CT54*VLOOKUP('Données projet'!$B$13,Paramètres!$A$1:$I$89,3,0)*VLOOKUP('Données projet'!$B$13,Paramètres!$A$1:$I$89,5,0)</f>
        <v>219.91320000000002</v>
      </c>
      <c r="CV54" s="13">
        <f t="shared" si="41"/>
        <v>54.096019736193234</v>
      </c>
      <c r="CW54" s="20">
        <f t="shared" si="13"/>
        <v>477.23272437386987</v>
      </c>
      <c r="CX54" s="59">
        <f t="shared" si="14"/>
        <v>770.56605770720319</v>
      </c>
      <c r="CY54" s="59">
        <f ca="1">AVERAGE(OFFSET($CX$3,0,0,'Données projet'!$E$13+1,1))-AVERAGE(OFFSET($H$3,0,0,'Données projet'!$E$13+1,1))</f>
        <v>297.21955661193238</v>
      </c>
      <c r="CZ54" s="59">
        <f t="shared" si="42"/>
        <v>273.69206144662144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4.4454870925468324</v>
      </c>
      <c r="DG54" s="21">
        <f>EXP(-LN(2)/25)*DG53+(1-EXP(-LN(2)/25))/(LN(2)/25)*Calculateur!DB54*Calculateur!DD54*VLOOKUP('Données projet'!$B$13,Paramètres!$A$1:$I$89,3,0)*0.475*44/12</f>
        <v>7.4987485707832535</v>
      </c>
      <c r="DH54" s="21">
        <f>EXP(-LN(2)/2)*DH53+(1-EXP(-LN(2)/2))/(LN(2)/2)*DB54*DE54*VLOOKUP('Données projet'!$B$13,Paramètres!$A$1:$I$89,3,0)*0.475*44/12</f>
        <v>1.4440987280848723E-2</v>
      </c>
      <c r="DI54" s="22">
        <f t="shared" si="15"/>
        <v>11.958676650610936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197.94527999999988</v>
      </c>
      <c r="DQ54" s="13">
        <f t="shared" si="43"/>
        <v>49.29233142017484</v>
      </c>
      <c r="DR54" s="20">
        <f t="shared" si="16"/>
        <v>430.6055065568043</v>
      </c>
      <c r="DS54" s="59">
        <f t="shared" si="17"/>
        <v>723.93883989013761</v>
      </c>
      <c r="DT54" s="59">
        <f ca="1">AVERAGE(OFFSET($DS$3,0,0,'Données projet'!$E$14+1,1))-AVERAGE(OFFSET($H$3,0,0,'Données projet'!$E$14+1,1))</f>
        <v>260.20517190557814</v>
      </c>
      <c r="DU54" s="59">
        <f t="shared" si="44"/>
        <v>307.22009971147133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2.1527708148566407</v>
      </c>
      <c r="EB54" s="21">
        <f>EXP(-LN(2)/25)*EB53+(1-EXP(-LN(2)/25))/(LN(2)/25)*Calculateur!DW54*Calculateur!DY54*VLOOKUP('Données projet'!$B$14,Paramètres!$A$1:$I$89,3,0)*0.475*44/12</f>
        <v>11.463144101383683</v>
      </c>
      <c r="EC54" s="21">
        <f>EXP(-LN(2)/2)*EC53+(1-EXP(-LN(2)/2))/(LN(2)/2)*DW54*DZ54*VLOOKUP('Données projet'!$B$14,Paramètres!$A$1:$I$89,3,0)*0.475*44/12</f>
        <v>1.659976966142614E-2</v>
      </c>
      <c r="ED54" s="22">
        <f t="shared" si="18"/>
        <v>13.63251468590175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12.8</v>
      </c>
      <c r="EJ54" s="12">
        <f>IF('Données projet'!$A$192&gt;35,EJ53+EI54-ER53,IF(A54&lt;'Données projet'!$A$192,$EG$205^A54,IF(A54='Données projet'!$A$192,'Données projet'!$B$192,EJ53+EI54-ER53)))</f>
        <v>331.80000000000018</v>
      </c>
      <c r="EK54" s="17">
        <f>EJ54*VLOOKUP('Données projet'!$B$15,Paramètres!$A$1:$I$89,3,0)*VLOOKUP('Données projet'!$B$15,Paramètres!$A$1:$I$89,5,0)</f>
        <v>198.41640000000012</v>
      </c>
      <c r="EL54" s="13">
        <f t="shared" si="45"/>
        <v>49.395979521019925</v>
      </c>
      <c r="EM54" s="20">
        <f t="shared" si="19"/>
        <v>431.60656099910989</v>
      </c>
      <c r="EN54" s="59">
        <f t="shared" si="20"/>
        <v>724.93989433244315</v>
      </c>
      <c r="EO54" s="59">
        <f ca="1">AVERAGE(OFFSET($EN$3,0,0,'Données projet'!$E$15+1,1))-AVERAGE(OFFSET($H$3,0,0,'Données projet'!$E$15+1,1))</f>
        <v>259.30247982593914</v>
      </c>
      <c r="EP54" s="59">
        <f t="shared" si="46"/>
        <v>275.24740346220779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10.074026760669964</v>
      </c>
      <c r="EX54" s="21">
        <f>EXP(-LN(2)/2)*EX53+(1-EXP(-LN(2)/2))/(LN(2)/2)*ER54*EU54*VLOOKUP('Données projet'!$B$15,Paramètres!$A$1:$I$89,3,0)*0.475*44/12</f>
        <v>1.9804838821499356E-2</v>
      </c>
      <c r="EY54" s="22">
        <f t="shared" si="21"/>
        <v>10.093831599491464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9.8000000000000007</v>
      </c>
      <c r="FE54" s="12">
        <f>IF('Données projet'!$A$218&gt;35,FE53+FD54-FM53,IF(A54&lt;'Données projet'!$A$218,$FB$205^A54,IF(A54='Données projet'!$A$218,'Données projet'!$B$218,FE53+FD54-FM53)))</f>
        <v>212.7999999999999</v>
      </c>
      <c r="FF54" s="17">
        <f>FE54*VLOOKUP('Données projet'!$B$16,Paramètres!$A$1:$I$89,3,0)*VLOOKUP('Données projet'!$B$16,Paramètres!$A$1:$I$89,5,0)</f>
        <v>215.77919999999992</v>
      </c>
      <c r="FG54" s="13">
        <f t="shared" si="47"/>
        <v>53.196483976998607</v>
      </c>
      <c r="FH54" s="20">
        <f t="shared" si="22"/>
        <v>468.4659829266057</v>
      </c>
      <c r="FI54" s="59">
        <f t="shared" si="23"/>
        <v>761.79931625993902</v>
      </c>
      <c r="FJ54" s="59">
        <f ca="1">AVERAGE(OFFSET($FI$3,0,0,'Données projet'!$E$16+1,1))-AVERAGE(OFFSET($H$3,0,0,'Données projet'!$E$16+1,1))</f>
        <v>372.91317851957336</v>
      </c>
      <c r="FK54" s="59">
        <f t="shared" si="48"/>
        <v>269.69187715858413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1.7808344587567322</v>
      </c>
      <c r="FR54" s="21">
        <f>EXP(-LN(2)/25)*FR53+(1-EXP(-LN(2)/25))/(LN(2)/25)*Calculateur!FM54*Calculateur!FO54*VLOOKUP('Données projet'!$B$16,Paramètres!$A$1:$I$89,3,0)*0.475*44/12</f>
        <v>8.4866459525020517</v>
      </c>
      <c r="FS54" s="21">
        <f>EXP(-LN(2)/2)*FS53+(1-EXP(-LN(2)/2))/(LN(2)/2)*FM54*FP54*VLOOKUP('Données projet'!$B$16,Paramètres!$A$1:$I$89,3,0)*0.475*44/12</f>
        <v>1.6824091946122704E-2</v>
      </c>
      <c r="FT54" s="22">
        <f t="shared" si="24"/>
        <v>10.284304503204908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13.499999999999996</v>
      </c>
      <c r="FZ54" s="12">
        <f>IF('Données projet'!$A$244&gt;35,FZ53+FY54-GH53,IF(A54&lt;'Données projet'!$A$244,$FW$205^A54,IF(A54='Données projet'!$A$244,'Données projet'!$B$244,FZ53+FY54-GH53)))</f>
        <v>253.29999999999987</v>
      </c>
      <c r="GA54" s="17">
        <f>FZ54*VLOOKUP('Données projet'!$B$17,Paramètres!$A$1:$I$89,3,0)*VLOOKUP('Données projet'!$B$17,Paramètres!$A$1:$I$89,5,0)</f>
        <v>118.54439999999994</v>
      </c>
      <c r="GB54" s="13">
        <f t="shared" si="49"/>
        <v>31.3352637371359</v>
      </c>
      <c r="GC54" s="20">
        <f t="shared" si="25"/>
        <v>261.04041434217822</v>
      </c>
      <c r="GD54" s="59">
        <f t="shared" si="26"/>
        <v>554.37374767551159</v>
      </c>
      <c r="GE54" s="59">
        <f ca="1">AVERAGE(OFFSET($GD$3,0,0,'Données projet'!$E$17+1,1))-AVERAGE(OFFSET($H$3,0,0,'Données projet'!$E$17+1,1))</f>
        <v>215.23235148064941</v>
      </c>
      <c r="GF54" s="59">
        <f t="shared" si="50"/>
        <v>184.07239726900434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2.0680526102827663</v>
      </c>
      <c r="GM54" s="21">
        <f>EXP(-LN(2)/25)*GM53+(1-EXP(-LN(2)/25))/(LN(2)/25)*Calculateur!GH54*Calculateur!GJ54*VLOOKUP('Données projet'!$B$17,Paramètres!$A$1:$I$89,3,0)*0.475*44/12</f>
        <v>4.3884046431507171</v>
      </c>
      <c r="GN54" s="21">
        <f>EXP(-LN(2)/2)*GN53+(1-EXP(-LN(2)/2))/(LN(2)/2)*GH54*GK54*VLOOKUP('Données projet'!$B$17,Paramètres!$A$1:$I$89,3,0)*0.475*44/12</f>
        <v>6.7894518193751729E-3</v>
      </c>
      <c r="GO54" s="21">
        <f t="shared" si="27"/>
        <v>6.4632467052528586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7.25</v>
      </c>
      <c r="GU54" s="12">
        <f>IF('Données projet'!$A$270&gt;35,GU53+GT54-HC53,IF(A54&lt;'Données projet'!$A$270,$GR$205^A54,IF(A54='Données projet'!$A$270,'Données projet'!$B$270,GU53+GT54-HC53)))</f>
        <v>380.24999999999989</v>
      </c>
      <c r="GV54" s="17">
        <f>GU54*VLOOKUP('Données projet'!$B$18,Paramètres!$A$1:$I$89,3,0)*VLOOKUP('Données projet'!$B$18,Paramètres!$A$1:$I$89,5,0)</f>
        <v>227.38949999999997</v>
      </c>
      <c r="GW54" s="13">
        <f t="shared" si="51"/>
        <v>55.717855953778901</v>
      </c>
      <c r="GX54" s="20">
        <f t="shared" si="28"/>
        <v>493.07864495283161</v>
      </c>
      <c r="GY54" s="59">
        <f t="shared" si="29"/>
        <v>786.41197828616487</v>
      </c>
      <c r="GZ54" s="59">
        <f ca="1">AVERAGE(OFFSET($GY$3,0,0,'Données projet'!$E$18+1,1))-AVERAGE(OFFSET($H$3,0,0,'Données projet'!$E$18+1,1))</f>
        <v>227.89848316900191</v>
      </c>
      <c r="HA54" s="59">
        <f t="shared" si="52"/>
        <v>239.85955661394541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5.2397945839049811</v>
      </c>
      <c r="HH54" s="21">
        <f>EXP(-LN(2)/25)*HH53+(1-EXP(-LN(2)/25))/(LN(2)/25)*Calculateur!HC54*Calculateur!HE54*VLOOKUP('Données projet'!$B$18,Paramètres!$A$1:$I$89,3,0)*0.475*44/12</f>
        <v>9.5771493790864106</v>
      </c>
      <c r="HI54" s="21">
        <f>EXP(-LN(2)/2)*HI53+(1-EXP(-LN(2)/2))/(LN(2)/2)*HC54*HF54*VLOOKUP('Données projet'!$B$18,Paramètres!$A$1:$I$89,3,0)*0.475*44/12</f>
        <v>4.6290432014913542E-3</v>
      </c>
      <c r="HJ54" s="22">
        <f t="shared" si="30"/>
        <v>14.821573006192883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478</v>
      </c>
      <c r="O55" s="13">
        <f>N55*VLOOKUP('Données projet'!$B$9,Paramètres!$A$1:$I$89,3,0)*VLOOKUP('Données projet'!$B$9,Paramètres!$A$1:$I$89,5,0)</f>
        <v>267.202</v>
      </c>
      <c r="P55" s="13">
        <f t="shared" si="33"/>
        <v>64.255103543261868</v>
      </c>
      <c r="Q55" s="20">
        <f t="shared" si="53"/>
        <v>577.28778867118103</v>
      </c>
      <c r="R55" s="59">
        <f t="shared" si="0"/>
        <v>870.62112200451429</v>
      </c>
      <c r="S55" s="59">
        <f ca="1">AVERAGE(OFFSET($R$3,0,0,'Données projet'!$E$9+1,1))-AVERAGE(OFFSET($H$3,0,0,'Données projet'!$E$9+1,1))</f>
        <v>370.69652285220093</v>
      </c>
      <c r="T55" s="59">
        <f t="shared" si="34"/>
        <v>376.53494965377718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6.6479009515771388</v>
      </c>
      <c r="AA55" s="21">
        <f>EXP(-LN(2)/25)*AA54+(1-EXP(-LN(2)/25))/(LN(2)/25)*Calculateur!V55*Calculateur!X55*VLOOKUP('Données projet'!$B$9,Paramètres!$A$1:$I$89,3,0)*0.475*44/12</f>
        <v>18.151546924511077</v>
      </c>
      <c r="AB55" s="21">
        <f>EXP(-LN(2)/2)*AB54+(1-EXP(-LN(2)/2))/(LN(2)/2)*V55*Y55*VLOOKUP('Données projet'!$B$9,Paramètres!$A$1:$I$89,3,0)*0.475*44/12</f>
        <v>1.5981330342472216E-2</v>
      </c>
      <c r="AC55" s="22">
        <f t="shared" si="3"/>
        <v>24.815429206430689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201.40847999999991</v>
      </c>
      <c r="AK55" s="13">
        <f t="shared" si="35"/>
        <v>50.053582459229212</v>
      </c>
      <c r="AL55" s="20">
        <f t="shared" si="4"/>
        <v>437.96309211649071</v>
      </c>
      <c r="AM55" s="59">
        <f t="shared" si="5"/>
        <v>731.29642544982403</v>
      </c>
      <c r="AN55" s="59">
        <f ca="1">AVERAGE(OFFSET($AM$3,0,0,'Données projet'!$E$10+1,1))-AVERAGE(OFFSET($H$3,0,0,'Données projet'!$E$10+1,1))</f>
        <v>321.03881567735544</v>
      </c>
      <c r="AO55" s="59">
        <f t="shared" si="36"/>
        <v>234.87694492493506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1.5578919401675717</v>
      </c>
      <c r="AV55" s="21">
        <f>EXP(-LN(2)/25)*AV54+(1-EXP(-LN(2)/25))/(LN(2)/25)*Calculateur!AQ55*Calculateur!AS55*VLOOKUP('Données projet'!$B$10,Paramètres!$A$1:$I$89,3,0)*0.475*44/12</f>
        <v>7.3656236001996751</v>
      </c>
      <c r="AW55" s="21">
        <f>EXP(-LN(2)/2)*AW54+(1-EXP(-LN(2)/2))/(LN(2)/2)*AQ55*AT55*VLOOKUP('Données projet'!$B$10,Paramètres!$A$1:$I$89,3,0)*0.475*44/12</f>
        <v>1.0615275555996036E-2</v>
      </c>
      <c r="AX55" s="21">
        <f t="shared" si="6"/>
        <v>8.9341308159232415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11.3</v>
      </c>
      <c r="BD55" s="12">
        <f>IF('Données projet'!$A$88&gt;35,BD54+BC55-BL54,IF(A55&lt;'Données projet'!$A$88,$BA$205^A55,IF(A55='Données projet'!$A$88,'Données projet'!$B$88,BD54+BC55-BL54)))</f>
        <v>342.60000000000014</v>
      </c>
      <c r="BE55" s="13">
        <f>BD55*VLOOKUP('Données projet'!$B$11,Paramètres!$A$1:$I$89,3,0)*VLOOKUP('Données projet'!$B$11,Paramètres!$A$1:$I$89,5,0)</f>
        <v>187.05960000000007</v>
      </c>
      <c r="BF55" s="13">
        <f t="shared" si="37"/>
        <v>46.889283237928652</v>
      </c>
      <c r="BG55" s="20">
        <f t="shared" si="7"/>
        <v>407.46097163939248</v>
      </c>
      <c r="BH55" s="59">
        <f t="shared" si="8"/>
        <v>700.79430497272574</v>
      </c>
      <c r="BI55" s="59">
        <f ca="1">AVERAGE(OFFSET($BH$3,0,0,'Données projet'!$E$11+1,1))-AVERAGE(OFFSET($H$3,0,0,'Données projet'!$E$11+1,1))</f>
        <v>248.1486444660062</v>
      </c>
      <c r="BJ55" s="59">
        <f t="shared" si="38"/>
        <v>293.34458072322127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5.5094654820681557</v>
      </c>
      <c r="BQ55" s="21">
        <f>EXP(-LN(2)/25)*BQ54+(1-EXP(-LN(2)/25))/(LN(2)/25)*Calculateur!BL55*Calculateur!BN55*VLOOKUP('Données projet'!$B$11,Paramètres!$A$1:$I$89,3,0)*0.475*44/12</f>
        <v>18.494999203974885</v>
      </c>
      <c r="BR55" s="21">
        <f>EXP(-LN(2)/2)*BR54+(1-EXP(-LN(2)/2))/(LN(2)/2)*BL55*BO55*VLOOKUP('Données projet'!$B$11,Paramètres!$A$1:$I$89,3,0)*0.475*44/12</f>
        <v>1.2296106501399538E-2</v>
      </c>
      <c r="BS55" s="22">
        <f t="shared" si="9"/>
        <v>24.016760792544439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7.2</v>
      </c>
      <c r="BY55" s="12">
        <f>IF('Données projet'!$A$114&gt;35,BY54+BX55-CG54,IF(A55&lt;'Données projet'!$A$114,$BV$205^A55,IF(A55='Données projet'!$A$114,'Données projet'!$B$114,BY54+BX55-CG54)))</f>
        <v>213.40000000000003</v>
      </c>
      <c r="BZ55" s="13">
        <f>BY55*VLOOKUP('Données projet'!$B$12,Paramètres!$A$1:$I$89,3,0)*VLOOKUP('Données projet'!$B$12,Paramètres!$A$1:$I$89,5,0)</f>
        <v>186.42624000000006</v>
      </c>
      <c r="CA55" s="13">
        <f t="shared" si="39"/>
        <v>46.748974211060826</v>
      </c>
      <c r="CB55" s="20">
        <f t="shared" si="10"/>
        <v>406.11349808426439</v>
      </c>
      <c r="CC55" s="59">
        <f t="shared" si="11"/>
        <v>699.44683141759765</v>
      </c>
      <c r="CD55" s="59">
        <f ca="1">AVERAGE(OFFSET($CC$3,0,0,'Données projet'!$E$12+1,1))-AVERAGE(OFFSET($H$3,0,0,'Données projet'!$E$12+1,1))</f>
        <v>243.38048563215585</v>
      </c>
      <c r="CE55" s="59">
        <f t="shared" si="40"/>
        <v>372.1604147006675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4.7273962322326319</v>
      </c>
      <c r="CL55" s="21">
        <f>EXP(-LN(2)/25)*CL54+(1-EXP(-LN(2)/25))/(LN(2)/25)*Calculateur!CG55*Calculateur!CI55*VLOOKUP('Données projet'!$B$12,Paramètres!$A$1:$I$89,3,0)*0.475*44/12</f>
        <v>10.52091305574881</v>
      </c>
      <c r="CM55" s="21">
        <f>EXP(-LN(2)/2)*CM54+(1-EXP(-LN(2)/2))/(LN(2)/2)*CG55*CJ55*VLOOKUP('Données projet'!$B$12,Paramètres!$A$1:$I$89,3,0)*0.475*44/12</f>
        <v>1.4313935162676837E-2</v>
      </c>
      <c r="CN55" s="22">
        <f t="shared" si="12"/>
        <v>15.26262322314412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19.2</v>
      </c>
      <c r="CT55" s="12">
        <f>IF('Données projet'!$A$140&gt;35,CT54+CS55-DB54,IF(A55&lt;'Données projet'!$A$140,$CQ$205^A55,IF(A55='Données projet'!$A$140,'Données projet'!$B$140,CT54+CS55-DB54)))</f>
        <v>476.40000000000003</v>
      </c>
      <c r="CU55" s="17">
        <f>CT55*VLOOKUP('Données projet'!$B$13,Paramètres!$A$1:$I$89,3,0)*VLOOKUP('Données projet'!$B$13,Paramètres!$A$1:$I$89,5,0)</f>
        <v>229.14840000000001</v>
      </c>
      <c r="CV55" s="13">
        <f t="shared" si="41"/>
        <v>56.098505966182572</v>
      </c>
      <c r="CW55" s="20">
        <f t="shared" si="13"/>
        <v>496.80502789110125</v>
      </c>
      <c r="CX55" s="59">
        <f t="shared" si="14"/>
        <v>790.13836122443456</v>
      </c>
      <c r="CY55" s="59">
        <f ca="1">AVERAGE(OFFSET($CX$3,0,0,'Données projet'!$E$13+1,1))-AVERAGE(OFFSET($H$3,0,0,'Données projet'!$E$13+1,1))</f>
        <v>297.21955661193238</v>
      </c>
      <c r="CZ55" s="59">
        <f t="shared" si="42"/>
        <v>273.69206144662144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4.358313802141379</v>
      </c>
      <c r="DG55" s="21">
        <f>EXP(-LN(2)/25)*DG54+(1-EXP(-LN(2)/25))/(LN(2)/25)*Calculateur!DB55*Calculateur!DD55*VLOOKUP('Données projet'!$B$13,Paramètres!$A$1:$I$89,3,0)*0.475*44/12</f>
        <v>7.293694896773137</v>
      </c>
      <c r="DH55" s="21">
        <f>EXP(-LN(2)/2)*DH54+(1-EXP(-LN(2)/2))/(LN(2)/2)*DB55*DE55*VLOOKUP('Données projet'!$B$13,Paramètres!$A$1:$I$89,3,0)*0.475*44/12</f>
        <v>1.0211320033316814E-2</v>
      </c>
      <c r="DI55" s="22">
        <f t="shared" si="15"/>
        <v>11.662220018947833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203.35535999999991</v>
      </c>
      <c r="DQ55" s="13">
        <f t="shared" si="43"/>
        <v>50.480858741452501</v>
      </c>
      <c r="DR55" s="20">
        <f t="shared" si="16"/>
        <v>442.09808097469619</v>
      </c>
      <c r="DS55" s="59">
        <f t="shared" si="17"/>
        <v>735.4314143080295</v>
      </c>
      <c r="DT55" s="59">
        <f ca="1">AVERAGE(OFFSET($DS$3,0,0,'Données projet'!$E$14+1,1))-AVERAGE(OFFSET($H$3,0,0,'Données projet'!$E$14+1,1))</f>
        <v>260.20517190557814</v>
      </c>
      <c r="DU55" s="59">
        <f t="shared" si="44"/>
        <v>307.22009971147133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2.1105562922378449</v>
      </c>
      <c r="EB55" s="21">
        <f>EXP(-LN(2)/25)*EB54+(1-EXP(-LN(2)/25))/(LN(2)/25)*Calculateur!DW55*Calculateur!DY55*VLOOKUP('Données projet'!$B$14,Paramètres!$A$1:$I$89,3,0)*0.475*44/12</f>
        <v>11.149683823110797</v>
      </c>
      <c r="EC55" s="21">
        <f>EXP(-LN(2)/2)*EC54+(1-EXP(-LN(2)/2))/(LN(2)/2)*DW55*DZ55*VLOOKUP('Données projet'!$B$14,Paramètres!$A$1:$I$89,3,0)*0.475*44/12</f>
        <v>1.1737809693729144E-2</v>
      </c>
      <c r="ED55" s="22">
        <f t="shared" si="18"/>
        <v>13.271977925042371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12.8</v>
      </c>
      <c r="EJ55" s="12">
        <f>IF('Données projet'!$A$192&gt;35,EJ54+EI55-ER54,IF(A55&lt;'Données projet'!$A$192,$EG$205^A55,IF(A55='Données projet'!$A$192,'Données projet'!$B$192,EJ54+EI55-ER54)))</f>
        <v>344.60000000000019</v>
      </c>
      <c r="EK55" s="17">
        <f>EJ55*VLOOKUP('Données projet'!$B$15,Paramètres!$A$1:$I$89,3,0)*VLOOKUP('Données projet'!$B$15,Paramètres!$A$1:$I$89,5,0)</f>
        <v>206.07080000000013</v>
      </c>
      <c r="EL55" s="13">
        <f t="shared" si="45"/>
        <v>51.076015061754575</v>
      </c>
      <c r="EM55" s="20">
        <f t="shared" si="19"/>
        <v>447.86403623255609</v>
      </c>
      <c r="EN55" s="59">
        <f t="shared" si="20"/>
        <v>741.1973695658894</v>
      </c>
      <c r="EO55" s="59">
        <f ca="1">AVERAGE(OFFSET($EN$3,0,0,'Données projet'!$E$15+1,1))-AVERAGE(OFFSET($H$3,0,0,'Données projet'!$E$15+1,1))</f>
        <v>259.30247982593914</v>
      </c>
      <c r="EP55" s="59">
        <f t="shared" si="46"/>
        <v>275.24740346220779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9.7985519691294005</v>
      </c>
      <c r="EX55" s="21">
        <f>EXP(-LN(2)/2)*EX54+(1-EXP(-LN(2)/2))/(LN(2)/2)*ER55*EU55*VLOOKUP('Données projet'!$B$15,Paramètres!$A$1:$I$89,3,0)*0.475*44/12</f>
        <v>1.4004135830988787E-2</v>
      </c>
      <c r="EY55" s="22">
        <f t="shared" si="21"/>
        <v>9.8125561049603895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9.8000000000000007</v>
      </c>
      <c r="FE55" s="12">
        <f>IF('Données projet'!$A$218&gt;35,FE54+FD55-FM54,IF(A55&lt;'Données projet'!$A$218,$FB$205^A55,IF(A55='Données projet'!$A$218,'Données projet'!$B$218,FE54+FD55-FM54)))</f>
        <v>222.59999999999991</v>
      </c>
      <c r="FF55" s="17">
        <f>FE55*VLOOKUP('Données projet'!$B$16,Paramètres!$A$1:$I$89,3,0)*VLOOKUP('Données projet'!$B$16,Paramètres!$A$1:$I$89,5,0)</f>
        <v>225.71639999999991</v>
      </c>
      <c r="FG55" s="13">
        <f t="shared" si="47"/>
        <v>55.355456074834237</v>
      </c>
      <c r="FH55" s="20">
        <f t="shared" si="22"/>
        <v>489.53348266366947</v>
      </c>
      <c r="FI55" s="59">
        <f t="shared" si="23"/>
        <v>782.86681599700273</v>
      </c>
      <c r="FJ55" s="59">
        <f ca="1">AVERAGE(OFFSET($FI$3,0,0,'Données projet'!$E$16+1,1))-AVERAGE(OFFSET($H$3,0,0,'Données projet'!$E$16+1,1))</f>
        <v>372.91317851957336</v>
      </c>
      <c r="FK55" s="59">
        <f t="shared" si="48"/>
        <v>269.69187715858413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1.7459133812222789</v>
      </c>
      <c r="FR55" s="21">
        <f>EXP(-LN(2)/25)*FR54+(1-EXP(-LN(2)/25))/(LN(2)/25)*Calculateur!FM55*Calculateur!FO55*VLOOKUP('Données projet'!$B$16,Paramètres!$A$1:$I$89,3,0)*0.475*44/12</f>
        <v>8.2545781726375687</v>
      </c>
      <c r="FS55" s="21">
        <f>EXP(-LN(2)/2)*FS54+(1-EXP(-LN(2)/2))/(LN(2)/2)*FM55*FP55*VLOOKUP('Données projet'!$B$16,Paramètres!$A$1:$I$89,3,0)*0.475*44/12</f>
        <v>1.1896429502409343E-2</v>
      </c>
      <c r="FT55" s="22">
        <f t="shared" si="24"/>
        <v>10.012387983362256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13.499999999999996</v>
      </c>
      <c r="FZ55" s="12">
        <f>IF('Données projet'!$A$244&gt;35,FZ54+FY55-GH54,IF(A55&lt;'Données projet'!$A$244,$FW$205^A55,IF(A55='Données projet'!$A$244,'Données projet'!$B$244,FZ54+FY55-GH54)))</f>
        <v>266.79999999999984</v>
      </c>
      <c r="GA55" s="17">
        <f>FZ55*VLOOKUP('Données projet'!$B$17,Paramètres!$A$1:$I$89,3,0)*VLOOKUP('Données projet'!$B$17,Paramètres!$A$1:$I$89,5,0)</f>
        <v>124.86239999999994</v>
      </c>
      <c r="GB55" s="13">
        <f t="shared" si="49"/>
        <v>32.80643928056157</v>
      </c>
      <c r="GC55" s="20">
        <f t="shared" si="25"/>
        <v>274.60656174697795</v>
      </c>
      <c r="GD55" s="59">
        <f t="shared" si="26"/>
        <v>567.93989508031132</v>
      </c>
      <c r="GE55" s="59">
        <f ca="1">AVERAGE(OFFSET($GD$3,0,0,'Données projet'!$E$17+1,1))-AVERAGE(OFFSET($H$3,0,0,'Données projet'!$E$17+1,1))</f>
        <v>215.23235148064941</v>
      </c>
      <c r="GF55" s="59">
        <f t="shared" si="50"/>
        <v>184.07239726900434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2.0274993599826621</v>
      </c>
      <c r="GM55" s="21">
        <f>EXP(-LN(2)/25)*GM54+(1-EXP(-LN(2)/25))/(LN(2)/25)*Calculateur!GH55*Calculateur!GJ55*VLOOKUP('Données projet'!$B$17,Paramètres!$A$1:$I$89,3,0)*0.475*44/12</f>
        <v>4.26840348740759</v>
      </c>
      <c r="GN55" s="21">
        <f>EXP(-LN(2)/2)*GN54+(1-EXP(-LN(2)/2))/(LN(2)/2)*GH55*GK55*VLOOKUP('Données projet'!$B$17,Paramètres!$A$1:$I$89,3,0)*0.475*44/12</f>
        <v>4.8008674220195273E-3</v>
      </c>
      <c r="GO55" s="21">
        <f t="shared" si="27"/>
        <v>6.300703714812272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7.25</v>
      </c>
      <c r="GU55" s="12">
        <f>IF('Données projet'!$A$270&gt;35,GU54+GT55-HC54,IF(A55&lt;'Données projet'!$A$270,$GR$205^A55,IF(A55='Données projet'!$A$270,'Données projet'!$B$270,GU54+GT55-HC54)))</f>
        <v>387.49999999999989</v>
      </c>
      <c r="GV55" s="17">
        <f>GU55*VLOOKUP('Données projet'!$B$18,Paramètres!$A$1:$I$89,3,0)*VLOOKUP('Données projet'!$B$18,Paramètres!$A$1:$I$89,5,0)</f>
        <v>231.72499999999994</v>
      </c>
      <c r="GW55" s="13">
        <f t="shared" si="51"/>
        <v>56.655504506153761</v>
      </c>
      <c r="GX55" s="20">
        <f t="shared" si="28"/>
        <v>502.2627120148843</v>
      </c>
      <c r="GY55" s="59">
        <f t="shared" si="29"/>
        <v>795.59604534821756</v>
      </c>
      <c r="GZ55" s="59">
        <f ca="1">AVERAGE(OFFSET($GY$3,0,0,'Données projet'!$E$18+1,1))-AVERAGE(OFFSET($H$3,0,0,'Données projet'!$E$18+1,1))</f>
        <v>227.89848316900191</v>
      </c>
      <c r="HA55" s="59">
        <f t="shared" si="52"/>
        <v>239.85955661394541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5.1370454080737256</v>
      </c>
      <c r="HH55" s="21">
        <f>EXP(-LN(2)/25)*HH54+(1-EXP(-LN(2)/25))/(LN(2)/25)*Calculateur!HC55*Calculateur!HE55*VLOOKUP('Données projet'!$B$18,Paramètres!$A$1:$I$89,3,0)*0.475*44/12</f>
        <v>9.3152617256748957</v>
      </c>
      <c r="HI55" s="21">
        <f>EXP(-LN(2)/2)*HI54+(1-EXP(-LN(2)/2))/(LN(2)/2)*HC55*HF55*VLOOKUP('Données projet'!$B$18,Paramètres!$A$1:$I$89,3,0)*0.475*44/12</f>
        <v>3.2732278381800224E-3</v>
      </c>
      <c r="HJ55" s="22">
        <f t="shared" si="30"/>
        <v>14.455580361586803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496</v>
      </c>
      <c r="O56" s="13">
        <f>N56*VLOOKUP('Données projet'!$B$9,Paramètres!$A$1:$I$89,3,0)*VLOOKUP('Données projet'!$B$9,Paramètres!$A$1:$I$89,5,0)</f>
        <v>277.26400000000001</v>
      </c>
      <c r="P56" s="13">
        <f t="shared" si="33"/>
        <v>66.388483410423504</v>
      </c>
      <c r="Q56" s="20">
        <f t="shared" si="53"/>
        <v>598.52807527315429</v>
      </c>
      <c r="R56" s="59">
        <f t="shared" si="0"/>
        <v>891.86140860648766</v>
      </c>
      <c r="S56" s="59">
        <f ca="1">AVERAGE(OFFSET($R$3,0,0,'Données projet'!$E$9+1,1))-AVERAGE(OFFSET($H$3,0,0,'Données projet'!$E$9+1,1))</f>
        <v>370.69652285220093</v>
      </c>
      <c r="T56" s="59">
        <f t="shared" si="34"/>
        <v>376.53494965377718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6.5175396687359113</v>
      </c>
      <c r="AA56" s="21">
        <f>EXP(-LN(2)/25)*AA55+(1-EXP(-LN(2)/25))/(LN(2)/25)*Calculateur!V56*Calculateur!X56*VLOOKUP('Données projet'!$B$9,Paramètres!$A$1:$I$89,3,0)*0.475*44/12</f>
        <v>17.655191919311957</v>
      </c>
      <c r="AB56" s="21">
        <f>EXP(-LN(2)/2)*AB55+(1-EXP(-LN(2)/2))/(LN(2)/2)*V56*Y56*VLOOKUP('Données projet'!$B$9,Paramètres!$A$1:$I$89,3,0)*0.475*44/12</f>
        <v>1.1300507057544434E-2</v>
      </c>
      <c r="AC56" s="22">
        <f t="shared" si="3"/>
        <v>24.184032095105412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210.27551999999991</v>
      </c>
      <c r="AK56" s="13">
        <f t="shared" si="35"/>
        <v>51.995789155135654</v>
      </c>
      <c r="AL56" s="20">
        <f t="shared" si="4"/>
        <v>456.78919677852781</v>
      </c>
      <c r="AM56" s="59">
        <f t="shared" si="5"/>
        <v>750.12253011186112</v>
      </c>
      <c r="AN56" s="59">
        <f ca="1">AVERAGE(OFFSET($AM$3,0,0,'Données projet'!$E$10+1,1))-AVERAGE(OFFSET($H$3,0,0,'Données projet'!$E$10+1,1))</f>
        <v>321.03881567735544</v>
      </c>
      <c r="AO56" s="59">
        <f t="shared" si="36"/>
        <v>234.87694492493506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1.5273426294411427</v>
      </c>
      <c r="AV56" s="21">
        <f>EXP(-LN(2)/25)*AV55+(1-EXP(-LN(2)/25))/(LN(2)/25)*Calculateur!AQ56*Calculateur!AS56*VLOOKUP('Données projet'!$B$10,Paramètres!$A$1:$I$89,3,0)*0.475*44/12</f>
        <v>7.1642102355109039</v>
      </c>
      <c r="AW56" s="21">
        <f>EXP(-LN(2)/2)*AW55+(1-EXP(-LN(2)/2))/(LN(2)/2)*AQ56*AT56*VLOOKUP('Données projet'!$B$10,Paramètres!$A$1:$I$89,3,0)*0.475*44/12</f>
        <v>7.5061333298085961E-3</v>
      </c>
      <c r="AX56" s="21">
        <f t="shared" si="6"/>
        <v>8.6990589982818562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11.3</v>
      </c>
      <c r="BD56" s="12">
        <f>IF('Données projet'!$A$88&gt;35,BD55+BC56-BL55,IF(A56&lt;'Données projet'!$A$88,$BA$205^A56,IF(A56='Données projet'!$A$88,'Données projet'!$B$88,BD55+BC56-BL55)))</f>
        <v>353.90000000000015</v>
      </c>
      <c r="BE56" s="13">
        <f>BD56*VLOOKUP('Données projet'!$B$11,Paramètres!$A$1:$I$89,3,0)*VLOOKUP('Données projet'!$B$11,Paramètres!$A$1:$I$89,5,0)</f>
        <v>193.22940000000008</v>
      </c>
      <c r="BF56" s="13">
        <f t="shared" si="37"/>
        <v>48.253225491879554</v>
      </c>
      <c r="BG56" s="20">
        <f t="shared" si="7"/>
        <v>420.5822393983571</v>
      </c>
      <c r="BH56" s="59">
        <f t="shared" si="8"/>
        <v>713.91557273169042</v>
      </c>
      <c r="BI56" s="59">
        <f ca="1">AVERAGE(OFFSET($BH$3,0,0,'Données projet'!$E$11+1,1))-AVERAGE(OFFSET($H$3,0,0,'Données projet'!$E$11+1,1))</f>
        <v>248.1486444660062</v>
      </c>
      <c r="BJ56" s="59">
        <f t="shared" si="38"/>
        <v>293.34458072322127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5.4014282244069269</v>
      </c>
      <c r="BQ56" s="21">
        <f>EXP(-LN(2)/25)*BQ55+(1-EXP(-LN(2)/25))/(LN(2)/25)*Calculateur!BL56*Calculateur!BN56*VLOOKUP('Données projet'!$B$11,Paramètres!$A$1:$I$89,3,0)*0.475*44/12</f>
        <v>17.989252478132453</v>
      </c>
      <c r="BR56" s="21">
        <f>EXP(-LN(2)/2)*BR55+(1-EXP(-LN(2)/2))/(LN(2)/2)*BL56*BO56*VLOOKUP('Données projet'!$B$11,Paramètres!$A$1:$I$89,3,0)*0.475*44/12</f>
        <v>8.6946602893316072E-3</v>
      </c>
      <c r="BS56" s="22">
        <f t="shared" si="9"/>
        <v>23.399375362828714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7.2</v>
      </c>
      <c r="BY56" s="12">
        <f>IF('Données projet'!$A$114&gt;35,BY55+BX56-CG55,IF(A56&lt;'Données projet'!$A$114,$BV$205^A56,IF(A56='Données projet'!$A$114,'Données projet'!$B$114,BY55+BX56-CG55)))</f>
        <v>220.60000000000002</v>
      </c>
      <c r="BZ56" s="13">
        <f>BY56*VLOOKUP('Données projet'!$B$12,Paramètres!$A$1:$I$89,3,0)*VLOOKUP('Données projet'!$B$12,Paramètres!$A$1:$I$89,5,0)</f>
        <v>192.71616000000006</v>
      </c>
      <c r="CA56" s="13">
        <f t="shared" si="39"/>
        <v>48.139960279308241</v>
      </c>
      <c r="CB56" s="20">
        <f t="shared" si="10"/>
        <v>419.49107615312863</v>
      </c>
      <c r="CC56" s="59">
        <f t="shared" si="11"/>
        <v>712.82440948646195</v>
      </c>
      <c r="CD56" s="59">
        <f ca="1">AVERAGE(OFFSET($CC$3,0,0,'Données projet'!$E$12+1,1))-AVERAGE(OFFSET($H$3,0,0,'Données projet'!$E$12+1,1))</f>
        <v>243.38048563215585</v>
      </c>
      <c r="CE56" s="59">
        <f t="shared" si="40"/>
        <v>372.1604147006675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4.6346948755455371</v>
      </c>
      <c r="CL56" s="21">
        <f>EXP(-LN(2)/25)*CL55+(1-EXP(-LN(2)/25))/(LN(2)/25)*Calculateur!CG56*Calculateur!CI56*VLOOKUP('Données projet'!$B$12,Paramètres!$A$1:$I$89,3,0)*0.475*44/12</f>
        <v>10.233218134968586</v>
      </c>
      <c r="CM56" s="21">
        <f>EXP(-LN(2)/2)*CM55+(1-EXP(-LN(2)/2))/(LN(2)/2)*CG56*CJ56*VLOOKUP('Données projet'!$B$12,Paramètres!$A$1:$I$89,3,0)*0.475*44/12</f>
        <v>1.0121480618993359E-2</v>
      </c>
      <c r="CN56" s="22">
        <f t="shared" si="12"/>
        <v>14.878034491133116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19.2</v>
      </c>
      <c r="CT56" s="12">
        <f>IF('Données projet'!$A$140&gt;35,CT55+CS56-DB55,IF(A56&lt;'Données projet'!$A$140,$CQ$205^A56,IF(A56='Données projet'!$A$140,'Données projet'!$B$140,CT55+CS56-DB55)))</f>
        <v>495.6</v>
      </c>
      <c r="CU56" s="17">
        <f>CT56*VLOOKUP('Données projet'!$B$13,Paramètres!$A$1:$I$89,3,0)*VLOOKUP('Données projet'!$B$13,Paramètres!$A$1:$I$89,5,0)</f>
        <v>238.38360000000003</v>
      </c>
      <c r="CV56" s="13">
        <f t="shared" si="41"/>
        <v>58.091617484887593</v>
      </c>
      <c r="CW56" s="20">
        <f t="shared" si="13"/>
        <v>516.36100378617914</v>
      </c>
      <c r="CX56" s="59">
        <f t="shared" si="14"/>
        <v>809.69433711951251</v>
      </c>
      <c r="CY56" s="59">
        <f ca="1">AVERAGE(OFFSET($CX$3,0,0,'Données projet'!$E$13+1,1))-AVERAGE(OFFSET($H$3,0,0,'Données projet'!$E$13+1,1))</f>
        <v>297.21955661193238</v>
      </c>
      <c r="CZ56" s="59">
        <f t="shared" si="42"/>
        <v>273.69206144662144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4.2728499267903199</v>
      </c>
      <c r="DG56" s="21">
        <f>EXP(-LN(2)/25)*DG55+(1-EXP(-LN(2)/25))/(LN(2)/25)*Calculateur!DB56*Calculateur!DD56*VLOOKUP('Données projet'!$B$13,Paramètres!$A$1:$I$89,3,0)*0.475*44/12</f>
        <v>7.0942484262621308</v>
      </c>
      <c r="DH56" s="21">
        <f>EXP(-LN(2)/2)*DH55+(1-EXP(-LN(2)/2))/(LN(2)/2)*DB56*DE56*VLOOKUP('Données projet'!$B$13,Paramètres!$A$1:$I$89,3,0)*0.475*44/12</f>
        <v>7.2204936404243617E-3</v>
      </c>
      <c r="DI56" s="22">
        <f t="shared" si="15"/>
        <v>11.374318846692876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208.7654399999999</v>
      </c>
      <c r="DQ56" s="13">
        <f t="shared" si="43"/>
        <v>51.665710768737398</v>
      </c>
      <c r="DR56" s="20">
        <f t="shared" si="16"/>
        <v>453.58425425555083</v>
      </c>
      <c r="DS56" s="59">
        <f t="shared" si="17"/>
        <v>746.91758758888409</v>
      </c>
      <c r="DT56" s="59">
        <f ca="1">AVERAGE(OFFSET($DS$3,0,0,'Données projet'!$E$14+1,1))-AVERAGE(OFFSET($H$3,0,0,'Données projet'!$E$14+1,1))</f>
        <v>260.20517190557814</v>
      </c>
      <c r="DU56" s="59">
        <f t="shared" si="44"/>
        <v>307.22009971147133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2.0691695706592874</v>
      </c>
      <c r="EB56" s="21">
        <f>EXP(-LN(2)/25)*EB55+(1-EXP(-LN(2)/25))/(LN(2)/25)*Calculateur!DW56*Calculateur!DY56*VLOOKUP('Données projet'!$B$14,Paramètres!$A$1:$I$89,3,0)*0.475*44/12</f>
        <v>10.844795132631443</v>
      </c>
      <c r="EC56" s="21">
        <f>EXP(-LN(2)/2)*EC55+(1-EXP(-LN(2)/2))/(LN(2)/2)*DW56*DZ56*VLOOKUP('Données projet'!$B$14,Paramètres!$A$1:$I$89,3,0)*0.475*44/12</f>
        <v>8.2998848307130699E-3</v>
      </c>
      <c r="ED56" s="22">
        <f t="shared" si="18"/>
        <v>12.922264588121443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12.8</v>
      </c>
      <c r="EJ56" s="12">
        <f>IF('Données projet'!$A$192&gt;35,EJ55+EI56-ER55,IF(A56&lt;'Données projet'!$A$192,$EG$205^A56,IF(A56='Données projet'!$A$192,'Données projet'!$B$192,EJ55+EI56-ER55)))</f>
        <v>357.4000000000002</v>
      </c>
      <c r="EK56" s="17">
        <f>EJ56*VLOOKUP('Données projet'!$B$15,Paramètres!$A$1:$I$89,3,0)*VLOOKUP('Données projet'!$B$15,Paramètres!$A$1:$I$89,5,0)</f>
        <v>213.72520000000014</v>
      </c>
      <c r="EL56" s="13">
        <f t="shared" si="45"/>
        <v>52.748800684046955</v>
      </c>
      <c r="EM56" s="20">
        <f t="shared" si="19"/>
        <v>464.10888452471528</v>
      </c>
      <c r="EN56" s="59">
        <f t="shared" si="20"/>
        <v>757.44221785804859</v>
      </c>
      <c r="EO56" s="59">
        <f ca="1">AVERAGE(OFFSET($EN$3,0,0,'Données projet'!$E$15+1,1))-AVERAGE(OFFSET($H$3,0,0,'Données projet'!$E$15+1,1))</f>
        <v>259.30247982593914</v>
      </c>
      <c r="EP56" s="59">
        <f t="shared" si="46"/>
        <v>275.24740346220779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9.5306100502501039</v>
      </c>
      <c r="EX56" s="21">
        <f>EXP(-LN(2)/2)*EX55+(1-EXP(-LN(2)/2))/(LN(2)/2)*ER56*EU56*VLOOKUP('Données projet'!$B$15,Paramètres!$A$1:$I$89,3,0)*0.475*44/12</f>
        <v>9.9024194107496782E-3</v>
      </c>
      <c r="EY56" s="22">
        <f t="shared" si="21"/>
        <v>9.5405124696608539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9.8000000000000007</v>
      </c>
      <c r="FE56" s="12">
        <f>IF('Données projet'!$A$218&gt;35,FE55+FD56-FM55,IF(A56&lt;'Données projet'!$A$218,$FB$205^A56,IF(A56='Données projet'!$A$218,'Données projet'!$B$218,FE55+FD56-FM55)))</f>
        <v>232.39999999999992</v>
      </c>
      <c r="FF56" s="17">
        <f>FE56*VLOOKUP('Données projet'!$B$16,Paramètres!$A$1:$I$89,3,0)*VLOOKUP('Données projet'!$B$16,Paramètres!$A$1:$I$89,5,0)</f>
        <v>235.65359999999993</v>
      </c>
      <c r="FG56" s="13">
        <f t="shared" si="47"/>
        <v>57.503388993143759</v>
      </c>
      <c r="FH56" s="20">
        <f t="shared" si="22"/>
        <v>510.58175582972518</v>
      </c>
      <c r="FI56" s="59">
        <f t="shared" si="23"/>
        <v>803.9150891630585</v>
      </c>
      <c r="FJ56" s="59">
        <f ca="1">AVERAGE(OFFSET($FI$3,0,0,'Données projet'!$E$16+1,1))-AVERAGE(OFFSET($H$3,0,0,'Données projet'!$E$16+1,1))</f>
        <v>372.91317851957336</v>
      </c>
      <c r="FK56" s="59">
        <f t="shared" si="48"/>
        <v>269.69187715858413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1.7116770847185223</v>
      </c>
      <c r="FR56" s="21">
        <f>EXP(-LN(2)/25)*FR55+(1-EXP(-LN(2)/25))/(LN(2)/25)*Calculateur!FM56*Calculateur!FO56*VLOOKUP('Données projet'!$B$16,Paramètres!$A$1:$I$89,3,0)*0.475*44/12</f>
        <v>8.028856298417395</v>
      </c>
      <c r="FS56" s="21">
        <f>EXP(-LN(2)/2)*FS55+(1-EXP(-LN(2)/2))/(LN(2)/2)*FM56*FP56*VLOOKUP('Données projet'!$B$16,Paramètres!$A$1:$I$89,3,0)*0.475*44/12</f>
        <v>8.4120459730613519E-3</v>
      </c>
      <c r="FT56" s="22">
        <f t="shared" si="24"/>
        <v>9.7489454291089785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13.499999999999996</v>
      </c>
      <c r="FZ56" s="12">
        <f>IF('Données projet'!$A$244&gt;35,FZ55+FY56-GH55,IF(A56&lt;'Données projet'!$A$244,$FW$205^A56,IF(A56='Données projet'!$A$244,'Données projet'!$B$244,FZ55+FY56-GH55)))</f>
        <v>280.29999999999984</v>
      </c>
      <c r="GA56" s="17">
        <f>FZ56*VLOOKUP('Données projet'!$B$17,Paramètres!$A$1:$I$89,3,0)*VLOOKUP('Données projet'!$B$17,Paramètres!$A$1:$I$89,5,0)</f>
        <v>131.18039999999993</v>
      </c>
      <c r="GB56" s="13">
        <f t="shared" si="49"/>
        <v>34.268971460239172</v>
      </c>
      <c r="GC56" s="20">
        <f t="shared" si="25"/>
        <v>288.15765529324972</v>
      </c>
      <c r="GD56" s="59">
        <f t="shared" si="26"/>
        <v>581.49098862658298</v>
      </c>
      <c r="GE56" s="59">
        <f ca="1">AVERAGE(OFFSET($GD$3,0,0,'Données projet'!$E$17+1,1))-AVERAGE(OFFSET($H$3,0,0,'Données projet'!$E$17+1,1))</f>
        <v>215.23235148064941</v>
      </c>
      <c r="GF56" s="59">
        <f t="shared" si="50"/>
        <v>184.07239726900434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1.9877413341859023</v>
      </c>
      <c r="GM56" s="21">
        <f>EXP(-LN(2)/25)*GM55+(1-EXP(-LN(2)/25))/(LN(2)/25)*Calculateur!GH56*Calculateur!GJ56*VLOOKUP('Données projet'!$B$17,Paramètres!$A$1:$I$89,3,0)*0.475*44/12</f>
        <v>4.1516837695788453</v>
      </c>
      <c r="GN56" s="21">
        <f>EXP(-LN(2)/2)*GN55+(1-EXP(-LN(2)/2))/(LN(2)/2)*GH56*GK56*VLOOKUP('Données projet'!$B$17,Paramètres!$A$1:$I$89,3,0)*0.475*44/12</f>
        <v>3.3947259096875865E-3</v>
      </c>
      <c r="GO56" s="21">
        <f t="shared" si="27"/>
        <v>6.1428198296744343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7.25</v>
      </c>
      <c r="GU56" s="12">
        <f>IF('Données projet'!$A$270&gt;35,GU55+GT56-HC55,IF(A56&lt;'Données projet'!$A$270,$GR$205^A56,IF(A56='Données projet'!$A$270,'Données projet'!$B$270,GU55+GT56-HC55)))</f>
        <v>394.74999999999989</v>
      </c>
      <c r="GV56" s="17">
        <f>GU56*VLOOKUP('Données projet'!$B$18,Paramètres!$A$1:$I$89,3,0)*VLOOKUP('Données projet'!$B$18,Paramètres!$A$1:$I$89,5,0)</f>
        <v>236.06049999999993</v>
      </c>
      <c r="GW56" s="13">
        <f t="shared" si="51"/>
        <v>57.591113137594284</v>
      </c>
      <c r="GX56" s="20">
        <f t="shared" si="28"/>
        <v>511.44322621464318</v>
      </c>
      <c r="GY56" s="59">
        <f t="shared" si="29"/>
        <v>804.77655954797649</v>
      </c>
      <c r="GZ56" s="59">
        <f ca="1">AVERAGE(OFFSET($GY$3,0,0,'Données projet'!$E$18+1,1))-AVERAGE(OFFSET($H$3,0,0,'Données projet'!$E$18+1,1))</f>
        <v>227.89848316900191</v>
      </c>
      <c r="HA56" s="59">
        <f t="shared" si="52"/>
        <v>239.85955661394541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5.0363110809097122</v>
      </c>
      <c r="HH56" s="21">
        <f>EXP(-LN(2)/25)*HH55+(1-EXP(-LN(2)/25))/(LN(2)/25)*Calculateur!HC56*Calculateur!HE56*VLOOKUP('Données projet'!$B$18,Paramètres!$A$1:$I$89,3,0)*0.475*44/12</f>
        <v>9.0605354039179922</v>
      </c>
      <c r="HI56" s="21">
        <f>EXP(-LN(2)/2)*HI55+(1-EXP(-LN(2)/2))/(LN(2)/2)*HC56*HF56*VLOOKUP('Données projet'!$B$18,Paramètres!$A$1:$I$89,3,0)*0.475*44/12</f>
        <v>2.3145216007456771E-3</v>
      </c>
      <c r="HJ56" s="22">
        <f t="shared" si="30"/>
        <v>14.099161006428449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514</v>
      </c>
      <c r="O57" s="13">
        <f>N57*VLOOKUP('Données projet'!$B$9,Paramètres!$A$1:$I$89,3,0)*VLOOKUP('Données projet'!$B$9,Paramètres!$A$1:$I$89,5,0)</f>
        <v>287.32600000000002</v>
      </c>
      <c r="P57" s="13">
        <f t="shared" si="33"/>
        <v>68.512868389632061</v>
      </c>
      <c r="Q57" s="20">
        <f t="shared" si="53"/>
        <v>619.75269577860911</v>
      </c>
      <c r="R57" s="59">
        <f t="shared" si="0"/>
        <v>913.08602911194248</v>
      </c>
      <c r="S57" s="59">
        <f ca="1">AVERAGE(OFFSET($R$3,0,0,'Données projet'!$E$9+1,1))-AVERAGE(OFFSET($H$3,0,0,'Données projet'!$E$9+1,1))</f>
        <v>370.69652285220093</v>
      </c>
      <c r="T57" s="59">
        <f t="shared" si="34"/>
        <v>376.53494965377718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6.3897346911386688</v>
      </c>
      <c r="AA57" s="21">
        <f>EXP(-LN(2)/25)*AA56+(1-EXP(-LN(2)/25))/(LN(2)/25)*Calculateur!V57*Calculateur!X57*VLOOKUP('Données projet'!$B$9,Paramètres!$A$1:$I$89,3,0)*0.475*44/12</f>
        <v>17.172409767832178</v>
      </c>
      <c r="AB57" s="21">
        <f>EXP(-LN(2)/2)*AB56+(1-EXP(-LN(2)/2))/(LN(2)/2)*V57*Y57*VLOOKUP('Données projet'!$B$9,Paramètres!$A$1:$I$89,3,0)*0.475*44/12</f>
        <v>7.9906651712361079E-3</v>
      </c>
      <c r="AC57" s="22">
        <f t="shared" si="3"/>
        <v>23.570135124142084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219.14255999999992</v>
      </c>
      <c r="AK57" s="13">
        <f t="shared" si="35"/>
        <v>53.928483039139707</v>
      </c>
      <c r="AL57" s="20">
        <f t="shared" si="4"/>
        <v>475.59873329316815</v>
      </c>
      <c r="AM57" s="59">
        <f t="shared" si="5"/>
        <v>768.93206662650141</v>
      </c>
      <c r="AN57" s="59">
        <f ca="1">AVERAGE(OFFSET($AM$3,0,0,'Données projet'!$E$10+1,1))-AVERAGE(OFFSET($H$3,0,0,'Données projet'!$E$10+1,1))</f>
        <v>321.03881567735544</v>
      </c>
      <c r="AO57" s="59">
        <f t="shared" si="36"/>
        <v>234.87694492493506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1.4973923720648192</v>
      </c>
      <c r="AV57" s="21">
        <f>EXP(-LN(2)/25)*AV56+(1-EXP(-LN(2)/25))/(LN(2)/25)*Calculateur!AQ57*Calculateur!AS57*VLOOKUP('Données projet'!$B$10,Paramètres!$A$1:$I$89,3,0)*0.475*44/12</f>
        <v>6.9683045298714159</v>
      </c>
      <c r="AW57" s="21">
        <f>EXP(-LN(2)/2)*AW56+(1-EXP(-LN(2)/2))/(LN(2)/2)*AQ57*AT57*VLOOKUP('Données projet'!$B$10,Paramètres!$A$1:$I$89,3,0)*0.475*44/12</f>
        <v>5.3076377779980189E-3</v>
      </c>
      <c r="AX57" s="21">
        <f t="shared" si="6"/>
        <v>8.4710045397142331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11.3</v>
      </c>
      <c r="BD57" s="12">
        <f>IF('Données projet'!$A$88&gt;35,BD56+BC57-BL56,IF(A57&lt;'Données projet'!$A$88,$BA$205^A57,IF(A57='Données projet'!$A$88,'Données projet'!$B$88,BD56+BC57-BL56)))</f>
        <v>365.20000000000016</v>
      </c>
      <c r="BE57" s="13">
        <f>BD57*VLOOKUP('Données projet'!$B$11,Paramètres!$A$1:$I$89,3,0)*VLOOKUP('Données projet'!$B$11,Paramètres!$A$1:$I$89,5,0)</f>
        <v>199.39920000000009</v>
      </c>
      <c r="BF57" s="13">
        <f t="shared" si="37"/>
        <v>49.612106959430314</v>
      </c>
      <c r="BG57" s="20">
        <f t="shared" si="7"/>
        <v>433.69469295434129</v>
      </c>
      <c r="BH57" s="59">
        <f t="shared" si="8"/>
        <v>727.02802628767461</v>
      </c>
      <c r="BI57" s="59">
        <f ca="1">AVERAGE(OFFSET($BH$3,0,0,'Données projet'!$E$11+1,1))-AVERAGE(OFFSET($H$3,0,0,'Données projet'!$E$11+1,1))</f>
        <v>248.1486444660062</v>
      </c>
      <c r="BJ57" s="59">
        <f t="shared" si="38"/>
        <v>293.34458072322127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5.2955095114722148</v>
      </c>
      <c r="BQ57" s="21">
        <f>EXP(-LN(2)/25)*BQ56+(1-EXP(-LN(2)/25))/(LN(2)/25)*Calculateur!BL57*Calculateur!BN57*VLOOKUP('Données projet'!$B$11,Paramètres!$A$1:$I$89,3,0)*0.475*44/12</f>
        <v>17.49733542310425</v>
      </c>
      <c r="BR57" s="21">
        <f>EXP(-LN(2)/2)*BR56+(1-EXP(-LN(2)/2))/(LN(2)/2)*BL57*BO57*VLOOKUP('Données projet'!$B$11,Paramètres!$A$1:$I$89,3,0)*0.475*44/12</f>
        <v>6.1480532506997688E-3</v>
      </c>
      <c r="BS57" s="22">
        <f t="shared" si="9"/>
        <v>22.798992987827166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7.2</v>
      </c>
      <c r="BY57" s="12">
        <f>IF('Données projet'!$A$114&gt;35,BY56+BX57-CG56,IF(A57&lt;'Données projet'!$A$114,$BV$205^A57,IF(A57='Données projet'!$A$114,'Données projet'!$B$114,BY56+BX57-CG56)))</f>
        <v>227.8</v>
      </c>
      <c r="BZ57" s="13">
        <f>BY57*VLOOKUP('Données projet'!$B$12,Paramètres!$A$1:$I$89,3,0)*VLOOKUP('Données projet'!$B$12,Paramètres!$A$1:$I$89,5,0)</f>
        <v>199.00608000000003</v>
      </c>
      <c r="CA57" s="13">
        <f t="shared" si="39"/>
        <v>49.525670897515027</v>
      </c>
      <c r="CB57" s="20">
        <f t="shared" si="10"/>
        <v>432.85946614650538</v>
      </c>
      <c r="CC57" s="59">
        <f t="shared" si="11"/>
        <v>726.19279947983864</v>
      </c>
      <c r="CD57" s="59">
        <f ca="1">AVERAGE(OFFSET($CC$3,0,0,'Données projet'!$E$12+1,1))-AVERAGE(OFFSET($H$3,0,0,'Données projet'!$E$12+1,1))</f>
        <v>243.38048563215585</v>
      </c>
      <c r="CE57" s="59">
        <f t="shared" si="40"/>
        <v>372.1604147006675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4.5438113359208314</v>
      </c>
      <c r="CL57" s="21">
        <f>EXP(-LN(2)/25)*CL56+(1-EXP(-LN(2)/25))/(LN(2)/25)*Calculateur!CG57*Calculateur!CI57*VLOOKUP('Données projet'!$B$12,Paramètres!$A$1:$I$89,3,0)*0.475*44/12</f>
        <v>9.9533902469263165</v>
      </c>
      <c r="CM57" s="21">
        <f>EXP(-LN(2)/2)*CM56+(1-EXP(-LN(2)/2))/(LN(2)/2)*CG57*CJ57*VLOOKUP('Données projet'!$B$12,Paramètres!$A$1:$I$89,3,0)*0.475*44/12</f>
        <v>7.1569675813384186E-3</v>
      </c>
      <c r="CN57" s="22">
        <f t="shared" si="12"/>
        <v>14.504358550428485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19.2</v>
      </c>
      <c r="CT57" s="12">
        <f>IF('Données projet'!$A$140&gt;35,CT56+CS57-DB56,IF(A57&lt;'Données projet'!$A$140,$CQ$205^A57,IF(A57='Données projet'!$A$140,'Données projet'!$B$140,CT56+CS57-DB56)))</f>
        <v>514.80000000000007</v>
      </c>
      <c r="CU57" s="17">
        <f>CT57*VLOOKUP('Données projet'!$B$13,Paramètres!$A$1:$I$89,3,0)*VLOOKUP('Données projet'!$B$13,Paramètres!$A$1:$I$89,5,0)</f>
        <v>247.61880000000005</v>
      </c>
      <c r="CV57" s="13">
        <f t="shared" si="41"/>
        <v>60.075759045345535</v>
      </c>
      <c r="CW57" s="20">
        <f t="shared" si="13"/>
        <v>535.90135700397695</v>
      </c>
      <c r="CX57" s="59">
        <f t="shared" si="14"/>
        <v>829.23469033731021</v>
      </c>
      <c r="CY57" s="59">
        <f ca="1">AVERAGE(OFFSET($CX$3,0,0,'Données projet'!$E$13+1,1))-AVERAGE(OFFSET($H$3,0,0,'Données projet'!$E$13+1,1))</f>
        <v>297.21955661193238</v>
      </c>
      <c r="CZ57" s="59">
        <f t="shared" si="42"/>
        <v>273.69206144662144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4.1890619459070777</v>
      </c>
      <c r="DG57" s="21">
        <f>EXP(-LN(2)/25)*DG56+(1-EXP(-LN(2)/25))/(LN(2)/25)*Calculateur!DB57*Calculateur!DD57*VLOOKUP('Données projet'!$B$13,Paramètres!$A$1:$I$89,3,0)*0.475*44/12</f>
        <v>6.9002558299756824</v>
      </c>
      <c r="DH57" s="21">
        <f>EXP(-LN(2)/2)*DH56+(1-EXP(-LN(2)/2))/(LN(2)/2)*DB57*DE57*VLOOKUP('Données projet'!$B$13,Paramètres!$A$1:$I$89,3,0)*0.475*44/12</f>
        <v>5.105660016658407E-3</v>
      </c>
      <c r="DI57" s="22">
        <f t="shared" si="15"/>
        <v>11.094423435899419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214.17551999999992</v>
      </c>
      <c r="DQ57" s="13">
        <f t="shared" si="43"/>
        <v>52.846993696165399</v>
      </c>
      <c r="DR57" s="20">
        <f t="shared" si="16"/>
        <v>465.06421135415462</v>
      </c>
      <c r="DS57" s="59">
        <f t="shared" si="17"/>
        <v>758.39754468748788</v>
      </c>
      <c r="DT57" s="59">
        <f ca="1">AVERAGE(OFFSET($DS$3,0,0,'Données projet'!$E$14+1,1))-AVERAGE(OFFSET($H$3,0,0,'Données projet'!$E$14+1,1))</f>
        <v>260.20517190557814</v>
      </c>
      <c r="DU57" s="59">
        <f t="shared" si="44"/>
        <v>307.22009971147133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2.0285944174474779</v>
      </c>
      <c r="EB57" s="21">
        <f>EXP(-LN(2)/25)*EB56+(1-EXP(-LN(2)/25))/(LN(2)/25)*Calculateur!DW57*Calculateur!DY57*VLOOKUP('Données projet'!$B$14,Paramètres!$A$1:$I$89,3,0)*0.475*44/12</f>
        <v>10.548243639426646</v>
      </c>
      <c r="EC57" s="21">
        <f>EXP(-LN(2)/2)*EC56+(1-EXP(-LN(2)/2))/(LN(2)/2)*DW57*DZ57*VLOOKUP('Données projet'!$B$14,Paramètres!$A$1:$I$89,3,0)*0.475*44/12</f>
        <v>5.8689048468645718E-3</v>
      </c>
      <c r="ED57" s="22">
        <f t="shared" si="18"/>
        <v>12.582706961720989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12.8</v>
      </c>
      <c r="EJ57" s="12">
        <f>IF('Données projet'!$A$192&gt;35,EJ56+EI57-ER56,IF(A57&lt;'Données projet'!$A$192,$EG$205^A57,IF(A57='Données projet'!$A$192,'Données projet'!$B$192,EJ56+EI57-ER56)))</f>
        <v>370.20000000000022</v>
      </c>
      <c r="EK57" s="17">
        <f>EJ57*VLOOKUP('Données projet'!$B$15,Paramètres!$A$1:$I$89,3,0)*VLOOKUP('Données projet'!$B$15,Paramètres!$A$1:$I$89,5,0)</f>
        <v>221.37960000000015</v>
      </c>
      <c r="EL57" s="13">
        <f t="shared" si="45"/>
        <v>54.414625783743794</v>
      </c>
      <c r="EM57" s="20">
        <f t="shared" si="19"/>
        <v>480.34160990668738</v>
      </c>
      <c r="EN57" s="59">
        <f t="shared" si="20"/>
        <v>773.67494324002064</v>
      </c>
      <c r="EO57" s="59">
        <f ca="1">AVERAGE(OFFSET($EN$3,0,0,'Données projet'!$E$15+1,1))-AVERAGE(OFFSET($H$3,0,0,'Données projet'!$E$15+1,1))</f>
        <v>259.30247982593914</v>
      </c>
      <c r="EP57" s="59">
        <f t="shared" si="46"/>
        <v>275.24740346220779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9.2699950172330148</v>
      </c>
      <c r="EX57" s="21">
        <f>EXP(-LN(2)/2)*EX56+(1-EXP(-LN(2)/2))/(LN(2)/2)*ER57*EU57*VLOOKUP('Données projet'!$B$15,Paramètres!$A$1:$I$89,3,0)*0.475*44/12</f>
        <v>7.0020679154943937E-3</v>
      </c>
      <c r="EY57" s="22">
        <f t="shared" si="21"/>
        <v>9.2769970851485084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9.8000000000000007</v>
      </c>
      <c r="FE57" s="12">
        <f>IF('Données projet'!$A$218&gt;35,FE56+FD57-FM56,IF(A57&lt;'Données projet'!$A$218,$FB$205^A57,IF(A57='Données projet'!$A$218,'Données projet'!$B$218,FE56+FD57-FM56)))</f>
        <v>242.19999999999993</v>
      </c>
      <c r="FF57" s="17">
        <f>FE57*VLOOKUP('Données projet'!$B$16,Paramètres!$A$1:$I$89,3,0)*VLOOKUP('Données projet'!$B$16,Paramètres!$A$1:$I$89,5,0)</f>
        <v>245.59079999999992</v>
      </c>
      <c r="FG57" s="13">
        <f t="shared" si="47"/>
        <v>59.64080146485307</v>
      </c>
      <c r="FH57" s="20">
        <f t="shared" si="22"/>
        <v>531.61170588461891</v>
      </c>
      <c r="FI57" s="59">
        <f t="shared" si="23"/>
        <v>824.94503921795217</v>
      </c>
      <c r="FJ57" s="59">
        <f ca="1">AVERAGE(OFFSET($FI$3,0,0,'Données projet'!$E$16+1,1))-AVERAGE(OFFSET($H$3,0,0,'Données projet'!$E$16+1,1))</f>
        <v>372.91317851957336</v>
      </c>
      <c r="FK57" s="59">
        <f t="shared" si="48"/>
        <v>269.69187715858413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1.6781121411071254</v>
      </c>
      <c r="FR57" s="21">
        <f>EXP(-LN(2)/25)*FR56+(1-EXP(-LN(2)/25))/(LN(2)/25)*Calculateur!FM57*Calculateur!FO57*VLOOKUP('Données projet'!$B$16,Paramètres!$A$1:$I$89,3,0)*0.475*44/12</f>
        <v>7.8093068007179687</v>
      </c>
      <c r="FS57" s="21">
        <f>EXP(-LN(2)/2)*FS56+(1-EXP(-LN(2)/2))/(LN(2)/2)*FM57*FP57*VLOOKUP('Données projet'!$B$16,Paramètres!$A$1:$I$89,3,0)*0.475*44/12</f>
        <v>5.9482147512046717E-3</v>
      </c>
      <c r="FT57" s="22">
        <f t="shared" si="24"/>
        <v>9.4933671565762996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13.499999999999996</v>
      </c>
      <c r="FZ57" s="12">
        <f>IF('Données projet'!$A$244&gt;35,FZ56+FY57-GH56,IF(A57&lt;'Données projet'!$A$244,$FW$205^A57,IF(A57='Données projet'!$A$244,'Données projet'!$B$244,FZ56+FY57-GH56)))</f>
        <v>293.79999999999984</v>
      </c>
      <c r="GA57" s="17">
        <f>FZ57*VLOOKUP('Données projet'!$B$17,Paramètres!$A$1:$I$89,3,0)*VLOOKUP('Données projet'!$B$17,Paramètres!$A$1:$I$89,5,0)</f>
        <v>137.49839999999992</v>
      </c>
      <c r="GB57" s="13">
        <f t="shared" si="49"/>
        <v>35.723324086274197</v>
      </c>
      <c r="GC57" s="20">
        <f t="shared" si="25"/>
        <v>301.69450278359409</v>
      </c>
      <c r="GD57" s="59">
        <f t="shared" si="26"/>
        <v>595.02783611692735</v>
      </c>
      <c r="GE57" s="59">
        <f ca="1">AVERAGE(OFFSET($GD$3,0,0,'Données projet'!$E$17+1,1))-AVERAGE(OFFSET($H$3,0,0,'Données projet'!$E$17+1,1))</f>
        <v>215.23235148064941</v>
      </c>
      <c r="GF57" s="59">
        <f t="shared" si="50"/>
        <v>184.07239726900434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1.9487629390250159</v>
      </c>
      <c r="GM57" s="21">
        <f>EXP(-LN(2)/25)*GM56+(1-EXP(-LN(2)/25))/(LN(2)/25)*Calculateur!GH57*Calculateur!GJ57*VLOOKUP('Données projet'!$B$17,Paramètres!$A$1:$I$89,3,0)*0.475*44/12</f>
        <v>4.0381557585721515</v>
      </c>
      <c r="GN57" s="21">
        <f>EXP(-LN(2)/2)*GN56+(1-EXP(-LN(2)/2))/(LN(2)/2)*GH57*GK57*VLOOKUP('Données projet'!$B$17,Paramètres!$A$1:$I$89,3,0)*0.475*44/12</f>
        <v>2.4004337110097636E-3</v>
      </c>
      <c r="GO57" s="21">
        <f t="shared" si="27"/>
        <v>5.9893191313081768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>
        <f>VLOOKUP(A57,'Données projet'!$A$269:$I$289,2,0)</f>
        <v>402</v>
      </c>
      <c r="GS57" s="12">
        <f>VLOOKUP(A57,'Données projet'!$A$269:$I$289,9,0)</f>
        <v>7.25</v>
      </c>
      <c r="GT57" s="12">
        <f t="array" ref="GT57">INDEX(GS:GS,MIN(IF(ISNUMBER(GS57:GS253),ROW(GS57:GS253),"")))</f>
        <v>7.25</v>
      </c>
      <c r="GU57" s="12">
        <f>IF('Données projet'!$A$270&gt;35,GU56+GT57-HC56,IF(A57&lt;'Données projet'!$A$270,$GR$205^A57,IF(A57='Données projet'!$A$270,'Données projet'!$B$270,GU56+GT57-HC56)))</f>
        <v>401.99999999999989</v>
      </c>
      <c r="GV57" s="17">
        <f>GU57*VLOOKUP('Données projet'!$B$18,Paramètres!$A$1:$I$89,3,0)*VLOOKUP('Données projet'!$B$18,Paramètres!$A$1:$I$89,5,0)</f>
        <v>240.39599999999996</v>
      </c>
      <c r="GW57" s="13">
        <f t="shared" si="51"/>
        <v>58.524723634421605</v>
      </c>
      <c r="GX57" s="20">
        <f t="shared" si="28"/>
        <v>520.62026032995084</v>
      </c>
      <c r="GY57" s="59">
        <f t="shared" si="29"/>
        <v>813.95359366328421</v>
      </c>
      <c r="GZ57" s="59">
        <f ca="1">AVERAGE(OFFSET($GY$3,0,0,'Données projet'!$E$18+1,1))-AVERAGE(OFFSET($H$3,0,0,'Données projet'!$E$18+1,1))</f>
        <v>227.89848316900191</v>
      </c>
      <c r="HA57" s="59">
        <f t="shared" si="52"/>
        <v>239.85955661394541</v>
      </c>
      <c r="HB57" s="15">
        <f>IF(ISNA(VLOOKUP(A57,'Données projet'!$A$269:$I$289,3,0)),0,VLOOKUP(A57,'Données projet'!$A$269:$I$289,3,0))</f>
        <v>8</v>
      </c>
      <c r="HC57" s="15">
        <f>IF(ISNA(VLOOKUP(A57,'Données projet'!$A$269:$I$289,4,0)),0,VLOOKUP(A57,'Données projet'!$A$269:$I$289,4,0))</f>
        <v>17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4.9375520924595122</v>
      </c>
      <c r="HH57" s="21">
        <f>EXP(-LN(2)/25)*HH56+(1-EXP(-LN(2)/25))/(LN(2)/25)*Calculateur!HC57*Calculateur!HE57*VLOOKUP('Données projet'!$B$18,Paramètres!$A$1:$I$89,3,0)*0.475*44/12</f>
        <v>8.8127745868250056</v>
      </c>
      <c r="HI57" s="21">
        <f>EXP(-LN(2)/2)*HI56+(1-EXP(-LN(2)/2))/(LN(2)/2)*HC57*HF57*VLOOKUP('Données projet'!$B$18,Paramètres!$A$1:$I$89,3,0)*0.475*44/12</f>
        <v>1.6366139190900112E-3</v>
      </c>
      <c r="HJ57" s="22">
        <f t="shared" si="30"/>
        <v>13.751963293203607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532</v>
      </c>
      <c r="O58" s="13">
        <f>N58*VLOOKUP('Données projet'!$B$9,Paramètres!$A$1:$I$89,3,0)*VLOOKUP('Données projet'!$B$9,Paramètres!$A$1:$I$89,5,0)</f>
        <v>297.38799999999998</v>
      </c>
      <c r="P58" s="13">
        <f t="shared" si="33"/>
        <v>70.628609572625066</v>
      </c>
      <c r="Q58" s="20">
        <f t="shared" si="53"/>
        <v>640.96226167232192</v>
      </c>
      <c r="R58" s="59">
        <f t="shared" si="0"/>
        <v>934.29559500565529</v>
      </c>
      <c r="S58" s="59">
        <f ca="1">AVERAGE(OFFSET($R$3,0,0,'Données projet'!$E$9+1,1))-AVERAGE(OFFSET($H$3,0,0,'Données projet'!$E$9+1,1))</f>
        <v>370.69652285220093</v>
      </c>
      <c r="T58" s="59">
        <f t="shared" si="34"/>
        <v>376.53494965377718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6.2644358911987696</v>
      </c>
      <c r="AA58" s="21">
        <f>EXP(-LN(2)/25)*AA57+(1-EXP(-LN(2)/25))/(LN(2)/25)*Calculateur!V58*Calculateur!X58*VLOOKUP('Données projet'!$B$9,Paramètres!$A$1:$I$89,3,0)*0.475*44/12</f>
        <v>16.702829319673025</v>
      </c>
      <c r="AB58" s="21">
        <f>EXP(-LN(2)/2)*AB57+(1-EXP(-LN(2)/2))/(LN(2)/2)*V58*Y58*VLOOKUP('Données projet'!$B$9,Paramètres!$A$1:$I$89,3,0)*0.475*44/12</f>
        <v>5.650253528772217E-3</v>
      </c>
      <c r="AC58" s="22">
        <f t="shared" si="3"/>
        <v>22.972915464400565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228.00959999999995</v>
      </c>
      <c r="AK58" s="13">
        <f t="shared" si="35"/>
        <v>55.852093054619829</v>
      </c>
      <c r="AL58" s="20">
        <f t="shared" si="4"/>
        <v>494.3924487367961</v>
      </c>
      <c r="AM58" s="59">
        <f t="shared" si="5"/>
        <v>787.72578207012941</v>
      </c>
      <c r="AN58" s="59">
        <f ca="1">AVERAGE(OFFSET($AM$3,0,0,'Données projet'!$E$10+1,1))-AVERAGE(OFFSET($H$3,0,0,'Données projet'!$E$10+1,1))</f>
        <v>321.03881567735544</v>
      </c>
      <c r="AO58" s="59">
        <f t="shared" si="36"/>
        <v>234.87694492493506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1.4680294209677922</v>
      </c>
      <c r="AV58" s="21">
        <f>EXP(-LN(2)/25)*AV57+(1-EXP(-LN(2)/25))/(LN(2)/25)*Calculateur!AQ58*Calculateur!AS58*VLOOKUP('Données projet'!$B$10,Paramètres!$A$1:$I$89,3,0)*0.475*44/12</f>
        <v>6.7777558760548731</v>
      </c>
      <c r="AW58" s="21">
        <f>EXP(-LN(2)/2)*AW57+(1-EXP(-LN(2)/2))/(LN(2)/2)*AQ58*AT58*VLOOKUP('Données projet'!$B$10,Paramètres!$A$1:$I$89,3,0)*0.475*44/12</f>
        <v>3.7530666649042985E-3</v>
      </c>
      <c r="AX58" s="21">
        <f t="shared" si="6"/>
        <v>8.2495383636875701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11.3</v>
      </c>
      <c r="BD58" s="12">
        <f>IF('Données projet'!$A$88&gt;35,BD57+BC58-BL57,IF(A58&lt;'Données projet'!$A$88,$BA$205^A58,IF(A58='Données projet'!$A$88,'Données projet'!$B$88,BD57+BC58-BL57)))</f>
        <v>376.50000000000017</v>
      </c>
      <c r="BE58" s="13">
        <f>BD58*VLOOKUP('Données projet'!$B$11,Paramètres!$A$1:$I$89,3,0)*VLOOKUP('Données projet'!$B$11,Paramètres!$A$1:$I$89,5,0)</f>
        <v>205.56900000000007</v>
      </c>
      <c r="BF58" s="13">
        <f t="shared" si="37"/>
        <v>50.966102200396577</v>
      </c>
      <c r="BG58" s="20">
        <f t="shared" si="7"/>
        <v>446.79863633235749</v>
      </c>
      <c r="BH58" s="59">
        <f t="shared" si="8"/>
        <v>740.1319696656908</v>
      </c>
      <c r="BI58" s="59">
        <f ca="1">AVERAGE(OFFSET($BH$3,0,0,'Données projet'!$E$11+1,1))-AVERAGE(OFFSET($H$3,0,0,'Données projet'!$E$11+1,1))</f>
        <v>248.1486444660062</v>
      </c>
      <c r="BJ58" s="59">
        <f t="shared" si="38"/>
        <v>293.34458072322127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5.1916677998941161</v>
      </c>
      <c r="BQ58" s="21">
        <f>EXP(-LN(2)/25)*BQ57+(1-EXP(-LN(2)/25))/(LN(2)/25)*Calculateur!BL58*Calculateur!BN58*VLOOKUP('Données projet'!$B$11,Paramètres!$A$1:$I$89,3,0)*0.475*44/12</f>
        <v>17.018869865814587</v>
      </c>
      <c r="BR58" s="21">
        <f>EXP(-LN(2)/2)*BR57+(1-EXP(-LN(2)/2))/(LN(2)/2)*BL58*BO58*VLOOKUP('Données projet'!$B$11,Paramètres!$A$1:$I$89,3,0)*0.475*44/12</f>
        <v>4.3473301446658036E-3</v>
      </c>
      <c r="BS58" s="22">
        <f t="shared" si="9"/>
        <v>22.214884995853367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7.2</v>
      </c>
      <c r="BY58" s="12">
        <f>IF('Données projet'!$A$114&gt;35,BY57+BX58-CG57,IF(A58&lt;'Données projet'!$A$114,$BV$205^A58,IF(A58='Données projet'!$A$114,'Données projet'!$B$114,BY57+BX58-CG57)))</f>
        <v>235</v>
      </c>
      <c r="BZ58" s="13">
        <f>BY58*VLOOKUP('Données projet'!$B$12,Paramètres!$A$1:$I$89,3,0)*VLOOKUP('Données projet'!$B$12,Paramètres!$A$1:$I$89,5,0)</f>
        <v>205.29600000000005</v>
      </c>
      <c r="CA58" s="13">
        <f t="shared" si="39"/>
        <v>50.906291934375396</v>
      </c>
      <c r="CB58" s="20">
        <f t="shared" si="10"/>
        <v>446.21899178570385</v>
      </c>
      <c r="CC58" s="59">
        <f t="shared" si="11"/>
        <v>739.55232511903716</v>
      </c>
      <c r="CD58" s="59">
        <f ca="1">AVERAGE(OFFSET($CC$3,0,0,'Données projet'!$E$12+1,1))-AVERAGE(OFFSET($H$3,0,0,'Données projet'!$E$12+1,1))</f>
        <v>243.38048563215585</v>
      </c>
      <c r="CE58" s="59">
        <f t="shared" si="40"/>
        <v>372.1604147006675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4.454709967074681</v>
      </c>
      <c r="CL58" s="21">
        <f>EXP(-LN(2)/25)*CL57+(1-EXP(-LN(2)/25))/(LN(2)/25)*Calculateur!CG58*Calculateur!CI58*VLOOKUP('Données projet'!$B$12,Paramètres!$A$1:$I$89,3,0)*0.475*44/12</f>
        <v>9.6812142671980723</v>
      </c>
      <c r="CM58" s="21">
        <f>EXP(-LN(2)/2)*CM57+(1-EXP(-LN(2)/2))/(LN(2)/2)*CG58*CJ58*VLOOKUP('Données projet'!$B$12,Paramètres!$A$1:$I$89,3,0)*0.475*44/12</f>
        <v>5.0607403094966794E-3</v>
      </c>
      <c r="CN58" s="22">
        <f t="shared" si="12"/>
        <v>14.140984974582251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19.2</v>
      </c>
      <c r="CT58" s="12">
        <f>IF('Données projet'!$A$140&gt;35,CT57+CS58-DB57,IF(A58&lt;'Données projet'!$A$140,$CQ$205^A58,IF(A58='Données projet'!$A$140,'Données projet'!$B$140,CT57+CS58-DB57)))</f>
        <v>534.00000000000011</v>
      </c>
      <c r="CU58" s="17">
        <f>CT58*VLOOKUP('Données projet'!$B$13,Paramètres!$A$1:$I$89,3,0)*VLOOKUP('Données projet'!$B$13,Paramètres!$A$1:$I$89,5,0)</f>
        <v>256.85400000000004</v>
      </c>
      <c r="CV58" s="13">
        <f t="shared" si="41"/>
        <v>62.051303498751508</v>
      </c>
      <c r="CW58" s="20">
        <f t="shared" si="13"/>
        <v>555.42673692699225</v>
      </c>
      <c r="CX58" s="59">
        <f t="shared" si="14"/>
        <v>848.76007026032562</v>
      </c>
      <c r="CY58" s="59">
        <f ca="1">AVERAGE(OFFSET($CX$3,0,0,'Données projet'!$E$13+1,1))-AVERAGE(OFFSET($H$3,0,0,'Données projet'!$E$13+1,1))</f>
        <v>297.21955661193238</v>
      </c>
      <c r="CZ58" s="59">
        <f t="shared" si="42"/>
        <v>273.69206144662144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4.1069169962233341</v>
      </c>
      <c r="DG58" s="21">
        <f>EXP(-LN(2)/25)*DG57+(1-EXP(-LN(2)/25))/(LN(2)/25)*Calculateur!DB58*Calculateur!DD58*VLOOKUP('Données projet'!$B$13,Paramètres!$A$1:$I$89,3,0)*0.475*44/12</f>
        <v>6.7115679714363141</v>
      </c>
      <c r="DH58" s="21">
        <f>EXP(-LN(2)/2)*DH57+(1-EXP(-LN(2)/2))/(LN(2)/2)*DB58*DE58*VLOOKUP('Données projet'!$B$13,Paramètres!$A$1:$I$89,3,0)*0.475*44/12</f>
        <v>3.6102468202121808E-3</v>
      </c>
      <c r="DI58" s="22">
        <f t="shared" si="15"/>
        <v>10.822095214479861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219.58559999999991</v>
      </c>
      <c r="DQ58" s="13">
        <f t="shared" si="43"/>
        <v>54.024808047218549</v>
      </c>
      <c r="DR58" s="20">
        <f t="shared" si="16"/>
        <v>476.53812734890556</v>
      </c>
      <c r="DS58" s="59">
        <f t="shared" si="17"/>
        <v>769.87146068223888</v>
      </c>
      <c r="DT58" s="59">
        <f ca="1">AVERAGE(OFFSET($DS$3,0,0,'Données projet'!$E$14+1,1))-AVERAGE(OFFSET($H$3,0,0,'Données projet'!$E$14+1,1))</f>
        <v>260.20517190557814</v>
      </c>
      <c r="DU58" s="59">
        <f t="shared" si="44"/>
        <v>307.22009971147133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1.9888149182417523</v>
      </c>
      <c r="EB58" s="21">
        <f>EXP(-LN(2)/25)*EB57+(1-EXP(-LN(2)/25))/(LN(2)/25)*Calculateur!DW58*Calculateur!DY58*VLOOKUP('Données projet'!$B$14,Paramètres!$A$1:$I$89,3,0)*0.475*44/12</f>
        <v>10.2598013623985</v>
      </c>
      <c r="EC58" s="21">
        <f>EXP(-LN(2)/2)*EC57+(1-EXP(-LN(2)/2))/(LN(2)/2)*DW58*DZ58*VLOOKUP('Données projet'!$B$14,Paramètres!$A$1:$I$89,3,0)*0.475*44/12</f>
        <v>4.149942415356535E-3</v>
      </c>
      <c r="ED58" s="22">
        <f t="shared" si="18"/>
        <v>12.252766223055609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12.8</v>
      </c>
      <c r="EJ58" s="12">
        <f>IF('Données projet'!$A$192&gt;35,EJ57+EI58-ER57,IF(A58&lt;'Données projet'!$A$192,$EG$205^A58,IF(A58='Données projet'!$A$192,'Données projet'!$B$192,EJ57+EI58-ER57)))</f>
        <v>383.00000000000023</v>
      </c>
      <c r="EK58" s="17">
        <f>EJ58*VLOOKUP('Données projet'!$B$15,Paramètres!$A$1:$I$89,3,0)*VLOOKUP('Données projet'!$B$15,Paramètres!$A$1:$I$89,5,0)</f>
        <v>229.03400000000016</v>
      </c>
      <c r="EL58" s="13">
        <f t="shared" si="45"/>
        <v>56.073758609460775</v>
      </c>
      <c r="EM58" s="20">
        <f t="shared" si="19"/>
        <v>496.56267957814447</v>
      </c>
      <c r="EN58" s="59">
        <f t="shared" si="20"/>
        <v>789.89601291147778</v>
      </c>
      <c r="EO58" s="59">
        <f ca="1">AVERAGE(OFFSET($EN$3,0,0,'Données projet'!$E$15+1,1))-AVERAGE(OFFSET($H$3,0,0,'Données projet'!$E$15+1,1))</f>
        <v>259.30247982593914</v>
      </c>
      <c r="EP58" s="59">
        <f t="shared" si="46"/>
        <v>275.24740346220779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9.0165065159989268</v>
      </c>
      <c r="EX58" s="21">
        <f>EXP(-LN(2)/2)*EX57+(1-EXP(-LN(2)/2))/(LN(2)/2)*ER58*EU58*VLOOKUP('Données projet'!$B$15,Paramètres!$A$1:$I$89,3,0)*0.475*44/12</f>
        <v>4.9512097053748391E-3</v>
      </c>
      <c r="EY58" s="22">
        <f t="shared" si="21"/>
        <v>9.0214577257043018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9.8000000000000007</v>
      </c>
      <c r="FE58" s="12">
        <f>IF('Données projet'!$A$218&gt;35,FE57+FD58-FM57,IF(A58&lt;'Données projet'!$A$218,$FB$205^A58,IF(A58='Données projet'!$A$218,'Données projet'!$B$218,FE57+FD58-FM57)))</f>
        <v>251.99999999999994</v>
      </c>
      <c r="FF58" s="17">
        <f>FE58*VLOOKUP('Données projet'!$B$16,Paramètres!$A$1:$I$89,3,0)*VLOOKUP('Données projet'!$B$16,Paramètres!$A$1:$I$89,5,0)</f>
        <v>255.52799999999993</v>
      </c>
      <c r="FG58" s="13">
        <f t="shared" si="47"/>
        <v>61.768167868721477</v>
      </c>
      <c r="FH58" s="20">
        <f t="shared" si="22"/>
        <v>552.62415903802309</v>
      </c>
      <c r="FI58" s="59">
        <f t="shared" si="23"/>
        <v>845.95749237135647</v>
      </c>
      <c r="FJ58" s="59">
        <f ca="1">AVERAGE(OFFSET($FI$3,0,0,'Données projet'!$E$16+1,1))-AVERAGE(OFFSET($H$3,0,0,'Données projet'!$E$16+1,1))</f>
        <v>372.91317851957336</v>
      </c>
      <c r="FK58" s="59">
        <f t="shared" si="48"/>
        <v>269.69187715858413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1.6452053855673539</v>
      </c>
      <c r="FR58" s="21">
        <f>EXP(-LN(2)/25)*FR57+(1-EXP(-LN(2)/25))/(LN(2)/25)*Calculateur!FM58*Calculateur!FO58*VLOOKUP('Données projet'!$B$16,Paramètres!$A$1:$I$89,3,0)*0.475*44/12</f>
        <v>7.5957608955787395</v>
      </c>
      <c r="FS58" s="21">
        <f>EXP(-LN(2)/2)*FS57+(1-EXP(-LN(2)/2))/(LN(2)/2)*FM58*FP58*VLOOKUP('Données projet'!$B$16,Paramètres!$A$1:$I$89,3,0)*0.475*44/12</f>
        <v>4.206022986530676E-3</v>
      </c>
      <c r="FT58" s="22">
        <f t="shared" si="24"/>
        <v>9.2451723041326233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13.499999999999996</v>
      </c>
      <c r="FZ58" s="12">
        <f>IF('Données projet'!$A$244&gt;35,FZ57+FY58-GH57,IF(A58&lt;'Données projet'!$A$244,$FW$205^A58,IF(A58='Données projet'!$A$244,'Données projet'!$B$244,FZ57+FY58-GH57)))</f>
        <v>307.29999999999984</v>
      </c>
      <c r="GA58" s="17">
        <f>FZ58*VLOOKUP('Données projet'!$B$17,Paramètres!$A$1:$I$89,3,0)*VLOOKUP('Données projet'!$B$17,Paramètres!$A$1:$I$89,5,0)</f>
        <v>143.81639999999993</v>
      </c>
      <c r="GB58" s="13">
        <f t="shared" si="49"/>
        <v>37.169915935828818</v>
      </c>
      <c r="GC58" s="20">
        <f t="shared" si="25"/>
        <v>315.21783358823507</v>
      </c>
      <c r="GD58" s="59">
        <f t="shared" si="26"/>
        <v>608.55116692156844</v>
      </c>
      <c r="GE58" s="59">
        <f ca="1">AVERAGE(OFFSET($GD$3,0,0,'Données projet'!$E$17+1,1))-AVERAGE(OFFSET($H$3,0,0,'Données projet'!$E$17+1,1))</f>
        <v>215.23235148064941</v>
      </c>
      <c r="GF58" s="59">
        <f t="shared" si="50"/>
        <v>184.07239726900434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1.9105488864187608</v>
      </c>
      <c r="GM58" s="21">
        <f>EXP(-LN(2)/25)*GM57+(1-EXP(-LN(2)/25))/(LN(2)/25)*Calculateur!GH58*Calculateur!GJ58*VLOOKUP('Données projet'!$B$17,Paramètres!$A$1:$I$89,3,0)*0.475*44/12</f>
        <v>3.927732176996614</v>
      </c>
      <c r="GN58" s="21">
        <f>EXP(-LN(2)/2)*GN57+(1-EXP(-LN(2)/2))/(LN(2)/2)*GH58*GK58*VLOOKUP('Données projet'!$B$17,Paramètres!$A$1:$I$89,3,0)*0.475*44/12</f>
        <v>1.6973629548437932E-3</v>
      </c>
      <c r="GO58" s="21">
        <f t="shared" si="27"/>
        <v>5.8399784263702186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3</v>
      </c>
      <c r="GU58" s="12">
        <f>IF('Données projet'!$A$270&gt;35,GU57+GT58-HC57,IF(A58&lt;'Données projet'!$A$270,$GR$205^A58,IF(A58='Données projet'!$A$270,'Données projet'!$B$270,GU57+GT58-HC57)))</f>
        <v>387.99999999999989</v>
      </c>
      <c r="GV58" s="17">
        <f>GU58*VLOOKUP('Données projet'!$B$18,Paramètres!$A$1:$I$89,3,0)*VLOOKUP('Données projet'!$B$18,Paramètres!$A$1:$I$89,5,0)</f>
        <v>232.02399999999994</v>
      </c>
      <c r="GW58" s="13">
        <f t="shared" si="51"/>
        <v>56.720094243161071</v>
      </c>
      <c r="GX58" s="20">
        <f t="shared" si="28"/>
        <v>502.89596414017211</v>
      </c>
      <c r="GY58" s="59">
        <f t="shared" si="29"/>
        <v>796.22929747350543</v>
      </c>
      <c r="GZ58" s="59">
        <f ca="1">AVERAGE(OFFSET($GY$3,0,0,'Données projet'!$E$18+1,1))-AVERAGE(OFFSET($H$3,0,0,'Données projet'!$E$18+1,1))</f>
        <v>227.89848316900191</v>
      </c>
      <c r="HA58" s="59">
        <f t="shared" si="52"/>
        <v>239.85955661394541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4.840729707535786</v>
      </c>
      <c r="HH58" s="21">
        <f>EXP(-LN(2)/25)*HH57+(1-EXP(-LN(2)/25))/(LN(2)/25)*Calculateur!HC58*Calculateur!HE58*VLOOKUP('Données projet'!$B$18,Paramètres!$A$1:$I$89,3,0)*0.475*44/12</f>
        <v>8.5717888023046029</v>
      </c>
      <c r="HI58" s="21">
        <f>EXP(-LN(2)/2)*HI57+(1-EXP(-LN(2)/2))/(LN(2)/2)*HC58*HF58*VLOOKUP('Données projet'!$B$18,Paramètres!$A$1:$I$89,3,0)*0.475*44/12</f>
        <v>1.1572608003728386E-3</v>
      </c>
      <c r="HJ58" s="22">
        <f t="shared" si="30"/>
        <v>13.413675770640761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</v>
      </c>
      <c r="N59" s="13">
        <f>IF('Données projet'!$A$36&gt;35,N58+M59-V58,IF(A59&lt;'Données projet'!$A$36,$K$205^A59,IF(A59='Données projet'!$A$36,'Données projet'!$B$36,N58+M59-V58)))</f>
        <v>550</v>
      </c>
      <c r="O59" s="13">
        <f>N59*VLOOKUP('Données projet'!$B$9,Paramètres!$A$1:$I$89,3,0)*VLOOKUP('Données projet'!$B$9,Paramètres!$A$1:$I$89,5,0)</f>
        <v>307.45</v>
      </c>
      <c r="P59" s="13">
        <f t="shared" si="33"/>
        <v>72.736032945200179</v>
      </c>
      <c r="Q59" s="20">
        <f t="shared" si="53"/>
        <v>662.15734071289023</v>
      </c>
      <c r="R59" s="59">
        <f t="shared" si="0"/>
        <v>955.4906740462236</v>
      </c>
      <c r="S59" s="59">
        <f ca="1">AVERAGE(OFFSET($R$3,0,0,'Données projet'!$E$9+1,1))-AVERAGE(OFFSET($H$3,0,0,'Données projet'!$E$9+1,1))</f>
        <v>370.69652285220093</v>
      </c>
      <c r="T59" s="59">
        <f t="shared" si="34"/>
        <v>376.53494965377718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6.14159412430097</v>
      </c>
      <c r="AA59" s="21">
        <f>EXP(-LN(2)/25)*AA58+(1-EXP(-LN(2)/25))/(LN(2)/25)*Calculateur!V59*Calculateur!X59*VLOOKUP('Données projet'!$B$9,Paramètres!$A$1:$I$89,3,0)*0.475*44/12</f>
        <v>16.246089573562948</v>
      </c>
      <c r="AB59" s="21">
        <f>EXP(-LN(2)/2)*AB58+(1-EXP(-LN(2)/2))/(LN(2)/2)*V59*Y59*VLOOKUP('Données projet'!$B$9,Paramètres!$A$1:$I$89,3,0)*0.475*44/12</f>
        <v>3.9953325856180539E-3</v>
      </c>
      <c r="AC59" s="22">
        <f t="shared" si="3"/>
        <v>22.391679030449534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236.87663999999995</v>
      </c>
      <c r="AK59" s="13">
        <f t="shared" si="35"/>
        <v>57.767012893614115</v>
      </c>
      <c r="AL59" s="20">
        <f t="shared" si="4"/>
        <v>513.17102878971104</v>
      </c>
      <c r="AM59" s="59">
        <f t="shared" si="5"/>
        <v>806.5043621230443</v>
      </c>
      <c r="AN59" s="59">
        <f ca="1">AVERAGE(OFFSET($AM$3,0,0,'Données projet'!$E$10+1,1))-AVERAGE(OFFSET($H$3,0,0,'Données projet'!$E$10+1,1))</f>
        <v>321.03881567735544</v>
      </c>
      <c r="AO59" s="59">
        <f t="shared" si="36"/>
        <v>234.87694492493506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1.4392422594321463</v>
      </c>
      <c r="AV59" s="21">
        <f>EXP(-LN(2)/25)*AV58+(1-EXP(-LN(2)/25))/(LN(2)/25)*Calculateur!AQ59*Calculateur!AS59*VLOOKUP('Données projet'!$B$10,Paramètres!$A$1:$I$89,3,0)*0.475*44/12</f>
        <v>6.5924177851974619</v>
      </c>
      <c r="AW59" s="21">
        <f>EXP(-LN(2)/2)*AW58+(1-EXP(-LN(2)/2))/(LN(2)/2)*AQ59*AT59*VLOOKUP('Données projet'!$B$10,Paramètres!$A$1:$I$89,3,0)*0.475*44/12</f>
        <v>2.6538188889990095E-3</v>
      </c>
      <c r="AX59" s="21">
        <f t="shared" si="6"/>
        <v>8.0343138635186087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11.3</v>
      </c>
      <c r="BD59" s="12">
        <f>IF('Données projet'!$A$88&gt;35,BD58+BC59-BL58,IF(A59&lt;'Données projet'!$A$88,$BA$205^A59,IF(A59='Données projet'!$A$88,'Données projet'!$B$88,BD58+BC59-BL58)))</f>
        <v>387.80000000000018</v>
      </c>
      <c r="BE59" s="13">
        <f>BD59*VLOOKUP('Données projet'!$B$11,Paramètres!$A$1:$I$89,3,0)*VLOOKUP('Données projet'!$B$11,Paramètres!$A$1:$I$89,5,0)</f>
        <v>211.73880000000008</v>
      </c>
      <c r="BF59" s="13">
        <f t="shared" si="37"/>
        <v>52.315374700843918</v>
      </c>
      <c r="BG59" s="20">
        <f t="shared" si="7"/>
        <v>459.89435427063654</v>
      </c>
      <c r="BH59" s="59">
        <f t="shared" si="8"/>
        <v>753.2276876039698</v>
      </c>
      <c r="BI59" s="59">
        <f ca="1">AVERAGE(OFFSET($BH$3,0,0,'Données projet'!$E$11+1,1))-AVERAGE(OFFSET($H$3,0,0,'Données projet'!$E$11+1,1))</f>
        <v>248.1486444660062</v>
      </c>
      <c r="BJ59" s="59">
        <f t="shared" si="38"/>
        <v>293.34458072322127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5.0898623609428739</v>
      </c>
      <c r="BQ59" s="21">
        <f>EXP(-LN(2)/25)*BQ58+(1-EXP(-LN(2)/25))/(LN(2)/25)*Calculateur!BL59*Calculateur!BN59*VLOOKUP('Données projet'!$B$11,Paramètres!$A$1:$I$89,3,0)*0.475*44/12</f>
        <v>16.553487974350418</v>
      </c>
      <c r="BR59" s="21">
        <f>EXP(-LN(2)/2)*BR58+(1-EXP(-LN(2)/2))/(LN(2)/2)*BL59*BO59*VLOOKUP('Données projet'!$B$11,Paramètres!$A$1:$I$89,3,0)*0.475*44/12</f>
        <v>3.0740266253498844E-3</v>
      </c>
      <c r="BS59" s="22">
        <f t="shared" si="9"/>
        <v>21.64642436191864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7.2</v>
      </c>
      <c r="BY59" s="12">
        <f>IF('Données projet'!$A$114&gt;35,BY58+BX59-CG58,IF(A59&lt;'Données projet'!$A$114,$BV$205^A59,IF(A59='Données projet'!$A$114,'Données projet'!$B$114,BY58+BX59-CG58)))</f>
        <v>242.2</v>
      </c>
      <c r="BZ59" s="13">
        <f>BY59*VLOOKUP('Données projet'!$B$12,Paramètres!$A$1:$I$89,3,0)*VLOOKUP('Données projet'!$B$12,Paramètres!$A$1:$I$89,5,0)</f>
        <v>211.58592000000002</v>
      </c>
      <c r="CA59" s="13">
        <f t="shared" si="39"/>
        <v>52.281997222074629</v>
      </c>
      <c r="CB59" s="20">
        <f t="shared" si="10"/>
        <v>459.56995582844667</v>
      </c>
      <c r="CC59" s="59">
        <f t="shared" si="11"/>
        <v>752.90328916177998</v>
      </c>
      <c r="CD59" s="59">
        <f ca="1">AVERAGE(OFFSET($CC$3,0,0,'Données projet'!$E$12+1,1))-AVERAGE(OFFSET($H$3,0,0,'Données projet'!$E$12+1,1))</f>
        <v>243.38048563215585</v>
      </c>
      <c r="CE59" s="59">
        <f t="shared" si="40"/>
        <v>372.1604147006675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4.3673558217251349</v>
      </c>
      <c r="CL59" s="21">
        <f>EXP(-LN(2)/25)*CL58+(1-EXP(-LN(2)/25))/(LN(2)/25)*Calculateur!CG59*Calculateur!CI59*VLOOKUP('Données projet'!$B$12,Paramètres!$A$1:$I$89,3,0)*0.475*44/12</f>
        <v>9.416480953948609</v>
      </c>
      <c r="CM59" s="21">
        <f>EXP(-LN(2)/2)*CM58+(1-EXP(-LN(2)/2))/(LN(2)/2)*CG59*CJ59*VLOOKUP('Données projet'!$B$12,Paramètres!$A$1:$I$89,3,0)*0.475*44/12</f>
        <v>3.5784837906692093E-3</v>
      </c>
      <c r="CN59" s="22">
        <f t="shared" si="12"/>
        <v>13.787415259464414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19.2</v>
      </c>
      <c r="CT59" s="12">
        <f>IF('Données projet'!$A$140&gt;35,CT58+CS59-DB58,IF(A59&lt;'Données projet'!$A$140,$CQ$205^A59,IF(A59='Données projet'!$A$140,'Données projet'!$B$140,CT58+CS59-DB58)))</f>
        <v>553.20000000000016</v>
      </c>
      <c r="CU59" s="17">
        <f>CT59*VLOOKUP('Données projet'!$B$13,Paramètres!$A$1:$I$89,3,0)*VLOOKUP('Données projet'!$B$13,Paramètres!$A$1:$I$89,5,0)</f>
        <v>266.08920000000006</v>
      </c>
      <c r="CV59" s="13">
        <f t="shared" si="41"/>
        <v>64.018595364759364</v>
      </c>
      <c r="CW59" s="20">
        <f t="shared" si="13"/>
        <v>574.93774359362271</v>
      </c>
      <c r="CX59" s="59">
        <f t="shared" si="14"/>
        <v>868.27107692695608</v>
      </c>
      <c r="CY59" s="59">
        <f ca="1">AVERAGE(OFFSET($CX$3,0,0,'Données projet'!$E$13+1,1))-AVERAGE(OFFSET($H$3,0,0,'Données projet'!$E$13+1,1))</f>
        <v>297.21955661193238</v>
      </c>
      <c r="CZ59" s="59">
        <f t="shared" si="42"/>
        <v>273.69206144662144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4.0263828588994164</v>
      </c>
      <c r="DG59" s="21">
        <f>EXP(-LN(2)/25)*DG58+(1-EXP(-LN(2)/25))/(LN(2)/25)*Calculateur!DB59*Calculateur!DD59*VLOOKUP('Données projet'!$B$13,Paramètres!$A$1:$I$89,3,0)*0.475*44/12</f>
        <v>6.5280397923113682</v>
      </c>
      <c r="DH59" s="21">
        <f>EXP(-LN(2)/2)*DH58+(1-EXP(-LN(2)/2))/(LN(2)/2)*DB59*DE59*VLOOKUP('Données projet'!$B$13,Paramètres!$A$1:$I$89,3,0)*0.475*44/12</f>
        <v>2.5528300083292035E-3</v>
      </c>
      <c r="DI59" s="22">
        <f t="shared" si="15"/>
        <v>10.556975481219114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224.99567999999994</v>
      </c>
      <c r="DQ59" s="13">
        <f t="shared" si="43"/>
        <v>55.199249109676629</v>
      </c>
      <c r="DR59" s="20">
        <f t="shared" si="16"/>
        <v>488.00616819935334</v>
      </c>
      <c r="DS59" s="59">
        <f t="shared" si="17"/>
        <v>781.33950153268665</v>
      </c>
      <c r="DT59" s="59">
        <f ca="1">AVERAGE(OFFSET($DS$3,0,0,'Données projet'!$E$14+1,1))-AVERAGE(OFFSET($H$3,0,0,'Données projet'!$E$14+1,1))</f>
        <v>260.20517190557814</v>
      </c>
      <c r="DU59" s="59">
        <f t="shared" si="44"/>
        <v>307.22009971147133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1.9498154707523523</v>
      </c>
      <c r="EB59" s="21">
        <f>EXP(-LN(2)/25)*EB58+(1-EXP(-LN(2)/25))/(LN(2)/25)*Calculateur!DW59*Calculateur!DY59*VLOOKUP('Données projet'!$B$14,Paramètres!$A$1:$I$89,3,0)*0.475*44/12</f>
        <v>9.9792465546042077</v>
      </c>
      <c r="EC59" s="21">
        <f>EXP(-LN(2)/2)*EC58+(1-EXP(-LN(2)/2))/(LN(2)/2)*DW59*DZ59*VLOOKUP('Données projet'!$B$14,Paramètres!$A$1:$I$89,3,0)*0.475*44/12</f>
        <v>2.9344524234322859E-3</v>
      </c>
      <c r="ED59" s="22">
        <f t="shared" si="18"/>
        <v>11.931996477779991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12.8</v>
      </c>
      <c r="EJ59" s="12">
        <f>IF('Données projet'!$A$192&gt;35,EJ58+EI59-ER58,IF(A59&lt;'Données projet'!$A$192,$EG$205^A59,IF(A59='Données projet'!$A$192,'Données projet'!$B$192,EJ58+EI59-ER58)))</f>
        <v>395.80000000000024</v>
      </c>
      <c r="EK59" s="17">
        <f>EJ59*VLOOKUP('Données projet'!$B$15,Paramètres!$A$1:$I$89,3,0)*VLOOKUP('Données projet'!$B$15,Paramètres!$A$1:$I$89,5,0)</f>
        <v>236.68840000000017</v>
      </c>
      <c r="EL59" s="13">
        <f t="shared" si="45"/>
        <v>57.726448462488456</v>
      </c>
      <c r="EM59" s="20">
        <f t="shared" si="19"/>
        <v>512.77252773883436</v>
      </c>
      <c r="EN59" s="59">
        <f t="shared" si="20"/>
        <v>806.10586107216773</v>
      </c>
      <c r="EO59" s="59">
        <f ca="1">AVERAGE(OFFSET($EN$3,0,0,'Données projet'!$E$15+1,1))-AVERAGE(OFFSET($H$3,0,0,'Données projet'!$E$15+1,1))</f>
        <v>259.30247982593914</v>
      </c>
      <c r="EP59" s="59">
        <f t="shared" si="46"/>
        <v>275.24740346220779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8.7699496711614664</v>
      </c>
      <c r="EX59" s="21">
        <f>EXP(-LN(2)/2)*EX58+(1-EXP(-LN(2)/2))/(LN(2)/2)*ER59*EU59*VLOOKUP('Données projet'!$B$15,Paramètres!$A$1:$I$89,3,0)*0.475*44/12</f>
        <v>3.5010339577471968E-3</v>
      </c>
      <c r="EY59" s="22">
        <f t="shared" si="21"/>
        <v>8.7734507051192132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9.8000000000000007</v>
      </c>
      <c r="FE59" s="12">
        <f>IF('Données projet'!$A$218&gt;35,FE58+FD59-FM58,IF(A59&lt;'Données projet'!$A$218,$FB$205^A59,IF(A59='Données projet'!$A$218,'Données projet'!$B$218,FE58+FD59-FM58)))</f>
        <v>261.79999999999995</v>
      </c>
      <c r="FF59" s="17">
        <f>FE59*VLOOKUP('Données projet'!$B$16,Paramètres!$A$1:$I$89,3,0)*VLOOKUP('Données projet'!$B$16,Paramètres!$A$1:$I$89,5,0)</f>
        <v>265.46519999999998</v>
      </c>
      <c r="FG59" s="13">
        <f t="shared" si="47"/>
        <v>63.885923598206354</v>
      </c>
      <c r="FH59" s="20">
        <f t="shared" si="22"/>
        <v>573.61987360020942</v>
      </c>
      <c r="FI59" s="59">
        <f t="shared" si="23"/>
        <v>866.95320693354279</v>
      </c>
      <c r="FJ59" s="59">
        <f ca="1">AVERAGE(OFFSET($FI$3,0,0,'Données projet'!$E$16+1,1))-AVERAGE(OFFSET($H$3,0,0,'Données projet'!$E$16+1,1))</f>
        <v>372.91317851957336</v>
      </c>
      <c r="FK59" s="59">
        <f t="shared" si="48"/>
        <v>269.69187715858413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1.6129439114325781</v>
      </c>
      <c r="FR59" s="21">
        <f>EXP(-LN(2)/25)*FR58+(1-EXP(-LN(2)/25))/(LN(2)/25)*Calculateur!FM59*Calculateur!FO59*VLOOKUP('Données projet'!$B$16,Paramètres!$A$1:$I$89,3,0)*0.475*44/12</f>
        <v>7.3880544144454339</v>
      </c>
      <c r="FS59" s="21">
        <f>EXP(-LN(2)/2)*FS58+(1-EXP(-LN(2)/2))/(LN(2)/2)*FM59*FP59*VLOOKUP('Données projet'!$B$16,Paramètres!$A$1:$I$89,3,0)*0.475*44/12</f>
        <v>2.9741073756023358E-3</v>
      </c>
      <c r="FT59" s="22">
        <f t="shared" si="24"/>
        <v>9.0039724332536135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13.499999999999996</v>
      </c>
      <c r="FZ59" s="12">
        <f>IF('Données projet'!$A$244&gt;35,FZ58+FY59-GH58,IF(A59&lt;'Données projet'!$A$244,$FW$205^A59,IF(A59='Données projet'!$A$244,'Données projet'!$B$244,FZ58+FY59-GH58)))</f>
        <v>320.79999999999984</v>
      </c>
      <c r="GA59" s="17">
        <f>FZ59*VLOOKUP('Données projet'!$B$17,Paramètres!$A$1:$I$89,3,0)*VLOOKUP('Données projet'!$B$17,Paramètres!$A$1:$I$89,5,0)</f>
        <v>150.13439999999994</v>
      </c>
      <c r="GB59" s="13">
        <f t="shared" si="49"/>
        <v>38.609126910934812</v>
      </c>
      <c r="GC59" s="20">
        <f t="shared" si="25"/>
        <v>328.72830936987799</v>
      </c>
      <c r="GD59" s="59">
        <f t="shared" si="26"/>
        <v>622.06164270321131</v>
      </c>
      <c r="GE59" s="59">
        <f ca="1">AVERAGE(OFFSET($GD$3,0,0,'Données projet'!$E$17+1,1))-AVERAGE(OFFSET($H$3,0,0,'Données projet'!$E$17+1,1))</f>
        <v>215.23235148064941</v>
      </c>
      <c r="GF59" s="59">
        <f t="shared" si="50"/>
        <v>184.07239726900434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1.8730841880758438</v>
      </c>
      <c r="GM59" s="21">
        <f>EXP(-LN(2)/25)*GM58+(1-EXP(-LN(2)/25))/(LN(2)/25)*Calculateur!GH59*Calculateur!GJ59*VLOOKUP('Données projet'!$B$17,Paramètres!$A$1:$I$89,3,0)*0.475*44/12</f>
        <v>3.8203281340661834</v>
      </c>
      <c r="GN59" s="21">
        <f>EXP(-LN(2)/2)*GN58+(1-EXP(-LN(2)/2))/(LN(2)/2)*GH59*GK59*VLOOKUP('Données projet'!$B$17,Paramètres!$A$1:$I$89,3,0)*0.475*44/12</f>
        <v>1.2002168555048818E-3</v>
      </c>
      <c r="GO59" s="21">
        <f t="shared" si="27"/>
        <v>5.6946125389975322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3</v>
      </c>
      <c r="GU59" s="12">
        <f>IF('Données projet'!$A$270&gt;35,GU58+GT59-HC58,IF(A59&lt;'Données projet'!$A$270,$GR$205^A59,IF(A59='Données projet'!$A$270,'Données projet'!$B$270,GU58+GT59-HC58)))</f>
        <v>390.99999999999989</v>
      </c>
      <c r="GV59" s="17">
        <f>GU59*VLOOKUP('Données projet'!$B$18,Paramètres!$A$1:$I$89,3,0)*VLOOKUP('Données projet'!$B$18,Paramètres!$A$1:$I$89,5,0)</f>
        <v>233.81799999999996</v>
      </c>
      <c r="GW59" s="13">
        <f t="shared" si="51"/>
        <v>57.107429708554093</v>
      </c>
      <c r="GX59" s="20">
        <f t="shared" si="28"/>
        <v>506.69512340906493</v>
      </c>
      <c r="GY59" s="59">
        <f t="shared" si="29"/>
        <v>800.02845674239825</v>
      </c>
      <c r="GZ59" s="59">
        <f ca="1">AVERAGE(OFFSET($GY$3,0,0,'Données projet'!$E$18+1,1))-AVERAGE(OFFSET($H$3,0,0,'Données projet'!$E$18+1,1))</f>
        <v>227.89848316900191</v>
      </c>
      <c r="HA59" s="59">
        <f t="shared" si="52"/>
        <v>239.85955661394541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4.7458059505245904</v>
      </c>
      <c r="HH59" s="21">
        <f>EXP(-LN(2)/25)*HH58+(1-EXP(-LN(2)/25))/(LN(2)/25)*Calculateur!HC59*Calculateur!HE59*VLOOKUP('Données projet'!$B$18,Paramètres!$A$1:$I$89,3,0)*0.475*44/12</f>
        <v>8.3373927867348012</v>
      </c>
      <c r="HI59" s="21">
        <f>EXP(-LN(2)/2)*HI58+(1-EXP(-LN(2)/2))/(LN(2)/2)*HC59*HF59*VLOOKUP('Données projet'!$B$18,Paramètres!$A$1:$I$89,3,0)*0.475*44/12</f>
        <v>8.1830695954500561E-4</v>
      </c>
      <c r="HJ59" s="22">
        <f t="shared" si="30"/>
        <v>13.084017044218935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</v>
      </c>
      <c r="N60" s="13">
        <f>IF('Données projet'!$A$36&gt;35,N59+M60-V59,IF(A60&lt;'Données projet'!$A$36,$K$205^A60,IF(A60='Données projet'!$A$36,'Données projet'!$B$36,N59+M60-V59)))</f>
        <v>568</v>
      </c>
      <c r="O60" s="13">
        <f>N60*VLOOKUP('Données projet'!$B$9,Paramètres!$A$1:$I$89,3,0)*VLOOKUP('Données projet'!$B$9,Paramètres!$A$1:$I$89,5,0)</f>
        <v>317.512</v>
      </c>
      <c r="P60" s="13">
        <f t="shared" si="33"/>
        <v>74.835441944795136</v>
      </c>
      <c r="Q60" s="20">
        <f t="shared" si="53"/>
        <v>683.33846138718491</v>
      </c>
      <c r="R60" s="59">
        <f t="shared" si="0"/>
        <v>976.67179472051816</v>
      </c>
      <c r="S60" s="59">
        <f ca="1">AVERAGE(OFFSET($R$3,0,0,'Données projet'!$E$9+1,1))-AVERAGE(OFFSET($H$3,0,0,'Données projet'!$E$9+1,1))</f>
        <v>370.69652285220093</v>
      </c>
      <c r="T60" s="59">
        <f t="shared" si="34"/>
        <v>376.53494965377718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6.0211612095259568</v>
      </c>
      <c r="AA60" s="21">
        <f>EXP(-LN(2)/25)*AA59+(1-EXP(-LN(2)/25))/(LN(2)/25)*Calculateur!V60*Calculateur!X60*VLOOKUP('Données projet'!$B$9,Paramètres!$A$1:$I$89,3,0)*0.475*44/12</f>
        <v>15.801839399829149</v>
      </c>
      <c r="AB60" s="21">
        <f>EXP(-LN(2)/2)*AB59+(1-EXP(-LN(2)/2))/(LN(2)/2)*V60*Y60*VLOOKUP('Données projet'!$B$9,Paramètres!$A$1:$I$89,3,0)*0.475*44/12</f>
        <v>2.8251267643861085E-3</v>
      </c>
      <c r="AC60" s="22">
        <f t="shared" si="3"/>
        <v>21.825825736119491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245.74367999999996</v>
      </c>
      <c r="AK60" s="13">
        <f t="shared" si="35"/>
        <v>59.673605104126452</v>
      </c>
      <c r="AL60" s="20">
        <f t="shared" si="4"/>
        <v>531.93510488968684</v>
      </c>
      <c r="AM60" s="59">
        <f t="shared" si="5"/>
        <v>825.26843822302021</v>
      </c>
      <c r="AN60" s="59">
        <f ca="1">AVERAGE(OFFSET($AM$3,0,0,'Données projet'!$E$10+1,1))-AVERAGE(OFFSET($H$3,0,0,'Données projet'!$E$10+1,1))</f>
        <v>321.03881567735544</v>
      </c>
      <c r="AO60" s="59">
        <f t="shared" si="36"/>
        <v>234.87694492493506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1.4110195965757797</v>
      </c>
      <c r="AV60" s="21">
        <f>EXP(-LN(2)/25)*AV59+(1-EXP(-LN(2)/25))/(LN(2)/25)*Calculateur!AQ60*Calculateur!AS60*VLOOKUP('Données projet'!$B$10,Paramètres!$A$1:$I$89,3,0)*0.475*44/12</f>
        <v>6.4121477741810535</v>
      </c>
      <c r="AW60" s="21">
        <f>EXP(-LN(2)/2)*AW59+(1-EXP(-LN(2)/2))/(LN(2)/2)*AQ60*AT60*VLOOKUP('Données projet'!$B$10,Paramètres!$A$1:$I$89,3,0)*0.475*44/12</f>
        <v>1.8765333324521493E-3</v>
      </c>
      <c r="AX60" s="21">
        <f t="shared" si="6"/>
        <v>7.8250439040892852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11.3</v>
      </c>
      <c r="BD60" s="12">
        <f>IF('Données projet'!$A$88&gt;35,BD59+BC60-BL59,IF(A60&lt;'Données projet'!$A$88,$BA$205^A60,IF(A60='Données projet'!$A$88,'Données projet'!$B$88,BD59+BC60-BL59)))</f>
        <v>399.10000000000019</v>
      </c>
      <c r="BE60" s="13">
        <f>BD60*VLOOKUP('Données projet'!$B$11,Paramètres!$A$1:$I$89,3,0)*VLOOKUP('Données projet'!$B$11,Paramètres!$A$1:$I$89,5,0)</f>
        <v>217.90860000000009</v>
      </c>
      <c r="BF60" s="13">
        <f t="shared" si="37"/>
        <v>53.660077877545731</v>
      </c>
      <c r="BG60" s="20">
        <f t="shared" si="7"/>
        <v>472.98211397005889</v>
      </c>
      <c r="BH60" s="59">
        <f t="shared" si="8"/>
        <v>766.31544730339215</v>
      </c>
      <c r="BI60" s="59">
        <f ca="1">AVERAGE(OFFSET($BH$3,0,0,'Données projet'!$E$11+1,1))-AVERAGE(OFFSET($H$3,0,0,'Données projet'!$E$11+1,1))</f>
        <v>248.1486444660062</v>
      </c>
      <c r="BJ60" s="59">
        <f t="shared" si="38"/>
        <v>293.34458072322127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4.9900532645542794</v>
      </c>
      <c r="BQ60" s="21">
        <f>EXP(-LN(2)/25)*BQ59+(1-EXP(-LN(2)/25))/(LN(2)/25)*Calculateur!BL60*Calculateur!BN60*VLOOKUP('Données projet'!$B$11,Paramètres!$A$1:$I$89,3,0)*0.475*44/12</f>
        <v>16.100831975181706</v>
      </c>
      <c r="BR60" s="21">
        <f>EXP(-LN(2)/2)*BR59+(1-EXP(-LN(2)/2))/(LN(2)/2)*BL60*BO60*VLOOKUP('Données projet'!$B$11,Paramètres!$A$1:$I$89,3,0)*0.475*44/12</f>
        <v>2.1736650723329018E-3</v>
      </c>
      <c r="BS60" s="22">
        <f t="shared" si="9"/>
        <v>21.09305890480832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7.2</v>
      </c>
      <c r="BY60" s="12">
        <f>IF('Données projet'!$A$114&gt;35,BY59+BX60-CG59,IF(A60&lt;'Données projet'!$A$114,$BV$205^A60,IF(A60='Données projet'!$A$114,'Données projet'!$B$114,BY59+BX60-CG59)))</f>
        <v>249.39999999999998</v>
      </c>
      <c r="BZ60" s="13">
        <f>BY60*VLOOKUP('Données projet'!$B$12,Paramètres!$A$1:$I$89,3,0)*VLOOKUP('Données projet'!$B$12,Paramètres!$A$1:$I$89,5,0)</f>
        <v>217.87583999999998</v>
      </c>
      <c r="CA60" s="13">
        <f t="shared" si="39"/>
        <v>53.652949670124926</v>
      </c>
      <c r="CB60" s="20">
        <f t="shared" si="10"/>
        <v>472.9126420088009</v>
      </c>
      <c r="CC60" s="59">
        <f t="shared" si="11"/>
        <v>766.24597534213422</v>
      </c>
      <c r="CD60" s="59">
        <f ca="1">AVERAGE(OFFSET($CC$3,0,0,'Données projet'!$E$12+1,1))-AVERAGE(OFFSET($H$3,0,0,'Données projet'!$E$12+1,1))</f>
        <v>243.38048563215585</v>
      </c>
      <c r="CE60" s="59">
        <f t="shared" si="40"/>
        <v>372.1604147006675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4.2817146378851252</v>
      </c>
      <c r="CL60" s="21">
        <f>EXP(-LN(2)/25)*CL59+(1-EXP(-LN(2)/25))/(LN(2)/25)*Calculateur!CG60*Calculateur!CI60*VLOOKUP('Données projet'!$B$12,Paramètres!$A$1:$I$89,3,0)*0.475*44/12</f>
        <v>9.1589867870716724</v>
      </c>
      <c r="CM60" s="21">
        <f>EXP(-LN(2)/2)*CM59+(1-EXP(-LN(2)/2))/(LN(2)/2)*CG60*CJ60*VLOOKUP('Données projet'!$B$12,Paramètres!$A$1:$I$89,3,0)*0.475*44/12</f>
        <v>2.5303701547483397E-3</v>
      </c>
      <c r="CN60" s="22">
        <f t="shared" si="12"/>
        <v>13.443231795111545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19.2</v>
      </c>
      <c r="CT60" s="12">
        <f>IF('Données projet'!$A$140&gt;35,CT59+CS60-DB59,IF(A60&lt;'Données projet'!$A$140,$CQ$205^A60,IF(A60='Données projet'!$A$140,'Données projet'!$B$140,CT59+CS60-DB59)))</f>
        <v>572.4000000000002</v>
      </c>
      <c r="CU60" s="17">
        <f>CT60*VLOOKUP('Données projet'!$B$13,Paramètres!$A$1:$I$89,3,0)*VLOOKUP('Données projet'!$B$13,Paramètres!$A$1:$I$89,5,0)</f>
        <v>275.32440000000008</v>
      </c>
      <c r="CV60" s="13">
        <f t="shared" si="41"/>
        <v>65.977953892196268</v>
      </c>
      <c r="CW60" s="20">
        <f t="shared" si="13"/>
        <v>594.43493302890863</v>
      </c>
      <c r="CX60" s="59">
        <f t="shared" si="14"/>
        <v>887.768266362242</v>
      </c>
      <c r="CY60" s="59">
        <f ca="1">AVERAGE(OFFSET($CX$3,0,0,'Données projet'!$E$13+1,1))-AVERAGE(OFFSET($H$3,0,0,'Données projet'!$E$13+1,1))</f>
        <v>297.21955661193238</v>
      </c>
      <c r="CZ60" s="59">
        <f t="shared" si="42"/>
        <v>273.69206144662144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3.9474279468874478</v>
      </c>
      <c r="DG60" s="21">
        <f>EXP(-LN(2)/25)*DG59+(1-EXP(-LN(2)/25))/(LN(2)/25)*Calculateur!DB60*Calculateur!DD60*VLOOKUP('Données projet'!$B$13,Paramètres!$A$1:$I$89,3,0)*0.475*44/12</f>
        <v>6.3495302008959209</v>
      </c>
      <c r="DH60" s="21">
        <f>EXP(-LN(2)/2)*DH59+(1-EXP(-LN(2)/2))/(LN(2)/2)*DB60*DE60*VLOOKUP('Données projet'!$B$13,Paramètres!$A$1:$I$89,3,0)*0.475*44/12</f>
        <v>1.8051234101060904E-3</v>
      </c>
      <c r="DI60" s="22">
        <f t="shared" si="15"/>
        <v>10.298763271193474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230.40575999999996</v>
      </c>
      <c r="DQ60" s="13">
        <f t="shared" si="43"/>
        <v>56.370407327556237</v>
      </c>
      <c r="DR60" s="20">
        <f t="shared" si="16"/>
        <v>499.46849142882706</v>
      </c>
      <c r="DS60" s="59">
        <f t="shared" si="17"/>
        <v>792.80182476216032</v>
      </c>
      <c r="DT60" s="59">
        <f ca="1">AVERAGE(OFFSET($DS$3,0,0,'Données projet'!$E$14+1,1))-AVERAGE(OFFSET($H$3,0,0,'Données projet'!$E$14+1,1))</f>
        <v>260.20517190557814</v>
      </c>
      <c r="DU60" s="59">
        <f t="shared" si="44"/>
        <v>307.22009971147133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1.9115807786409051</v>
      </c>
      <c r="EB60" s="21">
        <f>EXP(-LN(2)/25)*EB59+(1-EXP(-LN(2)/25))/(LN(2)/25)*Calculateur!DW60*Calculateur!DY60*VLOOKUP('Données projet'!$B$14,Paramètres!$A$1:$I$89,3,0)*0.475*44/12</f>
        <v>9.7063635327827864</v>
      </c>
      <c r="EC60" s="21">
        <f>EXP(-LN(2)/2)*EC59+(1-EXP(-LN(2)/2))/(LN(2)/2)*DW60*DZ60*VLOOKUP('Données projet'!$B$14,Paramètres!$A$1:$I$89,3,0)*0.475*44/12</f>
        <v>2.0749712076782675E-3</v>
      </c>
      <c r="ED60" s="22">
        <f t="shared" si="18"/>
        <v>11.62001928263137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12.8</v>
      </c>
      <c r="EJ60" s="12">
        <f>IF('Données projet'!$A$192&gt;35,EJ59+EI60-ER59,IF(A60&lt;'Données projet'!$A$192,$EG$205^A60,IF(A60='Données projet'!$A$192,'Données projet'!$B$192,EJ59+EI60-ER59)))</f>
        <v>408.60000000000025</v>
      </c>
      <c r="EK60" s="17">
        <f>EJ60*VLOOKUP('Données projet'!$B$15,Paramètres!$A$1:$I$89,3,0)*VLOOKUP('Données projet'!$B$15,Paramètres!$A$1:$I$89,5,0)</f>
        <v>244.34280000000018</v>
      </c>
      <c r="EL60" s="13">
        <f t="shared" si="45"/>
        <v>59.372927604128122</v>
      </c>
      <c r="EM60" s="20">
        <f t="shared" si="19"/>
        <v>528.97155891052341</v>
      </c>
      <c r="EN60" s="59">
        <f t="shared" si="20"/>
        <v>822.30489224385678</v>
      </c>
      <c r="EO60" s="59">
        <f ca="1">AVERAGE(OFFSET($EN$3,0,0,'Données projet'!$E$15+1,1))-AVERAGE(OFFSET($H$3,0,0,'Données projet'!$E$15+1,1))</f>
        <v>259.30247982593914</v>
      </c>
      <c r="EP60" s="59">
        <f t="shared" si="46"/>
        <v>275.24740346220779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8.5301349362119474</v>
      </c>
      <c r="EX60" s="21">
        <f>EXP(-LN(2)/2)*EX59+(1-EXP(-LN(2)/2))/(LN(2)/2)*ER60*EU60*VLOOKUP('Données projet'!$B$15,Paramètres!$A$1:$I$89,3,0)*0.475*44/12</f>
        <v>2.4756048526874195E-3</v>
      </c>
      <c r="EY60" s="22">
        <f t="shared" si="21"/>
        <v>8.5326105410646349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9.8000000000000007</v>
      </c>
      <c r="FE60" s="12">
        <f>IF('Données projet'!$A$218&gt;35,FE59+FD60-FM59,IF(A60&lt;'Données projet'!$A$218,$FB$205^A60,IF(A60='Données projet'!$A$218,'Données projet'!$B$218,FE59+FD60-FM59)))</f>
        <v>271.59999999999997</v>
      </c>
      <c r="FF60" s="17">
        <f>FE60*VLOOKUP('Données projet'!$B$16,Paramètres!$A$1:$I$89,3,0)*VLOOKUP('Données projet'!$B$16,Paramètres!$A$1:$I$89,5,0)</f>
        <v>275.4024</v>
      </c>
      <c r="FG60" s="13">
        <f t="shared" si="47"/>
        <v>65.994469603831504</v>
      </c>
      <c r="FH60" s="20">
        <f t="shared" si="22"/>
        <v>594.59954789333995</v>
      </c>
      <c r="FI60" s="59">
        <f t="shared" si="23"/>
        <v>887.93288122667332</v>
      </c>
      <c r="FJ60" s="59">
        <f ca="1">AVERAGE(OFFSET($FI$3,0,0,'Données projet'!$E$16+1,1))-AVERAGE(OFFSET($H$3,0,0,'Données projet'!$E$16+1,1))</f>
        <v>372.91317851957336</v>
      </c>
      <c r="FK60" s="59">
        <f t="shared" si="48"/>
        <v>269.69187715858413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1.5813150651280292</v>
      </c>
      <c r="FR60" s="21">
        <f>EXP(-LN(2)/25)*FR59+(1-EXP(-LN(2)/25))/(LN(2)/25)*Calculateur!FM60*Calculateur!FO60*VLOOKUP('Données projet'!$B$16,Paramètres!$A$1:$I$89,3,0)*0.475*44/12</f>
        <v>7.1860276779615271</v>
      </c>
      <c r="FS60" s="21">
        <f>EXP(-LN(2)/2)*FS59+(1-EXP(-LN(2)/2))/(LN(2)/2)*FM60*FP60*VLOOKUP('Données projet'!$B$16,Paramètres!$A$1:$I$89,3,0)*0.475*44/12</f>
        <v>2.103011493265338E-3</v>
      </c>
      <c r="FT60" s="22">
        <f t="shared" si="24"/>
        <v>8.7694457545828222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13.499999999999996</v>
      </c>
      <c r="FZ60" s="12">
        <f>IF('Données projet'!$A$244&gt;35,FZ59+FY60-GH59,IF(A60&lt;'Données projet'!$A$244,$FW$205^A60,IF(A60='Données projet'!$A$244,'Données projet'!$B$244,FZ59+FY60-GH59)))</f>
        <v>334.29999999999984</v>
      </c>
      <c r="GA60" s="17">
        <f>FZ60*VLOOKUP('Données projet'!$B$17,Paramètres!$A$1:$I$89,3,0)*VLOOKUP('Données projet'!$B$17,Paramètres!$A$1:$I$89,5,0)</f>
        <v>156.45239999999993</v>
      </c>
      <c r="GB60" s="13">
        <f t="shared" si="49"/>
        <v>40.041303130551007</v>
      </c>
      <c r="GC60" s="20">
        <f t="shared" si="25"/>
        <v>342.2265329523762</v>
      </c>
      <c r="GD60" s="59">
        <f t="shared" si="26"/>
        <v>635.55986628570952</v>
      </c>
      <c r="GE60" s="59">
        <f ca="1">AVERAGE(OFFSET($GD$3,0,0,'Données projet'!$E$17+1,1))-AVERAGE(OFFSET($H$3,0,0,'Données projet'!$E$17+1,1))</f>
        <v>215.23235148064941</v>
      </c>
      <c r="GF60" s="59">
        <f t="shared" si="50"/>
        <v>184.07239726900434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1.8363541496162219</v>
      </c>
      <c r="GM60" s="21">
        <f>EXP(-LN(2)/25)*GM59+(1-EXP(-LN(2)/25))/(LN(2)/25)*Calculateur!GH60*Calculateur!GJ60*VLOOKUP('Données projet'!$B$17,Paramètres!$A$1:$I$89,3,0)*0.475*44/12</f>
        <v>3.7158610603378186</v>
      </c>
      <c r="GN60" s="21">
        <f>EXP(-LN(2)/2)*GN59+(1-EXP(-LN(2)/2))/(LN(2)/2)*GH60*GK60*VLOOKUP('Données projet'!$B$17,Paramètres!$A$1:$I$89,3,0)*0.475*44/12</f>
        <v>8.4868147742189661E-4</v>
      </c>
      <c r="GO60" s="21">
        <f t="shared" si="27"/>
        <v>5.5530638914314618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3</v>
      </c>
      <c r="GU60" s="12">
        <f>IF('Données projet'!$A$270&gt;35,GU59+GT60-HC59,IF(A60&lt;'Données projet'!$A$270,$GR$205^A60,IF(A60='Données projet'!$A$270,'Données projet'!$B$270,GU59+GT60-HC59)))</f>
        <v>393.99999999999989</v>
      </c>
      <c r="GV60" s="17">
        <f>GU60*VLOOKUP('Données projet'!$B$18,Paramètres!$A$1:$I$89,3,0)*VLOOKUP('Données projet'!$B$18,Paramètres!$A$1:$I$89,5,0)</f>
        <v>235.61199999999994</v>
      </c>
      <c r="GW60" s="13">
        <f t="shared" si="51"/>
        <v>57.494419397561693</v>
      </c>
      <c r="GX60" s="20">
        <f t="shared" si="28"/>
        <v>510.49368045075312</v>
      </c>
      <c r="GY60" s="59">
        <f t="shared" si="29"/>
        <v>803.82701378408638</v>
      </c>
      <c r="GZ60" s="59">
        <f ca="1">AVERAGE(OFFSET($GY$3,0,0,'Données projet'!$E$18+1,1))-AVERAGE(OFFSET($H$3,0,0,'Données projet'!$E$18+1,1))</f>
        <v>227.89848316900191</v>
      </c>
      <c r="HA60" s="59">
        <f t="shared" si="52"/>
        <v>239.85955661394541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4.6527435904906094</v>
      </c>
      <c r="HH60" s="21">
        <f>EXP(-LN(2)/25)*HH59+(1-EXP(-LN(2)/25))/(LN(2)/25)*Calculateur!HC60*Calculateur!HE60*VLOOKUP('Données projet'!$B$18,Paramètres!$A$1:$I$89,3,0)*0.475*44/12</f>
        <v>8.1094063425371061</v>
      </c>
      <c r="HI60" s="21">
        <f>EXP(-LN(2)/2)*HI59+(1-EXP(-LN(2)/2))/(LN(2)/2)*HC60*HF60*VLOOKUP('Données projet'!$B$18,Paramètres!$A$1:$I$89,3,0)*0.475*44/12</f>
        <v>5.7863040018641928E-4</v>
      </c>
      <c r="HJ60" s="22">
        <f t="shared" si="30"/>
        <v>12.762728563427901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</v>
      </c>
      <c r="N61" s="13">
        <f>IF('Données projet'!$A$36&gt;35,N60+M61-V60,IF(A61&lt;'Données projet'!$A$36,$K$205^A61,IF(A61='Données projet'!$A$36,'Données projet'!$B$36,N60+M61-V60)))</f>
        <v>586</v>
      </c>
      <c r="O61" s="13">
        <f>N61*VLOOKUP('Données projet'!$B$9,Paramètres!$A$1:$I$89,3,0)*VLOOKUP('Données projet'!$B$9,Paramètres!$A$1:$I$89,5,0)</f>
        <v>327.57400000000001</v>
      </c>
      <c r="P61" s="13">
        <f t="shared" si="33"/>
        <v>76.927119684760811</v>
      </c>
      <c r="Q61" s="20">
        <f t="shared" si="53"/>
        <v>704.50611678429186</v>
      </c>
      <c r="R61" s="59">
        <f t="shared" si="0"/>
        <v>997.83945011762512</v>
      </c>
      <c r="S61" s="59">
        <f ca="1">AVERAGE(OFFSET($R$3,0,0,'Données projet'!$E$9+1,1))-AVERAGE(OFFSET($H$3,0,0,'Données projet'!$E$9+1,1))</f>
        <v>370.69652285220093</v>
      </c>
      <c r="T61" s="59">
        <f t="shared" si="34"/>
        <v>376.53494965377718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5.9030899107528567</v>
      </c>
      <c r="AA61" s="21">
        <f>EXP(-LN(2)/25)*AA60+(1-EXP(-LN(2)/25))/(LN(2)/25)*Calculateur!V61*Calculateur!X61*VLOOKUP('Données projet'!$B$9,Paramètres!$A$1:$I$89,3,0)*0.475*44/12</f>
        <v>15.369737270458202</v>
      </c>
      <c r="AB61" s="21">
        <f>EXP(-LN(2)/2)*AB60+(1-EXP(-LN(2)/2))/(LN(2)/2)*V61*Y61*VLOOKUP('Données projet'!$B$9,Paramètres!$A$1:$I$89,3,0)*0.475*44/12</f>
        <v>1.997666292809027E-3</v>
      </c>
      <c r="AC61" s="22">
        <f t="shared" si="3"/>
        <v>21.274824847503869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254.61071999999999</v>
      </c>
      <c r="AK61" s="13">
        <f t="shared" si="35"/>
        <v>61.572204587965679</v>
      </c>
      <c r="AL61" s="20">
        <f t="shared" si="4"/>
        <v>550.68526032404009</v>
      </c>
      <c r="AM61" s="59">
        <f t="shared" si="5"/>
        <v>844.01859365737346</v>
      </c>
      <c r="AN61" s="59">
        <f ca="1">AVERAGE(OFFSET($AM$3,0,0,'Données projet'!$E$10+1,1))-AVERAGE(OFFSET($H$3,0,0,'Données projet'!$E$10+1,1))</f>
        <v>321.03881567735544</v>
      </c>
      <c r="AO61" s="59">
        <f t="shared" si="36"/>
        <v>234.87694492493506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1.3833503629239017</v>
      </c>
      <c r="AV61" s="21">
        <f>EXP(-LN(2)/25)*AV60+(1-EXP(-LN(2)/25))/(LN(2)/25)*Calculateur!AQ61*Calculateur!AS61*VLOOKUP('Données projet'!$B$10,Paramètres!$A$1:$I$89,3,0)*0.475*44/12</f>
        <v>6.2368072560958767</v>
      </c>
      <c r="AW61" s="21">
        <f>EXP(-LN(2)/2)*AW60+(1-EXP(-LN(2)/2))/(LN(2)/2)*AQ61*AT61*VLOOKUP('Données projet'!$B$10,Paramètres!$A$1:$I$89,3,0)*0.475*44/12</f>
        <v>1.3269094444995047E-3</v>
      </c>
      <c r="AX61" s="21">
        <f t="shared" si="6"/>
        <v>7.6214845284642783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11.3</v>
      </c>
      <c r="BD61" s="12">
        <f>IF('Données projet'!$A$88&gt;35,BD60+BC61-BL60,IF(A61&lt;'Données projet'!$A$88,$BA$205^A61,IF(A61='Données projet'!$A$88,'Données projet'!$B$88,BD60+BC61-BL60)))</f>
        <v>410.4000000000002</v>
      </c>
      <c r="BE61" s="13">
        <f>BD61*VLOOKUP('Données projet'!$B$11,Paramètres!$A$1:$I$89,3,0)*VLOOKUP('Données projet'!$B$11,Paramètres!$A$1:$I$89,5,0)</f>
        <v>224.0784000000001</v>
      </c>
      <c r="BF61" s="13">
        <f t="shared" si="37"/>
        <v>55.000355965484125</v>
      </c>
      <c r="BG61" s="20">
        <f t="shared" si="7"/>
        <v>486.06216663988494</v>
      </c>
      <c r="BH61" s="59">
        <f t="shared" si="8"/>
        <v>779.39549997321819</v>
      </c>
      <c r="BI61" s="59">
        <f ca="1">AVERAGE(OFFSET($BH$3,0,0,'Données projet'!$E$11+1,1))-AVERAGE(OFFSET($H$3,0,0,'Données projet'!$E$11+1,1))</f>
        <v>248.1486444660062</v>
      </c>
      <c r="BJ61" s="59">
        <f t="shared" si="38"/>
        <v>293.34458072322127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4.8922013636683275</v>
      </c>
      <c r="BQ61" s="21">
        <f>EXP(-LN(2)/25)*BQ60+(1-EXP(-LN(2)/25))/(LN(2)/25)*Calculateur!BL61*Calculateur!BN61*VLOOKUP('Données projet'!$B$11,Paramètres!$A$1:$I$89,3,0)*0.475*44/12</f>
        <v>15.660553878114408</v>
      </c>
      <c r="BR61" s="21">
        <f>EXP(-LN(2)/2)*BR60+(1-EXP(-LN(2)/2))/(LN(2)/2)*BL61*BO61*VLOOKUP('Données projet'!$B$11,Paramètres!$A$1:$I$89,3,0)*0.475*44/12</f>
        <v>1.5370133126749422E-3</v>
      </c>
      <c r="BS61" s="22">
        <f t="shared" si="9"/>
        <v>20.554292255095408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7.2</v>
      </c>
      <c r="BY61" s="12">
        <f>IF('Données projet'!$A$114&gt;35,BY60+BX61-CG60,IF(A61&lt;'Données projet'!$A$114,$BV$205^A61,IF(A61='Données projet'!$A$114,'Données projet'!$B$114,BY60+BX61-CG60)))</f>
        <v>256.59999999999997</v>
      </c>
      <c r="BZ61" s="13">
        <f>BY61*VLOOKUP('Données projet'!$B$12,Paramètres!$A$1:$I$89,3,0)*VLOOKUP('Données projet'!$B$12,Paramètres!$A$1:$I$89,5,0)</f>
        <v>224.16576000000001</v>
      </c>
      <c r="CA61" s="13">
        <f t="shared" si="39"/>
        <v>55.019302246962667</v>
      </c>
      <c r="CB61" s="20">
        <f t="shared" si="10"/>
        <v>486.24731674679327</v>
      </c>
      <c r="CC61" s="59">
        <f t="shared" si="11"/>
        <v>779.58065008012659</v>
      </c>
      <c r="CD61" s="59">
        <f ca="1">AVERAGE(OFFSET($CC$3,0,0,'Données projet'!$E$12+1,1))-AVERAGE(OFFSET($H$3,0,0,'Données projet'!$E$12+1,1))</f>
        <v>243.38048563215585</v>
      </c>
      <c r="CE61" s="59">
        <f t="shared" si="40"/>
        <v>372.1604147006675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4.1977528254242538</v>
      </c>
      <c r="CL61" s="21">
        <f>EXP(-LN(2)/25)*CL60+(1-EXP(-LN(2)/25))/(LN(2)/25)*Calculateur!CG61*Calculateur!CI61*VLOOKUP('Données projet'!$B$12,Paramètres!$A$1:$I$89,3,0)*0.475*44/12</f>
        <v>8.9085338117290149</v>
      </c>
      <c r="CM61" s="21">
        <f>EXP(-LN(2)/2)*CM60+(1-EXP(-LN(2)/2))/(LN(2)/2)*CG61*CJ61*VLOOKUP('Données projet'!$B$12,Paramètres!$A$1:$I$89,3,0)*0.475*44/12</f>
        <v>1.7892418953346046E-3</v>
      </c>
      <c r="CN61" s="22">
        <f t="shared" si="12"/>
        <v>13.108075879048602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19.2</v>
      </c>
      <c r="CT61" s="12">
        <f>IF('Données projet'!$A$140&gt;35,CT60+CS61-DB60,IF(A61&lt;'Données projet'!$A$140,$CQ$205^A61,IF(A61='Données projet'!$A$140,'Données projet'!$B$140,CT60+CS61-DB60)))</f>
        <v>591.60000000000025</v>
      </c>
      <c r="CU61" s="17">
        <f>CT61*VLOOKUP('Données projet'!$B$13,Paramètres!$A$1:$I$89,3,0)*VLOOKUP('Données projet'!$B$13,Paramètres!$A$1:$I$89,5,0)</f>
        <v>284.5596000000001</v>
      </c>
      <c r="CV61" s="13">
        <f t="shared" si="41"/>
        <v>67.929675697579739</v>
      </c>
      <c r="CW61" s="20">
        <f t="shared" si="13"/>
        <v>613.91882183995142</v>
      </c>
      <c r="CX61" s="59">
        <f t="shared" si="14"/>
        <v>907.25215517328479</v>
      </c>
      <c r="CY61" s="59">
        <f ca="1">AVERAGE(OFFSET($CX$3,0,0,'Données projet'!$E$13+1,1))-AVERAGE(OFFSET($H$3,0,0,'Données projet'!$E$13+1,1))</f>
        <v>297.21955661193238</v>
      </c>
      <c r="CZ61" s="59">
        <f t="shared" si="42"/>
        <v>273.69206144662144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3.8700212925422925</v>
      </c>
      <c r="DG61" s="21">
        <f>EXP(-LN(2)/25)*DG60+(1-EXP(-LN(2)/25))/(LN(2)/25)*Calculateur!DB61*Calculateur!DD61*VLOOKUP('Données projet'!$B$13,Paramètres!$A$1:$I$89,3,0)*0.475*44/12</f>
        <v>6.1759019636451411</v>
      </c>
      <c r="DH61" s="21">
        <f>EXP(-LN(2)/2)*DH60+(1-EXP(-LN(2)/2))/(LN(2)/2)*DB61*DE61*VLOOKUP('Données projet'!$B$13,Paramètres!$A$1:$I$89,3,0)*0.475*44/12</f>
        <v>1.2764150041646018E-3</v>
      </c>
      <c r="DI61" s="22">
        <f t="shared" si="15"/>
        <v>10.047199671191599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235.81583999999995</v>
      </c>
      <c r="DQ61" s="13">
        <f t="shared" si="43"/>
        <v>57.538368655200898</v>
      </c>
      <c r="DR61" s="20">
        <f t="shared" si="16"/>
        <v>510.92524674114156</v>
      </c>
      <c r="DS61" s="59">
        <f t="shared" si="17"/>
        <v>804.25858007447482</v>
      </c>
      <c r="DT61" s="59">
        <f ca="1">AVERAGE(OFFSET($DS$3,0,0,'Données projet'!$E$14+1,1))-AVERAGE(OFFSET($H$3,0,0,'Données projet'!$E$14+1,1))</f>
        <v>260.20517190557814</v>
      </c>
      <c r="DU61" s="59">
        <f t="shared" si="44"/>
        <v>307.22009971147133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1.874095845520904</v>
      </c>
      <c r="EB61" s="21">
        <f>EXP(-LN(2)/25)*EB60+(1-EXP(-LN(2)/25))/(LN(2)/25)*Calculateur!DW61*Calculateur!DY61*VLOOKUP('Données projet'!$B$14,Paramètres!$A$1:$I$89,3,0)*0.475*44/12</f>
        <v>9.4409425115433674</v>
      </c>
      <c r="EC61" s="21">
        <f>EXP(-LN(2)/2)*EC60+(1-EXP(-LN(2)/2))/(LN(2)/2)*DW61*DZ61*VLOOKUP('Données projet'!$B$14,Paramètres!$A$1:$I$89,3,0)*0.475*44/12</f>
        <v>1.467226211716143E-3</v>
      </c>
      <c r="ED61" s="22">
        <f t="shared" si="18"/>
        <v>11.316505583275987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12.8</v>
      </c>
      <c r="EJ61" s="12">
        <f>IF('Données projet'!$A$192&gt;35,EJ60+EI61-ER60,IF(A61&lt;'Données projet'!$A$192,$EG$205^A61,IF(A61='Données projet'!$A$192,'Données projet'!$B$192,EJ60+EI61-ER60)))</f>
        <v>421.40000000000026</v>
      </c>
      <c r="EK61" s="17">
        <f>EJ61*VLOOKUP('Données projet'!$B$15,Paramètres!$A$1:$I$89,3,0)*VLOOKUP('Données projet'!$B$15,Paramètres!$A$1:$I$89,5,0)</f>
        <v>251.99720000000019</v>
      </c>
      <c r="EL61" s="13">
        <f t="shared" si="45"/>
        <v>61.013412917313239</v>
      </c>
      <c r="EM61" s="20">
        <f t="shared" si="19"/>
        <v>545.16015083098762</v>
      </c>
      <c r="EN61" s="59">
        <f t="shared" si="20"/>
        <v>838.49348416432099</v>
      </c>
      <c r="EO61" s="59">
        <f ca="1">AVERAGE(OFFSET($EN$3,0,0,'Données projet'!$E$15+1,1))-AVERAGE(OFFSET($H$3,0,0,'Données projet'!$E$15+1,1))</f>
        <v>259.30247982593914</v>
      </c>
      <c r="EP61" s="59">
        <f t="shared" si="46"/>
        <v>275.24740346220779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8.2968779478009314</v>
      </c>
      <c r="EX61" s="21">
        <f>EXP(-LN(2)/2)*EX60+(1-EXP(-LN(2)/2))/(LN(2)/2)*ER61*EU61*VLOOKUP('Données projet'!$B$15,Paramètres!$A$1:$I$89,3,0)*0.475*44/12</f>
        <v>1.7505169788735984E-3</v>
      </c>
      <c r="EY61" s="22">
        <f t="shared" si="21"/>
        <v>8.2986284647798048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9.8000000000000007</v>
      </c>
      <c r="FE61" s="12">
        <f>IF('Données projet'!$A$218&gt;35,FE60+FD61-FM60,IF(A61&lt;'Données projet'!$A$218,$FB$205^A61,IF(A61='Données projet'!$A$218,'Données projet'!$B$218,FE60+FD61-FM60)))</f>
        <v>281.39999999999998</v>
      </c>
      <c r="FF61" s="17">
        <f>FE61*VLOOKUP('Données projet'!$B$16,Paramètres!$A$1:$I$89,3,0)*VLOOKUP('Données projet'!$B$16,Paramètres!$A$1:$I$89,5,0)</f>
        <v>285.33960000000002</v>
      </c>
      <c r="FG61" s="13">
        <f t="shared" si="47"/>
        <v>68.094176261531288</v>
      </c>
      <c r="FH61" s="20">
        <f t="shared" si="22"/>
        <v>615.56382698883374</v>
      </c>
      <c r="FI61" s="59">
        <f t="shared" si="23"/>
        <v>908.89716032216711</v>
      </c>
      <c r="FJ61" s="59">
        <f ca="1">AVERAGE(OFFSET($FI$3,0,0,'Données projet'!$E$16+1,1))-AVERAGE(OFFSET($H$3,0,0,'Données projet'!$E$16+1,1))</f>
        <v>372.91317851957336</v>
      </c>
      <c r="FK61" s="59">
        <f t="shared" si="48"/>
        <v>269.69187715858413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1.5503064412078211</v>
      </c>
      <c r="FR61" s="21">
        <f>EXP(-LN(2)/25)*FR60+(1-EXP(-LN(2)/25))/(LN(2)/25)*Calculateur!FM61*Calculateur!FO61*VLOOKUP('Données projet'!$B$16,Paramètres!$A$1:$I$89,3,0)*0.475*44/12</f>
        <v>6.9895253732108973</v>
      </c>
      <c r="FS61" s="21">
        <f>EXP(-LN(2)/2)*FS60+(1-EXP(-LN(2)/2))/(LN(2)/2)*FM61*FP61*VLOOKUP('Données projet'!$B$16,Paramètres!$A$1:$I$89,3,0)*0.475*44/12</f>
        <v>1.4870536878011679E-3</v>
      </c>
      <c r="FT61" s="22">
        <f t="shared" si="24"/>
        <v>8.5413188681065204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13.499999999999996</v>
      </c>
      <c r="FZ61" s="12">
        <f>IF('Données projet'!$A$244&gt;35,FZ60+FY61-GH60,IF(A61&lt;'Données projet'!$A$244,$FW$205^A61,IF(A61='Données projet'!$A$244,'Données projet'!$B$244,FZ60+FY61-GH60)))</f>
        <v>347.79999999999984</v>
      </c>
      <c r="GA61" s="17">
        <f>FZ61*VLOOKUP('Données projet'!$B$17,Paramètres!$A$1:$I$89,3,0)*VLOOKUP('Données projet'!$B$17,Paramètres!$A$1:$I$89,5,0)</f>
        <v>162.77039999999994</v>
      </c>
      <c r="GB61" s="13">
        <f t="shared" si="49"/>
        <v>41.466761176934256</v>
      </c>
      <c r="GC61" s="20">
        <f t="shared" si="25"/>
        <v>355.71305571649367</v>
      </c>
      <c r="GD61" s="59">
        <f t="shared" si="26"/>
        <v>649.04638904982698</v>
      </c>
      <c r="GE61" s="59">
        <f ca="1">AVERAGE(OFFSET($GD$3,0,0,'Données projet'!$E$17+1,1))-AVERAGE(OFFSET($H$3,0,0,'Données projet'!$E$17+1,1))</f>
        <v>215.23235148064941</v>
      </c>
      <c r="GF61" s="59">
        <f t="shared" si="50"/>
        <v>184.07239726900434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1.8003443648076818</v>
      </c>
      <c r="GM61" s="21">
        <f>EXP(-LN(2)/25)*GM60+(1-EXP(-LN(2)/25))/(LN(2)/25)*Calculateur!GH61*Calculateur!GJ61*VLOOKUP('Données projet'!$B$17,Paramètres!$A$1:$I$89,3,0)*0.475*44/12</f>
        <v>3.6142506442342404</v>
      </c>
      <c r="GN61" s="21">
        <f>EXP(-LN(2)/2)*GN60+(1-EXP(-LN(2)/2))/(LN(2)/2)*GH61*GK61*VLOOKUP('Données projet'!$B$17,Paramètres!$A$1:$I$89,3,0)*0.475*44/12</f>
        <v>6.0010842775244091E-4</v>
      </c>
      <c r="GO61" s="21">
        <f t="shared" si="27"/>
        <v>5.4151951174696746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3</v>
      </c>
      <c r="GU61" s="12">
        <f>IF('Données projet'!$A$270&gt;35,GU60+GT61-HC60,IF(A61&lt;'Données projet'!$A$270,$GR$205^A61,IF(A61='Données projet'!$A$270,'Données projet'!$B$270,GU60+GT61-HC60)))</f>
        <v>396.99999999999989</v>
      </c>
      <c r="GV61" s="17">
        <f>GU61*VLOOKUP('Données projet'!$B$18,Paramètres!$A$1:$I$89,3,0)*VLOOKUP('Données projet'!$B$18,Paramètres!$A$1:$I$89,5,0)</f>
        <v>237.40599999999995</v>
      </c>
      <c r="GW61" s="13">
        <f t="shared" si="51"/>
        <v>57.881066248213493</v>
      </c>
      <c r="GX61" s="20">
        <f t="shared" si="28"/>
        <v>514.29164038230499</v>
      </c>
      <c r="GY61" s="59">
        <f t="shared" si="29"/>
        <v>807.62497371563836</v>
      </c>
      <c r="GZ61" s="59">
        <f ca="1">AVERAGE(OFFSET($GY$3,0,0,'Données projet'!$E$18+1,1))-AVERAGE(OFFSET($H$3,0,0,'Données projet'!$E$18+1,1))</f>
        <v>227.89848316900191</v>
      </c>
      <c r="HA61" s="59">
        <f t="shared" si="52"/>
        <v>239.85955661394541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4.5615061265744599</v>
      </c>
      <c r="HH61" s="21">
        <f>EXP(-LN(2)/25)*HH60+(1-EXP(-LN(2)/25))/(LN(2)/25)*Calculateur!HC61*Calculateur!HE61*VLOOKUP('Données projet'!$B$18,Paramètres!$A$1:$I$89,3,0)*0.475*44/12</f>
        <v>7.8876541996452838</v>
      </c>
      <c r="HI61" s="21">
        <f>EXP(-LN(2)/2)*HI60+(1-EXP(-LN(2)/2))/(LN(2)/2)*HC61*HF61*VLOOKUP('Données projet'!$B$18,Paramètres!$A$1:$I$89,3,0)*0.475*44/12</f>
        <v>4.091534797725028E-4</v>
      </c>
      <c r="HJ61" s="22">
        <f t="shared" si="30"/>
        <v>12.449569479699516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</v>
      </c>
      <c r="N62" s="13">
        <f>IF('Données projet'!$A$36&gt;35,N61+M62-V61,IF(A62&lt;'Données projet'!$A$36,$K$205^A62,IF(A62='Données projet'!$A$36,'Données projet'!$B$36,N61+M62-V61)))</f>
        <v>604</v>
      </c>
      <c r="O62" s="13">
        <f>N62*VLOOKUP('Données projet'!$B$9,Paramètres!$A$1:$I$89,3,0)*VLOOKUP('Données projet'!$B$9,Paramètres!$A$1:$I$89,5,0)</f>
        <v>337.63599999999997</v>
      </c>
      <c r="P62" s="13">
        <f t="shared" si="33"/>
        <v>79.0113308976659</v>
      </c>
      <c r="Q62" s="20">
        <f t="shared" si="53"/>
        <v>725.66076798010135</v>
      </c>
      <c r="R62" s="59">
        <f t="shared" si="0"/>
        <v>1018.9941013134346</v>
      </c>
      <c r="S62" s="59">
        <f ca="1">AVERAGE(OFFSET($R$3,0,0,'Données projet'!$E$9+1,1))-AVERAGE(OFFSET($H$3,0,0,'Données projet'!$E$9+1,1))</f>
        <v>370.69652285220093</v>
      </c>
      <c r="T62" s="59">
        <f t="shared" si="34"/>
        <v>376.53494965377718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5.7873339181323162</v>
      </c>
      <c r="AA62" s="21">
        <f>EXP(-LN(2)/25)*AA61+(1-EXP(-LN(2)/25))/(LN(2)/25)*Calculateur!V62*Calculateur!X62*VLOOKUP('Données projet'!$B$9,Paramètres!$A$1:$I$89,3,0)*0.475*44/12</f>
        <v>14.949450996538168</v>
      </c>
      <c r="AB62" s="21">
        <f>EXP(-LN(2)/2)*AB61+(1-EXP(-LN(2)/2))/(LN(2)/2)*V62*Y62*VLOOKUP('Données projet'!$B$9,Paramètres!$A$1:$I$89,3,0)*0.475*44/12</f>
        <v>1.4125633821930543E-3</v>
      </c>
      <c r="AC62" s="22">
        <f t="shared" si="3"/>
        <v>20.738197478052676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263.47775999999999</v>
      </c>
      <c r="AK62" s="13">
        <f t="shared" si="35"/>
        <v>63.46312159763346</v>
      </c>
      <c r="AL62" s="20">
        <f t="shared" si="4"/>
        <v>569.42203544921153</v>
      </c>
      <c r="AM62" s="59">
        <f t="shared" si="5"/>
        <v>862.75536878254479</v>
      </c>
      <c r="AN62" s="59">
        <f ca="1">AVERAGE(OFFSET($AM$3,0,0,'Données projet'!$E$10+1,1))-AVERAGE(OFFSET($H$3,0,0,'Données projet'!$E$10+1,1))</f>
        <v>321.03881567735544</v>
      </c>
      <c r="AO62" s="59">
        <f t="shared" si="36"/>
        <v>234.87694492493506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1.356223706067371</v>
      </c>
      <c r="AV62" s="21">
        <f>EXP(-LN(2)/25)*AV61+(1-EXP(-LN(2)/25))/(LN(2)/25)*Calculateur!AQ62*Calculateur!AS62*VLOOKUP('Données projet'!$B$10,Paramètres!$A$1:$I$89,3,0)*0.475*44/12</f>
        <v>6.0662614336984957</v>
      </c>
      <c r="AW62" s="21">
        <f>EXP(-LN(2)/2)*AW61+(1-EXP(-LN(2)/2))/(LN(2)/2)*AQ62*AT62*VLOOKUP('Données projet'!$B$10,Paramètres!$A$1:$I$89,3,0)*0.475*44/12</f>
        <v>9.3826666622607463E-4</v>
      </c>
      <c r="AX62" s="21">
        <f t="shared" si="6"/>
        <v>7.4234234064320921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11.3</v>
      </c>
      <c r="BD62" s="12">
        <f>IF('Données projet'!$A$88&gt;35,BD61+BC62-BL61,IF(A62&lt;'Données projet'!$A$88,$BA$205^A62,IF(A62='Données projet'!$A$88,'Données projet'!$B$88,BD61+BC62-BL61)))</f>
        <v>421.70000000000022</v>
      </c>
      <c r="BE62" s="13">
        <f>BD62*VLOOKUP('Données projet'!$B$11,Paramètres!$A$1:$I$89,3,0)*VLOOKUP('Données projet'!$B$11,Paramètres!$A$1:$I$89,5,0)</f>
        <v>230.24820000000011</v>
      </c>
      <c r="BF62" s="13">
        <f t="shared" si="37"/>
        <v>56.336344804856289</v>
      </c>
      <c r="BG62" s="20">
        <f t="shared" si="7"/>
        <v>499.13474886845819</v>
      </c>
      <c r="BH62" s="59">
        <f t="shared" si="8"/>
        <v>792.4680822017915</v>
      </c>
      <c r="BI62" s="59">
        <f ca="1">AVERAGE(OFFSET($BH$3,0,0,'Données projet'!$E$11+1,1))-AVERAGE(OFFSET($H$3,0,0,'Données projet'!$E$11+1,1))</f>
        <v>248.1486444660062</v>
      </c>
      <c r="BJ62" s="59">
        <f t="shared" si="38"/>
        <v>293.34458072322127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4.7962682788749831</v>
      </c>
      <c r="BQ62" s="21">
        <f>EXP(-LN(2)/25)*BQ61+(1-EXP(-LN(2)/25))/(LN(2)/25)*Calculateur!BL62*Calculateur!BN62*VLOOKUP('Données projet'!$B$11,Paramètres!$A$1:$I$89,3,0)*0.475*44/12</f>
        <v>15.232315208764634</v>
      </c>
      <c r="BR62" s="21">
        <f>EXP(-LN(2)/2)*BR61+(1-EXP(-LN(2)/2))/(LN(2)/2)*BL62*BO62*VLOOKUP('Données projet'!$B$11,Paramètres!$A$1:$I$89,3,0)*0.475*44/12</f>
        <v>1.0868325361664509E-3</v>
      </c>
      <c r="BS62" s="22">
        <f t="shared" si="9"/>
        <v>20.029670320175782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7.2</v>
      </c>
      <c r="BY62" s="12">
        <f>IF('Données projet'!$A$114&gt;35,BY61+BX62-CG61,IF(A62&lt;'Données projet'!$A$114,$BV$205^A62,IF(A62='Données projet'!$A$114,'Données projet'!$B$114,BY61+BX62-CG61)))</f>
        <v>263.79999999999995</v>
      </c>
      <c r="BZ62" s="13">
        <f>BY62*VLOOKUP('Données projet'!$B$12,Paramètres!$A$1:$I$89,3,0)*VLOOKUP('Données projet'!$B$12,Paramètres!$A$1:$I$89,5,0)</f>
        <v>230.45567999999997</v>
      </c>
      <c r="CA62" s="13">
        <f t="shared" si="39"/>
        <v>56.381198848277926</v>
      </c>
      <c r="CB62" s="20">
        <f t="shared" si="10"/>
        <v>499.57423066075063</v>
      </c>
      <c r="CC62" s="59">
        <f t="shared" si="11"/>
        <v>792.90756399408394</v>
      </c>
      <c r="CD62" s="59">
        <f ca="1">AVERAGE(OFFSET($CC$3,0,0,'Données projet'!$E$12+1,1))-AVERAGE(OFFSET($H$3,0,0,'Données projet'!$E$12+1,1))</f>
        <v>243.38048563215585</v>
      </c>
      <c r="CE62" s="59">
        <f t="shared" si="40"/>
        <v>372.1604147006675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4.1154374528940911</v>
      </c>
      <c r="CL62" s="21">
        <f>EXP(-LN(2)/25)*CL61+(1-EXP(-LN(2)/25))/(LN(2)/25)*Calculateur!CG62*Calculateur!CI62*VLOOKUP('Données projet'!$B$12,Paramètres!$A$1:$I$89,3,0)*0.475*44/12</f>
        <v>8.6649294861678534</v>
      </c>
      <c r="CM62" s="21">
        <f>EXP(-LN(2)/2)*CM61+(1-EXP(-LN(2)/2))/(LN(2)/2)*CG62*CJ62*VLOOKUP('Données projet'!$B$12,Paramètres!$A$1:$I$89,3,0)*0.475*44/12</f>
        <v>1.2651850773741698E-3</v>
      </c>
      <c r="CN62" s="22">
        <f t="shared" si="12"/>
        <v>12.781632124139319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19.2</v>
      </c>
      <c r="CT62" s="12">
        <f>IF('Données projet'!$A$140&gt;35,CT61+CS62-DB61,IF(A62&lt;'Données projet'!$A$140,$CQ$205^A62,IF(A62='Données projet'!$A$140,'Données projet'!$B$140,CT61+CS62-DB61)))</f>
        <v>610.8000000000003</v>
      </c>
      <c r="CU62" s="17">
        <f>CT62*VLOOKUP('Données projet'!$B$13,Paramètres!$A$1:$I$89,3,0)*VLOOKUP('Données projet'!$B$13,Paramètres!$A$1:$I$89,5,0)</f>
        <v>293.79480000000012</v>
      </c>
      <c r="CV62" s="13">
        <f t="shared" si="41"/>
        <v>69.874037051486752</v>
      </c>
      <c r="CW62" s="20">
        <f t="shared" si="13"/>
        <v>633.38989119800635</v>
      </c>
      <c r="CX62" s="59">
        <f t="shared" si="14"/>
        <v>926.72322453133961</v>
      </c>
      <c r="CY62" s="59">
        <f ca="1">AVERAGE(OFFSET($CX$3,0,0,'Données projet'!$E$13+1,1))-AVERAGE(OFFSET($H$3,0,0,'Données projet'!$E$13+1,1))</f>
        <v>297.21955661193238</v>
      </c>
      <c r="CZ62" s="59">
        <f t="shared" si="42"/>
        <v>273.69206144662144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3.7941325354754487</v>
      </c>
      <c r="DG62" s="21">
        <f>EXP(-LN(2)/25)*DG61+(1-EXP(-LN(2)/25))/(LN(2)/25)*Calculateur!DB62*Calculateur!DD62*VLOOKUP('Données projet'!$B$13,Paramètres!$A$1:$I$89,3,0)*0.475*44/12</f>
        <v>6.0070215996726954</v>
      </c>
      <c r="DH62" s="21">
        <f>EXP(-LN(2)/2)*DH61+(1-EXP(-LN(2)/2))/(LN(2)/2)*DB62*DE62*VLOOKUP('Données projet'!$B$13,Paramètres!$A$1:$I$89,3,0)*0.475*44/12</f>
        <v>9.0256170505304521E-4</v>
      </c>
      <c r="DI62" s="22">
        <f t="shared" si="15"/>
        <v>9.8020566968531959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241.22591999999997</v>
      </c>
      <c r="DQ62" s="13">
        <f t="shared" si="43"/>
        <v>58.703214877960853</v>
      </c>
      <c r="DR62" s="20">
        <f t="shared" si="16"/>
        <v>522.37657657911507</v>
      </c>
      <c r="DS62" s="59">
        <f t="shared" si="17"/>
        <v>815.70990991244844</v>
      </c>
      <c r="DT62" s="59">
        <f ca="1">AVERAGE(OFFSET($DS$3,0,0,'Données projet'!$E$14+1,1))-AVERAGE(OFFSET($H$3,0,0,'Données projet'!$E$14+1,1))</f>
        <v>260.20517190557814</v>
      </c>
      <c r="DU62" s="59">
        <f t="shared" si="44"/>
        <v>307.22009971147133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1.8373459690758345</v>
      </c>
      <c r="EB62" s="21">
        <f>EXP(-LN(2)/25)*EB61+(1-EXP(-LN(2)/25))/(LN(2)/25)*Calculateur!DW62*Calculateur!DY62*VLOOKUP('Données projet'!$B$14,Paramètres!$A$1:$I$89,3,0)*0.475*44/12</f>
        <v>9.1827794420876252</v>
      </c>
      <c r="EC62" s="21">
        <f>EXP(-LN(2)/2)*EC61+(1-EXP(-LN(2)/2))/(LN(2)/2)*DW62*DZ62*VLOOKUP('Données projet'!$B$14,Paramètres!$A$1:$I$89,3,0)*0.475*44/12</f>
        <v>1.0374856038391337E-3</v>
      </c>
      <c r="ED62" s="22">
        <f t="shared" si="18"/>
        <v>11.021162896767299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12.8</v>
      </c>
      <c r="EJ62" s="12">
        <f>IF('Données projet'!$A$192&gt;35,EJ61+EI62-ER61,IF(A62&lt;'Données projet'!$A$192,$EG$205^A62,IF(A62='Données projet'!$A$192,'Données projet'!$B$192,EJ61+EI62-ER61)))</f>
        <v>434.20000000000027</v>
      </c>
      <c r="EK62" s="17">
        <f>EJ62*VLOOKUP('Données projet'!$B$15,Paramètres!$A$1:$I$89,3,0)*VLOOKUP('Données projet'!$B$15,Paramètres!$A$1:$I$89,5,0)</f>
        <v>259.6516000000002</v>
      </c>
      <c r="EL62" s="13">
        <f t="shared" si="45"/>
        <v>62.6481073606721</v>
      </c>
      <c r="EM62" s="20">
        <f t="shared" si="19"/>
        <v>561.33865698650425</v>
      </c>
      <c r="EN62" s="59">
        <f t="shared" si="20"/>
        <v>854.67199031983751</v>
      </c>
      <c r="EO62" s="59">
        <f ca="1">AVERAGE(OFFSET($EN$3,0,0,'Données projet'!$E$15+1,1))-AVERAGE(OFFSET($H$3,0,0,'Données projet'!$E$15+1,1))</f>
        <v>259.30247982593914</v>
      </c>
      <c r="EP62" s="59">
        <f t="shared" si="46"/>
        <v>275.24740346220779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8.0699993840044666</v>
      </c>
      <c r="EX62" s="21">
        <f>EXP(-LN(2)/2)*EX61+(1-EXP(-LN(2)/2))/(LN(2)/2)*ER62*EU62*VLOOKUP('Données projet'!$B$15,Paramètres!$A$1:$I$89,3,0)*0.475*44/12</f>
        <v>1.2378024263437098E-3</v>
      </c>
      <c r="EY62" s="22">
        <f t="shared" si="21"/>
        <v>8.0712371864308103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9.8000000000000007</v>
      </c>
      <c r="FE62" s="12">
        <f>IF('Données projet'!$A$218&gt;35,FE61+FD62-FM61,IF(A62&lt;'Données projet'!$A$218,$FB$205^A62,IF(A62='Données projet'!$A$218,'Données projet'!$B$218,FE61+FD62-FM61)))</f>
        <v>291.2</v>
      </c>
      <c r="FF62" s="17">
        <f>FE62*VLOOKUP('Données projet'!$B$16,Paramètres!$A$1:$I$89,3,0)*VLOOKUP('Données projet'!$B$16,Paramètres!$A$1:$I$89,5,0)</f>
        <v>295.27680000000004</v>
      </c>
      <c r="FG62" s="13">
        <f t="shared" si="47"/>
        <v>70.185386686980493</v>
      </c>
      <c r="FH62" s="20">
        <f t="shared" si="22"/>
        <v>636.51330847982445</v>
      </c>
      <c r="FI62" s="59">
        <f t="shared" si="23"/>
        <v>929.8466418131577</v>
      </c>
      <c r="FJ62" s="59">
        <f ca="1">AVERAGE(OFFSET($FI$3,0,0,'Données projet'!$E$16+1,1))-AVERAGE(OFFSET($H$3,0,0,'Données projet'!$E$16+1,1))</f>
        <v>372.91317851957336</v>
      </c>
      <c r="FK62" s="59">
        <f t="shared" si="48"/>
        <v>269.69187715858413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1.5199058774892953</v>
      </c>
      <c r="FR62" s="21">
        <f>EXP(-LN(2)/25)*FR61+(1-EXP(-LN(2)/25))/(LN(2)/25)*Calculateur!FM62*Calculateur!FO62*VLOOKUP('Données projet'!$B$16,Paramètres!$A$1:$I$89,3,0)*0.475*44/12</f>
        <v>6.7983964343172811</v>
      </c>
      <c r="FS62" s="21">
        <f>EXP(-LN(2)/2)*FS61+(1-EXP(-LN(2)/2))/(LN(2)/2)*FM62*FP62*VLOOKUP('Données projet'!$B$16,Paramètres!$A$1:$I$89,3,0)*0.475*44/12</f>
        <v>1.051505746632669E-3</v>
      </c>
      <c r="FT62" s="22">
        <f t="shared" si="24"/>
        <v>8.3193538175532087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13.499999999999996</v>
      </c>
      <c r="FZ62" s="12">
        <f>IF('Données projet'!$A$244&gt;35,FZ61+FY62-GH61,IF(A62&lt;'Données projet'!$A$244,$FW$205^A62,IF(A62='Données projet'!$A$244,'Données projet'!$B$244,FZ61+FY62-GH61)))</f>
        <v>361.29999999999984</v>
      </c>
      <c r="GA62" s="17">
        <f>FZ62*VLOOKUP('Données projet'!$B$17,Paramètres!$A$1:$I$89,3,0)*VLOOKUP('Données projet'!$B$17,Paramètres!$A$1:$I$89,5,0)</f>
        <v>169.08839999999992</v>
      </c>
      <c r="GB62" s="13">
        <f t="shared" si="49"/>
        <v>42.885791664164614</v>
      </c>
      <c r="GC62" s="20">
        <f t="shared" si="25"/>
        <v>369.18838381508658</v>
      </c>
      <c r="GD62" s="59">
        <f t="shared" si="26"/>
        <v>662.52171714841984</v>
      </c>
      <c r="GE62" s="59">
        <f ca="1">AVERAGE(OFFSET($GD$3,0,0,'Données projet'!$E$17+1,1))-AVERAGE(OFFSET($H$3,0,0,'Données projet'!$E$17+1,1))</f>
        <v>215.23235148064941</v>
      </c>
      <c r="GF62" s="59">
        <f t="shared" si="50"/>
        <v>184.07239726900434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1.765040709915437</v>
      </c>
      <c r="GM62" s="21">
        <f>EXP(-LN(2)/25)*GM61+(1-EXP(-LN(2)/25))/(LN(2)/25)*Calculateur!GH62*Calculateur!GJ62*VLOOKUP('Données projet'!$B$17,Paramètres!$A$1:$I$89,3,0)*0.475*44/12</f>
        <v>3.5154187703024742</v>
      </c>
      <c r="GN62" s="21">
        <f>EXP(-LN(2)/2)*GN61+(1-EXP(-LN(2)/2))/(LN(2)/2)*GH62*GK62*VLOOKUP('Données projet'!$B$17,Paramètres!$A$1:$I$89,3,0)*0.475*44/12</f>
        <v>4.2434073871094831E-4</v>
      </c>
      <c r="GO62" s="21">
        <f t="shared" si="27"/>
        <v>5.280883820956622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3</v>
      </c>
      <c r="GU62" s="12">
        <f>IF('Données projet'!$A$270&gt;35,GU61+GT62-HC61,IF(A62&lt;'Données projet'!$A$270,$GR$205^A62,IF(A62='Données projet'!$A$270,'Données projet'!$B$270,GU61+GT62-HC61)))</f>
        <v>399.99999999999989</v>
      </c>
      <c r="GV62" s="17">
        <f>GU62*VLOOKUP('Données projet'!$B$18,Paramètres!$A$1:$I$89,3,0)*VLOOKUP('Données projet'!$B$18,Paramètres!$A$1:$I$89,5,0)</f>
        <v>239.19999999999993</v>
      </c>
      <c r="GW62" s="13">
        <f t="shared" si="51"/>
        <v>58.267373151570702</v>
      </c>
      <c r="GX62" s="20">
        <f t="shared" si="28"/>
        <v>518.08900823898546</v>
      </c>
      <c r="GY62" s="59">
        <f t="shared" si="29"/>
        <v>811.42234157231883</v>
      </c>
      <c r="GZ62" s="59">
        <f ca="1">AVERAGE(OFFSET($GY$3,0,0,'Données projet'!$E$18+1,1))-AVERAGE(OFFSET($H$3,0,0,'Données projet'!$E$18+1,1))</f>
        <v>227.89848316900191</v>
      </c>
      <c r="HA62" s="59">
        <f t="shared" si="52"/>
        <v>239.85955661394541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4.4720577736763483</v>
      </c>
      <c r="HH62" s="21">
        <f>EXP(-LN(2)/25)*HH61+(1-EXP(-LN(2)/25))/(LN(2)/25)*Calculateur!HC62*Calculateur!HE62*VLOOKUP('Données projet'!$B$18,Paramètres!$A$1:$I$89,3,0)*0.475*44/12</f>
        <v>7.6719658807622766</v>
      </c>
      <c r="HI62" s="21">
        <f>EXP(-LN(2)/2)*HI61+(1-EXP(-LN(2)/2))/(LN(2)/2)*HC62*HF62*VLOOKUP('Données projet'!$B$18,Paramètres!$A$1:$I$89,3,0)*0.475*44/12</f>
        <v>2.8931520009320964E-4</v>
      </c>
      <c r="HJ62" s="22">
        <f t="shared" si="30"/>
        <v>12.144312969638719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622</v>
      </c>
      <c r="L63" s="12">
        <f>VLOOKUP(A63,'Données projet'!$A$35:$I$55,9,0)</f>
        <v>18</v>
      </c>
      <c r="M63" s="12">
        <f t="array" ref="M63">INDEX(L:L,MIN(IF(ISNUMBER(L63:L259),ROW(L63:L259),"")))</f>
        <v>18</v>
      </c>
      <c r="N63" s="13">
        <f>IF('Données projet'!$A$36&gt;35,N62+M63-V62,IF(A63&lt;'Données projet'!$A$36,$K$205^A63,IF(A63='Données projet'!$A$36,'Données projet'!$B$36,N62+M63-V62)))</f>
        <v>622</v>
      </c>
      <c r="O63" s="13">
        <f>N63*VLOOKUP('Données projet'!$B$9,Paramètres!$A$1:$I$89,3,0)*VLOOKUP('Données projet'!$B$9,Paramètres!$A$1:$I$89,5,0)</f>
        <v>347.69799999999998</v>
      </c>
      <c r="P63" s="13">
        <f t="shared" si="33"/>
        <v>81.088323640441374</v>
      </c>
      <c r="Q63" s="20">
        <f t="shared" si="53"/>
        <v>746.80284700710206</v>
      </c>
      <c r="R63" s="59">
        <f t="shared" si="0"/>
        <v>1040.1361803404354</v>
      </c>
      <c r="S63" s="59">
        <f ca="1">AVERAGE(OFFSET($R$3,0,0,'Données projet'!$E$9+1,1))-AVERAGE(OFFSET($H$3,0,0,'Données projet'!$E$9+1,1))</f>
        <v>370.69652285220093</v>
      </c>
      <c r="T63" s="59">
        <f t="shared" si="34"/>
        <v>376.53494965377718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5.6738478299228801</v>
      </c>
      <c r="AA63" s="21">
        <f>EXP(-LN(2)/25)*AA62+(1-EXP(-LN(2)/25))/(LN(2)/25)*Calculateur!V63*Calculateur!X63*VLOOKUP('Données projet'!$B$9,Paramètres!$A$1:$I$89,3,0)*0.475*44/12</f>
        <v>14.540657472880371</v>
      </c>
      <c r="AB63" s="21">
        <f>EXP(-LN(2)/2)*AB62+(1-EXP(-LN(2)/2))/(LN(2)/2)*V63*Y63*VLOOKUP('Données projet'!$B$9,Paramètres!$A$1:$I$89,3,0)*0.475*44/12</f>
        <v>9.9883314640451348E-4</v>
      </c>
      <c r="AC63" s="22">
        <f t="shared" si="3"/>
        <v>20.215504135949654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272.34479999999996</v>
      </c>
      <c r="AK63" s="13">
        <f t="shared" si="35"/>
        <v>65.346644318451652</v>
      </c>
      <c r="AL63" s="20">
        <f t="shared" si="4"/>
        <v>588.14593218796983</v>
      </c>
      <c r="AM63" s="59">
        <f t="shared" si="5"/>
        <v>881.4792655213032</v>
      </c>
      <c r="AN63" s="59">
        <f ca="1">AVERAGE(OFFSET($AM$3,0,0,'Données projet'!$E$10+1,1))-AVERAGE(OFFSET($H$3,0,0,'Données projet'!$E$10+1,1))</f>
        <v>321.03881567735544</v>
      </c>
      <c r="AO63" s="59">
        <f t="shared" si="36"/>
        <v>234.87694492493506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1.3296289864061699</v>
      </c>
      <c r="AV63" s="21">
        <f>EXP(-LN(2)/25)*AV62+(1-EXP(-LN(2)/25))/(LN(2)/25)*Calculateur!AQ63*Calculateur!AS63*VLOOKUP('Données projet'!$B$10,Paramètres!$A$1:$I$89,3,0)*0.475*44/12</f>
        <v>5.9003791957831861</v>
      </c>
      <c r="AW63" s="21">
        <f>EXP(-LN(2)/2)*AW62+(1-EXP(-LN(2)/2))/(LN(2)/2)*AQ63*AT63*VLOOKUP('Données projet'!$B$10,Paramètres!$A$1:$I$89,3,0)*0.475*44/12</f>
        <v>6.6345472224975236E-4</v>
      </c>
      <c r="AX63" s="21">
        <f t="shared" si="6"/>
        <v>7.2306716369116053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433</v>
      </c>
      <c r="BB63" s="12">
        <f>VLOOKUP(A63,'Données projet'!$A$87:$I$107,9,0)</f>
        <v>11.3</v>
      </c>
      <c r="BC63" s="12">
        <f t="array" ref="BC63">INDEX(BB:BB,MIN(IF(ISNUMBER(BB63:BB259),ROW(BB63:BB259),"")))</f>
        <v>11.3</v>
      </c>
      <c r="BD63" s="12">
        <f>IF('Données projet'!$A$88&gt;35,BD62+BC63-BL62,IF(A63&lt;'Données projet'!$A$88,$BA$205^A63,IF(A63='Données projet'!$A$88,'Données projet'!$B$88,BD62+BC63-BL62)))</f>
        <v>433.00000000000023</v>
      </c>
      <c r="BE63" s="13">
        <f>BD63*VLOOKUP('Données projet'!$B$11,Paramètres!$A$1:$I$89,3,0)*VLOOKUP('Données projet'!$B$11,Paramètres!$A$1:$I$89,5,0)</f>
        <v>236.41800000000015</v>
      </c>
      <c r="BF63" s="13">
        <f t="shared" si="37"/>
        <v>57.668172541352803</v>
      </c>
      <c r="BG63" s="20">
        <f t="shared" si="7"/>
        <v>512.20008384285632</v>
      </c>
      <c r="BH63" s="59">
        <f t="shared" si="8"/>
        <v>805.53341717618969</v>
      </c>
      <c r="BI63" s="59">
        <f ca="1">AVERAGE(OFFSET($BH$3,0,0,'Données projet'!$E$11+1,1))-AVERAGE(OFFSET($H$3,0,0,'Données projet'!$E$11+1,1))</f>
        <v>248.1486444660062</v>
      </c>
      <c r="BJ63" s="59">
        <f t="shared" si="38"/>
        <v>293.34458072322127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67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4.7022163833610318</v>
      </c>
      <c r="BQ63" s="21">
        <f>EXP(-LN(2)/25)*BQ62+(1-EXP(-LN(2)/25))/(LN(2)/25)*Calculateur!BL63*Calculateur!BN63*VLOOKUP('Données projet'!$B$11,Paramètres!$A$1:$I$89,3,0)*0.475*44/12</f>
        <v>14.815786748348321</v>
      </c>
      <c r="BR63" s="21">
        <f>EXP(-LN(2)/2)*BR62+(1-EXP(-LN(2)/2))/(LN(2)/2)*BL63*BO63*VLOOKUP('Données projet'!$B$11,Paramètres!$A$1:$I$89,3,0)*0.475*44/12</f>
        <v>7.685066563374711E-4</v>
      </c>
      <c r="BS63" s="22">
        <f t="shared" si="9"/>
        <v>19.518771638365692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271</v>
      </c>
      <c r="BW63" s="12">
        <f>VLOOKUP(A63,'Données projet'!$A$113:$I$133,9,0)</f>
        <v>7.2</v>
      </c>
      <c r="BX63" s="12">
        <f t="array" ref="BX63">INDEX(BW:BW,MIN(IF(ISNUMBER(BW63:BW259),ROW(BW63:BW259),"")))</f>
        <v>7.2</v>
      </c>
      <c r="BY63" s="12">
        <f>IF('Données projet'!$A$114&gt;35,BY62+BX63-CG62,IF(A63&lt;'Données projet'!$A$114,$BV$205^A63,IF(A63='Données projet'!$A$114,'Données projet'!$B$114,BY62+BX63-CG62)))</f>
        <v>270.99999999999994</v>
      </c>
      <c r="BZ63" s="13">
        <f>BY63*VLOOKUP('Données projet'!$B$12,Paramètres!$A$1:$I$89,3,0)*VLOOKUP('Données projet'!$B$12,Paramètres!$A$1:$I$89,5,0)</f>
        <v>236.7456</v>
      </c>
      <c r="CA63" s="13">
        <f t="shared" si="39"/>
        <v>57.738775067879409</v>
      </c>
      <c r="CB63" s="20">
        <f t="shared" si="10"/>
        <v>512.89361990988994</v>
      </c>
      <c r="CC63" s="59">
        <f t="shared" si="11"/>
        <v>806.22695324322331</v>
      </c>
      <c r="CD63" s="59">
        <f ca="1">AVERAGE(OFFSET($CC$3,0,0,'Données projet'!$E$12+1,1))-AVERAGE(OFFSET($H$3,0,0,'Données projet'!$E$12+1,1))</f>
        <v>243.38048563215585</v>
      </c>
      <c r="CE63" s="59">
        <f t="shared" si="40"/>
        <v>372.1604147006675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55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4.0347362346118256</v>
      </c>
      <c r="CL63" s="21">
        <f>EXP(-LN(2)/25)*CL62+(1-EXP(-LN(2)/25))/(LN(2)/25)*Calculateur!CG63*Calculateur!CI63*VLOOKUP('Données projet'!$B$12,Paramètres!$A$1:$I$89,3,0)*0.475*44/12</f>
        <v>8.4279865336997553</v>
      </c>
      <c r="CM63" s="21">
        <f>EXP(-LN(2)/2)*CM62+(1-EXP(-LN(2)/2))/(LN(2)/2)*CG63*CJ63*VLOOKUP('Données projet'!$B$12,Paramètres!$A$1:$I$89,3,0)*0.475*44/12</f>
        <v>8.9462094766730232E-4</v>
      </c>
      <c r="CN63" s="22">
        <f t="shared" si="12"/>
        <v>12.463617389259248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630</v>
      </c>
      <c r="CR63" s="12">
        <f>VLOOKUP(A63,'Données projet'!$A$139:$I$159,9,0)</f>
        <v>19.2</v>
      </c>
      <c r="CS63" s="12">
        <f t="array" ref="CS63">INDEX(CR:CR,MIN(IF(ISNUMBER(CR63:CR259),ROW(CR63:CR259),"")))</f>
        <v>19.2</v>
      </c>
      <c r="CT63" s="12">
        <f>IF('Données projet'!$A$140&gt;35,CT62+CS63-DB62,IF(A63&lt;'Données projet'!$A$140,$CQ$205^A63,IF(A63='Données projet'!$A$140,'Données projet'!$B$140,CT62+CS63-DB62)))</f>
        <v>630.00000000000034</v>
      </c>
      <c r="CU63" s="17">
        <f>CT63*VLOOKUP('Données projet'!$B$13,Paramètres!$A$1:$I$89,3,0)*VLOOKUP('Données projet'!$B$13,Paramètres!$A$1:$I$89,5,0)</f>
        <v>303.0300000000002</v>
      </c>
      <c r="CV63" s="13">
        <f t="shared" si="41"/>
        <v>71.811295869366887</v>
      </c>
      <c r="CW63" s="20">
        <f t="shared" si="13"/>
        <v>652.84859030581424</v>
      </c>
      <c r="CX63" s="59">
        <f t="shared" si="14"/>
        <v>946.1819236391475</v>
      </c>
      <c r="CY63" s="59">
        <f ca="1">AVERAGE(OFFSET($CX$3,0,0,'Données projet'!$E$13+1,1))-AVERAGE(OFFSET($H$3,0,0,'Données projet'!$E$13+1,1))</f>
        <v>297.21955661193238</v>
      </c>
      <c r="CZ63" s="59">
        <f t="shared" si="42"/>
        <v>273.69206144662144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106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3.7197319106471145</v>
      </c>
      <c r="DG63" s="21">
        <f>EXP(-LN(2)/25)*DG62+(1-EXP(-LN(2)/25))/(LN(2)/25)*Calculateur!DB63*Calculateur!DD63*VLOOKUP('Données projet'!$B$13,Paramètres!$A$1:$I$89,3,0)*0.475*44/12</f>
        <v>5.8427592781341087</v>
      </c>
      <c r="DH63" s="21">
        <f>EXP(-LN(2)/2)*DH62+(1-EXP(-LN(2)/2))/(LN(2)/2)*DB63*DE63*VLOOKUP('Données projet'!$B$13,Paramètres!$A$1:$I$89,3,0)*0.475*44/12</f>
        <v>6.3820750208230088E-4</v>
      </c>
      <c r="DI63" s="22">
        <f t="shared" si="15"/>
        <v>9.5631293962833048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246.63599999999997</v>
      </c>
      <c r="DQ63" s="13">
        <f t="shared" si="43"/>
        <v>59.865023903294535</v>
      </c>
      <c r="DR63" s="20">
        <f t="shared" si="16"/>
        <v>533.82261663157112</v>
      </c>
      <c r="DS63" s="59">
        <f t="shared" si="17"/>
        <v>827.15594996490449</v>
      </c>
      <c r="DT63" s="59">
        <f ca="1">AVERAGE(OFFSET($DS$3,0,0,'Données projet'!$E$14+1,1))-AVERAGE(OFFSET($H$3,0,0,'Données projet'!$E$14+1,1))</f>
        <v>260.20517190557814</v>
      </c>
      <c r="DU63" s="59">
        <f t="shared" si="44"/>
        <v>307.22009971147133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1.8013167352926416</v>
      </c>
      <c r="EB63" s="21">
        <f>EXP(-LN(2)/25)*EB62+(1-EXP(-LN(2)/25))/(LN(2)/25)*Calculateur!DW63*Calculateur!DY63*VLOOKUP('Données projet'!$B$14,Paramètres!$A$1:$I$89,3,0)*0.475*44/12</f>
        <v>8.9316758553423554</v>
      </c>
      <c r="EC63" s="21">
        <f>EXP(-LN(2)/2)*EC62+(1-EXP(-LN(2)/2))/(LN(2)/2)*DW63*DZ63*VLOOKUP('Données projet'!$B$14,Paramètres!$A$1:$I$89,3,0)*0.475*44/12</f>
        <v>7.3361310585807148E-4</v>
      </c>
      <c r="ED63" s="22">
        <f t="shared" si="18"/>
        <v>10.733726203740854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447</v>
      </c>
      <c r="EH63" s="12">
        <f>VLOOKUP(A63,'Données projet'!$A$191:$I$211,9,0)</f>
        <v>12.8</v>
      </c>
      <c r="EI63" s="12">
        <f t="array" ref="EI63">INDEX(EH:EH,MIN(IF(ISNUMBER(EH63:EH259),ROW(EH63:EH259),"")))</f>
        <v>12.8</v>
      </c>
      <c r="EJ63" s="12">
        <f>IF('Données projet'!$A$192&gt;35,EJ62+EI63-ER62,IF(A63&lt;'Données projet'!$A$192,$EG$205^A63,IF(A63='Données projet'!$A$192,'Données projet'!$B$192,EJ62+EI63-ER62)))</f>
        <v>447.00000000000028</v>
      </c>
      <c r="EK63" s="17">
        <f>EJ63*VLOOKUP('Données projet'!$B$15,Paramètres!$A$1:$I$89,3,0)*VLOOKUP('Données projet'!$B$15,Paramètres!$A$1:$I$89,5,0)</f>
        <v>267.30600000000021</v>
      </c>
      <c r="EL63" s="13">
        <f t="shared" si="45"/>
        <v>64.27720124631206</v>
      </c>
      <c r="EM63" s="20">
        <f t="shared" si="19"/>
        <v>577.50740883732726</v>
      </c>
      <c r="EN63" s="59">
        <f t="shared" si="20"/>
        <v>870.84074217066063</v>
      </c>
      <c r="EO63" s="59">
        <f ca="1">AVERAGE(OFFSET($EN$3,0,0,'Données projet'!$E$15+1,1))-AVERAGE(OFFSET($H$3,0,0,'Données projet'!$E$15+1,1))</f>
        <v>259.30247982593914</v>
      </c>
      <c r="EP63" s="59">
        <f t="shared" si="46"/>
        <v>275.24740346220779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64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7.8493248264660407</v>
      </c>
      <c r="EX63" s="21">
        <f>EXP(-LN(2)/2)*EX62+(1-EXP(-LN(2)/2))/(LN(2)/2)*ER63*EU63*VLOOKUP('Données projet'!$B$15,Paramètres!$A$1:$I$89,3,0)*0.475*44/12</f>
        <v>8.7525848943679921E-4</v>
      </c>
      <c r="EY63" s="22">
        <f t="shared" si="21"/>
        <v>7.8502000849554774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301</v>
      </c>
      <c r="FC63" s="12">
        <f>VLOOKUP(A63,'Données projet'!$A$217:$I$237,9,0)</f>
        <v>9.8000000000000007</v>
      </c>
      <c r="FD63" s="12">
        <f t="array" ref="FD63">INDEX(FC:FC,MIN(IF(ISNUMBER(FC63:FC259),ROW(FC63:FC259),"")))</f>
        <v>9.8000000000000007</v>
      </c>
      <c r="FE63" s="12">
        <f>IF('Données projet'!$A$218&gt;35,FE62+FD63-FM62,IF(A63&lt;'Données projet'!$A$218,$FB$205^A63,IF(A63='Données projet'!$A$218,'Données projet'!$B$218,FE62+FD63-FM62)))</f>
        <v>301</v>
      </c>
      <c r="FF63" s="17">
        <f>FE63*VLOOKUP('Données projet'!$B$16,Paramètres!$A$1:$I$89,3,0)*VLOOKUP('Données projet'!$B$16,Paramètres!$A$1:$I$89,5,0)</f>
        <v>305.214</v>
      </c>
      <c r="FG63" s="13">
        <f t="shared" si="47"/>
        <v>72.268419591231336</v>
      </c>
      <c r="FH63" s="20">
        <f t="shared" si="22"/>
        <v>657.44854745472787</v>
      </c>
      <c r="FI63" s="59">
        <f t="shared" si="23"/>
        <v>950.78188078806124</v>
      </c>
      <c r="FJ63" s="59">
        <f ca="1">AVERAGE(OFFSET($FI$3,0,0,'Données projet'!$E$16+1,1))-AVERAGE(OFFSET($H$3,0,0,'Données projet'!$E$16+1,1))</f>
        <v>372.91317851957336</v>
      </c>
      <c r="FK63" s="59">
        <f t="shared" si="48"/>
        <v>269.69187715858413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56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1.4901014502827767</v>
      </c>
      <c r="FR63" s="21">
        <f>EXP(-LN(2)/25)*FR62+(1-EXP(-LN(2)/25))/(LN(2)/25)*Calculateur!FM63*Calculateur!FO63*VLOOKUP('Données projet'!$B$16,Paramètres!$A$1:$I$89,3,0)*0.475*44/12</f>
        <v>6.6124939263087441</v>
      </c>
      <c r="FS63" s="21">
        <f>EXP(-LN(2)/2)*FS62+(1-EXP(-LN(2)/2))/(LN(2)/2)*FM63*FP63*VLOOKUP('Données projet'!$B$16,Paramètres!$A$1:$I$89,3,0)*0.475*44/12</f>
        <v>7.4352684390058396E-4</v>
      </c>
      <c r="FT63" s="22">
        <f t="shared" si="24"/>
        <v>8.1033389034354215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374.79999999999995</v>
      </c>
      <c r="FX63" s="12">
        <f>VLOOKUP(A63,'Données projet'!$A$243:$I$263,9,0)</f>
        <v>13.499999999999996</v>
      </c>
      <c r="FY63" s="12">
        <f t="array" ref="FY63">INDEX(FX:FX,MIN(IF(ISNUMBER(FX63:FX259),ROW(FX63:FX259),"")))</f>
        <v>13.499999999999996</v>
      </c>
      <c r="FZ63" s="12">
        <f>IF('Données projet'!$A$244&gt;35,FZ62+FY63-GH62,IF(A63&lt;'Données projet'!$A$244,$FW$205^A63,IF(A63='Données projet'!$A$244,'Données projet'!$B$244,FZ62+FY63-GH62)))</f>
        <v>374.79999999999984</v>
      </c>
      <c r="GA63" s="17">
        <f>FZ63*VLOOKUP('Données projet'!$B$17,Paramètres!$A$1:$I$89,3,0)*VLOOKUP('Données projet'!$B$17,Paramètres!$A$1:$I$89,5,0)</f>
        <v>175.40639999999993</v>
      </c>
      <c r="GB63" s="13">
        <f t="shared" si="49"/>
        <v>44.298662258322672</v>
      </c>
      <c r="GC63" s="20">
        <f t="shared" si="25"/>
        <v>382.65298343324525</v>
      </c>
      <c r="GD63" s="59">
        <f t="shared" si="26"/>
        <v>675.98631676657851</v>
      </c>
      <c r="GE63" s="59">
        <f ca="1">AVERAGE(OFFSET($GD$3,0,0,'Données projet'!$E$17+1,1))-AVERAGE(OFFSET($H$3,0,0,'Données projet'!$E$17+1,1))</f>
        <v>215.23235148064941</v>
      </c>
      <c r="GF63" s="59">
        <f t="shared" si="50"/>
        <v>184.07239726900434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83.4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1.730429338162526</v>
      </c>
      <c r="GM63" s="21">
        <f>EXP(-LN(2)/25)*GM62+(1-EXP(-LN(2)/25))/(LN(2)/25)*Calculateur!GH63*Calculateur!GJ63*VLOOKUP('Données projet'!$B$17,Paramètres!$A$1:$I$89,3,0)*0.475*44/12</f>
        <v>3.4192894591607144</v>
      </c>
      <c r="GN63" s="21">
        <f>EXP(-LN(2)/2)*GN62+(1-EXP(-LN(2)/2))/(LN(2)/2)*GH63*GK63*VLOOKUP('Données projet'!$B$17,Paramètres!$A$1:$I$89,3,0)*0.475*44/12</f>
        <v>3.0005421387622046E-4</v>
      </c>
      <c r="GO63" s="21">
        <f t="shared" si="27"/>
        <v>5.1500188515371166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3</v>
      </c>
      <c r="GU63" s="12">
        <f>IF('Données projet'!$A$270&gt;35,GU62+GT63-HC62,IF(A63&lt;'Données projet'!$A$270,$GR$205^A63,IF(A63='Données projet'!$A$270,'Données projet'!$B$270,GU62+GT63-HC62)))</f>
        <v>402.99999999999989</v>
      </c>
      <c r="GV63" s="17">
        <f>GU63*VLOOKUP('Données projet'!$B$18,Paramètres!$A$1:$I$89,3,0)*VLOOKUP('Données projet'!$B$18,Paramètres!$A$1:$I$89,5,0)</f>
        <v>240.99399999999997</v>
      </c>
      <c r="GW63" s="13">
        <f t="shared" si="51"/>
        <v>58.653342952823401</v>
      </c>
      <c r="GX63" s="20">
        <f t="shared" si="28"/>
        <v>521.88578897616731</v>
      </c>
      <c r="GY63" s="59">
        <f t="shared" si="29"/>
        <v>815.21912230950056</v>
      </c>
      <c r="GZ63" s="59">
        <f ca="1">AVERAGE(OFFSET($GY$3,0,0,'Données projet'!$E$18+1,1))-AVERAGE(OFFSET($H$3,0,0,'Données projet'!$E$18+1,1))</f>
        <v>227.89848316900191</v>
      </c>
      <c r="HA63" s="59">
        <f t="shared" si="52"/>
        <v>239.85955661394541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4.3843634484204603</v>
      </c>
      <c r="HH63" s="21">
        <f>EXP(-LN(2)/25)*HH62+(1-EXP(-LN(2)/25))/(LN(2)/25)*Calculateur!HC63*Calculateur!HE63*VLOOKUP('Données projet'!$B$18,Paramètres!$A$1:$I$89,3,0)*0.475*44/12</f>
        <v>7.4621755703016808</v>
      </c>
      <c r="HI63" s="21">
        <f>EXP(-LN(2)/2)*HI62+(1-EXP(-LN(2)/2))/(LN(2)/2)*HC63*HF63*VLOOKUP('Données projet'!$B$18,Paramètres!$A$1:$I$89,3,0)*0.475*44/12</f>
        <v>2.045767398862514E-4</v>
      </c>
      <c r="HJ63" s="22">
        <f t="shared" si="30"/>
        <v>11.846743595462026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14.5</v>
      </c>
      <c r="N64" s="13">
        <f>IF('Données projet'!$A$36&gt;35,N63+M64-V63,IF(A64&lt;'Données projet'!$A$36,$K$205^A64,IF(A64='Données projet'!$A$36,'Données projet'!$B$36,N63+M64-V63)))</f>
        <v>546.5</v>
      </c>
      <c r="O64" s="13">
        <f>N64*VLOOKUP('Données projet'!$B$9,Paramètres!$A$1:$I$89,3,0)*VLOOKUP('Données projet'!$B$9,Paramètres!$A$1:$I$89,5,0)</f>
        <v>305.49350000000004</v>
      </c>
      <c r="P64" s="13">
        <f t="shared" si="33"/>
        <v>72.326893010073533</v>
      </c>
      <c r="Q64" s="20">
        <f t="shared" si="53"/>
        <v>658.03718449254472</v>
      </c>
      <c r="R64" s="59">
        <f t="shared" si="0"/>
        <v>951.3705178258781</v>
      </c>
      <c r="S64" s="59">
        <f ca="1">AVERAGE(OFFSET($R$3,0,0,'Données projet'!$E$9+1,1))-AVERAGE(OFFSET($H$3,0,0,'Données projet'!$E$9+1,1))</f>
        <v>370.69652285220093</v>
      </c>
      <c r="T64" s="59">
        <f t="shared" si="34"/>
        <v>376.53494965377718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5.562587134683552</v>
      </c>
      <c r="AA64" s="21">
        <f>EXP(-LN(2)/25)*AA63+(1-EXP(-LN(2)/25))/(LN(2)/25)*Calculateur!V64*Calculateur!X64*VLOOKUP('Données projet'!$B$9,Paramètres!$A$1:$I$89,3,0)*0.475*44/12</f>
        <v>14.143042429624513</v>
      </c>
      <c r="AB64" s="21">
        <f>EXP(-LN(2)/2)*AB63+(1-EXP(-LN(2)/2))/(LN(2)/2)*V64*Y64*VLOOKUP('Données projet'!$B$9,Paramètres!$A$1:$I$89,3,0)*0.475*44/12</f>
        <v>7.0628169109652713E-4</v>
      </c>
      <c r="AC64" s="22">
        <f t="shared" si="3"/>
        <v>19.706335845999163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229.36680000000001</v>
      </c>
      <c r="AK64" s="13">
        <f t="shared" si="35"/>
        <v>56.14574692729505</v>
      </c>
      <c r="AL64" s="20">
        <f t="shared" si="4"/>
        <v>497.26768589837212</v>
      </c>
      <c r="AM64" s="59">
        <f t="shared" si="5"/>
        <v>790.60101923170544</v>
      </c>
      <c r="AN64" s="59">
        <f ca="1">AVERAGE(OFFSET($AM$3,0,0,'Données projet'!$E$10+1,1))-AVERAGE(OFFSET($H$3,0,0,'Données projet'!$E$10+1,1))</f>
        <v>321.03881567735544</v>
      </c>
      <c r="AO64" s="59">
        <f t="shared" si="36"/>
        <v>234.87694492493506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1.3035557729763476</v>
      </c>
      <c r="AV64" s="21">
        <f>EXP(-LN(2)/25)*AV63+(1-EXP(-LN(2)/25))/(LN(2)/25)*Calculateur!AQ64*Calculateur!AS64*VLOOKUP('Données projet'!$B$10,Paramètres!$A$1:$I$89,3,0)*0.475*44/12</f>
        <v>5.7390330163870384</v>
      </c>
      <c r="AW64" s="21">
        <f>EXP(-LN(2)/2)*AW63+(1-EXP(-LN(2)/2))/(LN(2)/2)*AQ64*AT64*VLOOKUP('Données projet'!$B$10,Paramètres!$A$1:$I$89,3,0)*0.475*44/12</f>
        <v>4.6913333311303731E-4</v>
      </c>
      <c r="AX64" s="21">
        <f t="shared" si="6"/>
        <v>7.0430579226964989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9.8000000000000007</v>
      </c>
      <c r="BD64" s="12">
        <f>IF('Données projet'!$A$88&gt;35,BD63+BC64-BL63,IF(A64&lt;'Données projet'!$A$88,$BA$205^A64,IF(A64='Données projet'!$A$88,'Données projet'!$B$88,BD63+BC64-BL63)))</f>
        <v>375.80000000000024</v>
      </c>
      <c r="BE64" s="13">
        <f>BD64*VLOOKUP('Données projet'!$B$11,Paramètres!$A$1:$I$89,3,0)*VLOOKUP('Données projet'!$B$11,Paramètres!$A$1:$I$89,5,0)</f>
        <v>205.18680000000015</v>
      </c>
      <c r="BF64" s="13">
        <f t="shared" si="37"/>
        <v>50.882365236333044</v>
      </c>
      <c r="BG64" s="20">
        <f t="shared" si="7"/>
        <v>445.98712945328037</v>
      </c>
      <c r="BH64" s="59">
        <f t="shared" si="8"/>
        <v>739.32046278661369</v>
      </c>
      <c r="BI64" s="59">
        <f ca="1">AVERAGE(OFFSET($BH$3,0,0,'Données projet'!$E$11+1,1))-AVERAGE(OFFSET($H$3,0,0,'Données projet'!$E$11+1,1))</f>
        <v>248.1486444660062</v>
      </c>
      <c r="BJ64" s="59">
        <f t="shared" si="38"/>
        <v>293.34458072322127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4.6100087881521175</v>
      </c>
      <c r="BQ64" s="21">
        <f>EXP(-LN(2)/25)*BQ63+(1-EXP(-LN(2)/25))/(LN(2)/25)*Calculateur!BL64*Calculateur!BN64*VLOOKUP('Données projet'!$B$11,Paramètres!$A$1:$I$89,3,0)*0.475*44/12</f>
        <v>14.410648280586374</v>
      </c>
      <c r="BR64" s="21">
        <f>EXP(-LN(2)/2)*BR63+(1-EXP(-LN(2)/2))/(LN(2)/2)*BL64*BO64*VLOOKUP('Données projet'!$B$11,Paramètres!$A$1:$I$89,3,0)*0.475*44/12</f>
        <v>5.4341626808322545E-4</v>
      </c>
      <c r="BS64" s="22">
        <f t="shared" si="9"/>
        <v>19.021200485006574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5.6</v>
      </c>
      <c r="BY64" s="12">
        <f>IF('Données projet'!$A$114&gt;35,BY63+BX64-CG63,IF(A64&lt;'Données projet'!$A$114,$BV$205^A64,IF(A64='Données projet'!$A$114,'Données projet'!$B$114,BY63+BX64-CG63)))</f>
        <v>221.59999999999997</v>
      </c>
      <c r="BZ64" s="13">
        <f>BY64*VLOOKUP('Données projet'!$B$12,Paramètres!$A$1:$I$89,3,0)*VLOOKUP('Données projet'!$B$12,Paramètres!$A$1:$I$89,5,0)</f>
        <v>193.58975999999998</v>
      </c>
      <c r="CA64" s="13">
        <f t="shared" si="39"/>
        <v>48.332731202087039</v>
      </c>
      <c r="CB64" s="20">
        <f t="shared" si="10"/>
        <v>421.34833884363485</v>
      </c>
      <c r="CC64" s="59">
        <f t="shared" si="11"/>
        <v>714.68167217696816</v>
      </c>
      <c r="CD64" s="59">
        <f ca="1">AVERAGE(OFFSET($CC$3,0,0,'Données projet'!$E$12+1,1))-AVERAGE(OFFSET($H$3,0,0,'Données projet'!$E$12+1,1))</f>
        <v>243.38048563215585</v>
      </c>
      <c r="CE64" s="59">
        <f t="shared" si="40"/>
        <v>372.1604147006675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3.9556175179971924</v>
      </c>
      <c r="CL64" s="21">
        <f>EXP(-LN(2)/25)*CL63+(1-EXP(-LN(2)/25))/(LN(2)/25)*Calculateur!CG64*Calculateur!CI64*VLOOKUP('Données projet'!$B$12,Paramètres!$A$1:$I$89,3,0)*0.475*44/12</f>
        <v>8.1975227987271868</v>
      </c>
      <c r="CM64" s="21">
        <f>EXP(-LN(2)/2)*CM63+(1-EXP(-LN(2)/2))/(LN(2)/2)*CG64*CJ64*VLOOKUP('Données projet'!$B$12,Paramètres!$A$1:$I$89,3,0)*0.475*44/12</f>
        <v>6.3259253868708492E-4</v>
      </c>
      <c r="CN64" s="22">
        <f t="shared" si="12"/>
        <v>12.153772909263067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17</v>
      </c>
      <c r="CT64" s="12">
        <f>IF('Données projet'!$A$140&gt;35,CT63+CS64-DB63,IF(A64&lt;'Données projet'!$A$140,$CQ$205^A64,IF(A64='Données projet'!$A$140,'Données projet'!$B$140,CT63+CS64-DB63)))</f>
        <v>541.00000000000034</v>
      </c>
      <c r="CU64" s="17">
        <f>CT64*VLOOKUP('Données projet'!$B$13,Paramètres!$A$1:$I$89,3,0)*VLOOKUP('Données projet'!$B$13,Paramètres!$A$1:$I$89,5,0)</f>
        <v>260.22100000000017</v>
      </c>
      <c r="CV64" s="13">
        <f t="shared" si="41"/>
        <v>62.769483895641194</v>
      </c>
      <c r="CW64" s="20">
        <f t="shared" si="13"/>
        <v>562.54175945157533</v>
      </c>
      <c r="CX64" s="59">
        <f t="shared" si="14"/>
        <v>855.8750927849087</v>
      </c>
      <c r="CY64" s="59">
        <f ca="1">AVERAGE(OFFSET($CX$3,0,0,'Données projet'!$E$13+1,1))-AVERAGE(OFFSET($H$3,0,0,'Données projet'!$E$13+1,1))</f>
        <v>297.21955661193238</v>
      </c>
      <c r="CZ64" s="59">
        <f t="shared" si="42"/>
        <v>273.69206144662144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3.6467902366917633</v>
      </c>
      <c r="DG64" s="21">
        <f>EXP(-LN(2)/25)*DG63+(1-EXP(-LN(2)/25))/(LN(2)/25)*Calculateur!DB64*Calculateur!DD64*VLOOKUP('Données projet'!$B$13,Paramètres!$A$1:$I$89,3,0)*0.475*44/12</f>
        <v>5.6829887184161745</v>
      </c>
      <c r="DH64" s="21">
        <f>EXP(-LN(2)/2)*DH63+(1-EXP(-LN(2)/2))/(LN(2)/2)*DB64*DE64*VLOOKUP('Données projet'!$B$13,Paramètres!$A$1:$I$89,3,0)*0.475*44/12</f>
        <v>4.5128085252652261E-4</v>
      </c>
      <c r="DI64" s="22">
        <f t="shared" si="15"/>
        <v>9.3302302359604639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226.66643999999994</v>
      </c>
      <c r="DQ64" s="13">
        <f t="shared" si="43"/>
        <v>55.561276600641385</v>
      </c>
      <c r="DR64" s="20">
        <f t="shared" si="16"/>
        <v>491.5466064127836</v>
      </c>
      <c r="DS64" s="59">
        <f t="shared" si="17"/>
        <v>784.87993974611686</v>
      </c>
      <c r="DT64" s="59">
        <f ca="1">AVERAGE(OFFSET($DS$3,0,0,'Données projet'!$E$14+1,1))-AVERAGE(OFFSET($H$3,0,0,'Données projet'!$E$14+1,1))</f>
        <v>260.20517190557814</v>
      </c>
      <c r="DU64" s="59">
        <f t="shared" si="44"/>
        <v>307.22009971147133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1.7659940128082743</v>
      </c>
      <c r="EB64" s="21">
        <f>EXP(-LN(2)/25)*EB63+(1-EXP(-LN(2)/25))/(LN(2)/25)*Calculateur!DW64*Calculateur!DY64*VLOOKUP('Données projet'!$B$14,Paramètres!$A$1:$I$89,3,0)*0.475*44/12</f>
        <v>8.687438709381599</v>
      </c>
      <c r="EC64" s="21">
        <f>EXP(-LN(2)/2)*EC63+(1-EXP(-LN(2)/2))/(LN(2)/2)*DW64*DZ64*VLOOKUP('Données projet'!$B$14,Paramètres!$A$1:$I$89,3,0)*0.475*44/12</f>
        <v>5.1874280191956687E-4</v>
      </c>
      <c r="ED64" s="22">
        <f t="shared" si="18"/>
        <v>10.453951464991793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10.7</v>
      </c>
      <c r="EJ64" s="12">
        <f>IF('Données projet'!$A$192&gt;35,EJ63+EI64-ER63,IF(A64&lt;'Données projet'!$A$192,$EG$205^A64,IF(A64='Données projet'!$A$192,'Données projet'!$B$192,EJ63+EI64-ER63)))</f>
        <v>393.70000000000027</v>
      </c>
      <c r="EK64" s="17">
        <f>EJ64*VLOOKUP('Données projet'!$B$15,Paramètres!$A$1:$I$89,3,0)*VLOOKUP('Données projet'!$B$15,Paramètres!$A$1:$I$89,5,0)</f>
        <v>235.43260000000021</v>
      </c>
      <c r="EL64" s="13">
        <f t="shared" si="45"/>
        <v>57.455735904492705</v>
      </c>
      <c r="EM64" s="20">
        <f t="shared" si="19"/>
        <v>510.11385170032509</v>
      </c>
      <c r="EN64" s="59">
        <f t="shared" si="20"/>
        <v>803.44718503365834</v>
      </c>
      <c r="EO64" s="59">
        <f ca="1">AVERAGE(OFFSET($EN$3,0,0,'Données projet'!$E$15+1,1))-AVERAGE(OFFSET($H$3,0,0,'Données projet'!$E$15+1,1))</f>
        <v>259.30247982593914</v>
      </c>
      <c r="EP64" s="59">
        <f t="shared" si="46"/>
        <v>275.24740346220779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7.6346846263082737</v>
      </c>
      <c r="EX64" s="21">
        <f>EXP(-LN(2)/2)*EX63+(1-EXP(-LN(2)/2))/(LN(2)/2)*ER64*EU64*VLOOKUP('Données projet'!$B$15,Paramètres!$A$1:$I$89,3,0)*0.475*44/12</f>
        <v>6.1890121317185489E-4</v>
      </c>
      <c r="EY64" s="22">
        <f t="shared" si="21"/>
        <v>7.6353035275214456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8.5</v>
      </c>
      <c r="FE64" s="12">
        <f>IF('Données projet'!$A$218&gt;35,FE63+FD64-FM63,IF(A64&lt;'Données projet'!$A$218,$FB$205^A64,IF(A64='Données projet'!$A$218,'Données projet'!$B$218,FE63+FD64-FM63)))</f>
        <v>253.5</v>
      </c>
      <c r="FF64" s="17">
        <f>FE64*VLOOKUP('Données projet'!$B$16,Paramètres!$A$1:$I$89,3,0)*VLOOKUP('Données projet'!$B$16,Paramètres!$A$1:$I$89,5,0)</f>
        <v>257.04900000000004</v>
      </c>
      <c r="FG64" s="13">
        <f t="shared" si="47"/>
        <v>62.092926722162559</v>
      </c>
      <c r="FH64" s="20">
        <f t="shared" si="22"/>
        <v>555.83885570776647</v>
      </c>
      <c r="FI64" s="59">
        <f t="shared" si="23"/>
        <v>849.17218904109973</v>
      </c>
      <c r="FJ64" s="59">
        <f ca="1">AVERAGE(OFFSET($FI$3,0,0,'Données projet'!$E$16+1,1))-AVERAGE(OFFSET($H$3,0,0,'Données projet'!$E$16+1,1))</f>
        <v>372.91317851957336</v>
      </c>
      <c r="FK64" s="59">
        <f t="shared" si="48"/>
        <v>269.69187715858413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1.4608814697148724</v>
      </c>
      <c r="FR64" s="21">
        <f>EXP(-LN(2)/25)*FR63+(1-EXP(-LN(2)/25))/(LN(2)/25)*Calculateur!FM64*Calculateur!FO64*VLOOKUP('Données projet'!$B$16,Paramètres!$A$1:$I$89,3,0)*0.475*44/12</f>
        <v>6.4316749321578888</v>
      </c>
      <c r="FS64" s="21">
        <f>EXP(-LN(2)/2)*FS63+(1-EXP(-LN(2)/2))/(LN(2)/2)*FM64*FP64*VLOOKUP('Données projet'!$B$16,Paramètres!$A$1:$I$89,3,0)*0.475*44/12</f>
        <v>5.2575287331633449E-4</v>
      </c>
      <c r="FT64" s="22">
        <f t="shared" si="24"/>
        <v>7.8930821547460779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15.5</v>
      </c>
      <c r="FZ64" s="12">
        <f>IF('Données projet'!$A$244&gt;35,FZ63+FY64-GH63,IF(A64&lt;'Données projet'!$A$244,$FW$205^A64,IF(A64='Données projet'!$A$244,'Données projet'!$B$244,FZ63+FY64-GH63)))</f>
        <v>306.89999999999986</v>
      </c>
      <c r="GA64" s="17">
        <f>FZ64*VLOOKUP('Données projet'!$B$17,Paramètres!$A$1:$I$89,3,0)*VLOOKUP('Données projet'!$B$17,Paramètres!$A$1:$I$89,5,0)</f>
        <v>143.62919999999994</v>
      </c>
      <c r="GB64" s="13">
        <f t="shared" si="49"/>
        <v>37.127161849234348</v>
      </c>
      <c r="GC64" s="20">
        <f t="shared" si="25"/>
        <v>314.81733022074968</v>
      </c>
      <c r="GD64" s="59">
        <f t="shared" si="26"/>
        <v>608.15066355408294</v>
      </c>
      <c r="GE64" s="59">
        <f ca="1">AVERAGE(OFFSET($GD$3,0,0,'Données projet'!$E$17+1,1))-AVERAGE(OFFSET($H$3,0,0,'Données projet'!$E$17+1,1))</f>
        <v>215.23235148064941</v>
      </c>
      <c r="GF64" s="59">
        <f t="shared" si="50"/>
        <v>184.07239726900434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1.6964966742988374</v>
      </c>
      <c r="GM64" s="21">
        <f>EXP(-LN(2)/25)*GM63+(1-EXP(-LN(2)/25))/(LN(2)/25)*Calculateur!GH64*Calculateur!GJ64*VLOOKUP('Données projet'!$B$17,Paramètres!$A$1:$I$89,3,0)*0.475*44/12</f>
        <v>3.3257888090873466</v>
      </c>
      <c r="GN64" s="21">
        <f>EXP(-LN(2)/2)*GN63+(1-EXP(-LN(2)/2))/(LN(2)/2)*GH64*GK64*VLOOKUP('Données projet'!$B$17,Paramètres!$A$1:$I$89,3,0)*0.475*44/12</f>
        <v>2.1217036935547415E-4</v>
      </c>
      <c r="GO64" s="21">
        <f t="shared" si="27"/>
        <v>5.0224976537555399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3</v>
      </c>
      <c r="GU64" s="12">
        <f>IF('Données projet'!$A$270&gt;35,GU63+GT64-HC63,IF(A64&lt;'Données projet'!$A$270,$GR$205^A64,IF(A64='Données projet'!$A$270,'Données projet'!$B$270,GU63+GT64-HC63)))</f>
        <v>405.99999999999989</v>
      </c>
      <c r="GV64" s="17">
        <f>GU64*VLOOKUP('Données projet'!$B$18,Paramètres!$A$1:$I$89,3,0)*VLOOKUP('Données projet'!$B$18,Paramètres!$A$1:$I$89,5,0)</f>
        <v>242.78799999999995</v>
      </c>
      <c r="GW64" s="13">
        <f t="shared" si="51"/>
        <v>59.038978452354506</v>
      </c>
      <c r="GX64" s="20">
        <f t="shared" si="28"/>
        <v>525.68198747118402</v>
      </c>
      <c r="GY64" s="59">
        <f t="shared" si="29"/>
        <v>819.01532080451739</v>
      </c>
      <c r="GZ64" s="59">
        <f ca="1">AVERAGE(OFFSET($GY$3,0,0,'Données projet'!$E$18+1,1))-AVERAGE(OFFSET($H$3,0,0,'Données projet'!$E$18+1,1))</f>
        <v>227.89848316900191</v>
      </c>
      <c r="HA64" s="59">
        <f t="shared" si="52"/>
        <v>239.85955661394541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4.2983887553945834</v>
      </c>
      <c r="HH64" s="21">
        <f>EXP(-LN(2)/25)*HH63+(1-EXP(-LN(2)/25))/(LN(2)/25)*Calculateur!HC64*Calculateur!HE64*VLOOKUP('Données projet'!$B$18,Paramètres!$A$1:$I$89,3,0)*0.475*44/12</f>
        <v>7.2581219869130233</v>
      </c>
      <c r="HI64" s="21">
        <f>EXP(-LN(2)/2)*HI63+(1-EXP(-LN(2)/2))/(LN(2)/2)*HC64*HF64*VLOOKUP('Données projet'!$B$18,Paramètres!$A$1:$I$89,3,0)*0.475*44/12</f>
        <v>1.4465760004660482E-4</v>
      </c>
      <c r="HJ64" s="22">
        <f t="shared" si="30"/>
        <v>11.556655399907653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14.5</v>
      </c>
      <c r="N65" s="13">
        <f>IF('Données projet'!$A$36&gt;35,N64+M65-V64,IF(A65&lt;'Données projet'!$A$36,$K$205^A65,IF(A65='Données projet'!$A$36,'Données projet'!$B$36,N64+M65-V64)))</f>
        <v>561</v>
      </c>
      <c r="O65" s="13">
        <f>N65*VLOOKUP('Données projet'!$B$9,Paramètres!$A$1:$I$89,3,0)*VLOOKUP('Données projet'!$B$9,Paramètres!$A$1:$I$89,5,0)</f>
        <v>313.59899999999999</v>
      </c>
      <c r="P65" s="13">
        <f t="shared" si="33"/>
        <v>74.019938943375337</v>
      </c>
      <c r="Q65" s="20">
        <f t="shared" si="53"/>
        <v>675.10298532637864</v>
      </c>
      <c r="R65" s="59">
        <f t="shared" si="0"/>
        <v>968.43631865971201</v>
      </c>
      <c r="S65" s="59">
        <f ca="1">AVERAGE(OFFSET($R$3,0,0,'Données projet'!$E$9+1,1))-AVERAGE(OFFSET($H$3,0,0,'Données projet'!$E$9+1,1))</f>
        <v>370.69652285220093</v>
      </c>
      <c r="T65" s="59">
        <f t="shared" si="34"/>
        <v>376.53494965377718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5.4535081938155443</v>
      </c>
      <c r="AA65" s="21">
        <f>EXP(-LN(2)/25)*AA64+(1-EXP(-LN(2)/25))/(LN(2)/25)*Calculateur!V65*Calculateur!X65*VLOOKUP('Données projet'!$B$9,Paramètres!$A$1:$I$89,3,0)*0.475*44/12</f>
        <v>13.756300190636154</v>
      </c>
      <c r="AB65" s="21">
        <f>EXP(-LN(2)/2)*AB64+(1-EXP(-LN(2)/2))/(LN(2)/2)*V65*Y65*VLOOKUP('Données projet'!$B$9,Paramètres!$A$1:$I$89,3,0)*0.475*44/12</f>
        <v>4.9941657320225674E-4</v>
      </c>
      <c r="AC65" s="22">
        <f t="shared" si="3"/>
        <v>19.2103078010249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237.05759999999998</v>
      </c>
      <c r="AK65" s="13">
        <f t="shared" si="35"/>
        <v>57.806004997354641</v>
      </c>
      <c r="AL65" s="20">
        <f t="shared" si="4"/>
        <v>513.55411203705933</v>
      </c>
      <c r="AM65" s="59">
        <f t="shared" si="5"/>
        <v>806.8874453703927</v>
      </c>
      <c r="AN65" s="59">
        <f ca="1">AVERAGE(OFFSET($AM$3,0,0,'Données projet'!$E$10+1,1))-AVERAGE(OFFSET($H$3,0,0,'Données projet'!$E$10+1,1))</f>
        <v>321.03881567735544</v>
      </c>
      <c r="AO65" s="59">
        <f t="shared" si="36"/>
        <v>234.87694492493506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1.2779938393587942</v>
      </c>
      <c r="AV65" s="21">
        <f>EXP(-LN(2)/25)*AV64+(1-EXP(-LN(2)/25))/(LN(2)/25)*Calculateur!AQ65*Calculateur!AS65*VLOOKUP('Données projet'!$B$10,Paramètres!$A$1:$I$89,3,0)*0.475*44/12</f>
        <v>5.5820988567513057</v>
      </c>
      <c r="AW65" s="21">
        <f>EXP(-LN(2)/2)*AW64+(1-EXP(-LN(2)/2))/(LN(2)/2)*AQ65*AT65*VLOOKUP('Données projet'!$B$10,Paramètres!$A$1:$I$89,3,0)*0.475*44/12</f>
        <v>3.3172736112487618E-4</v>
      </c>
      <c r="AX65" s="21">
        <f t="shared" si="6"/>
        <v>6.8604244234712253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9.8000000000000007</v>
      </c>
      <c r="BD65" s="12">
        <f>IF('Données projet'!$A$88&gt;35,BD64+BC65-BL64,IF(A65&lt;'Données projet'!$A$88,$BA$205^A65,IF(A65='Données projet'!$A$88,'Données projet'!$B$88,BD64+BC65-BL64)))</f>
        <v>385.60000000000025</v>
      </c>
      <c r="BE65" s="13">
        <f>BD65*VLOOKUP('Données projet'!$B$11,Paramètres!$A$1:$I$89,3,0)*VLOOKUP('Données projet'!$B$11,Paramètres!$A$1:$I$89,5,0)</f>
        <v>210.53760000000014</v>
      </c>
      <c r="BF65" s="13">
        <f t="shared" si="37"/>
        <v>52.053047337322276</v>
      </c>
      <c r="BG65" s="20">
        <f t="shared" si="7"/>
        <v>457.3453774458365</v>
      </c>
      <c r="BH65" s="59">
        <f t="shared" si="8"/>
        <v>750.67871077916982</v>
      </c>
      <c r="BI65" s="59">
        <f ca="1">AVERAGE(OFFSET($BH$3,0,0,'Données projet'!$E$11+1,1))-AVERAGE(OFFSET($H$3,0,0,'Données projet'!$E$11+1,1))</f>
        <v>248.1486444660062</v>
      </c>
      <c r="BJ65" s="59">
        <f t="shared" si="38"/>
        <v>293.34458072322127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4.5196093276441704</v>
      </c>
      <c r="BQ65" s="21">
        <f>EXP(-LN(2)/25)*BQ64+(1-EXP(-LN(2)/25))/(LN(2)/25)*Calculateur!BL65*Calculateur!BN65*VLOOKUP('Données projet'!$B$11,Paramètres!$A$1:$I$89,3,0)*0.475*44/12</f>
        <v>14.016588345530682</v>
      </c>
      <c r="BR65" s="21">
        <f>EXP(-LN(2)/2)*BR64+(1-EXP(-LN(2)/2))/(LN(2)/2)*BL65*BO65*VLOOKUP('Données projet'!$B$11,Paramètres!$A$1:$I$89,3,0)*0.475*44/12</f>
        <v>3.8425332816873555E-4</v>
      </c>
      <c r="BS65" s="22">
        <f t="shared" si="9"/>
        <v>18.536581926503022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5.6</v>
      </c>
      <c r="BY65" s="12">
        <f>IF('Données projet'!$A$114&gt;35,BY64+BX65-CG64,IF(A65&lt;'Données projet'!$A$114,$BV$205^A65,IF(A65='Données projet'!$A$114,'Données projet'!$B$114,BY64+BX65-CG64)))</f>
        <v>227.19999999999996</v>
      </c>
      <c r="BZ65" s="13">
        <f>BY65*VLOOKUP('Données projet'!$B$12,Paramètres!$A$1:$I$89,3,0)*VLOOKUP('Données projet'!$B$12,Paramètres!$A$1:$I$89,5,0)</f>
        <v>198.48191999999997</v>
      </c>
      <c r="CA65" s="13">
        <f t="shared" si="39"/>
        <v>49.410391887159271</v>
      </c>
      <c r="CB65" s="20">
        <f t="shared" si="10"/>
        <v>431.74577653680234</v>
      </c>
      <c r="CC65" s="59">
        <f t="shared" si="11"/>
        <v>725.07910987013565</v>
      </c>
      <c r="CD65" s="59">
        <f ca="1">AVERAGE(OFFSET($CC$3,0,0,'Données projet'!$E$12+1,1))-AVERAGE(OFFSET($H$3,0,0,'Données projet'!$E$12+1,1))</f>
        <v>243.38048563215585</v>
      </c>
      <c r="CE65" s="59">
        <f t="shared" si="40"/>
        <v>372.1604147006675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3.8780502711577203</v>
      </c>
      <c r="CL65" s="21">
        <f>EXP(-LN(2)/25)*CL64+(1-EXP(-LN(2)/25))/(LN(2)/25)*Calculateur!CG65*Calculateur!CI65*VLOOKUP('Données projet'!$B$12,Paramètres!$A$1:$I$89,3,0)*0.475*44/12</f>
        <v>7.9733611067070038</v>
      </c>
      <c r="CM65" s="21">
        <f>EXP(-LN(2)/2)*CM64+(1-EXP(-LN(2)/2))/(LN(2)/2)*CG65*CJ65*VLOOKUP('Données projet'!$B$12,Paramètres!$A$1:$I$89,3,0)*0.475*44/12</f>
        <v>4.4731047383365116E-4</v>
      </c>
      <c r="CN65" s="22">
        <f t="shared" si="12"/>
        <v>11.851858688338559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17</v>
      </c>
      <c r="CT65" s="12">
        <f>IF('Données projet'!$A$140&gt;35,CT64+CS65-DB64,IF(A65&lt;'Données projet'!$A$140,$CQ$205^A65,IF(A65='Données projet'!$A$140,'Données projet'!$B$140,CT64+CS65-DB64)))</f>
        <v>558.00000000000034</v>
      </c>
      <c r="CU65" s="17">
        <f>CT65*VLOOKUP('Données projet'!$B$13,Paramètres!$A$1:$I$89,3,0)*VLOOKUP('Données projet'!$B$13,Paramètres!$A$1:$I$89,5,0)</f>
        <v>268.3980000000002</v>
      </c>
      <c r="CV65" s="13">
        <f t="shared" si="41"/>
        <v>64.5091667924669</v>
      </c>
      <c r="CW65" s="20">
        <f t="shared" si="13"/>
        <v>579.81331549688014</v>
      </c>
      <c r="CX65" s="59">
        <f t="shared" si="14"/>
        <v>873.14664883021351</v>
      </c>
      <c r="CY65" s="59">
        <f ca="1">AVERAGE(OFFSET($CX$3,0,0,'Données projet'!$E$13+1,1))-AVERAGE(OFFSET($H$3,0,0,'Données projet'!$E$13+1,1))</f>
        <v>297.21955661193238</v>
      </c>
      <c r="CZ65" s="59">
        <f t="shared" si="42"/>
        <v>273.69206144662144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3.5752789044726487</v>
      </c>
      <c r="DG65" s="21">
        <f>EXP(-LN(2)/25)*DG64+(1-EXP(-LN(2)/25))/(LN(2)/25)*Calculateur!DB65*Calculateur!DD65*VLOOKUP('Données projet'!$B$13,Paramètres!$A$1:$I$89,3,0)*0.475*44/12</f>
        <v>5.5275870930556961</v>
      </c>
      <c r="DH65" s="21">
        <f>EXP(-LN(2)/2)*DH64+(1-EXP(-LN(2)/2))/(LN(2)/2)*DB65*DE65*VLOOKUP('Données projet'!$B$13,Paramètres!$A$1:$I$89,3,0)*0.475*44/12</f>
        <v>3.1910375104115044E-4</v>
      </c>
      <c r="DI65" s="22">
        <f t="shared" si="15"/>
        <v>9.1031851012793847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230.56487999999993</v>
      </c>
      <c r="DQ65" s="13">
        <f t="shared" si="43"/>
        <v>56.404804351341944</v>
      </c>
      <c r="DR65" s="20">
        <f t="shared" si="16"/>
        <v>499.80553357858707</v>
      </c>
      <c r="DS65" s="59">
        <f t="shared" si="17"/>
        <v>793.13886691192033</v>
      </c>
      <c r="DT65" s="59">
        <f ca="1">AVERAGE(OFFSET($DS$3,0,0,'Données projet'!$E$14+1,1))-AVERAGE(OFFSET($H$3,0,0,'Données projet'!$E$14+1,1))</f>
        <v>260.20517190557814</v>
      </c>
      <c r="DU65" s="59">
        <f t="shared" si="44"/>
        <v>307.22009971147133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1.7313639473670921</v>
      </c>
      <c r="EB65" s="21">
        <f>EXP(-LN(2)/25)*EB64+(1-EXP(-LN(2)/25))/(LN(2)/25)*Calculateur!DW65*Calculateur!DY65*VLOOKUP('Données projet'!$B$14,Paramètres!$A$1:$I$89,3,0)*0.475*44/12</f>
        <v>8.4498802410210132</v>
      </c>
      <c r="EC65" s="21">
        <f>EXP(-LN(2)/2)*EC64+(1-EXP(-LN(2)/2))/(LN(2)/2)*DW65*DZ65*VLOOKUP('Données projet'!$B$14,Paramètres!$A$1:$I$89,3,0)*0.475*44/12</f>
        <v>3.6680655292903574E-4</v>
      </c>
      <c r="ED65" s="22">
        <f t="shared" si="18"/>
        <v>10.181610994941034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10.7</v>
      </c>
      <c r="EJ65" s="12">
        <f>IF('Données projet'!$A$192&gt;35,EJ64+EI65-ER64,IF(A65&lt;'Données projet'!$A$192,$EG$205^A65,IF(A65='Données projet'!$A$192,'Données projet'!$B$192,EJ64+EI65-ER64)))</f>
        <v>404.40000000000026</v>
      </c>
      <c r="EK65" s="17">
        <f>EJ65*VLOOKUP('Données projet'!$B$15,Paramètres!$A$1:$I$89,3,0)*VLOOKUP('Données projet'!$B$15,Paramètres!$A$1:$I$89,5,0)</f>
        <v>241.83120000000017</v>
      </c>
      <c r="EL65" s="13">
        <f t="shared" si="45"/>
        <v>58.833347619210102</v>
      </c>
      <c r="EM65" s="20">
        <f t="shared" si="19"/>
        <v>523.65742043679131</v>
      </c>
      <c r="EN65" s="59">
        <f t="shared" si="20"/>
        <v>816.99075377012468</v>
      </c>
      <c r="EO65" s="59">
        <f ca="1">AVERAGE(OFFSET($EN$3,0,0,'Données projet'!$E$15+1,1))-AVERAGE(OFFSET($H$3,0,0,'Données projet'!$E$15+1,1))</f>
        <v>259.30247982593914</v>
      </c>
      <c r="EP65" s="59">
        <f t="shared" si="46"/>
        <v>275.24740346220779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7.425913773711259</v>
      </c>
      <c r="EX65" s="21">
        <f>EXP(-LN(2)/2)*EX64+(1-EXP(-LN(2)/2))/(LN(2)/2)*ER65*EU65*VLOOKUP('Données projet'!$B$15,Paramètres!$A$1:$I$89,3,0)*0.475*44/12</f>
        <v>4.376292447183996E-4</v>
      </c>
      <c r="EY65" s="22">
        <f t="shared" si="21"/>
        <v>7.4263514029559774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8.5</v>
      </c>
      <c r="FE65" s="12">
        <f>IF('Données projet'!$A$218&gt;35,FE64+FD65-FM64,IF(A65&lt;'Données projet'!$A$218,$FB$205^A65,IF(A65='Données projet'!$A$218,'Données projet'!$B$218,FE64+FD65-FM64)))</f>
        <v>262</v>
      </c>
      <c r="FF65" s="17">
        <f>FE65*VLOOKUP('Données projet'!$B$16,Paramètres!$A$1:$I$89,3,0)*VLOOKUP('Données projet'!$B$16,Paramètres!$A$1:$I$89,5,0)</f>
        <v>265.66800000000001</v>
      </c>
      <c r="FG65" s="13">
        <f t="shared" si="47"/>
        <v>63.929045899944406</v>
      </c>
      <c r="FH65" s="20">
        <f t="shared" si="22"/>
        <v>574.04818827573661</v>
      </c>
      <c r="FI65" s="59">
        <f t="shared" si="23"/>
        <v>867.38152160906998</v>
      </c>
      <c r="FJ65" s="59">
        <f ca="1">AVERAGE(OFFSET($FI$3,0,0,'Données projet'!$E$16+1,1))-AVERAGE(OFFSET($H$3,0,0,'Données projet'!$E$16+1,1))</f>
        <v>372.91317851957336</v>
      </c>
      <c r="FK65" s="59">
        <f t="shared" si="48"/>
        <v>269.69187715858413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1.4322344751434763</v>
      </c>
      <c r="FR65" s="21">
        <f>EXP(-LN(2)/25)*FR64+(1-EXP(-LN(2)/25))/(LN(2)/25)*Calculateur!FM65*Calculateur!FO65*VLOOKUP('Données projet'!$B$16,Paramètres!$A$1:$I$89,3,0)*0.475*44/12</f>
        <v>6.2558004429109468</v>
      </c>
      <c r="FS65" s="21">
        <f>EXP(-LN(2)/2)*FS64+(1-EXP(-LN(2)/2))/(LN(2)/2)*FM65*FP65*VLOOKUP('Données projet'!$B$16,Paramètres!$A$1:$I$89,3,0)*0.475*44/12</f>
        <v>3.7176342195029198E-4</v>
      </c>
      <c r="FT65" s="22">
        <f t="shared" si="24"/>
        <v>7.6884066814763736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15.5</v>
      </c>
      <c r="FZ65" s="12">
        <f>IF('Données projet'!$A$244&gt;35,FZ64+FY65-GH64,IF(A65&lt;'Données projet'!$A$244,$FW$205^A65,IF(A65='Données projet'!$A$244,'Données projet'!$B$244,FZ64+FY65-GH64)))</f>
        <v>322.39999999999986</v>
      </c>
      <c r="GA65" s="17">
        <f>FZ65*VLOOKUP('Données projet'!$B$17,Paramètres!$A$1:$I$89,3,0)*VLOOKUP('Données projet'!$B$17,Paramètres!$A$1:$I$89,5,0)</f>
        <v>150.88319999999993</v>
      </c>
      <c r="GB65" s="13">
        <f t="shared" si="49"/>
        <v>38.779227360583164</v>
      </c>
      <c r="GC65" s="20">
        <f t="shared" si="25"/>
        <v>330.32872765301551</v>
      </c>
      <c r="GD65" s="59">
        <f t="shared" si="26"/>
        <v>623.66206098634882</v>
      </c>
      <c r="GE65" s="59">
        <f ca="1">AVERAGE(OFFSET($GD$3,0,0,'Données projet'!$E$17+1,1))-AVERAGE(OFFSET($H$3,0,0,'Données projet'!$E$17+1,1))</f>
        <v>215.23235148064941</v>
      </c>
      <c r="GF65" s="59">
        <f t="shared" si="50"/>
        <v>184.07239726900434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1.6632294092766344</v>
      </c>
      <c r="GM65" s="21">
        <f>EXP(-LN(2)/25)*GM64+(1-EXP(-LN(2)/25))/(LN(2)/25)*Calculateur!GH65*Calculateur!GJ65*VLOOKUP('Données projet'!$B$17,Paramètres!$A$1:$I$89,3,0)*0.475*44/12</f>
        <v>3.2348449392072207</v>
      </c>
      <c r="GN65" s="21">
        <f>EXP(-LN(2)/2)*GN64+(1-EXP(-LN(2)/2))/(LN(2)/2)*GH65*GK65*VLOOKUP('Données projet'!$B$17,Paramètres!$A$1:$I$89,3,0)*0.475*44/12</f>
        <v>1.5002710693811023E-4</v>
      </c>
      <c r="GO65" s="21">
        <f t="shared" si="27"/>
        <v>4.898224375590793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>
        <f>VLOOKUP(A65,'Données projet'!$A$269:$I$289,2,0)</f>
        <v>409</v>
      </c>
      <c r="GS65" s="12">
        <f>VLOOKUP(A65,'Données projet'!$A$269:$I$289,9,0)</f>
        <v>3</v>
      </c>
      <c r="GT65" s="12">
        <f t="array" ref="GT65">INDEX(GS:GS,MIN(IF(ISNUMBER(GS65:GS261),ROW(GS65:GS261),"")))</f>
        <v>3</v>
      </c>
      <c r="GU65" s="12">
        <f>IF('Données projet'!$A$270&gt;35,GU64+GT65-HC64,IF(A65&lt;'Données projet'!$A$270,$GR$205^A65,IF(A65='Données projet'!$A$270,'Données projet'!$B$270,GU64+GT65-HC64)))</f>
        <v>408.99999999999989</v>
      </c>
      <c r="GV65" s="17">
        <f>GU65*VLOOKUP('Données projet'!$B$18,Paramètres!$A$1:$I$89,3,0)*VLOOKUP('Données projet'!$B$18,Paramètres!$A$1:$I$89,5,0)</f>
        <v>244.58199999999997</v>
      </c>
      <c r="GW65" s="13">
        <f t="shared" si="51"/>
        <v>59.424282406770885</v>
      </c>
      <c r="GX65" s="20">
        <f t="shared" si="28"/>
        <v>529.4776085251259</v>
      </c>
      <c r="GY65" s="59">
        <f t="shared" si="29"/>
        <v>822.81094185845927</v>
      </c>
      <c r="GZ65" s="59">
        <f ca="1">AVERAGE(OFFSET($GY$3,0,0,'Données projet'!$E$18+1,1))-AVERAGE(OFFSET($H$3,0,0,'Données projet'!$E$18+1,1))</f>
        <v>227.89848316900191</v>
      </c>
      <c r="HA65" s="59">
        <f t="shared" si="52"/>
        <v>239.85955661394541</v>
      </c>
      <c r="HB65" s="15">
        <f>IF(ISNA(VLOOKUP(A65,'Données projet'!$A$269:$I$289,3,0)),0,VLOOKUP(A65,'Données projet'!$A$269:$I$289,3,0))</f>
        <v>9</v>
      </c>
      <c r="HC65" s="15">
        <f>IF(ISNA(VLOOKUP(A65,'Données projet'!$A$269:$I$289,4,0)),0,VLOOKUP(A65,'Données projet'!$A$269:$I$289,4,0))</f>
        <v>409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4.2140999736595592</v>
      </c>
      <c r="HH65" s="21">
        <f>EXP(-LN(2)/25)*HH64+(1-EXP(-LN(2)/25))/(LN(2)/25)*Calculateur!HC65*Calculateur!HE65*VLOOKUP('Données projet'!$B$18,Paramètres!$A$1:$I$89,3,0)*0.475*44/12</f>
        <v>7.0596482594928398</v>
      </c>
      <c r="HI65" s="21">
        <f>EXP(-LN(2)/2)*HI64+(1-EXP(-LN(2)/2))/(LN(2)/2)*HC65*HF65*VLOOKUP('Données projet'!$B$18,Paramètres!$A$1:$I$89,3,0)*0.475*44/12</f>
        <v>1.022883699431257E-4</v>
      </c>
      <c r="HJ65" s="22">
        <f t="shared" si="30"/>
        <v>11.273850521522343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14.5</v>
      </c>
      <c r="N66" s="13">
        <f>IF('Données projet'!$A$36&gt;35,N65+M66-V65,IF(A66&lt;'Données projet'!$A$36,$K$205^A66,IF(A66='Données projet'!$A$36,'Données projet'!$B$36,N65+M66-V65)))</f>
        <v>575.5</v>
      </c>
      <c r="O66" s="13">
        <f>N66*VLOOKUP('Données projet'!$B$9,Paramètres!$A$1:$I$89,3,0)*VLOOKUP('Données projet'!$B$9,Paramètres!$A$1:$I$89,5,0)</f>
        <v>321.7045</v>
      </c>
      <c r="P66" s="13">
        <f t="shared" si="33"/>
        <v>75.707898308964985</v>
      </c>
      <c r="Q66" s="20">
        <f t="shared" si="53"/>
        <v>692.1599270547805</v>
      </c>
      <c r="R66" s="59">
        <f t="shared" si="0"/>
        <v>985.49326038811387</v>
      </c>
      <c r="S66" s="59">
        <f ca="1">AVERAGE(OFFSET($R$3,0,0,'Données projet'!$E$9+1,1))-AVERAGE(OFFSET($H$3,0,0,'Données projet'!$E$9+1,1))</f>
        <v>370.69652285220093</v>
      </c>
      <c r="T66" s="59">
        <f t="shared" si="34"/>
        <v>376.53494965377718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5.3465682244463739</v>
      </c>
      <c r="AA66" s="21">
        <f>EXP(-LN(2)/25)*AA65+(1-EXP(-LN(2)/25))/(LN(2)/25)*Calculateur!V66*Calculateur!X66*VLOOKUP('Données projet'!$B$9,Paramètres!$A$1:$I$89,3,0)*0.475*44/12</f>
        <v>13.380133438510821</v>
      </c>
      <c r="AB66" s="21">
        <f>EXP(-LN(2)/2)*AB65+(1-EXP(-LN(2)/2))/(LN(2)/2)*V66*Y66*VLOOKUP('Données projet'!$B$9,Paramètres!$A$1:$I$89,3,0)*0.475*44/12</f>
        <v>3.5314084554826356E-4</v>
      </c>
      <c r="AC66" s="22">
        <f t="shared" si="3"/>
        <v>18.727054803802744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244.74839999999998</v>
      </c>
      <c r="AK66" s="13">
        <f t="shared" si="35"/>
        <v>59.460004038665112</v>
      </c>
      <c r="AL66" s="20">
        <f t="shared" si="4"/>
        <v>529.82963703400833</v>
      </c>
      <c r="AM66" s="59">
        <f t="shared" si="5"/>
        <v>823.16297036734159</v>
      </c>
      <c r="AN66" s="59">
        <f ca="1">AVERAGE(OFFSET($AM$3,0,0,'Données projet'!$E$10+1,1))-AVERAGE(OFFSET($H$3,0,0,'Données projet'!$E$10+1,1))</f>
        <v>321.03881567735544</v>
      </c>
      <c r="AO66" s="59">
        <f t="shared" si="36"/>
        <v>234.87694492493506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1.2529331596682411</v>
      </c>
      <c r="AV66" s="21">
        <f>EXP(-LN(2)/25)*AV65+(1-EXP(-LN(2)/25))/(LN(2)/25)*Calculateur!AQ66*Calculateur!AS66*VLOOKUP('Données projet'!$B$10,Paramètres!$A$1:$I$89,3,0)*0.475*44/12</f>
        <v>5.4294560699636207</v>
      </c>
      <c r="AW66" s="21">
        <f>EXP(-LN(2)/2)*AW65+(1-EXP(-LN(2)/2))/(LN(2)/2)*AQ66*AT66*VLOOKUP('Données projet'!$B$10,Paramètres!$A$1:$I$89,3,0)*0.475*44/12</f>
        <v>2.3456666655651866E-4</v>
      </c>
      <c r="AX66" s="21">
        <f t="shared" si="6"/>
        <v>6.6826237962984179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9.8000000000000007</v>
      </c>
      <c r="BD66" s="12">
        <f>IF('Données projet'!$A$88&gt;35,BD65+BC66-BL65,IF(A66&lt;'Données projet'!$A$88,$BA$205^A66,IF(A66='Données projet'!$A$88,'Données projet'!$B$88,BD65+BC66-BL65)))</f>
        <v>395.40000000000026</v>
      </c>
      <c r="BE66" s="13">
        <f>BD66*VLOOKUP('Données projet'!$B$11,Paramètres!$A$1:$I$89,3,0)*VLOOKUP('Données projet'!$B$11,Paramètres!$A$1:$I$89,5,0)</f>
        <v>215.88840000000013</v>
      </c>
      <c r="BF66" s="13">
        <f t="shared" si="37"/>
        <v>53.220270935025496</v>
      </c>
      <c r="BG66" s="20">
        <f t="shared" si="7"/>
        <v>468.69760187850301</v>
      </c>
      <c r="BH66" s="59">
        <f t="shared" si="8"/>
        <v>762.03093521183632</v>
      </c>
      <c r="BI66" s="59">
        <f ca="1">AVERAGE(OFFSET($BH$3,0,0,'Données projet'!$E$11+1,1))-AVERAGE(OFFSET($H$3,0,0,'Données projet'!$E$11+1,1))</f>
        <v>248.1486444660062</v>
      </c>
      <c r="BJ66" s="59">
        <f t="shared" si="38"/>
        <v>293.34458072322127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4.4309825454185576</v>
      </c>
      <c r="BQ66" s="21">
        <f>EXP(-LN(2)/25)*BQ65+(1-EXP(-LN(2)/25))/(LN(2)/25)*Calculateur!BL66*Calculateur!BN66*VLOOKUP('Données projet'!$B$11,Paramètres!$A$1:$I$89,3,0)*0.475*44/12</f>
        <v>13.6333040001218</v>
      </c>
      <c r="BR66" s="21">
        <f>EXP(-LN(2)/2)*BR65+(1-EXP(-LN(2)/2))/(LN(2)/2)*BL66*BO66*VLOOKUP('Données projet'!$B$11,Paramètres!$A$1:$I$89,3,0)*0.475*44/12</f>
        <v>2.7170813404161272E-4</v>
      </c>
      <c r="BS66" s="22">
        <f t="shared" si="9"/>
        <v>18.064558253674399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5.6</v>
      </c>
      <c r="BY66" s="12">
        <f>IF('Données projet'!$A$114&gt;35,BY65+BX66-CG65,IF(A66&lt;'Données projet'!$A$114,$BV$205^A66,IF(A66='Données projet'!$A$114,'Données projet'!$B$114,BY65+BX66-CG65)))</f>
        <v>232.79999999999995</v>
      </c>
      <c r="BZ66" s="13">
        <f>BY66*VLOOKUP('Données projet'!$B$12,Paramètres!$A$1:$I$89,3,0)*VLOOKUP('Données projet'!$B$12,Paramètres!$A$1:$I$89,5,0)</f>
        <v>203.37407999999999</v>
      </c>
      <c r="CA66" s="13">
        <f t="shared" si="39"/>
        <v>50.484964849140574</v>
      </c>
      <c r="CB66" s="20">
        <f t="shared" si="10"/>
        <v>442.1378364455864</v>
      </c>
      <c r="CC66" s="59">
        <f t="shared" si="11"/>
        <v>735.47116977891972</v>
      </c>
      <c r="CD66" s="59">
        <f ca="1">AVERAGE(OFFSET($CC$3,0,0,'Données projet'!$E$12+1,1))-AVERAGE(OFFSET($H$3,0,0,'Données projet'!$E$12+1,1))</f>
        <v>243.38048563215585</v>
      </c>
      <c r="CE66" s="59">
        <f t="shared" si="40"/>
        <v>372.1604147006675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3.8020040707174214</v>
      </c>
      <c r="CL66" s="21">
        <f>EXP(-LN(2)/25)*CL65+(1-EXP(-LN(2)/25))/(LN(2)/25)*Calculateur!CG66*Calculateur!CI66*VLOOKUP('Données projet'!$B$12,Paramètres!$A$1:$I$89,3,0)*0.475*44/12</f>
        <v>7.7553291279432637</v>
      </c>
      <c r="CM66" s="21">
        <f>EXP(-LN(2)/2)*CM65+(1-EXP(-LN(2)/2))/(LN(2)/2)*CG66*CJ66*VLOOKUP('Données projet'!$B$12,Paramètres!$A$1:$I$89,3,0)*0.475*44/12</f>
        <v>3.1629626934354246E-4</v>
      </c>
      <c r="CN66" s="22">
        <f t="shared" si="12"/>
        <v>11.557649494930029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17</v>
      </c>
      <c r="CT66" s="12">
        <f>IF('Données projet'!$A$140&gt;35,CT65+CS66-DB65,IF(A66&lt;'Données projet'!$A$140,$CQ$205^A66,IF(A66='Données projet'!$A$140,'Données projet'!$B$140,CT65+CS66-DB65)))</f>
        <v>575.00000000000034</v>
      </c>
      <c r="CU66" s="17">
        <f>CT66*VLOOKUP('Données projet'!$B$13,Paramètres!$A$1:$I$89,3,0)*VLOOKUP('Données projet'!$B$13,Paramètres!$A$1:$I$89,5,0)</f>
        <v>276.57500000000016</v>
      </c>
      <c r="CV66" s="13">
        <f t="shared" si="41"/>
        <v>66.242690281501467</v>
      </c>
      <c r="CW66" s="20">
        <f t="shared" si="13"/>
        <v>597.07414390694873</v>
      </c>
      <c r="CX66" s="59">
        <f t="shared" si="14"/>
        <v>890.40747724028211</v>
      </c>
      <c r="CY66" s="59">
        <f ca="1">AVERAGE(OFFSET($CX$3,0,0,'Données projet'!$E$13+1,1))-AVERAGE(OFFSET($H$3,0,0,'Données projet'!$E$13+1,1))</f>
        <v>297.21955661193238</v>
      </c>
      <c r="CZ66" s="59">
        <f t="shared" si="42"/>
        <v>273.69206144662144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3.5051698658607453</v>
      </c>
      <c r="DG66" s="21">
        <f>EXP(-LN(2)/25)*DG65+(1-EXP(-LN(2)/25))/(LN(2)/25)*Calculateur!DB66*Calculateur!DD66*VLOOKUP('Données projet'!$B$13,Paramètres!$A$1:$I$89,3,0)*0.475*44/12</f>
        <v>5.3764349333129164</v>
      </c>
      <c r="DH66" s="21">
        <f>EXP(-LN(2)/2)*DH65+(1-EXP(-LN(2)/2))/(LN(2)/2)*DB66*DE66*VLOOKUP('Données projet'!$B$13,Paramètres!$A$1:$I$89,3,0)*0.475*44/12</f>
        <v>2.256404262632613E-4</v>
      </c>
      <c r="DI66" s="22">
        <f t="shared" si="15"/>
        <v>8.8818304395999252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234.46331999999992</v>
      </c>
      <c r="DQ66" s="13">
        <f t="shared" si="43"/>
        <v>57.24667349069928</v>
      </c>
      <c r="DR66" s="20">
        <f t="shared" si="16"/>
        <v>508.06157199630115</v>
      </c>
      <c r="DS66" s="59">
        <f t="shared" si="17"/>
        <v>801.39490532963441</v>
      </c>
      <c r="DT66" s="59">
        <f ca="1">AVERAGE(OFFSET($DS$3,0,0,'Données projet'!$E$14+1,1))-AVERAGE(OFFSET($H$3,0,0,'Données projet'!$E$14+1,1))</f>
        <v>260.20517190557814</v>
      </c>
      <c r="DU66" s="59">
        <f t="shared" si="44"/>
        <v>307.22009971147133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1.6974129563869573</v>
      </c>
      <c r="EB66" s="21">
        <f>EXP(-LN(2)/25)*EB65+(1-EXP(-LN(2)/25))/(LN(2)/25)*Calculateur!DW66*Calculateur!DY66*VLOOKUP('Données projet'!$B$14,Paramètres!$A$1:$I$89,3,0)*0.475*44/12</f>
        <v>8.2188178214704042</v>
      </c>
      <c r="EC66" s="21">
        <f>EXP(-LN(2)/2)*EC65+(1-EXP(-LN(2)/2))/(LN(2)/2)*DW66*DZ66*VLOOKUP('Données projet'!$B$14,Paramètres!$A$1:$I$89,3,0)*0.475*44/12</f>
        <v>2.5937140095978344E-4</v>
      </c>
      <c r="ED66" s="22">
        <f t="shared" si="18"/>
        <v>9.9164901492583208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10.7</v>
      </c>
      <c r="EJ66" s="12">
        <f>IF('Données projet'!$A$192&gt;35,EJ65+EI66-ER65,IF(A66&lt;'Données projet'!$A$192,$EG$205^A66,IF(A66='Données projet'!$A$192,'Données projet'!$B$192,EJ65+EI66-ER65)))</f>
        <v>415.10000000000025</v>
      </c>
      <c r="EK66" s="17">
        <f>EJ66*VLOOKUP('Données projet'!$B$15,Paramètres!$A$1:$I$89,3,0)*VLOOKUP('Données projet'!$B$15,Paramètres!$A$1:$I$89,5,0)</f>
        <v>248.22980000000015</v>
      </c>
      <c r="EL66" s="13">
        <f t="shared" si="45"/>
        <v>60.206722539547698</v>
      </c>
      <c r="EM66" s="20">
        <f t="shared" si="19"/>
        <v>537.19361008971248</v>
      </c>
      <c r="EN66" s="59">
        <f t="shared" si="20"/>
        <v>830.52694342304585</v>
      </c>
      <c r="EO66" s="59">
        <f ca="1">AVERAGE(OFFSET($EN$3,0,0,'Données projet'!$E$15+1,1))-AVERAGE(OFFSET($H$3,0,0,'Données projet'!$E$15+1,1))</f>
        <v>259.30247982593914</v>
      </c>
      <c r="EP66" s="59">
        <f t="shared" si="46"/>
        <v>275.24740346220779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7.2228517710572913</v>
      </c>
      <c r="EX66" s="21">
        <f>EXP(-LN(2)/2)*EX65+(1-EXP(-LN(2)/2))/(LN(2)/2)*ER66*EU66*VLOOKUP('Données projet'!$B$15,Paramètres!$A$1:$I$89,3,0)*0.475*44/12</f>
        <v>3.0945060658592744E-4</v>
      </c>
      <c r="EY66" s="22">
        <f t="shared" si="21"/>
        <v>7.2231612216638768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8.5</v>
      </c>
      <c r="FE66" s="12">
        <f>IF('Données projet'!$A$218&gt;35,FE65+FD66-FM65,IF(A66&lt;'Données projet'!$A$218,$FB$205^A66,IF(A66='Données projet'!$A$218,'Données projet'!$B$218,FE65+FD66-FM65)))</f>
        <v>270.5</v>
      </c>
      <c r="FF66" s="17">
        <f>FE66*VLOOKUP('Données projet'!$B$16,Paramètres!$A$1:$I$89,3,0)*VLOOKUP('Données projet'!$B$16,Paramètres!$A$1:$I$89,5,0)</f>
        <v>274.28700000000003</v>
      </c>
      <c r="FG66" s="13">
        <f t="shared" si="47"/>
        <v>65.758243067872485</v>
      </c>
      <c r="FH66" s="20">
        <f t="shared" si="22"/>
        <v>592.24546500987799</v>
      </c>
      <c r="FI66" s="59">
        <f t="shared" si="23"/>
        <v>885.57879834321125</v>
      </c>
      <c r="FJ66" s="59">
        <f ca="1">AVERAGE(OFFSET($FI$3,0,0,'Données projet'!$E$16+1,1))-AVERAGE(OFFSET($H$3,0,0,'Données projet'!$E$16+1,1))</f>
        <v>372.91317851957336</v>
      </c>
      <c r="FK66" s="59">
        <f t="shared" si="48"/>
        <v>269.69187715858413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1.4041492306626842</v>
      </c>
      <c r="FR66" s="21">
        <f>EXP(-LN(2)/25)*FR65+(1-EXP(-LN(2)/25))/(LN(2)/25)*Calculateur!FM66*Calculateur!FO66*VLOOKUP('Données projet'!$B$16,Paramètres!$A$1:$I$89,3,0)*0.475*44/12</f>
        <v>6.0847352508213</v>
      </c>
      <c r="FS66" s="21">
        <f>EXP(-LN(2)/2)*FS65+(1-EXP(-LN(2)/2))/(LN(2)/2)*FM66*FP66*VLOOKUP('Données projet'!$B$16,Paramètres!$A$1:$I$89,3,0)*0.475*44/12</f>
        <v>2.6287643665816725E-4</v>
      </c>
      <c r="FT66" s="22">
        <f t="shared" si="24"/>
        <v>7.4891473579206425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15.5</v>
      </c>
      <c r="FZ66" s="12">
        <f>IF('Données projet'!$A$244&gt;35,FZ65+FY66-GH65,IF(A66&lt;'Données projet'!$A$244,$FW$205^A66,IF(A66='Données projet'!$A$244,'Données projet'!$B$244,FZ65+FY66-GH65)))</f>
        <v>337.89999999999986</v>
      </c>
      <c r="GA66" s="17">
        <f>FZ66*VLOOKUP('Données projet'!$B$17,Paramètres!$A$1:$I$89,3,0)*VLOOKUP('Données projet'!$B$17,Paramètres!$A$1:$I$89,5,0)</f>
        <v>158.13719999999995</v>
      </c>
      <c r="GB66" s="13">
        <f t="shared" si="49"/>
        <v>40.422069728367696</v>
      </c>
      <c r="GC66" s="20">
        <f t="shared" si="25"/>
        <v>345.82406144357361</v>
      </c>
      <c r="GD66" s="59">
        <f t="shared" si="26"/>
        <v>639.15739477690693</v>
      </c>
      <c r="GE66" s="59">
        <f ca="1">AVERAGE(OFFSET($GD$3,0,0,'Données projet'!$E$17+1,1))-AVERAGE(OFFSET($H$3,0,0,'Données projet'!$E$17+1,1))</f>
        <v>215.23235148064941</v>
      </c>
      <c r="GF66" s="59">
        <f t="shared" si="50"/>
        <v>184.07239726900434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1.6306144950304886</v>
      </c>
      <c r="GM66" s="21">
        <f>EXP(-LN(2)/25)*GM65+(1-EXP(-LN(2)/25))/(LN(2)/25)*Calculateur!GH66*Calculateur!GJ66*VLOOKUP('Données projet'!$B$17,Paramètres!$A$1:$I$89,3,0)*0.475*44/12</f>
        <v>3.1463879342314973</v>
      </c>
      <c r="GN66" s="21">
        <f>EXP(-LN(2)/2)*GN65+(1-EXP(-LN(2)/2))/(LN(2)/2)*GH66*GK66*VLOOKUP('Données projet'!$B$17,Paramètres!$A$1:$I$89,3,0)*0.475*44/12</f>
        <v>1.0608518467773708E-4</v>
      </c>
      <c r="GO66" s="21">
        <f t="shared" si="27"/>
        <v>4.7771085144466632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-1.1368683772161603E-13</v>
      </c>
      <c r="GV66" s="17">
        <f>GU66*VLOOKUP('Données projet'!$B$18,Paramètres!$A$1:$I$89,3,0)*VLOOKUP('Données projet'!$B$18,Paramètres!$A$1:$I$89,5,0)</f>
        <v>-6.7984728957526396E-14</v>
      </c>
      <c r="GW66" s="13" t="e">
        <f t="shared" si="51"/>
        <v>#NUM!</v>
      </c>
      <c r="GX66" s="20" t="e">
        <f t="shared" si="28"/>
        <v>#NUM!</v>
      </c>
      <c r="GY66" s="59" t="e">
        <f t="shared" si="29"/>
        <v>#NUM!</v>
      </c>
      <c r="GZ66" s="59">
        <f ca="1">AVERAGE(OFFSET($GY$3,0,0,'Données projet'!$E$18+1,1))-AVERAGE(OFFSET($H$3,0,0,'Données projet'!$E$18+1,1))</f>
        <v>227.89848316900191</v>
      </c>
      <c r="HA66" s="59">
        <f t="shared" si="52"/>
        <v>239.85955661394541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4.1314640435232786</v>
      </c>
      <c r="HH66" s="21">
        <f>EXP(-LN(2)/25)*HH65+(1-EXP(-LN(2)/25))/(LN(2)/25)*Calculateur!HC66*Calculateur!HE66*VLOOKUP('Données projet'!$B$18,Paramètres!$A$1:$I$89,3,0)*0.475*44/12</f>
        <v>6.8666018065862415</v>
      </c>
      <c r="HI66" s="21">
        <f>EXP(-LN(2)/2)*HI65+(1-EXP(-LN(2)/2))/(LN(2)/2)*HC66*HF66*VLOOKUP('Données projet'!$B$18,Paramètres!$A$1:$I$89,3,0)*0.475*44/12</f>
        <v>7.2328800023302409E-5</v>
      </c>
      <c r="HJ66" s="22">
        <f t="shared" si="30"/>
        <v>10.998138178909542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14.5</v>
      </c>
      <c r="N67" s="13">
        <f>IF('Données projet'!$A$36&gt;35,N66+M67-V66,IF(A67&lt;'Données projet'!$A$36,$K$205^A67,IF(A67='Données projet'!$A$36,'Données projet'!$B$36,N66+M67-V66)))</f>
        <v>590</v>
      </c>
      <c r="O67" s="13">
        <f>N67*VLOOKUP('Données projet'!$B$9,Paramètres!$A$1:$I$89,3,0)*VLOOKUP('Données projet'!$B$9,Paramètres!$A$1:$I$89,5,0)</f>
        <v>329.81</v>
      </c>
      <c r="P67" s="13">
        <f t="shared" si="33"/>
        <v>77.390914004010796</v>
      </c>
      <c r="Q67" s="20">
        <f t="shared" ref="Q67:Q98" si="54">(O67+P67)*0.475*44/12</f>
        <v>709.20825855698547</v>
      </c>
      <c r="R67" s="59">
        <f t="shared" ref="R67:R130" si="55">Q67+(I67+J67)*44/12</f>
        <v>1002.5415918903188</v>
      </c>
      <c r="S67" s="59">
        <f ca="1">AVERAGE(OFFSET($R$3,0,0,'Données projet'!$E$9+1,1))-AVERAGE(OFFSET($H$3,0,0,'Données projet'!$E$9+1,1))</f>
        <v>370.69652285220093</v>
      </c>
      <c r="T67" s="59">
        <f t="shared" si="34"/>
        <v>376.53494965377718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5.2417252826495924</v>
      </c>
      <c r="AA67" s="21">
        <f>EXP(-LN(2)/25)*AA66+(1-EXP(-LN(2)/25))/(LN(2)/25)*Calculateur!V67*Calculateur!X67*VLOOKUP('Données projet'!$B$9,Paramètres!$A$1:$I$89,3,0)*0.475*44/12</f>
        <v>13.014252986004106</v>
      </c>
      <c r="AB67" s="21">
        <f>EXP(-LN(2)/2)*AB66+(1-EXP(-LN(2)/2))/(LN(2)/2)*V67*Y67*VLOOKUP('Données projet'!$B$9,Paramètres!$A$1:$I$89,3,0)*0.475*44/12</f>
        <v>2.4970828660112837E-4</v>
      </c>
      <c r="AC67" s="22">
        <f t="shared" si="3"/>
        <v>18.256227976940302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252.4392</v>
      </c>
      <c r="AK67" s="13">
        <f t="shared" si="35"/>
        <v>61.107963296116218</v>
      </c>
      <c r="AL67" s="20">
        <f t="shared" si="4"/>
        <v>546.09464274073571</v>
      </c>
      <c r="AM67" s="59">
        <f t="shared" si="5"/>
        <v>839.42797607406897</v>
      </c>
      <c r="AN67" s="59">
        <f ca="1">AVERAGE(OFFSET($AM$3,0,0,'Données projet'!$E$10+1,1))-AVERAGE(OFFSET($H$3,0,0,'Données projet'!$E$10+1,1))</f>
        <v>321.03881567735544</v>
      </c>
      <c r="AO67" s="59">
        <f t="shared" si="36"/>
        <v>234.87694492493506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1.2283639046209145</v>
      </c>
      <c r="AV67" s="21">
        <f>EXP(-LN(2)/25)*AV66+(1-EXP(-LN(2)/25))/(LN(2)/25)*Calculateur!AQ67*Calculateur!AS67*VLOOKUP('Données projet'!$B$10,Paramètres!$A$1:$I$89,3,0)*0.475*44/12</f>
        <v>5.2809873082077798</v>
      </c>
      <c r="AW67" s="21">
        <f>EXP(-LN(2)/2)*AW66+(1-EXP(-LN(2)/2))/(LN(2)/2)*AQ67*AT67*VLOOKUP('Données projet'!$B$10,Paramètres!$A$1:$I$89,3,0)*0.475*44/12</f>
        <v>1.6586368056243809E-4</v>
      </c>
      <c r="AX67" s="21">
        <f t="shared" si="6"/>
        <v>6.5095170765092565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9.8000000000000007</v>
      </c>
      <c r="BD67" s="12">
        <f>IF('Données projet'!$A$88&gt;35,BD66+BC67-BL66,IF(A67&lt;'Données projet'!$A$88,$BA$205^A67,IF(A67='Données projet'!$A$88,'Données projet'!$B$88,BD66+BC67-BL66)))</f>
        <v>405.20000000000027</v>
      </c>
      <c r="BE67" s="13">
        <f>BD67*VLOOKUP('Données projet'!$B$11,Paramètres!$A$1:$I$89,3,0)*VLOOKUP('Données projet'!$B$11,Paramètres!$A$1:$I$89,5,0)</f>
        <v>221.23920000000015</v>
      </c>
      <c r="BF67" s="13">
        <f t="shared" si="37"/>
        <v>54.384131608131625</v>
      </c>
      <c r="BG67" s="20">
        <f t="shared" si="7"/>
        <v>480.04396921749617</v>
      </c>
      <c r="BH67" s="59">
        <f t="shared" si="8"/>
        <v>773.37730255082943</v>
      </c>
      <c r="BI67" s="59">
        <f ca="1">AVERAGE(OFFSET($BH$3,0,0,'Données projet'!$E$11+1,1))-AVERAGE(OFFSET($H$3,0,0,'Données projet'!$E$11+1,1))</f>
        <v>248.1486444660062</v>
      </c>
      <c r="BJ67" s="59">
        <f t="shared" si="38"/>
        <v>293.34458072322127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4.3440936803353898</v>
      </c>
      <c r="BQ67" s="21">
        <f>EXP(-LN(2)/25)*BQ66+(1-EXP(-LN(2)/25))/(LN(2)/25)*Calculateur!BL67*Calculateur!BN67*VLOOKUP('Données projet'!$B$11,Paramètres!$A$1:$I$89,3,0)*0.475*44/12</f>
        <v>13.260500585294171</v>
      </c>
      <c r="BR67" s="21">
        <f>EXP(-LN(2)/2)*BR66+(1-EXP(-LN(2)/2))/(LN(2)/2)*BL67*BO67*VLOOKUP('Données projet'!$B$11,Paramètres!$A$1:$I$89,3,0)*0.475*44/12</f>
        <v>1.9212666408436777E-4</v>
      </c>
      <c r="BS67" s="22">
        <f t="shared" si="9"/>
        <v>17.604786392293647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5.6</v>
      </c>
      <c r="BY67" s="12">
        <f>IF('Données projet'!$A$114&gt;35,BY66+BX67-CG66,IF(A67&lt;'Données projet'!$A$114,$BV$205^A67,IF(A67='Données projet'!$A$114,'Données projet'!$B$114,BY66+BX67-CG66)))</f>
        <v>238.39999999999995</v>
      </c>
      <c r="BZ67" s="13">
        <f>BY67*VLOOKUP('Données projet'!$B$12,Paramètres!$A$1:$I$89,3,0)*VLOOKUP('Données projet'!$B$12,Paramètres!$A$1:$I$89,5,0)</f>
        <v>208.26623999999998</v>
      </c>
      <c r="CA67" s="13">
        <f t="shared" si="39"/>
        <v>51.556532908951887</v>
      </c>
      <c r="CB67" s="20">
        <f t="shared" si="10"/>
        <v>452.5246628164245</v>
      </c>
      <c r="CC67" s="59">
        <f t="shared" si="11"/>
        <v>745.85799614975781</v>
      </c>
      <c r="CD67" s="59">
        <f ca="1">AVERAGE(OFFSET($CC$3,0,0,'Données projet'!$E$12+1,1))-AVERAGE(OFFSET($H$3,0,0,'Données projet'!$E$12+1,1))</f>
        <v>243.38048563215585</v>
      </c>
      <c r="CE67" s="59">
        <f t="shared" si="40"/>
        <v>372.1604147006675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3.7274490898841544</v>
      </c>
      <c r="CL67" s="21">
        <f>EXP(-LN(2)/25)*CL66+(1-EXP(-LN(2)/25))/(LN(2)/25)*Calculateur!CG67*Calculateur!CI67*VLOOKUP('Données projet'!$B$12,Paramètres!$A$1:$I$89,3,0)*0.475*44/12</f>
        <v>7.543259245104621</v>
      </c>
      <c r="CM67" s="21">
        <f>EXP(-LN(2)/2)*CM66+(1-EXP(-LN(2)/2))/(LN(2)/2)*CG67*CJ67*VLOOKUP('Données projet'!$B$12,Paramètres!$A$1:$I$89,3,0)*0.475*44/12</f>
        <v>2.2365523691682558E-4</v>
      </c>
      <c r="CN67" s="22">
        <f t="shared" si="12"/>
        <v>11.270931990225693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17</v>
      </c>
      <c r="CT67" s="12">
        <f>IF('Données projet'!$A$140&gt;35,CT66+CS67-DB66,IF(A67&lt;'Données projet'!$A$140,$CQ$205^A67,IF(A67='Données projet'!$A$140,'Données projet'!$B$140,CT66+CS67-DB66)))</f>
        <v>592.00000000000034</v>
      </c>
      <c r="CU67" s="17">
        <f>CT67*VLOOKUP('Données projet'!$B$13,Paramètres!$A$1:$I$89,3,0)*VLOOKUP('Données projet'!$B$13,Paramètres!$A$1:$I$89,5,0)</f>
        <v>284.75200000000018</v>
      </c>
      <c r="CV67" s="13">
        <f t="shared" si="41"/>
        <v>67.970257374451933</v>
      </c>
      <c r="CW67" s="20">
        <f t="shared" si="13"/>
        <v>614.32459826050399</v>
      </c>
      <c r="CX67" s="59">
        <f t="shared" si="14"/>
        <v>907.65793159383725</v>
      </c>
      <c r="CY67" s="59">
        <f ca="1">AVERAGE(OFFSET($CX$3,0,0,'Données projet'!$E$13+1,1))-AVERAGE(OFFSET($H$3,0,0,'Données projet'!$E$13+1,1))</f>
        <v>297.21955661193238</v>
      </c>
      <c r="CZ67" s="59">
        <f t="shared" si="42"/>
        <v>273.69206144662144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3.4364356227337298</v>
      </c>
      <c r="DG67" s="21">
        <f>EXP(-LN(2)/25)*DG66+(1-EXP(-LN(2)/25))/(LN(2)/25)*Calculateur!DB67*Calculateur!DD67*VLOOKUP('Données projet'!$B$13,Paramètres!$A$1:$I$89,3,0)*0.475*44/12</f>
        <v>5.2294160373270495</v>
      </c>
      <c r="DH67" s="21">
        <f>EXP(-LN(2)/2)*DH66+(1-EXP(-LN(2)/2))/(LN(2)/2)*DB67*DE67*VLOOKUP('Données projet'!$B$13,Paramètres!$A$1:$I$89,3,0)*0.475*44/12</f>
        <v>1.5955187552057522E-4</v>
      </c>
      <c r="DI67" s="22">
        <f t="shared" si="15"/>
        <v>8.6660112119363006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238.36175999999992</v>
      </c>
      <c r="DQ67" s="13">
        <f t="shared" si="43"/>
        <v>58.086914779719031</v>
      </c>
      <c r="DR67" s="20">
        <f t="shared" si="16"/>
        <v>516.3147752413438</v>
      </c>
      <c r="DS67" s="59">
        <f t="shared" si="17"/>
        <v>809.64810857467705</v>
      </c>
      <c r="DT67" s="59">
        <f ca="1">AVERAGE(OFFSET($DS$3,0,0,'Données projet'!$E$14+1,1))-AVERAGE(OFFSET($H$3,0,0,'Données projet'!$E$14+1,1))</f>
        <v>260.20517190557814</v>
      </c>
      <c r="DU67" s="59">
        <f t="shared" si="44"/>
        <v>307.22009971147133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1.6641277236318832</v>
      </c>
      <c r="EB67" s="21">
        <f>EXP(-LN(2)/25)*EB66+(1-EXP(-LN(2)/25))/(LN(2)/25)*Calculateur!DW67*Calculateur!DY67*VLOOKUP('Données projet'!$B$14,Paramètres!$A$1:$I$89,3,0)*0.475*44/12</f>
        <v>7.9940738159334508</v>
      </c>
      <c r="EC67" s="21">
        <f>EXP(-LN(2)/2)*EC66+(1-EXP(-LN(2)/2))/(LN(2)/2)*DW67*DZ67*VLOOKUP('Données projet'!$B$14,Paramètres!$A$1:$I$89,3,0)*0.475*44/12</f>
        <v>1.8340327646451787E-4</v>
      </c>
      <c r="ED67" s="22">
        <f t="shared" si="18"/>
        <v>9.6583849428417992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10.7</v>
      </c>
      <c r="EJ67" s="12">
        <f>IF('Données projet'!$A$192&gt;35,EJ66+EI67-ER66,IF(A67&lt;'Données projet'!$A$192,$EG$205^A67,IF(A67='Données projet'!$A$192,'Données projet'!$B$192,EJ66+EI67-ER66)))</f>
        <v>425.80000000000024</v>
      </c>
      <c r="EK67" s="17">
        <f>EJ67*VLOOKUP('Données projet'!$B$15,Paramètres!$A$1:$I$89,3,0)*VLOOKUP('Données projet'!$B$15,Paramètres!$A$1:$I$89,5,0)</f>
        <v>254.62840000000014</v>
      </c>
      <c r="EL67" s="13">
        <f t="shared" si="45"/>
        <v>61.575982433801578</v>
      </c>
      <c r="EM67" s="20">
        <f t="shared" si="19"/>
        <v>550.7226327388712</v>
      </c>
      <c r="EN67" s="59">
        <f t="shared" si="20"/>
        <v>844.05596607220446</v>
      </c>
      <c r="EO67" s="59">
        <f ca="1">AVERAGE(OFFSET($EN$3,0,0,'Données projet'!$E$15+1,1))-AVERAGE(OFFSET($H$3,0,0,'Données projet'!$E$15+1,1))</f>
        <v>259.30247982593914</v>
      </c>
      <c r="EP67" s="59">
        <f t="shared" si="46"/>
        <v>275.24740346220779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7.0253425095444628</v>
      </c>
      <c r="EX67" s="21">
        <f>EXP(-LN(2)/2)*EX66+(1-EXP(-LN(2)/2))/(LN(2)/2)*ER67*EU67*VLOOKUP('Données projet'!$B$15,Paramètres!$A$1:$I$89,3,0)*0.475*44/12</f>
        <v>2.188146223591998E-4</v>
      </c>
      <c r="EY67" s="22">
        <f t="shared" si="21"/>
        <v>7.025561324166822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8.5</v>
      </c>
      <c r="FE67" s="12">
        <f>IF('Données projet'!$A$218&gt;35,FE66+FD67-FM66,IF(A67&lt;'Données projet'!$A$218,$FB$205^A67,IF(A67='Données projet'!$A$218,'Données projet'!$B$218,FE66+FD67-FM66)))</f>
        <v>279</v>
      </c>
      <c r="FF67" s="17">
        <f>FE67*VLOOKUP('Données projet'!$B$16,Paramètres!$A$1:$I$89,3,0)*VLOOKUP('Données projet'!$B$16,Paramètres!$A$1:$I$89,5,0)</f>
        <v>282.90600000000001</v>
      </c>
      <c r="FG67" s="13">
        <f t="shared" si="47"/>
        <v>67.580760694123512</v>
      </c>
      <c r="FH67" s="20">
        <f t="shared" si="22"/>
        <v>610.43110820893173</v>
      </c>
      <c r="FI67" s="59">
        <f t="shared" si="23"/>
        <v>903.7644415422651</v>
      </c>
      <c r="FJ67" s="59">
        <f ca="1">AVERAGE(OFFSET($FI$3,0,0,'Données projet'!$E$16+1,1))-AVERAGE(OFFSET($H$3,0,0,'Données projet'!$E$16+1,1))</f>
        <v>372.91317851957336</v>
      </c>
      <c r="FK67" s="59">
        <f t="shared" si="48"/>
        <v>269.69187715858413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1.3766147206958526</v>
      </c>
      <c r="FR67" s="21">
        <f>EXP(-LN(2)/25)*FR66+(1-EXP(-LN(2)/25))/(LN(2)/25)*Calculateur!FM67*Calculateur!FO67*VLOOKUP('Données projet'!$B$16,Paramètres!$A$1:$I$89,3,0)*0.475*44/12</f>
        <v>5.9183478454052718</v>
      </c>
      <c r="FS67" s="21">
        <f>EXP(-LN(2)/2)*FS66+(1-EXP(-LN(2)/2))/(LN(2)/2)*FM67*FP67*VLOOKUP('Données projet'!$B$16,Paramètres!$A$1:$I$89,3,0)*0.475*44/12</f>
        <v>1.8588171097514599E-4</v>
      </c>
      <c r="FT67" s="22">
        <f t="shared" si="24"/>
        <v>7.2951484478120996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15.5</v>
      </c>
      <c r="FZ67" s="12">
        <f>IF('Données projet'!$A$244&gt;35,FZ66+FY67-GH66,IF(A67&lt;'Données projet'!$A$244,$FW$205^A67,IF(A67='Données projet'!$A$244,'Données projet'!$B$244,FZ66+FY67-GH66)))</f>
        <v>353.39999999999986</v>
      </c>
      <c r="GA67" s="17">
        <f>FZ67*VLOOKUP('Données projet'!$B$17,Paramètres!$A$1:$I$89,3,0)*VLOOKUP('Données projet'!$B$17,Paramètres!$A$1:$I$89,5,0)</f>
        <v>165.39119999999994</v>
      </c>
      <c r="GB67" s="13">
        <f t="shared" si="49"/>
        <v>42.056160358234834</v>
      </c>
      <c r="GC67" s="20">
        <f t="shared" si="25"/>
        <v>361.30415262392557</v>
      </c>
      <c r="GD67" s="59">
        <f t="shared" si="26"/>
        <v>654.63748595725883</v>
      </c>
      <c r="GE67" s="59">
        <f ca="1">AVERAGE(OFFSET($GD$3,0,0,'Données projet'!$E$17+1,1))-AVERAGE(OFFSET($H$3,0,0,'Données projet'!$E$17+1,1))</f>
        <v>215.23235148064941</v>
      </c>
      <c r="GF67" s="59">
        <f t="shared" si="50"/>
        <v>184.07239726900434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1.5986391393595765</v>
      </c>
      <c r="GM67" s="21">
        <f>EXP(-LN(2)/25)*GM66+(1-EXP(-LN(2)/25))/(LN(2)/25)*Calculateur!GH67*Calculateur!GJ67*VLOOKUP('Données projet'!$B$17,Paramètres!$A$1:$I$89,3,0)*0.475*44/12</f>
        <v>3.0603497907085866</v>
      </c>
      <c r="GN67" s="21">
        <f>EXP(-LN(2)/2)*GN66+(1-EXP(-LN(2)/2))/(LN(2)/2)*GH67*GK67*VLOOKUP('Données projet'!$B$17,Paramètres!$A$1:$I$89,3,0)*0.475*44/12</f>
        <v>7.5013553469055114E-5</v>
      </c>
      <c r="GO67" s="21">
        <f t="shared" si="27"/>
        <v>4.6590639436216321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-1.1368683772161603E-13</v>
      </c>
      <c r="GV67" s="17">
        <f>GU67*VLOOKUP('Données projet'!$B$18,Paramètres!$A$1:$I$89,3,0)*VLOOKUP('Données projet'!$B$18,Paramètres!$A$1:$I$89,5,0)</f>
        <v>-6.7984728957526396E-14</v>
      </c>
      <c r="GW67" s="13" t="e">
        <f t="shared" si="51"/>
        <v>#NUM!</v>
      </c>
      <c r="GX67" s="20" t="e">
        <f t="shared" si="28"/>
        <v>#NUM!</v>
      </c>
      <c r="GY67" s="59" t="e">
        <f t="shared" si="29"/>
        <v>#NUM!</v>
      </c>
      <c r="GZ67" s="59">
        <f ca="1">AVERAGE(OFFSET($GY$3,0,0,'Données projet'!$E$18+1,1))-AVERAGE(OFFSET($H$3,0,0,'Données projet'!$E$18+1,1))</f>
        <v>227.89848316900191</v>
      </c>
      <c r="HA67" s="59">
        <f t="shared" si="52"/>
        <v>239.85955661394541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4.0504485535740296</v>
      </c>
      <c r="HH67" s="21">
        <f>EXP(-LN(2)/25)*HH66+(1-EXP(-LN(2)/25))/(LN(2)/25)*Calculateur!HC67*Calculateur!HE67*VLOOKUP('Données projet'!$B$18,Paramètres!$A$1:$I$89,3,0)*0.475*44/12</f>
        <v>6.6788342190862453</v>
      </c>
      <c r="HI67" s="21">
        <f>EXP(-LN(2)/2)*HI66+(1-EXP(-LN(2)/2))/(LN(2)/2)*HC67*HF67*VLOOKUP('Données projet'!$B$18,Paramètres!$A$1:$I$89,3,0)*0.475*44/12</f>
        <v>5.114418497156285E-5</v>
      </c>
      <c r="HJ67" s="22">
        <f t="shared" si="30"/>
        <v>10.729333916845247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14.5</v>
      </c>
      <c r="N68" s="13">
        <f>IF('Données projet'!$A$36&gt;35,N67+M68-V67,IF(A68&lt;'Données projet'!$A$36,$K$205^A68,IF(A68='Données projet'!$A$36,'Données projet'!$B$36,N67+M68-V67)))</f>
        <v>604.5</v>
      </c>
      <c r="O68" s="13">
        <f>N68*VLOOKUP('Données projet'!$B$9,Paramètres!$A$1:$I$89,3,0)*VLOOKUP('Données projet'!$B$9,Paramètres!$A$1:$I$89,5,0)</f>
        <v>337.91550000000001</v>
      </c>
      <c r="P68" s="13">
        <f t="shared" si="33"/>
        <v>79.069121501508363</v>
      </c>
      <c r="Q68" s="20">
        <f t="shared" si="54"/>
        <v>726.24821578179365</v>
      </c>
      <c r="R68" s="59">
        <f t="shared" si="55"/>
        <v>1019.581549115127</v>
      </c>
      <c r="S68" s="59">
        <f ca="1">AVERAGE(OFFSET($R$3,0,0,'Données projet'!$E$9+1,1))-AVERAGE(OFFSET($H$3,0,0,'Données projet'!$E$9+1,1))</f>
        <v>370.69652285220093</v>
      </c>
      <c r="T68" s="59">
        <f t="shared" si="34"/>
        <v>376.53494965377718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5.1389382469935656</v>
      </c>
      <c r="AA68" s="21">
        <f>EXP(-LN(2)/25)*AA67+(1-EXP(-LN(2)/25))/(LN(2)/25)*Calculateur!V68*Calculateur!X68*VLOOKUP('Données projet'!$B$9,Paramètres!$A$1:$I$89,3,0)*0.475*44/12</f>
        <v>12.658377553712004</v>
      </c>
      <c r="AB68" s="21">
        <f>EXP(-LN(2)/2)*AB67+(1-EXP(-LN(2)/2))/(LN(2)/2)*V68*Y68*VLOOKUP('Données projet'!$B$9,Paramètres!$A$1:$I$89,3,0)*0.475*44/12</f>
        <v>1.7657042277413178E-4</v>
      </c>
      <c r="AC68" s="22">
        <f t="shared" ref="AC68:AC131" si="57">SUM(Z68:AB68)</f>
        <v>17.797492371128342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260.13</v>
      </c>
      <c r="AK68" s="13">
        <f t="shared" si="35"/>
        <v>62.750087896510983</v>
      </c>
      <c r="AL68" s="20">
        <f t="shared" ref="AL68:AL131" si="58">(AJ68+AK68)*0.475*44/12</f>
        <v>562.34948641975654</v>
      </c>
      <c r="AM68" s="59">
        <f t="shared" ref="AM68:AM131" si="59">AL68+(AD68+AE68)*44/12</f>
        <v>855.68281975308992</v>
      </c>
      <c r="AN68" s="59">
        <f ca="1">AVERAGE(OFFSET($AM$3,0,0,'Données projet'!$E$10+1,1))-AVERAGE(OFFSET($H$3,0,0,'Données projet'!$E$10+1,1))</f>
        <v>321.03881567735544</v>
      </c>
      <c r="AO68" s="59">
        <f t="shared" si="36"/>
        <v>234.87694492493506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1.2042764376793</v>
      </c>
      <c r="AV68" s="21">
        <f>EXP(-LN(2)/25)*AV67+(1-EXP(-LN(2)/25))/(LN(2)/25)*Calculateur!AQ68*Calculateur!AS68*VLOOKUP('Données projet'!$B$10,Paramètres!$A$1:$I$89,3,0)*0.475*44/12</f>
        <v>5.1365784325497854</v>
      </c>
      <c r="AW68" s="21">
        <f>EXP(-LN(2)/2)*AW67+(1-EXP(-LN(2)/2))/(LN(2)/2)*AQ68*AT68*VLOOKUP('Données projet'!$B$10,Paramètres!$A$1:$I$89,3,0)*0.475*44/12</f>
        <v>1.1728333327825933E-4</v>
      </c>
      <c r="AX68" s="21">
        <f t="shared" ref="AX68:AX131" si="60">SUM(AU68:AW68)</f>
        <v>6.3409721535623635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9.8000000000000007</v>
      </c>
      <c r="BD68" s="12">
        <f>IF('Données projet'!$A$88&gt;35,BD67+BC68-BL67,IF(A68&lt;'Données projet'!$A$88,$BA$205^A68,IF(A68='Données projet'!$A$88,'Données projet'!$B$88,BD67+BC68-BL67)))</f>
        <v>415.00000000000028</v>
      </c>
      <c r="BE68" s="13">
        <f>BD68*VLOOKUP('Données projet'!$B$11,Paramètres!$A$1:$I$89,3,0)*VLOOKUP('Données projet'!$B$11,Paramètres!$A$1:$I$89,5,0)</f>
        <v>226.59000000000017</v>
      </c>
      <c r="BF68" s="13">
        <f t="shared" si="37"/>
        <v>55.544720048447758</v>
      </c>
      <c r="BG68" s="20">
        <f t="shared" ref="BG68:BG131" si="61">(BE68+BF68)*0.475*44/12</f>
        <v>491.38463741771352</v>
      </c>
      <c r="BH68" s="59">
        <f t="shared" ref="BH68:BH131" si="62">BG68+(AY68+AZ68)*44/12</f>
        <v>784.71797075104678</v>
      </c>
      <c r="BI68" s="59">
        <f ca="1">AVERAGE(OFFSET($BH$3,0,0,'Données projet'!$E$11+1,1))-AVERAGE(OFFSET($H$3,0,0,'Données projet'!$E$11+1,1))</f>
        <v>248.1486444660062</v>
      </c>
      <c r="BJ68" s="59">
        <f t="shared" si="38"/>
        <v>293.34458072322127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4.2589086528995281</v>
      </c>
      <c r="BQ68" s="21">
        <f>EXP(-LN(2)/25)*BQ67+(1-EXP(-LN(2)/25))/(LN(2)/25)*Calculateur!BL68*Calculateur!BN68*VLOOKUP('Données projet'!$B$11,Paramètres!$A$1:$I$89,3,0)*0.475*44/12</f>
        <v>12.897891499449884</v>
      </c>
      <c r="BR68" s="21">
        <f>EXP(-LN(2)/2)*BR67+(1-EXP(-LN(2)/2))/(LN(2)/2)*BL68*BO68*VLOOKUP('Données projet'!$B$11,Paramètres!$A$1:$I$89,3,0)*0.475*44/12</f>
        <v>1.3585406702080636E-4</v>
      </c>
      <c r="BS68" s="22">
        <f t="shared" ref="BS68:BS131" si="63">SUM(BP68:BR68)</f>
        <v>17.156936006416434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5.6</v>
      </c>
      <c r="BY68" s="12">
        <f>IF('Données projet'!$A$114&gt;35,BY67+BX68-CG67,IF(A68&lt;'Données projet'!$A$114,$BV$205^A68,IF(A68='Données projet'!$A$114,'Données projet'!$B$114,BY67+BX68-CG67)))</f>
        <v>243.99999999999994</v>
      </c>
      <c r="BZ68" s="13">
        <f>BY68*VLOOKUP('Données projet'!$B$12,Paramètres!$A$1:$I$89,3,0)*VLOOKUP('Données projet'!$B$12,Paramètres!$A$1:$I$89,5,0)</f>
        <v>213.15839999999997</v>
      </c>
      <c r="CA68" s="13">
        <f t="shared" si="39"/>
        <v>52.62517477463237</v>
      </c>
      <c r="CB68" s="20">
        <f t="shared" ref="CB68:CB131" si="64">(BZ68+CA68)*0.475*44/12</f>
        <v>462.90639273248468</v>
      </c>
      <c r="CC68" s="59">
        <f t="shared" ref="CC68:CC131" si="65">CB68+(BT68+BU68)*44/12</f>
        <v>756.23972606581799</v>
      </c>
      <c r="CD68" s="59">
        <f ca="1">AVERAGE(OFFSET($CC$3,0,0,'Données projet'!$E$12+1,1))-AVERAGE(OFFSET($H$3,0,0,'Données projet'!$E$12+1,1))</f>
        <v>243.38048563215585</v>
      </c>
      <c r="CE68" s="59">
        <f t="shared" si="40"/>
        <v>372.1604147006675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3.6543560867509797</v>
      </c>
      <c r="CL68" s="21">
        <f>EXP(-LN(2)/25)*CL67+(1-EXP(-LN(2)/25))/(LN(2)/25)*Calculateur!CG68*Calculateur!CI68*VLOOKUP('Données projet'!$B$12,Paramètres!$A$1:$I$89,3,0)*0.475*44/12</f>
        <v>7.3369884243644714</v>
      </c>
      <c r="CM68" s="21">
        <f>EXP(-LN(2)/2)*CM67+(1-EXP(-LN(2)/2))/(LN(2)/2)*CG68*CJ68*VLOOKUP('Données projet'!$B$12,Paramètres!$A$1:$I$89,3,0)*0.475*44/12</f>
        <v>1.5814813467177123E-4</v>
      </c>
      <c r="CN68" s="22">
        <f t="shared" ref="CN68:CN131" si="66">SUM(CK68:CM68)</f>
        <v>10.991502659250122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17</v>
      </c>
      <c r="CT68" s="12">
        <f>IF('Données projet'!$A$140&gt;35,CT67+CS68-DB67,IF(A68&lt;'Données projet'!$A$140,$CQ$205^A68,IF(A68='Données projet'!$A$140,'Données projet'!$B$140,CT67+CS68-DB67)))</f>
        <v>609.00000000000034</v>
      </c>
      <c r="CU68" s="17">
        <f>CT68*VLOOKUP('Données projet'!$B$13,Paramètres!$A$1:$I$89,3,0)*VLOOKUP('Données projet'!$B$13,Paramètres!$A$1:$I$89,5,0)</f>
        <v>292.9290000000002</v>
      </c>
      <c r="CV68" s="13">
        <f t="shared" si="41"/>
        <v>69.692058760461109</v>
      </c>
      <c r="CW68" s="20">
        <f t="shared" ref="CW68:CW131" si="67">(CU68+CV68)*0.475*44/12</f>
        <v>631.56501067447016</v>
      </c>
      <c r="CX68" s="59">
        <f t="shared" ref="CX68:CX131" si="68">CW68+(CO68+CP68)*44/12</f>
        <v>924.89834400780342</v>
      </c>
      <c r="CY68" s="59">
        <f ca="1">AVERAGE(OFFSET($CX$3,0,0,'Données projet'!$E$13+1,1))-AVERAGE(OFFSET($H$3,0,0,'Données projet'!$E$13+1,1))</f>
        <v>297.21955661193238</v>
      </c>
      <c r="CZ68" s="59">
        <f t="shared" si="42"/>
        <v>273.69206144662144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3.3690492161906866</v>
      </c>
      <c r="DG68" s="21">
        <f>EXP(-LN(2)/25)*DG67+(1-EXP(-LN(2)/25))/(LN(2)/25)*Calculateur!DB68*Calculateur!DD68*VLOOKUP('Données projet'!$B$13,Paramètres!$A$1:$I$89,3,0)*0.475*44/12</f>
        <v>5.0864173807833035</v>
      </c>
      <c r="DH68" s="21">
        <f>EXP(-LN(2)/2)*DH67+(1-EXP(-LN(2)/2))/(LN(2)/2)*DB68*DE68*VLOOKUP('Données projet'!$B$13,Paramètres!$A$1:$I$89,3,0)*0.475*44/12</f>
        <v>1.1282021313163065E-4</v>
      </c>
      <c r="DI68" s="22">
        <f t="shared" ref="DI68:DI131" si="69">SUM(DF68:DH68)</f>
        <v>8.4555794171871206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242.26019999999986</v>
      </c>
      <c r="DQ68" s="13">
        <f t="shared" si="43"/>
        <v>58.925557915516166</v>
      </c>
      <c r="DR68" s="20">
        <f t="shared" ref="DR68:DR131" si="70">(DP68+DQ68)*0.475*44/12</f>
        <v>524.5651950361904</v>
      </c>
      <c r="DS68" s="59">
        <f t="shared" ref="DS68:DS131" si="71">DR68+(DJ68+DK68)*44/12</f>
        <v>817.89852836952377</v>
      </c>
      <c r="DT68" s="59">
        <f ca="1">AVERAGE(OFFSET($DS$3,0,0,'Données projet'!$E$14+1,1))-AVERAGE(OFFSET($H$3,0,0,'Données projet'!$E$14+1,1))</f>
        <v>260.20517190557814</v>
      </c>
      <c r="DU68" s="59">
        <f t="shared" si="44"/>
        <v>307.22009971147133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1.6314951939891487</v>
      </c>
      <c r="EB68" s="21">
        <f>EXP(-LN(2)/25)*EB67+(1-EXP(-LN(2)/25))/(LN(2)/25)*Calculateur!DW68*Calculateur!DY68*VLOOKUP('Données projet'!$B$14,Paramètres!$A$1:$I$89,3,0)*0.475*44/12</f>
        <v>7.7754754470466789</v>
      </c>
      <c r="EC68" s="21">
        <f>EXP(-LN(2)/2)*EC67+(1-EXP(-LN(2)/2))/(LN(2)/2)*DW68*DZ68*VLOOKUP('Données projet'!$B$14,Paramètres!$A$1:$I$89,3,0)*0.475*44/12</f>
        <v>1.2968570047989172E-4</v>
      </c>
      <c r="ED68" s="22">
        <f t="shared" ref="ED68:ED131" si="72">SUM(EA68:EC68)</f>
        <v>9.4071003267363089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10.7</v>
      </c>
      <c r="EJ68" s="12">
        <f>IF('Données projet'!$A$192&gt;35,EJ67+EI68-ER67,IF(A68&lt;'Données projet'!$A$192,$EG$205^A68,IF(A68='Données projet'!$A$192,'Données projet'!$B$192,EJ67+EI68-ER67)))</f>
        <v>436.50000000000023</v>
      </c>
      <c r="EK68" s="17">
        <f>EJ68*VLOOKUP('Données projet'!$B$15,Paramètres!$A$1:$I$89,3,0)*VLOOKUP('Données projet'!$B$15,Paramètres!$A$1:$I$89,5,0)</f>
        <v>261.02700000000016</v>
      </c>
      <c r="EL68" s="13">
        <f t="shared" si="45"/>
        <v>62.941242601628787</v>
      </c>
      <c r="EM68" s="20">
        <f t="shared" ref="EM68:EM131" si="73">(EK68+EL68)*0.475*44/12</f>
        <v>564.24468919783703</v>
      </c>
      <c r="EN68" s="59">
        <f t="shared" ref="EN68:EN131" si="74">EM68+(EE68+EF68)*44/12</f>
        <v>857.57802253117029</v>
      </c>
      <c r="EO68" s="59">
        <f ca="1">AVERAGE(OFFSET($EN$3,0,0,'Données projet'!$E$15+1,1))-AVERAGE(OFFSET($H$3,0,0,'Données projet'!$E$15+1,1))</f>
        <v>259.30247982593914</v>
      </c>
      <c r="EP68" s="59">
        <f t="shared" si="46"/>
        <v>275.24740346220779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6.8332341491742632</v>
      </c>
      <c r="EX68" s="21">
        <f>EXP(-LN(2)/2)*EX67+(1-EXP(-LN(2)/2))/(LN(2)/2)*ER68*EU68*VLOOKUP('Données projet'!$B$15,Paramètres!$A$1:$I$89,3,0)*0.475*44/12</f>
        <v>1.5472530329296372E-4</v>
      </c>
      <c r="EY68" s="22">
        <f t="shared" ref="EY68:EY131" si="75">SUM(EV68:EX68)</f>
        <v>6.8333888744775564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8.5</v>
      </c>
      <c r="FE68" s="12">
        <f>IF('Données projet'!$A$218&gt;35,FE67+FD68-FM67,IF(A68&lt;'Données projet'!$A$218,$FB$205^A68,IF(A68='Données projet'!$A$218,'Données projet'!$B$218,FE67+FD68-FM67)))</f>
        <v>287.5</v>
      </c>
      <c r="FF68" s="17">
        <f>FE68*VLOOKUP('Données projet'!$B$16,Paramètres!$A$1:$I$89,3,0)*VLOOKUP('Données projet'!$B$16,Paramètres!$A$1:$I$89,5,0)</f>
        <v>291.52500000000003</v>
      </c>
      <c r="FG68" s="13">
        <f t="shared" si="47"/>
        <v>69.396825633343326</v>
      </c>
      <c r="FH68" s="20">
        <f t="shared" ref="FH68:FH131" si="76">(FF68+FG68)*0.475*44/12</f>
        <v>628.60551297807297</v>
      </c>
      <c r="FI68" s="59">
        <f t="shared" ref="FI68:FI131" si="77">FH68+(EZ68+FA68)*44/12</f>
        <v>921.93884631140622</v>
      </c>
      <c r="FJ68" s="59">
        <f ca="1">AVERAGE(OFFSET($FI$3,0,0,'Données projet'!$E$16+1,1))-AVERAGE(OFFSET($H$3,0,0,'Données projet'!$E$16+1,1))</f>
        <v>372.91317851957336</v>
      </c>
      <c r="FK68" s="59">
        <f t="shared" si="48"/>
        <v>269.69187715858413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1.3496201456750778</v>
      </c>
      <c r="FR68" s="21">
        <f>EXP(-LN(2)/25)*FR67+(1-EXP(-LN(2)/25))/(LN(2)/25)*Calculateur!FM68*Calculateur!FO68*VLOOKUP('Données projet'!$B$16,Paramètres!$A$1:$I$89,3,0)*0.475*44/12</f>
        <v>5.7565103123402777</v>
      </c>
      <c r="FS68" s="21">
        <f>EXP(-LN(2)/2)*FS67+(1-EXP(-LN(2)/2))/(LN(2)/2)*FM68*FP68*VLOOKUP('Données projet'!$B$16,Paramètres!$A$1:$I$89,3,0)*0.475*44/12</f>
        <v>1.3143821832908362E-4</v>
      </c>
      <c r="FT68" s="22">
        <f t="shared" ref="FT68:FT131" si="78">SUM(FQ68:FS68)</f>
        <v>7.1062618962336845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15.5</v>
      </c>
      <c r="FZ68" s="12">
        <f>IF('Données projet'!$A$244&gt;35,FZ67+FY68-GH67,IF(A68&lt;'Données projet'!$A$244,$FW$205^A68,IF(A68='Données projet'!$A$244,'Données projet'!$B$244,FZ67+FY68-GH67)))</f>
        <v>368.89999999999986</v>
      </c>
      <c r="GA68" s="17">
        <f>FZ68*VLOOKUP('Données projet'!$B$17,Paramètres!$A$1:$I$89,3,0)*VLOOKUP('Données projet'!$B$17,Paramètres!$A$1:$I$89,5,0)</f>
        <v>172.64519999999993</v>
      </c>
      <c r="GB68" s="13">
        <f t="shared" si="49"/>
        <v>43.681926966241704</v>
      </c>
      <c r="GC68" s="20">
        <f t="shared" ref="GC68:GC131" si="79">(GA68+GB68)*0.475*44/12</f>
        <v>376.76974613287081</v>
      </c>
      <c r="GD68" s="59">
        <f t="shared" ref="GD68:GD131" si="80">GC68+(FU68+FV68)*44/12</f>
        <v>670.10307946620412</v>
      </c>
      <c r="GE68" s="59">
        <f ca="1">AVERAGE(OFFSET($GD$3,0,0,'Données projet'!$E$17+1,1))-AVERAGE(OFFSET($H$3,0,0,'Données projet'!$E$17+1,1))</f>
        <v>215.23235148064941</v>
      </c>
      <c r="GF68" s="59">
        <f t="shared" si="50"/>
        <v>184.07239726900434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1.5672908009103297</v>
      </c>
      <c r="GM68" s="21">
        <f>EXP(-LN(2)/25)*GM67+(1-EXP(-LN(2)/25))/(LN(2)/25)*Calculateur!GH68*Calculateur!GJ68*VLOOKUP('Données projet'!$B$17,Paramètres!$A$1:$I$89,3,0)*0.475*44/12</f>
        <v>2.9766643647448592</v>
      </c>
      <c r="GN68" s="21">
        <f>EXP(-LN(2)/2)*GN67+(1-EXP(-LN(2)/2))/(LN(2)/2)*GH68*GK68*VLOOKUP('Données projet'!$B$17,Paramètres!$A$1:$I$89,3,0)*0.475*44/12</f>
        <v>5.3042592338868538E-5</v>
      </c>
      <c r="GO68" s="21">
        <f t="shared" ref="GO68:GO131" si="81">SUM(GL68:GN68)</f>
        <v>4.5440082082475275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-1.1368683772161603E-13</v>
      </c>
      <c r="GV68" s="17">
        <f>GU68*VLOOKUP('Données projet'!$B$18,Paramètres!$A$1:$I$89,3,0)*VLOOKUP('Données projet'!$B$18,Paramètres!$A$1:$I$89,5,0)</f>
        <v>-6.7984728957526396E-14</v>
      </c>
      <c r="GW68" s="13" t="e">
        <f t="shared" si="51"/>
        <v>#NUM!</v>
      </c>
      <c r="GX68" s="20" t="e">
        <f t="shared" ref="GX68:GX131" si="82">(GV68+GW68)*0.475*44/12</f>
        <v>#NUM!</v>
      </c>
      <c r="GY68" s="59" t="e">
        <f t="shared" ref="GY68:GY131" si="83">GX68+(GP68+GQ68)*44/12</f>
        <v>#NUM!</v>
      </c>
      <c r="GZ68" s="59">
        <f ca="1">AVERAGE(OFFSET($GY$3,0,0,'Données projet'!$E$18+1,1))-AVERAGE(OFFSET($H$3,0,0,'Données projet'!$E$18+1,1))</f>
        <v>227.89848316900191</v>
      </c>
      <c r="HA68" s="59">
        <f t="shared" si="52"/>
        <v>239.85955661394541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3.9710217279681159</v>
      </c>
      <c r="HH68" s="21">
        <f>EXP(-LN(2)/25)*HH67+(1-EXP(-LN(2)/25))/(LN(2)/25)*Calculateur!HC68*Calculateur!HE68*VLOOKUP('Données projet'!$B$18,Paramètres!$A$1:$I$89,3,0)*0.475*44/12</f>
        <v>6.496201146140705</v>
      </c>
      <c r="HI68" s="21">
        <f>EXP(-LN(2)/2)*HI67+(1-EXP(-LN(2)/2))/(LN(2)/2)*HC68*HF68*VLOOKUP('Données projet'!$B$18,Paramètres!$A$1:$I$89,3,0)*0.475*44/12</f>
        <v>3.6164400011651205E-5</v>
      </c>
      <c r="HJ68" s="22">
        <f t="shared" ref="HJ68:HJ131" si="84">SUM(HG68:HI68)</f>
        <v>10.467259038508832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14.5</v>
      </c>
      <c r="N69" s="13">
        <f>IF('Données projet'!$A$36&gt;35,N68+M69-V68,IF(A69&lt;'Données projet'!$A$36,$K$205^A69,IF(A69='Données projet'!$A$36,'Données projet'!$B$36,N68+M69-V68)))</f>
        <v>619</v>
      </c>
      <c r="O69" s="13">
        <f>N69*VLOOKUP('Données projet'!$B$9,Paramètres!$A$1:$I$89,3,0)*VLOOKUP('Données projet'!$B$9,Paramètres!$A$1:$I$89,5,0)</f>
        <v>346.02100000000002</v>
      </c>
      <c r="P69" s="13">
        <f t="shared" ref="P69:P132" si="87">EXP(-1.0587+0.8836*LN(O69)+0.284)</f>
        <v>80.742649404694433</v>
      </c>
      <c r="Q69" s="20">
        <f t="shared" si="54"/>
        <v>743.28002271317609</v>
      </c>
      <c r="R69" s="59">
        <f t="shared" si="55"/>
        <v>1036.6133560465094</v>
      </c>
      <c r="S69" s="59">
        <f ca="1">AVERAGE(OFFSET($R$3,0,0,'Données projet'!$E$9+1,1))-AVERAGE(OFFSET($H$3,0,0,'Données projet'!$E$9+1,1))</f>
        <v>370.69652285220093</v>
      </c>
      <c r="T69" s="59">
        <f t="shared" ref="T69:T132" si="88">$T$3</f>
        <v>376.53494965377718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5.0381668024128521</v>
      </c>
      <c r="AA69" s="21">
        <f>EXP(-LN(2)/25)*AA68+(1-EXP(-LN(2)/25))/(LN(2)/25)*Calculateur!V69*Calculateur!X69*VLOOKUP('Données projet'!$B$9,Paramètres!$A$1:$I$89,3,0)*0.475*44/12</f>
        <v>12.312233553830605</v>
      </c>
      <c r="AB69" s="21">
        <f>EXP(-LN(2)/2)*AB68+(1-EXP(-LN(2)/2))/(LN(2)/2)*V69*Y69*VLOOKUP('Données projet'!$B$9,Paramètres!$A$1:$I$89,3,0)*0.475*44/12</f>
        <v>1.2485414330056419E-4</v>
      </c>
      <c r="AC69" s="22">
        <f t="shared" si="57"/>
        <v>17.35052521038676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267.82079999999996</v>
      </c>
      <c r="AK69" s="13">
        <f t="shared" ref="AK69:AK132" si="89">EXP(-1.0587+0.8836*LN(AJ69)+0.284)</f>
        <v>64.386570147897302</v>
      </c>
      <c r="AL69" s="20">
        <f t="shared" si="58"/>
        <v>578.59450300758772</v>
      </c>
      <c r="AM69" s="59">
        <f t="shared" si="59"/>
        <v>871.92783634092098</v>
      </c>
      <c r="AN69" s="59">
        <f ca="1">AVERAGE(OFFSET($AM$3,0,0,'Données projet'!$E$10+1,1))-AVERAGE(OFFSET($H$3,0,0,'Données projet'!$E$10+1,1))</f>
        <v>321.03881567735544</v>
      </c>
      <c r="AO69" s="59">
        <f t="shared" ref="AO69:AO132" si="90">$AO$3</f>
        <v>234.87694492493506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1.1806613112725066</v>
      </c>
      <c r="AV69" s="21">
        <f>EXP(-LN(2)/25)*AV68+(1-EXP(-LN(2)/25))/(LN(2)/25)*Calculateur!AQ69*Calculateur!AS69*VLOOKUP('Données projet'!$B$10,Paramètres!$A$1:$I$89,3,0)*0.475*44/12</f>
        <v>4.996118425190792</v>
      </c>
      <c r="AW69" s="21">
        <f>EXP(-LN(2)/2)*AW68+(1-EXP(-LN(2)/2))/(LN(2)/2)*AQ69*AT69*VLOOKUP('Données projet'!$B$10,Paramètres!$A$1:$I$89,3,0)*0.475*44/12</f>
        <v>8.2931840281219045E-5</v>
      </c>
      <c r="AX69" s="21">
        <f t="shared" si="60"/>
        <v>6.1768626683035803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9.8000000000000007</v>
      </c>
      <c r="BD69" s="12">
        <f>IF('Données projet'!$A$88&gt;35,BD68+BC69-BL68,IF(A69&lt;'Données projet'!$A$88,$BA$205^A69,IF(A69='Données projet'!$A$88,'Données projet'!$B$88,BD68+BC69-BL68)))</f>
        <v>424.8000000000003</v>
      </c>
      <c r="BE69" s="13">
        <f>BD69*VLOOKUP('Données projet'!$B$11,Paramètres!$A$1:$I$89,3,0)*VLOOKUP('Données projet'!$B$11,Paramètres!$A$1:$I$89,5,0)</f>
        <v>231.94080000000014</v>
      </c>
      <c r="BF69" s="13">
        <f t="shared" ref="BF69:BF132" si="91">EXP(-1.0587+0.8836*LN(BE69)+0.284)</f>
        <v>56.702122420175506</v>
      </c>
      <c r="BG69" s="20">
        <f t="shared" si="61"/>
        <v>502.71975654847256</v>
      </c>
      <c r="BH69" s="59">
        <f t="shared" si="62"/>
        <v>796.05308988180582</v>
      </c>
      <c r="BI69" s="59">
        <f ca="1">AVERAGE(OFFSET($BH$3,0,0,'Données projet'!$E$11+1,1))-AVERAGE(OFFSET($H$3,0,0,'Données projet'!$E$11+1,1))</f>
        <v>248.1486444660062</v>
      </c>
      <c r="BJ69" s="59">
        <f t="shared" ref="BJ69:BJ132" si="92">$BJ$3</f>
        <v>293.34458072322127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4.1753940518939476</v>
      </c>
      <c r="BQ69" s="21">
        <f>EXP(-LN(2)/25)*BQ68+(1-EXP(-LN(2)/25))/(LN(2)/25)*Calculateur!BL69*Calculateur!BN69*VLOOKUP('Données projet'!$B$11,Paramètres!$A$1:$I$89,3,0)*0.475*44/12</f>
        <v>12.545197978126792</v>
      </c>
      <c r="BR69" s="21">
        <f>EXP(-LN(2)/2)*BR68+(1-EXP(-LN(2)/2))/(LN(2)/2)*BL69*BO69*VLOOKUP('Données projet'!$B$11,Paramètres!$A$1:$I$89,3,0)*0.475*44/12</f>
        <v>9.6063332042183887E-5</v>
      </c>
      <c r="BS69" s="22">
        <f t="shared" si="63"/>
        <v>16.720688093352781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5.6</v>
      </c>
      <c r="BY69" s="12">
        <f>IF('Données projet'!$A$114&gt;35,BY68+BX69-CG68,IF(A69&lt;'Données projet'!$A$114,$BV$205^A69,IF(A69='Données projet'!$A$114,'Données projet'!$B$114,BY68+BX69-CG68)))</f>
        <v>249.59999999999994</v>
      </c>
      <c r="BZ69" s="13">
        <f>BY69*VLOOKUP('Données projet'!$B$12,Paramètres!$A$1:$I$89,3,0)*VLOOKUP('Données projet'!$B$12,Paramètres!$A$1:$I$89,5,0)</f>
        <v>218.05055999999999</v>
      </c>
      <c r="CA69" s="13">
        <f t="shared" ref="CA69:CA132" si="93">EXP(-1.0587+0.8836*LN(BZ69)+0.284)</f>
        <v>53.690965335220028</v>
      </c>
      <c r="CB69" s="20">
        <f t="shared" si="64"/>
        <v>473.28315662550813</v>
      </c>
      <c r="CC69" s="59">
        <f t="shared" si="65"/>
        <v>766.61648995884138</v>
      </c>
      <c r="CD69" s="59">
        <f ca="1">AVERAGE(OFFSET($CC$3,0,0,'Données projet'!$E$12+1,1))-AVERAGE(OFFSET($H$3,0,0,'Données projet'!$E$12+1,1))</f>
        <v>243.38048563215585</v>
      </c>
      <c r="CE69" s="59">
        <f t="shared" ref="CE69:CE132" si="94">$CE$3</f>
        <v>372.1604147006675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3.5826963928269167</v>
      </c>
      <c r="CL69" s="21">
        <f>EXP(-LN(2)/25)*CL68+(1-EXP(-LN(2)/25))/(LN(2)/25)*Calculateur!CG69*Calculateur!CI69*VLOOKUP('Données projet'!$B$12,Paramètres!$A$1:$I$89,3,0)*0.475*44/12</f>
        <v>7.136358090064773</v>
      </c>
      <c r="CM69" s="21">
        <f>EXP(-LN(2)/2)*CM68+(1-EXP(-LN(2)/2))/(LN(2)/2)*CG69*CJ69*VLOOKUP('Données projet'!$B$12,Paramètres!$A$1:$I$89,3,0)*0.475*44/12</f>
        <v>1.1182761845841279E-4</v>
      </c>
      <c r="CN69" s="22">
        <f t="shared" si="66"/>
        <v>10.719166310510147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17</v>
      </c>
      <c r="CT69" s="12">
        <f>IF('Données projet'!$A$140&gt;35,CT68+CS69-DB68,IF(A69&lt;'Données projet'!$A$140,$CQ$205^A69,IF(A69='Données projet'!$A$140,'Données projet'!$B$140,CT68+CS69-DB68)))</f>
        <v>626.00000000000034</v>
      </c>
      <c r="CU69" s="17">
        <f>CT69*VLOOKUP('Données projet'!$B$13,Paramètres!$A$1:$I$89,3,0)*VLOOKUP('Données projet'!$B$13,Paramètres!$A$1:$I$89,5,0)</f>
        <v>301.10600000000017</v>
      </c>
      <c r="CV69" s="13">
        <f t="shared" ref="CV69:CV132" si="95">EXP(-1.0587+0.8836*LN(CU69)+0.284)</f>
        <v>71.408273876909504</v>
      </c>
      <c r="CW69" s="20">
        <f t="shared" si="67"/>
        <v>648.795693668951</v>
      </c>
      <c r="CX69" s="59">
        <f t="shared" si="68"/>
        <v>942.12902700228437</v>
      </c>
      <c r="CY69" s="59">
        <f ca="1">AVERAGE(OFFSET($CX$3,0,0,'Données projet'!$E$13+1,1))-AVERAGE(OFFSET($H$3,0,0,'Données projet'!$E$13+1,1))</f>
        <v>297.21955661193238</v>
      </c>
      <c r="CZ69" s="59">
        <f t="shared" ref="CZ69:CZ132" si="96">$CZ$3</f>
        <v>273.69206144662144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3.3029842159783032</v>
      </c>
      <c r="DG69" s="21">
        <f>EXP(-LN(2)/25)*DG68+(1-EXP(-LN(2)/25))/(LN(2)/25)*Calculateur!DB69*Calculateur!DD69*VLOOKUP('Données projet'!$B$13,Paramètres!$A$1:$I$89,3,0)*0.475*44/12</f>
        <v>4.9473290300227193</v>
      </c>
      <c r="DH69" s="21">
        <f>EXP(-LN(2)/2)*DH68+(1-EXP(-LN(2)/2))/(LN(2)/2)*DB69*DE69*VLOOKUP('Données projet'!$B$13,Paramètres!$A$1:$I$89,3,0)*0.475*44/12</f>
        <v>7.9775937760287609E-5</v>
      </c>
      <c r="DI69" s="22">
        <f t="shared" si="69"/>
        <v>8.2503930219387822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246.15863999999985</v>
      </c>
      <c r="DQ69" s="13">
        <f t="shared" ref="DQ69:DQ132" si="97">EXP(-1.0587+0.8836*LN(DP69)+0.284)</f>
        <v>59.762631584626781</v>
      </c>
      <c r="DR69" s="20">
        <f t="shared" si="70"/>
        <v>532.8128813432246</v>
      </c>
      <c r="DS69" s="59">
        <f t="shared" si="71"/>
        <v>826.14621467655797</v>
      </c>
      <c r="DT69" s="59">
        <f ca="1">AVERAGE(OFFSET($DS$3,0,0,'Données projet'!$E$14+1,1))-AVERAGE(OFFSET($H$3,0,0,'Données projet'!$E$14+1,1))</f>
        <v>260.20517190557814</v>
      </c>
      <c r="DU69" s="59">
        <f t="shared" ref="DU69:DU132" si="98">$DU$3</f>
        <v>307.22009971147133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1.5995025683488304</v>
      </c>
      <c r="EB69" s="21">
        <f>EXP(-LN(2)/25)*EB68+(1-EXP(-LN(2)/25))/(LN(2)/25)*Calculateur!DW69*Calculateur!DY69*VLOOKUP('Données projet'!$B$14,Paramètres!$A$1:$I$89,3,0)*0.475*44/12</f>
        <v>7.5628546620527048</v>
      </c>
      <c r="EC69" s="21">
        <f>EXP(-LN(2)/2)*EC68+(1-EXP(-LN(2)/2))/(LN(2)/2)*DW69*DZ69*VLOOKUP('Données projet'!$B$14,Paramètres!$A$1:$I$89,3,0)*0.475*44/12</f>
        <v>9.1701638232258935E-5</v>
      </c>
      <c r="ED69" s="22">
        <f t="shared" si="72"/>
        <v>9.1624489320397693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10.7</v>
      </c>
      <c r="EJ69" s="12">
        <f>IF('Données projet'!$A$192&gt;35,EJ68+EI69-ER68,IF(A69&lt;'Données projet'!$A$192,$EG$205^A69,IF(A69='Données projet'!$A$192,'Données projet'!$B$192,EJ68+EI69-ER68)))</f>
        <v>447.20000000000022</v>
      </c>
      <c r="EK69" s="17">
        <f>EJ69*VLOOKUP('Données projet'!$B$15,Paramètres!$A$1:$I$89,3,0)*VLOOKUP('Données projet'!$B$15,Paramètres!$A$1:$I$89,5,0)</f>
        <v>267.42560000000014</v>
      </c>
      <c r="EL69" s="13">
        <f t="shared" ref="EL69:EL132" si="99">EXP(-1.0587+0.8836*LN(EK69)+0.284)</f>
        <v>64.302612367699822</v>
      </c>
      <c r="EM69" s="20">
        <f t="shared" si="73"/>
        <v>577.75996987374401</v>
      </c>
      <c r="EN69" s="59">
        <f t="shared" si="74"/>
        <v>871.09330320707727</v>
      </c>
      <c r="EO69" s="59">
        <f ca="1">AVERAGE(OFFSET($EN$3,0,0,'Données projet'!$E$15+1,1))-AVERAGE(OFFSET($H$3,0,0,'Données projet'!$E$15+1,1))</f>
        <v>259.30247982593914</v>
      </c>
      <c r="EP69" s="59">
        <f t="shared" ref="EP69:EP132" si="100">$EP$3</f>
        <v>275.24740346220779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6.646379002020927</v>
      </c>
      <c r="EX69" s="21">
        <f>EXP(-LN(2)/2)*EX68+(1-EXP(-LN(2)/2))/(LN(2)/2)*ER69*EU69*VLOOKUP('Données projet'!$B$15,Paramètres!$A$1:$I$89,3,0)*0.475*44/12</f>
        <v>1.094073111795999E-4</v>
      </c>
      <c r="EY69" s="22">
        <f t="shared" si="75"/>
        <v>6.6464884093321066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8.5</v>
      </c>
      <c r="FE69" s="12">
        <f>IF('Données projet'!$A$218&gt;35,FE68+FD69-FM68,IF(A69&lt;'Données projet'!$A$218,$FB$205^A69,IF(A69='Données projet'!$A$218,'Données projet'!$B$218,FE68+FD69-FM68)))</f>
        <v>296</v>
      </c>
      <c r="FF69" s="17">
        <f>FE69*VLOOKUP('Données projet'!$B$16,Paramètres!$A$1:$I$89,3,0)*VLOOKUP('Données projet'!$B$16,Paramètres!$A$1:$I$89,5,0)</f>
        <v>300.14400000000001</v>
      </c>
      <c r="FG69" s="13">
        <f t="shared" ref="FG69:FG132" si="101">EXP(-1.0587+0.8836*LN(FF69)+0.284)</f>
        <v>71.206650563609855</v>
      </c>
      <c r="FH69" s="20">
        <f t="shared" si="76"/>
        <v>646.7690497316205</v>
      </c>
      <c r="FI69" s="59">
        <f t="shared" si="77"/>
        <v>940.10238306495376</v>
      </c>
      <c r="FJ69" s="59">
        <f ca="1">AVERAGE(OFFSET($FI$3,0,0,'Données projet'!$E$16+1,1))-AVERAGE(OFFSET($H$3,0,0,'Données projet'!$E$16+1,1))</f>
        <v>372.91317851957336</v>
      </c>
      <c r="FK69" s="59">
        <f t="shared" ref="FK69:FK132" si="102">$FK$3</f>
        <v>269.69187715858413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1.3231549178053954</v>
      </c>
      <c r="FR69" s="21">
        <f>EXP(-LN(2)/25)*FR68+(1-EXP(-LN(2)/25))/(LN(2)/25)*Calculateur!FM69*Calculateur!FO69*VLOOKUP('Données projet'!$B$16,Paramètres!$A$1:$I$89,3,0)*0.475*44/12</f>
        <v>5.5990982351276122</v>
      </c>
      <c r="FS69" s="21">
        <f>EXP(-LN(2)/2)*FS68+(1-EXP(-LN(2)/2))/(LN(2)/2)*FM69*FP69*VLOOKUP('Données projet'!$B$16,Paramètres!$A$1:$I$89,3,0)*0.475*44/12</f>
        <v>9.2940855487572995E-5</v>
      </c>
      <c r="FT69" s="22">
        <f t="shared" si="78"/>
        <v>6.9223460937884953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15.5</v>
      </c>
      <c r="FZ69" s="12">
        <f>IF('Données projet'!$A$244&gt;35,FZ68+FY69-GH68,IF(A69&lt;'Données projet'!$A$244,$FW$205^A69,IF(A69='Données projet'!$A$244,'Données projet'!$B$244,FZ68+FY69-GH68)))</f>
        <v>384.39999999999986</v>
      </c>
      <c r="GA69" s="17">
        <f>FZ69*VLOOKUP('Données projet'!$B$17,Paramètres!$A$1:$I$89,3,0)*VLOOKUP('Données projet'!$B$17,Paramètres!$A$1:$I$89,5,0)</f>
        <v>179.89919999999995</v>
      </c>
      <c r="GB69" s="13">
        <f t="shared" ref="GB69:GB132" si="103">EXP(-1.0587+0.8836*LN(GA69)+0.284)</f>
        <v>45.299759292628586</v>
      </c>
      <c r="GC69" s="20">
        <f t="shared" si="79"/>
        <v>392.22152076799466</v>
      </c>
      <c r="GD69" s="59">
        <f t="shared" si="80"/>
        <v>685.55485410132792</v>
      </c>
      <c r="GE69" s="59">
        <f ca="1">AVERAGE(OFFSET($GD$3,0,0,'Données projet'!$E$17+1,1))-AVERAGE(OFFSET($H$3,0,0,'Données projet'!$E$17+1,1))</f>
        <v>215.23235148064941</v>
      </c>
      <c r="GF69" s="59">
        <f t="shared" ref="GF69:GF132" si="104">$GF$3</f>
        <v>184.07239726900434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1.5365571842574741</v>
      </c>
      <c r="GM69" s="21">
        <f>EXP(-LN(2)/25)*GM68+(1-EXP(-LN(2)/25))/(LN(2)/25)*Calculateur!GH69*Calculateur!GJ69*VLOOKUP('Données projet'!$B$17,Paramètres!$A$1:$I$89,3,0)*0.475*44/12</f>
        <v>2.8952673211549351</v>
      </c>
      <c r="GN69" s="21">
        <f>EXP(-LN(2)/2)*GN68+(1-EXP(-LN(2)/2))/(LN(2)/2)*GH69*GK69*VLOOKUP('Données projet'!$B$17,Paramètres!$A$1:$I$89,3,0)*0.475*44/12</f>
        <v>3.7506776734527557E-5</v>
      </c>
      <c r="GO69" s="21">
        <f t="shared" si="81"/>
        <v>4.4318620121891437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-1.1368683772161603E-13</v>
      </c>
      <c r="GV69" s="17">
        <f>GU69*VLOOKUP('Données projet'!$B$18,Paramètres!$A$1:$I$89,3,0)*VLOOKUP('Données projet'!$B$18,Paramètres!$A$1:$I$89,5,0)</f>
        <v>-6.7984728957526396E-14</v>
      </c>
      <c r="GW69" s="13" t="e">
        <f t="shared" ref="GW69:GW132" si="105">EXP(-1.0587+0.8836*LN(GV69)+0.284)</f>
        <v>#NUM!</v>
      </c>
      <c r="GX69" s="20" t="e">
        <f t="shared" si="82"/>
        <v>#NUM!</v>
      </c>
      <c r="GY69" s="59" t="e">
        <f t="shared" si="83"/>
        <v>#NUM!</v>
      </c>
      <c r="GZ69" s="59">
        <f ca="1">AVERAGE(OFFSET($GY$3,0,0,'Données projet'!$E$18+1,1))-AVERAGE(OFFSET($H$3,0,0,'Données projet'!$E$18+1,1))</f>
        <v>227.89848316900191</v>
      </c>
      <c r="HA69" s="59">
        <f t="shared" ref="HA69:HA132" si="106">$HA$3</f>
        <v>239.85955661394541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3.8931524139667544</v>
      </c>
      <c r="HH69" s="21">
        <f>EXP(-LN(2)/25)*HH68+(1-EXP(-LN(2)/25))/(LN(2)/25)*Calculateur!HC69*Calculateur!HE69*VLOOKUP('Données projet'!$B$18,Paramètres!$A$1:$I$89,3,0)*0.475*44/12</f>
        <v>6.3185621841791164</v>
      </c>
      <c r="HI69" s="21">
        <f>EXP(-LN(2)/2)*HI68+(1-EXP(-LN(2)/2))/(LN(2)/2)*HC69*HF69*VLOOKUP('Données projet'!$B$18,Paramètres!$A$1:$I$89,3,0)*0.475*44/12</f>
        <v>2.5572092485781425E-5</v>
      </c>
      <c r="HJ69" s="22">
        <f t="shared" si="84"/>
        <v>10.211740170238357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14.5</v>
      </c>
      <c r="N70" s="13">
        <f>IF('Données projet'!$A$36&gt;35,N69+M70-V69,IF(A70&lt;'Données projet'!$A$36,$K$205^A70,IF(A70='Données projet'!$A$36,'Données projet'!$B$36,N69+M70-V69)))</f>
        <v>633.5</v>
      </c>
      <c r="O70" s="13">
        <f>N70*VLOOKUP('Données projet'!$B$9,Paramètres!$A$1:$I$89,3,0)*VLOOKUP('Données projet'!$B$9,Paramètres!$A$1:$I$89,5,0)</f>
        <v>354.12649999999996</v>
      </c>
      <c r="P70" s="13">
        <f t="shared" si="87"/>
        <v>82.411619948049463</v>
      </c>
      <c r="Q70" s="20">
        <f t="shared" si="54"/>
        <v>760.30389224285273</v>
      </c>
      <c r="R70" s="59">
        <f t="shared" si="55"/>
        <v>1053.637225576186</v>
      </c>
      <c r="S70" s="59">
        <f ca="1">AVERAGE(OFFSET($R$3,0,0,'Données projet'!$E$9+1,1))-AVERAGE(OFFSET($H$3,0,0,'Données projet'!$E$9+1,1))</f>
        <v>370.69652285220093</v>
      </c>
      <c r="T70" s="59">
        <f t="shared" si="88"/>
        <v>376.53494965377718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4.939371424395854</v>
      </c>
      <c r="AA70" s="21">
        <f>EXP(-LN(2)/25)*AA69+(1-EXP(-LN(2)/25))/(LN(2)/25)*Calculateur!V70*Calculateur!X70*VLOOKUP('Données projet'!$B$9,Paramètres!$A$1:$I$89,3,0)*0.475*44/12</f>
        <v>11.975554879828884</v>
      </c>
      <c r="AB70" s="21">
        <f>EXP(-LN(2)/2)*AB69+(1-EXP(-LN(2)/2))/(LN(2)/2)*V70*Y70*VLOOKUP('Données projet'!$B$9,Paramètres!$A$1:$I$89,3,0)*0.475*44/12</f>
        <v>8.8285211387065891E-5</v>
      </c>
      <c r="AC70" s="22">
        <f t="shared" si="57"/>
        <v>16.915014589436126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275.51159999999999</v>
      </c>
      <c r="AK70" s="13">
        <f t="shared" si="89"/>
        <v>66.017590685458188</v>
      </c>
      <c r="AL70" s="20">
        <f t="shared" si="58"/>
        <v>594.83000711050624</v>
      </c>
      <c r="AM70" s="59">
        <f t="shared" si="59"/>
        <v>888.16334044383962</v>
      </c>
      <c r="AN70" s="59">
        <f ca="1">AVERAGE(OFFSET($AM$3,0,0,'Données projet'!$E$10+1,1))-AVERAGE(OFFSET($H$3,0,0,'Données projet'!$E$10+1,1))</f>
        <v>321.03881567735544</v>
      </c>
      <c r="AO70" s="59">
        <f t="shared" si="90"/>
        <v>234.87694492493506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1.1575092630907455</v>
      </c>
      <c r="AV70" s="21">
        <f>EXP(-LN(2)/25)*AV69+(1-EXP(-LN(2)/25))/(LN(2)/25)*Calculateur!AQ70*Calculateur!AS70*VLOOKUP('Données projet'!$B$10,Paramètres!$A$1:$I$89,3,0)*0.475*44/12</f>
        <v>4.8594993041195007</v>
      </c>
      <c r="AW70" s="21">
        <f>EXP(-LN(2)/2)*AW69+(1-EXP(-LN(2)/2))/(LN(2)/2)*AQ70*AT70*VLOOKUP('Données projet'!$B$10,Paramètres!$A$1:$I$89,3,0)*0.475*44/12</f>
        <v>5.8641666639129664E-5</v>
      </c>
      <c r="AX70" s="21">
        <f t="shared" si="60"/>
        <v>6.0170672088768855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9.8000000000000007</v>
      </c>
      <c r="BD70" s="12">
        <f>IF('Données projet'!$A$88&gt;35,BD69+BC70-BL69,IF(A70&lt;'Données projet'!$A$88,$BA$205^A70,IF(A70='Données projet'!$A$88,'Données projet'!$B$88,BD69+BC70-BL69)))</f>
        <v>434.60000000000031</v>
      </c>
      <c r="BE70" s="13">
        <f>BD70*VLOOKUP('Données projet'!$B$11,Paramètres!$A$1:$I$89,3,0)*VLOOKUP('Données projet'!$B$11,Paramètres!$A$1:$I$89,5,0)</f>
        <v>237.29160000000016</v>
      </c>
      <c r="BF70" s="13">
        <f t="shared" si="91"/>
        <v>57.856420685099636</v>
      </c>
      <c r="BG70" s="20">
        <f t="shared" si="61"/>
        <v>514.04946935988221</v>
      </c>
      <c r="BH70" s="59">
        <f t="shared" si="62"/>
        <v>807.38280269321558</v>
      </c>
      <c r="BI70" s="59">
        <f ca="1">AVERAGE(OFFSET($BH$3,0,0,'Données projet'!$E$11+1,1))-AVERAGE(OFFSET($H$3,0,0,'Données projet'!$E$11+1,1))</f>
        <v>248.1486444660062</v>
      </c>
      <c r="BJ70" s="59">
        <f t="shared" si="92"/>
        <v>293.34458072322127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4.0935171212752097</v>
      </c>
      <c r="BQ70" s="21">
        <f>EXP(-LN(2)/25)*BQ69+(1-EXP(-LN(2)/25))/(LN(2)/25)*Calculateur!BL70*Calculateur!BN70*VLOOKUP('Données projet'!$B$11,Paramètres!$A$1:$I$89,3,0)*0.475*44/12</f>
        <v>12.202148879691626</v>
      </c>
      <c r="BR70" s="21">
        <f>EXP(-LN(2)/2)*BR69+(1-EXP(-LN(2)/2))/(LN(2)/2)*BL70*BO70*VLOOKUP('Données projet'!$B$11,Paramètres!$A$1:$I$89,3,0)*0.475*44/12</f>
        <v>6.7927033510403181E-5</v>
      </c>
      <c r="BS70" s="22">
        <f t="shared" si="63"/>
        <v>16.295733928000345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5.6</v>
      </c>
      <c r="BY70" s="12">
        <f>IF('Données projet'!$A$114&gt;35,BY69+BX70-CG69,IF(A70&lt;'Données projet'!$A$114,$BV$205^A70,IF(A70='Données projet'!$A$114,'Données projet'!$B$114,BY69+BX70-CG69)))</f>
        <v>255.19999999999993</v>
      </c>
      <c r="BZ70" s="13">
        <f>BY70*VLOOKUP('Données projet'!$B$12,Paramètres!$A$1:$I$89,3,0)*VLOOKUP('Données projet'!$B$12,Paramètres!$A$1:$I$89,5,0)</f>
        <v>222.94271999999998</v>
      </c>
      <c r="CA70" s="13">
        <f t="shared" si="93"/>
        <v>54.753975927514929</v>
      </c>
      <c r="CB70" s="20">
        <f t="shared" si="64"/>
        <v>483.65507874042174</v>
      </c>
      <c r="CC70" s="59">
        <f t="shared" si="65"/>
        <v>776.98841207375506</v>
      </c>
      <c r="CD70" s="59">
        <f ca="1">AVERAGE(OFFSET($CC$3,0,0,'Données projet'!$E$12+1,1))-AVERAGE(OFFSET($H$3,0,0,'Données projet'!$E$12+1,1))</f>
        <v>243.38048563215585</v>
      </c>
      <c r="CE70" s="59">
        <f t="shared" si="94"/>
        <v>372.1604147006675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3.5124419017926072</v>
      </c>
      <c r="CL70" s="21">
        <f>EXP(-LN(2)/25)*CL69+(1-EXP(-LN(2)/25))/(LN(2)/25)*Calculateur!CG70*Calculateur!CI70*VLOOKUP('Données projet'!$B$12,Paramètres!$A$1:$I$89,3,0)*0.475*44/12</f>
        <v>6.9412140028071905</v>
      </c>
      <c r="CM70" s="21">
        <f>EXP(-LN(2)/2)*CM69+(1-EXP(-LN(2)/2))/(LN(2)/2)*CG70*CJ70*VLOOKUP('Données projet'!$B$12,Paramètres!$A$1:$I$89,3,0)*0.475*44/12</f>
        <v>7.9074067335885615E-5</v>
      </c>
      <c r="CN70" s="22">
        <f t="shared" si="66"/>
        <v>10.453734978667134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17</v>
      </c>
      <c r="CT70" s="12">
        <f>IF('Données projet'!$A$140&gt;35,CT69+CS70-DB69,IF(A70&lt;'Données projet'!$A$140,$CQ$205^A70,IF(A70='Données projet'!$A$140,'Données projet'!$B$140,CT69+CS70-DB69)))</f>
        <v>643.00000000000034</v>
      </c>
      <c r="CU70" s="17">
        <f>CT70*VLOOKUP('Données projet'!$B$13,Paramètres!$A$1:$I$89,3,0)*VLOOKUP('Données projet'!$B$13,Paramètres!$A$1:$I$89,5,0)</f>
        <v>309.28300000000013</v>
      </c>
      <c r="CV70" s="13">
        <f t="shared" si="95"/>
        <v>73.11907186062929</v>
      </c>
      <c r="CW70" s="20">
        <f t="shared" si="67"/>
        <v>666.01694182392941</v>
      </c>
      <c r="CX70" s="59">
        <f t="shared" si="68"/>
        <v>959.35027515726279</v>
      </c>
      <c r="CY70" s="59">
        <f ca="1">AVERAGE(OFFSET($CX$3,0,0,'Données projet'!$E$13+1,1))-AVERAGE(OFFSET($H$3,0,0,'Données projet'!$E$13+1,1))</f>
        <v>297.21955661193238</v>
      </c>
      <c r="CZ70" s="59">
        <f t="shared" si="96"/>
        <v>273.69206144662144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3.2382147101244132</v>
      </c>
      <c r="DG70" s="21">
        <f>EXP(-LN(2)/25)*DG69+(1-EXP(-LN(2)/25))/(LN(2)/25)*Calculateur!DB70*Calculateur!DD70*VLOOKUP('Données projet'!$B$13,Paramètres!$A$1:$I$89,3,0)*0.475*44/12</f>
        <v>4.8120440575280217</v>
      </c>
      <c r="DH70" s="21">
        <f>EXP(-LN(2)/2)*DH69+(1-EXP(-LN(2)/2))/(LN(2)/2)*DB70*DE70*VLOOKUP('Données projet'!$B$13,Paramètres!$A$1:$I$89,3,0)*0.475*44/12</f>
        <v>5.6410106565815326E-5</v>
      </c>
      <c r="DI70" s="22">
        <f t="shared" si="69"/>
        <v>8.0503151777590016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250.05707999999984</v>
      </c>
      <c r="DQ70" s="13">
        <f t="shared" si="97"/>
        <v>60.598163512847748</v>
      </c>
      <c r="DR70" s="20">
        <f t="shared" si="70"/>
        <v>541.05788245154292</v>
      </c>
      <c r="DS70" s="59">
        <f t="shared" si="71"/>
        <v>834.39121578487629</v>
      </c>
      <c r="DT70" s="59">
        <f ca="1">AVERAGE(OFFSET($DS$3,0,0,'Données projet'!$E$14+1,1))-AVERAGE(OFFSET($H$3,0,0,'Données projet'!$E$14+1,1))</f>
        <v>260.20517190557814</v>
      </c>
      <c r="DU70" s="59">
        <f t="shared" si="98"/>
        <v>307.22009971147133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1.5681372985837441</v>
      </c>
      <c r="EB70" s="21">
        <f>EXP(-LN(2)/25)*EB69+(1-EXP(-LN(2)/25))/(LN(2)/25)*Calculateur!DW70*Calculateur!DY70*VLOOKUP('Données projet'!$B$14,Paramètres!$A$1:$I$89,3,0)*0.475*44/12</f>
        <v>7.3560480036056317</v>
      </c>
      <c r="EC70" s="21">
        <f>EXP(-LN(2)/2)*EC69+(1-EXP(-LN(2)/2))/(LN(2)/2)*DW70*DZ70*VLOOKUP('Données projet'!$B$14,Paramètres!$A$1:$I$89,3,0)*0.475*44/12</f>
        <v>6.4842850239945859E-5</v>
      </c>
      <c r="ED70" s="22">
        <f t="shared" si="72"/>
        <v>8.9242501450396148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10.7</v>
      </c>
      <c r="EJ70" s="12">
        <f>IF('Données projet'!$A$192&gt;35,EJ69+EI70-ER69,IF(A70&lt;'Données projet'!$A$192,$EG$205^A70,IF(A70='Données projet'!$A$192,'Données projet'!$B$192,EJ69+EI70-ER69)))</f>
        <v>457.9000000000002</v>
      </c>
      <c r="EK70" s="17">
        <f>EJ70*VLOOKUP('Données projet'!$B$15,Paramètres!$A$1:$I$89,3,0)*VLOOKUP('Données projet'!$B$15,Paramètres!$A$1:$I$89,5,0)</f>
        <v>273.82420000000013</v>
      </c>
      <c r="EL70" s="13">
        <f t="shared" si="99"/>
        <v>65.660195526774785</v>
      </c>
      <c r="EM70" s="20">
        <f t="shared" si="73"/>
        <v>591.26865554246626</v>
      </c>
      <c r="EN70" s="59">
        <f t="shared" si="74"/>
        <v>884.60198887579963</v>
      </c>
      <c r="EO70" s="59">
        <f ca="1">AVERAGE(OFFSET($EN$3,0,0,'Données projet'!$E$15+1,1))-AVERAGE(OFFSET($H$3,0,0,'Données projet'!$E$15+1,1))</f>
        <v>259.30247982593914</v>
      </c>
      <c r="EP70" s="59">
        <f t="shared" si="100"/>
        <v>275.24740346220779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6.4646334186927836</v>
      </c>
      <c r="EX70" s="21">
        <f>EXP(-LN(2)/2)*EX69+(1-EXP(-LN(2)/2))/(LN(2)/2)*ER70*EU70*VLOOKUP('Données projet'!$B$15,Paramètres!$A$1:$I$89,3,0)*0.475*44/12</f>
        <v>7.7362651646481861E-5</v>
      </c>
      <c r="EY70" s="22">
        <f t="shared" si="75"/>
        <v>6.4647107813444302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8.5</v>
      </c>
      <c r="FE70" s="12">
        <f>IF('Données projet'!$A$218&gt;35,FE69+FD70-FM69,IF(A70&lt;'Données projet'!$A$218,$FB$205^A70,IF(A70='Données projet'!$A$218,'Données projet'!$B$218,FE69+FD70-FM69)))</f>
        <v>304.5</v>
      </c>
      <c r="FF70" s="17">
        <f>FE70*VLOOKUP('Données projet'!$B$16,Paramètres!$A$1:$I$89,3,0)*VLOOKUP('Données projet'!$B$16,Paramètres!$A$1:$I$89,5,0)</f>
        <v>308.76300000000003</v>
      </c>
      <c r="FG70" s="13">
        <f t="shared" si="101"/>
        <v>73.010435253699583</v>
      </c>
      <c r="FH70" s="20">
        <f t="shared" si="76"/>
        <v>664.92206640019344</v>
      </c>
      <c r="FI70" s="59">
        <f t="shared" si="77"/>
        <v>958.2553997335267</v>
      </c>
      <c r="FJ70" s="59">
        <f ca="1">AVERAGE(OFFSET($FI$3,0,0,'Données projet'!$E$16+1,1))-AVERAGE(OFFSET($H$3,0,0,'Données projet'!$E$16+1,1))</f>
        <v>372.91317851957336</v>
      </c>
      <c r="FK70" s="59">
        <f t="shared" si="102"/>
        <v>269.69187715858413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1.2972086569120425</v>
      </c>
      <c r="FR70" s="21">
        <f>EXP(-LN(2)/25)*FR69+(1-EXP(-LN(2)/25))/(LN(2)/25)*Calculateur!FM70*Calculateur!FO70*VLOOKUP('Données projet'!$B$16,Paramètres!$A$1:$I$89,3,0)*0.475*44/12</f>
        <v>5.4459905994442686</v>
      </c>
      <c r="FS70" s="21">
        <f>EXP(-LN(2)/2)*FS69+(1-EXP(-LN(2)/2))/(LN(2)/2)*FM70*FP70*VLOOKUP('Données projet'!$B$16,Paramètres!$A$1:$I$89,3,0)*0.475*44/12</f>
        <v>6.5719109164541812E-5</v>
      </c>
      <c r="FT70" s="22">
        <f t="shared" si="78"/>
        <v>6.7432649754654754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15.5</v>
      </c>
      <c r="FZ70" s="12">
        <f>IF('Données projet'!$A$244&gt;35,FZ69+FY70-GH69,IF(A70&lt;'Données projet'!$A$244,$FW$205^A70,IF(A70='Données projet'!$A$244,'Données projet'!$B$244,FZ69+FY70-GH69)))</f>
        <v>399.89999999999986</v>
      </c>
      <c r="GA70" s="17">
        <f>FZ70*VLOOKUP('Données projet'!$B$17,Paramètres!$A$1:$I$89,3,0)*VLOOKUP('Données projet'!$B$17,Paramètres!$A$1:$I$89,5,0)</f>
        <v>187.15319999999994</v>
      </c>
      <c r="GB70" s="13">
        <f t="shared" si="103"/>
        <v>46.9100138680691</v>
      </c>
      <c r="GC70" s="20">
        <f t="shared" si="79"/>
        <v>407.66009748688685</v>
      </c>
      <c r="GD70" s="59">
        <f t="shared" si="80"/>
        <v>700.99343082022017</v>
      </c>
      <c r="GE70" s="59">
        <f ca="1">AVERAGE(OFFSET($GD$3,0,0,'Données projet'!$E$17+1,1))-AVERAGE(OFFSET($H$3,0,0,'Données projet'!$E$17+1,1))</f>
        <v>215.23235148064941</v>
      </c>
      <c r="GF70" s="59">
        <f t="shared" si="104"/>
        <v>184.07239726900434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1.5064262350815258</v>
      </c>
      <c r="GM70" s="21">
        <f>EXP(-LN(2)/25)*GM69+(1-EXP(-LN(2)/25))/(LN(2)/25)*Calculateur!GH70*Calculateur!GJ70*VLOOKUP('Données projet'!$B$17,Paramètres!$A$1:$I$89,3,0)*0.475*44/12</f>
        <v>2.8160960840024623</v>
      </c>
      <c r="GN70" s="21">
        <f>EXP(-LN(2)/2)*GN69+(1-EXP(-LN(2)/2))/(LN(2)/2)*GH70*GK70*VLOOKUP('Données projet'!$B$17,Paramètres!$A$1:$I$89,3,0)*0.475*44/12</f>
        <v>2.6521296169434269E-5</v>
      </c>
      <c r="GO70" s="21">
        <f t="shared" si="81"/>
        <v>4.3225488403801577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-1.1368683772161603E-13</v>
      </c>
      <c r="GV70" s="17">
        <f>GU70*VLOOKUP('Données projet'!$B$18,Paramètres!$A$1:$I$89,3,0)*VLOOKUP('Données projet'!$B$18,Paramètres!$A$1:$I$89,5,0)</f>
        <v>-6.7984728957526396E-14</v>
      </c>
      <c r="GW70" s="13" t="e">
        <f t="shared" si="105"/>
        <v>#NUM!</v>
      </c>
      <c r="GX70" s="20" t="e">
        <f t="shared" si="82"/>
        <v>#NUM!</v>
      </c>
      <c r="GY70" s="59" t="e">
        <f t="shared" si="83"/>
        <v>#NUM!</v>
      </c>
      <c r="GZ70" s="59">
        <f ca="1">AVERAGE(OFFSET($GY$3,0,0,'Données projet'!$E$18+1,1))-AVERAGE(OFFSET($H$3,0,0,'Données projet'!$E$18+1,1))</f>
        <v>227.89848316900191</v>
      </c>
      <c r="HA70" s="59">
        <f t="shared" si="106"/>
        <v>239.85955661394541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3.8168100697173677</v>
      </c>
      <c r="HH70" s="21">
        <f>EXP(-LN(2)/25)*HH69+(1-EXP(-LN(2)/25))/(LN(2)/25)*Calculateur!HC70*Calculateur!HE70*VLOOKUP('Données projet'!$B$18,Paramètres!$A$1:$I$89,3,0)*0.475*44/12</f>
        <v>6.1457807689739941</v>
      </c>
      <c r="HI70" s="21">
        <f>EXP(-LN(2)/2)*HI69+(1-EXP(-LN(2)/2))/(LN(2)/2)*HC70*HF70*VLOOKUP('Données projet'!$B$18,Paramètres!$A$1:$I$89,3,0)*0.475*44/12</f>
        <v>1.8082200005825602E-5</v>
      </c>
      <c r="HJ70" s="22">
        <f t="shared" si="84"/>
        <v>9.962608920891368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14.5</v>
      </c>
      <c r="N71" s="13">
        <f>IF('Données projet'!$A$36&gt;35,N70+M71-V70,IF(A71&lt;'Données projet'!$A$36,$K$205^A71,IF(A71='Données projet'!$A$36,'Données projet'!$B$36,N70+M71-V70)))</f>
        <v>648</v>
      </c>
      <c r="O71" s="13">
        <f>N71*VLOOKUP('Données projet'!$B$9,Paramètres!$A$1:$I$89,3,0)*VLOOKUP('Données projet'!$B$9,Paramètres!$A$1:$I$89,5,0)</f>
        <v>362.23199999999997</v>
      </c>
      <c r="P71" s="13">
        <f t="shared" si="87"/>
        <v>84.076149451138917</v>
      </c>
      <c r="Q71" s="20">
        <f t="shared" si="54"/>
        <v>777.32002696073357</v>
      </c>
      <c r="R71" s="59">
        <f t="shared" si="55"/>
        <v>1070.6533602940669</v>
      </c>
      <c r="S71" s="59">
        <f ca="1">AVERAGE(OFFSET($R$3,0,0,'Données projet'!$E$9+1,1))-AVERAGE(OFFSET($H$3,0,0,'Données projet'!$E$9+1,1))</f>
        <v>370.69652285220093</v>
      </c>
      <c r="T71" s="59">
        <f t="shared" si="88"/>
        <v>376.53494965377718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4.8425133634825386</v>
      </c>
      <c r="AA71" s="21">
        <f>EXP(-LN(2)/25)*AA70+(1-EXP(-LN(2)/25))/(LN(2)/25)*Calculateur!V71*Calculateur!X71*VLOOKUP('Données projet'!$B$9,Paramètres!$A$1:$I$89,3,0)*0.475*44/12</f>
        <v>11.648082701872903</v>
      </c>
      <c r="AB71" s="21">
        <f>EXP(-LN(2)/2)*AB70+(1-EXP(-LN(2)/2))/(LN(2)/2)*V71*Y71*VLOOKUP('Données projet'!$B$9,Paramètres!$A$1:$I$89,3,0)*0.475*44/12</f>
        <v>6.2427071650282093E-5</v>
      </c>
      <c r="AC71" s="22">
        <f t="shared" si="57"/>
        <v>16.490658492427091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283.20240000000001</v>
      </c>
      <c r="AK71" s="13">
        <f t="shared" si="89"/>
        <v>67.643319485855841</v>
      </c>
      <c r="AL71" s="20">
        <f t="shared" si="58"/>
        <v>611.05629477119896</v>
      </c>
      <c r="AM71" s="59">
        <f t="shared" si="59"/>
        <v>904.38962810453222</v>
      </c>
      <c r="AN71" s="59">
        <f ca="1">AVERAGE(OFFSET($AM$3,0,0,'Données projet'!$E$10+1,1))-AVERAGE(OFFSET($H$3,0,0,'Données projet'!$E$10+1,1))</f>
        <v>321.03881567735544</v>
      </c>
      <c r="AO71" s="59">
        <f t="shared" si="90"/>
        <v>234.87694492493506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1.1348112124524736</v>
      </c>
      <c r="AV71" s="21">
        <f>EXP(-LN(2)/25)*AV70+(1-EXP(-LN(2)/25))/(LN(2)/25)*Calculateur!AQ71*Calculateur!AS71*VLOOKUP('Données projet'!$B$10,Paramètres!$A$1:$I$89,3,0)*0.475*44/12</f>
        <v>4.7266160400983912</v>
      </c>
      <c r="AW71" s="21">
        <f>EXP(-LN(2)/2)*AW70+(1-EXP(-LN(2)/2))/(LN(2)/2)*AQ71*AT71*VLOOKUP('Données projet'!$B$10,Paramètres!$A$1:$I$89,3,0)*0.475*44/12</f>
        <v>4.1465920140609523E-5</v>
      </c>
      <c r="AX71" s="21">
        <f t="shared" si="60"/>
        <v>5.8614687184710048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9.8000000000000007</v>
      </c>
      <c r="BD71" s="12">
        <f>IF('Données projet'!$A$88&gt;35,BD70+BC71-BL70,IF(A71&lt;'Données projet'!$A$88,$BA$205^A71,IF(A71='Données projet'!$A$88,'Données projet'!$B$88,BD70+BC71-BL70)))</f>
        <v>444.40000000000032</v>
      </c>
      <c r="BE71" s="13">
        <f>BD71*VLOOKUP('Données projet'!$B$11,Paramètres!$A$1:$I$89,3,0)*VLOOKUP('Données projet'!$B$11,Paramètres!$A$1:$I$89,5,0)</f>
        <v>242.64240000000018</v>
      </c>
      <c r="BF71" s="13">
        <f t="shared" si="91"/>
        <v>59.007692897618305</v>
      </c>
      <c r="BG71" s="20">
        <f t="shared" si="61"/>
        <v>525.37391179668555</v>
      </c>
      <c r="BH71" s="59">
        <f t="shared" si="62"/>
        <v>818.70724513001892</v>
      </c>
      <c r="BI71" s="59">
        <f ca="1">AVERAGE(OFFSET($BH$3,0,0,'Données projet'!$E$11+1,1))-AVERAGE(OFFSET($H$3,0,0,'Données projet'!$E$11+1,1))</f>
        <v>248.1486444660062</v>
      </c>
      <c r="BJ71" s="59">
        <f t="shared" si="92"/>
        <v>293.34458072322127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4.0132457473259082</v>
      </c>
      <c r="BQ71" s="21">
        <f>EXP(-LN(2)/25)*BQ70+(1-EXP(-LN(2)/25))/(LN(2)/25)*Calculateur!BL71*Calculateur!BN71*VLOOKUP('Données projet'!$B$11,Paramètres!$A$1:$I$89,3,0)*0.475*44/12</f>
        <v>11.868480476893337</v>
      </c>
      <c r="BR71" s="21">
        <f>EXP(-LN(2)/2)*BR70+(1-EXP(-LN(2)/2))/(LN(2)/2)*BL71*BO71*VLOOKUP('Données projet'!$B$11,Paramètres!$A$1:$I$89,3,0)*0.475*44/12</f>
        <v>4.8031666021091944E-5</v>
      </c>
      <c r="BS71" s="22">
        <f t="shared" si="63"/>
        <v>15.881774255885267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</v>
      </c>
      <c r="BY71" s="12">
        <f>IF('Données projet'!$A$114&gt;35,BY70+BX71-CG70,IF(A71&lt;'Données projet'!$A$114,$BV$205^A71,IF(A71='Données projet'!$A$114,'Données projet'!$B$114,BY70+BX71-CG70)))</f>
        <v>260.79999999999995</v>
      </c>
      <c r="BZ71" s="13">
        <f>BY71*VLOOKUP('Données projet'!$B$12,Paramètres!$A$1:$I$89,3,0)*VLOOKUP('Données projet'!$B$12,Paramètres!$A$1:$I$89,5,0)</f>
        <v>227.83488</v>
      </c>
      <c r="CA71" s="13">
        <f t="shared" si="93"/>
        <v>55.814274578766934</v>
      </c>
      <c r="CB71" s="20">
        <f t="shared" si="64"/>
        <v>494.02227755801908</v>
      </c>
      <c r="CC71" s="59">
        <f t="shared" si="65"/>
        <v>787.3556108913524</v>
      </c>
      <c r="CD71" s="59">
        <f ca="1">AVERAGE(OFFSET($CC$3,0,0,'Données projet'!$E$12+1,1))-AVERAGE(OFFSET($H$3,0,0,'Données projet'!$E$12+1,1))</f>
        <v>243.38048563215585</v>
      </c>
      <c r="CE71" s="59">
        <f t="shared" si="94"/>
        <v>372.1604147006675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3.4435650584764721</v>
      </c>
      <c r="CL71" s="21">
        <f>EXP(-LN(2)/25)*CL70+(1-EXP(-LN(2)/25))/(LN(2)/25)*Calculateur!CG71*Calculateur!CI71*VLOOKUP('Données projet'!$B$12,Paramètres!$A$1:$I$89,3,0)*0.475*44/12</f>
        <v>6.7514061408778474</v>
      </c>
      <c r="CM71" s="21">
        <f>EXP(-LN(2)/2)*CM70+(1-EXP(-LN(2)/2))/(LN(2)/2)*CG71*CJ71*VLOOKUP('Données projet'!$B$12,Paramètres!$A$1:$I$89,3,0)*0.475*44/12</f>
        <v>5.5913809229206395E-5</v>
      </c>
      <c r="CN71" s="22">
        <f t="shared" si="66"/>
        <v>10.195027113163549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17</v>
      </c>
      <c r="CT71" s="12">
        <f>IF('Données projet'!$A$140&gt;35,CT70+CS71-DB70,IF(A71&lt;'Données projet'!$A$140,$CQ$205^A71,IF(A71='Données projet'!$A$140,'Données projet'!$B$140,CT70+CS71-DB70)))</f>
        <v>660.00000000000034</v>
      </c>
      <c r="CU71" s="17">
        <f>CT71*VLOOKUP('Données projet'!$B$13,Paramètres!$A$1:$I$89,3,0)*VLOOKUP('Données projet'!$B$13,Paramètres!$A$1:$I$89,5,0)</f>
        <v>317.46000000000021</v>
      </c>
      <c r="CV71" s="13">
        <f t="shared" si="95"/>
        <v>74.82461239569362</v>
      </c>
      <c r="CW71" s="20">
        <f t="shared" si="67"/>
        <v>683.22903325583331</v>
      </c>
      <c r="CX71" s="59">
        <f t="shared" si="68"/>
        <v>976.56236658916669</v>
      </c>
      <c r="CY71" s="59">
        <f ca="1">AVERAGE(OFFSET($CX$3,0,0,'Données projet'!$E$13+1,1))-AVERAGE(OFFSET($H$3,0,0,'Données projet'!$E$13+1,1))</f>
        <v>297.21955661193238</v>
      </c>
      <c r="CZ71" s="59">
        <f t="shared" si="96"/>
        <v>273.69206144662144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3.1747152947748201</v>
      </c>
      <c r="DG71" s="21">
        <f>EXP(-LN(2)/25)*DG70+(1-EXP(-LN(2)/25))/(LN(2)/25)*Calculateur!DB71*Calculateur!DD71*VLOOKUP('Données projet'!$B$13,Paramètres!$A$1:$I$89,3,0)*0.475*44/12</f>
        <v>4.6804584597205192</v>
      </c>
      <c r="DH71" s="21">
        <f>EXP(-LN(2)/2)*DH70+(1-EXP(-LN(2)/2))/(LN(2)/2)*DB71*DE71*VLOOKUP('Données projet'!$B$13,Paramètres!$A$1:$I$89,3,0)*0.475*44/12</f>
        <v>3.9887968880143805E-5</v>
      </c>
      <c r="DI71" s="22">
        <f t="shared" si="69"/>
        <v>7.8552136424642196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253.95551999999984</v>
      </c>
      <c r="DQ71" s="13">
        <f t="shared" si="97"/>
        <v>61.432180511879196</v>
      </c>
      <c r="DR71" s="20">
        <f t="shared" si="70"/>
        <v>549.30024505818926</v>
      </c>
      <c r="DS71" s="59">
        <f t="shared" si="71"/>
        <v>842.63357839152263</v>
      </c>
      <c r="DT71" s="59">
        <f ca="1">AVERAGE(OFFSET($DS$3,0,0,'Données projet'!$E$14+1,1))-AVERAGE(OFFSET($H$3,0,0,'Données projet'!$E$14+1,1))</f>
        <v>260.20517190557814</v>
      </c>
      <c r="DU71" s="59">
        <f t="shared" si="98"/>
        <v>307.22009971147133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1.5373870826278255</v>
      </c>
      <c r="EB71" s="21">
        <f>EXP(-LN(2)/25)*EB70+(1-EXP(-LN(2)/25))/(LN(2)/25)*Calculateur!DW71*Calculateur!DY71*VLOOKUP('Données projet'!$B$14,Paramètres!$A$1:$I$89,3,0)*0.475*44/12</f>
        <v>7.1548964841092833</v>
      </c>
      <c r="EC71" s="21">
        <f>EXP(-LN(2)/2)*EC70+(1-EXP(-LN(2)/2))/(LN(2)/2)*DW71*DZ71*VLOOKUP('Données projet'!$B$14,Paramètres!$A$1:$I$89,3,0)*0.475*44/12</f>
        <v>4.5850819116129467E-5</v>
      </c>
      <c r="ED71" s="22">
        <f t="shared" si="72"/>
        <v>8.6923294175562251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10.7</v>
      </c>
      <c r="EJ71" s="12">
        <f>IF('Données projet'!$A$192&gt;35,EJ70+EI71-ER70,IF(A71&lt;'Données projet'!$A$192,$EG$205^A71,IF(A71='Données projet'!$A$192,'Données projet'!$B$192,EJ70+EI71-ER70)))</f>
        <v>468.60000000000019</v>
      </c>
      <c r="EK71" s="17">
        <f>EJ71*VLOOKUP('Données projet'!$B$15,Paramètres!$A$1:$I$89,3,0)*VLOOKUP('Données projet'!$B$15,Paramètres!$A$1:$I$89,5,0)</f>
        <v>280.22280000000012</v>
      </c>
      <c r="EL71" s="13">
        <f t="shared" si="99"/>
        <v>67.01409074600636</v>
      </c>
      <c r="EM71" s="20">
        <f t="shared" si="73"/>
        <v>604.77091804929455</v>
      </c>
      <c r="EN71" s="59">
        <f t="shared" si="74"/>
        <v>898.10425138262781</v>
      </c>
      <c r="EO71" s="59">
        <f ca="1">AVERAGE(OFFSET($EN$3,0,0,'Données projet'!$E$15+1,1))-AVERAGE(OFFSET($H$3,0,0,'Données projet'!$E$15+1,1))</f>
        <v>259.30247982593914</v>
      </c>
      <c r="EP71" s="59">
        <f t="shared" si="100"/>
        <v>275.24740346220779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6.2878576778983328</v>
      </c>
      <c r="EX71" s="21">
        <f>EXP(-LN(2)/2)*EX70+(1-EXP(-LN(2)/2))/(LN(2)/2)*ER71*EU71*VLOOKUP('Données projet'!$B$15,Paramètres!$A$1:$I$89,3,0)*0.475*44/12</f>
        <v>5.4703655589799951E-5</v>
      </c>
      <c r="EY71" s="22">
        <f t="shared" si="75"/>
        <v>6.2879123815539231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8.5</v>
      </c>
      <c r="FE71" s="12">
        <f>IF('Données projet'!$A$218&gt;35,FE70+FD71-FM70,IF(A71&lt;'Données projet'!$A$218,$FB$205^A71,IF(A71='Données projet'!$A$218,'Données projet'!$B$218,FE70+FD71-FM70)))</f>
        <v>313</v>
      </c>
      <c r="FF71" s="17">
        <f>FE71*VLOOKUP('Données projet'!$B$16,Paramètres!$A$1:$I$89,3,0)*VLOOKUP('Données projet'!$B$16,Paramètres!$A$1:$I$89,5,0)</f>
        <v>317.38200000000006</v>
      </c>
      <c r="FG71" s="13">
        <f t="shared" si="101"/>
        <v>74.808367684875932</v>
      </c>
      <c r="FH71" s="20">
        <f t="shared" si="76"/>
        <v>683.06489038449229</v>
      </c>
      <c r="FI71" s="59">
        <f t="shared" si="77"/>
        <v>976.39822371782566</v>
      </c>
      <c r="FJ71" s="59">
        <f ca="1">AVERAGE(OFFSET($FI$3,0,0,'Données projet'!$E$16+1,1))-AVERAGE(OFFSET($H$3,0,0,'Données projet'!$E$16+1,1))</f>
        <v>372.91317851957336</v>
      </c>
      <c r="FK71" s="59">
        <f t="shared" si="102"/>
        <v>269.69187715858413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1.2717711863691517</v>
      </c>
      <c r="FR71" s="21">
        <f>EXP(-LN(2)/25)*FR70+(1-EXP(-LN(2)/25))/(LN(2)/25)*Calculateur!FM71*Calculateur!FO71*VLOOKUP('Données projet'!$B$16,Paramètres!$A$1:$I$89,3,0)*0.475*44/12</f>
        <v>5.2970697001102662</v>
      </c>
      <c r="FS71" s="21">
        <f>EXP(-LN(2)/2)*FS70+(1-EXP(-LN(2)/2))/(LN(2)/2)*FM71*FP71*VLOOKUP('Données projet'!$B$16,Paramètres!$A$1:$I$89,3,0)*0.475*44/12</f>
        <v>4.6470427743786497E-5</v>
      </c>
      <c r="FT71" s="22">
        <f t="shared" si="78"/>
        <v>6.5688873569071617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15.5</v>
      </c>
      <c r="FZ71" s="12">
        <f>IF('Données projet'!$A$244&gt;35,FZ70+FY71-GH70,IF(A71&lt;'Données projet'!$A$244,$FW$205^A71,IF(A71='Données projet'!$A$244,'Données projet'!$B$244,FZ70+FY71-GH70)))</f>
        <v>415.39999999999986</v>
      </c>
      <c r="GA71" s="17">
        <f>FZ71*VLOOKUP('Données projet'!$B$17,Paramètres!$A$1:$I$89,3,0)*VLOOKUP('Données projet'!$B$17,Paramètres!$A$1:$I$89,5,0)</f>
        <v>194.40719999999996</v>
      </c>
      <c r="GB71" s="13">
        <f t="shared" si="103"/>
        <v>48.513018020179601</v>
      </c>
      <c r="GC71" s="20">
        <f t="shared" si="79"/>
        <v>423.08604638514606</v>
      </c>
      <c r="GD71" s="59">
        <f t="shared" si="80"/>
        <v>716.41937971847938</v>
      </c>
      <c r="GE71" s="59">
        <f ca="1">AVERAGE(OFFSET($GD$3,0,0,'Données projet'!$E$17+1,1))-AVERAGE(OFFSET($H$3,0,0,'Données projet'!$E$17+1,1))</f>
        <v>215.23235148064941</v>
      </c>
      <c r="GF71" s="59">
        <f t="shared" si="104"/>
        <v>184.07239726900434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1.4768861354408536</v>
      </c>
      <c r="GM71" s="21">
        <f>EXP(-LN(2)/25)*GM70+(1-EXP(-LN(2)/25))/(LN(2)/25)*Calculateur!GH71*Calculateur!GJ71*VLOOKUP('Données projet'!$B$17,Paramètres!$A$1:$I$89,3,0)*0.475*44/12</f>
        <v>2.739089788493358</v>
      </c>
      <c r="GN71" s="21">
        <f>EXP(-LN(2)/2)*GN70+(1-EXP(-LN(2)/2))/(LN(2)/2)*GH71*GK71*VLOOKUP('Données projet'!$B$17,Paramètres!$A$1:$I$89,3,0)*0.475*44/12</f>
        <v>1.8753388367263778E-5</v>
      </c>
      <c r="GO71" s="21">
        <f t="shared" si="81"/>
        <v>4.2159946773225787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-1.1368683772161603E-13</v>
      </c>
      <c r="GV71" s="17">
        <f>GU71*VLOOKUP('Données projet'!$B$18,Paramètres!$A$1:$I$89,3,0)*VLOOKUP('Données projet'!$B$18,Paramètres!$A$1:$I$89,5,0)</f>
        <v>-6.7984728957526396E-14</v>
      </c>
      <c r="GW71" s="13" t="e">
        <f t="shared" si="105"/>
        <v>#NUM!</v>
      </c>
      <c r="GX71" s="20" t="e">
        <f t="shared" si="82"/>
        <v>#NUM!</v>
      </c>
      <c r="GY71" s="59" t="e">
        <f t="shared" si="83"/>
        <v>#NUM!</v>
      </c>
      <c r="GZ71" s="59">
        <f ca="1">AVERAGE(OFFSET($GY$3,0,0,'Données projet'!$E$18+1,1))-AVERAGE(OFFSET($H$3,0,0,'Données projet'!$E$18+1,1))</f>
        <v>227.89848316900191</v>
      </c>
      <c r="HA71" s="59">
        <f t="shared" si="106"/>
        <v>239.85955661394541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3.7419647522744794</v>
      </c>
      <c r="HH71" s="21">
        <f>EXP(-LN(2)/25)*HH70+(1-EXP(-LN(2)/25))/(LN(2)/25)*Calculateur!HC71*Calculateur!HE71*VLOOKUP('Données projet'!$B$18,Paramètres!$A$1:$I$89,3,0)*0.475*44/12</f>
        <v>5.9777240706538359</v>
      </c>
      <c r="HI71" s="21">
        <f>EXP(-LN(2)/2)*HI70+(1-EXP(-LN(2)/2))/(LN(2)/2)*HC71*HF71*VLOOKUP('Données projet'!$B$18,Paramètres!$A$1:$I$89,3,0)*0.475*44/12</f>
        <v>1.2786046242890713E-5</v>
      </c>
      <c r="HJ71" s="22">
        <f t="shared" si="84"/>
        <v>9.7197016089745585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14.5</v>
      </c>
      <c r="N72" s="13">
        <f>IF('Données projet'!$A$36&gt;35,N71+M72-V71,IF(A72&lt;'Données projet'!$A$36,$K$205^A72,IF(A72='Données projet'!$A$36,'Données projet'!$B$36,N71+M72-V71)))</f>
        <v>662.5</v>
      </c>
      <c r="O72" s="13">
        <f>N72*VLOOKUP('Données projet'!$B$9,Paramètres!$A$1:$I$89,3,0)*VLOOKUP('Données projet'!$B$9,Paramètres!$A$1:$I$89,5,0)</f>
        <v>370.33750000000003</v>
      </c>
      <c r="P72" s="13">
        <f t="shared" si="87"/>
        <v>85.736348730685762</v>
      </c>
      <c r="Q72" s="20">
        <f t="shared" si="54"/>
        <v>794.32861987261094</v>
      </c>
      <c r="R72" s="59">
        <f t="shared" si="55"/>
        <v>1087.6619532059442</v>
      </c>
      <c r="S72" s="59">
        <f ca="1">AVERAGE(OFFSET($R$3,0,0,'Données projet'!$E$9+1,1))-AVERAGE(OFFSET($H$3,0,0,'Données projet'!$E$9+1,1))</f>
        <v>370.69652285220093</v>
      </c>
      <c r="T72" s="59">
        <f t="shared" si="88"/>
        <v>376.53494965377718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4.7475546300661495</v>
      </c>
      <c r="AA72" s="21">
        <f>EXP(-LN(2)/25)*AA71+(1-EXP(-LN(2)/25))/(LN(2)/25)*Calculateur!V72*Calculateur!X72*VLOOKUP('Données projet'!$B$9,Paramètres!$A$1:$I$89,3,0)*0.475*44/12</f>
        <v>11.329565267844142</v>
      </c>
      <c r="AB72" s="21">
        <f>EXP(-LN(2)/2)*AB71+(1-EXP(-LN(2)/2))/(LN(2)/2)*V72*Y72*VLOOKUP('Données projet'!$B$9,Paramètres!$A$1:$I$89,3,0)*0.475*44/12</f>
        <v>4.4142605693532946E-5</v>
      </c>
      <c r="AC72" s="22">
        <f t="shared" si="57"/>
        <v>16.077164040515989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290.89320000000004</v>
      </c>
      <c r="AK72" s="13">
        <f t="shared" si="89"/>
        <v>69.263916768293996</v>
      </c>
      <c r="AL72" s="20">
        <f t="shared" si="58"/>
        <v>627.27364503811202</v>
      </c>
      <c r="AM72" s="59">
        <f t="shared" si="59"/>
        <v>920.60697837144539</v>
      </c>
      <c r="AN72" s="59">
        <f ca="1">AVERAGE(OFFSET($AM$3,0,0,'Données projet'!$E$10+1,1))-AVERAGE(OFFSET($H$3,0,0,'Données projet'!$E$10+1,1))</f>
        <v>321.03881567735544</v>
      </c>
      <c r="AO72" s="59">
        <f t="shared" si="90"/>
        <v>234.87694492493506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1.1125582567427745</v>
      </c>
      <c r="AV72" s="21">
        <f>EXP(-LN(2)/25)*AV71+(1-EXP(-LN(2)/25))/(LN(2)/25)*Calculateur!AQ72*Calculateur!AS72*VLOOKUP('Données projet'!$B$10,Paramètres!$A$1:$I$89,3,0)*0.475*44/12</f>
        <v>4.5973664759199657</v>
      </c>
      <c r="AW72" s="21">
        <f>EXP(-LN(2)/2)*AW71+(1-EXP(-LN(2)/2))/(LN(2)/2)*AQ72*AT72*VLOOKUP('Données projet'!$B$10,Paramètres!$A$1:$I$89,3,0)*0.475*44/12</f>
        <v>2.9320833319564832E-5</v>
      </c>
      <c r="AX72" s="21">
        <f t="shared" si="60"/>
        <v>5.7099540534960598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9.8000000000000007</v>
      </c>
      <c r="BD72" s="12">
        <f>IF('Données projet'!$A$88&gt;35,BD71+BC72-BL71,IF(A72&lt;'Données projet'!$A$88,$BA$205^A72,IF(A72='Données projet'!$A$88,'Données projet'!$B$88,BD71+BC72-BL71)))</f>
        <v>454.20000000000033</v>
      </c>
      <c r="BE72" s="13">
        <f>BD72*VLOOKUP('Données projet'!$B$11,Paramètres!$A$1:$I$89,3,0)*VLOOKUP('Données projet'!$B$11,Paramètres!$A$1:$I$89,5,0)</f>
        <v>247.99320000000017</v>
      </c>
      <c r="BF72" s="13">
        <f t="shared" si="91"/>
        <v>60.15601347301552</v>
      </c>
      <c r="BG72" s="20">
        <f t="shared" si="61"/>
        <v>536.69321346550237</v>
      </c>
      <c r="BH72" s="59">
        <f t="shared" si="62"/>
        <v>830.02654679883562</v>
      </c>
      <c r="BI72" s="59">
        <f ca="1">AVERAGE(OFFSET($BH$3,0,0,'Données projet'!$E$11+1,1))-AVERAGE(OFFSET($H$3,0,0,'Données projet'!$E$11+1,1))</f>
        <v>248.1486444660062</v>
      </c>
      <c r="BJ72" s="59">
        <f t="shared" si="92"/>
        <v>293.34458072322127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3.9345484460590492</v>
      </c>
      <c r="BQ72" s="21">
        <f>EXP(-LN(2)/25)*BQ71+(1-EXP(-LN(2)/25))/(LN(2)/25)*Calculateur!BL72*Calculateur!BN72*VLOOKUP('Données projet'!$B$11,Paramètres!$A$1:$I$89,3,0)*0.475*44/12</f>
        <v>11.543936254116426</v>
      </c>
      <c r="BR72" s="21">
        <f>EXP(-LN(2)/2)*BR71+(1-EXP(-LN(2)/2))/(LN(2)/2)*BL72*BO72*VLOOKUP('Données projet'!$B$11,Paramètres!$A$1:$I$89,3,0)*0.475*44/12</f>
        <v>3.3963516755201591E-5</v>
      </c>
      <c r="BS72" s="22">
        <f t="shared" si="63"/>
        <v>15.478518663692229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</v>
      </c>
      <c r="BY72" s="12">
        <f>IF('Données projet'!$A$114&gt;35,BY71+BX72-CG71,IF(A72&lt;'Données projet'!$A$114,$BV$205^A72,IF(A72='Données projet'!$A$114,'Données projet'!$B$114,BY71+BX72-CG71)))</f>
        <v>266.39999999999998</v>
      </c>
      <c r="BZ72" s="13">
        <f>BY72*VLOOKUP('Données projet'!$B$12,Paramètres!$A$1:$I$89,3,0)*VLOOKUP('Données projet'!$B$12,Paramètres!$A$1:$I$89,5,0)</f>
        <v>232.72704000000002</v>
      </c>
      <c r="CA72" s="13">
        <f t="shared" si="93"/>
        <v>56.871926227931105</v>
      </c>
      <c r="CB72" s="20">
        <f t="shared" si="64"/>
        <v>504.38486618031328</v>
      </c>
      <c r="CC72" s="59">
        <f t="shared" si="65"/>
        <v>797.7181995136466</v>
      </c>
      <c r="CD72" s="59">
        <f ca="1">AVERAGE(OFFSET($CC$3,0,0,'Données projet'!$E$12+1,1))-AVERAGE(OFFSET($H$3,0,0,'Données projet'!$E$12+1,1))</f>
        <v>243.38048563215585</v>
      </c>
      <c r="CE72" s="59">
        <f t="shared" si="94"/>
        <v>372.1604147006675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3.37603884804704</v>
      </c>
      <c r="CL72" s="21">
        <f>EXP(-LN(2)/25)*CL71+(1-EXP(-LN(2)/25))/(LN(2)/25)*Calculateur!CG72*Calculateur!CI72*VLOOKUP('Données projet'!$B$12,Paramètres!$A$1:$I$89,3,0)*0.475*44/12</f>
        <v>6.5667885849145247</v>
      </c>
      <c r="CM72" s="21">
        <f>EXP(-LN(2)/2)*CM71+(1-EXP(-LN(2)/2))/(LN(2)/2)*CG72*CJ72*VLOOKUP('Données projet'!$B$12,Paramètres!$A$1:$I$89,3,0)*0.475*44/12</f>
        <v>3.9537033667942807E-5</v>
      </c>
      <c r="CN72" s="22">
        <f t="shared" si="66"/>
        <v>9.942866969995233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17</v>
      </c>
      <c r="CT72" s="12">
        <f>IF('Données projet'!$A$140&gt;35,CT71+CS72-DB71,IF(A72&lt;'Données projet'!$A$140,$CQ$205^A72,IF(A72='Données projet'!$A$140,'Données projet'!$B$140,CT71+CS72-DB71)))</f>
        <v>677.00000000000034</v>
      </c>
      <c r="CU72" s="17">
        <f>CT72*VLOOKUP('Données projet'!$B$13,Paramètres!$A$1:$I$89,3,0)*VLOOKUP('Données projet'!$B$13,Paramètres!$A$1:$I$89,5,0)</f>
        <v>325.63700000000017</v>
      </c>
      <c r="CV72" s="13">
        <f t="shared" si="95"/>
        <v>76.525046471400174</v>
      </c>
      <c r="CW72" s="20">
        <f t="shared" si="67"/>
        <v>700.43223093768893</v>
      </c>
      <c r="CX72" s="59">
        <f t="shared" si="68"/>
        <v>993.76556427102219</v>
      </c>
      <c r="CY72" s="59">
        <f ca="1">AVERAGE(OFFSET($CX$3,0,0,'Données projet'!$E$13+1,1))-AVERAGE(OFFSET($H$3,0,0,'Données projet'!$E$13+1,1))</f>
        <v>297.21955661193238</v>
      </c>
      <c r="CZ72" s="59">
        <f t="shared" si="96"/>
        <v>273.69206144662144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3.1124610642294135</v>
      </c>
      <c r="DG72" s="21">
        <f>EXP(-LN(2)/25)*DG71+(1-EXP(-LN(2)/25))/(LN(2)/25)*Calculateur!DB72*Calculateur!DD72*VLOOKUP('Données projet'!$B$13,Paramètres!$A$1:$I$89,3,0)*0.475*44/12</f>
        <v>4.5524710770048484</v>
      </c>
      <c r="DH72" s="21">
        <f>EXP(-LN(2)/2)*DH71+(1-EXP(-LN(2)/2))/(LN(2)/2)*DB72*DE72*VLOOKUP('Données projet'!$B$13,Paramètres!$A$1:$I$89,3,0)*0.475*44/12</f>
        <v>2.8205053282907663E-5</v>
      </c>
      <c r="DI72" s="22">
        <f t="shared" si="69"/>
        <v>7.6649603462875451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257.8539599999998</v>
      </c>
      <c r="DQ72" s="13">
        <f t="shared" si="97"/>
        <v>62.26470852302274</v>
      </c>
      <c r="DR72" s="20">
        <f t="shared" si="70"/>
        <v>557.54001434426425</v>
      </c>
      <c r="DS72" s="59">
        <f t="shared" si="71"/>
        <v>850.87334767759762</v>
      </c>
      <c r="DT72" s="59">
        <f ca="1">AVERAGE(OFFSET($DS$3,0,0,'Données projet'!$E$14+1,1))-AVERAGE(OFFSET($H$3,0,0,'Données projet'!$E$14+1,1))</f>
        <v>260.20517190557814</v>
      </c>
      <c r="DU72" s="59">
        <f t="shared" si="98"/>
        <v>307.22009971147133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1.5072398596510228</v>
      </c>
      <c r="EB72" s="21">
        <f>EXP(-LN(2)/25)*EB71+(1-EXP(-LN(2)/25))/(LN(2)/25)*Calculateur!DW72*Calculateur!DY72*VLOOKUP('Données projet'!$B$14,Paramètres!$A$1:$I$89,3,0)*0.475*44/12</f>
        <v>6.9592454634916612</v>
      </c>
      <c r="EC72" s="21">
        <f>EXP(-LN(2)/2)*EC71+(1-EXP(-LN(2)/2))/(LN(2)/2)*DW72*DZ72*VLOOKUP('Données projet'!$B$14,Paramètres!$A$1:$I$89,3,0)*0.475*44/12</f>
        <v>3.2421425119972929E-5</v>
      </c>
      <c r="ED72" s="22">
        <f t="shared" si="72"/>
        <v>8.4665177445678044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10.7</v>
      </c>
      <c r="EJ72" s="12">
        <f>IF('Données projet'!$A$192&gt;35,EJ71+EI72-ER71,IF(A72&lt;'Données projet'!$A$192,$EG$205^A72,IF(A72='Données projet'!$A$192,'Données projet'!$B$192,EJ71+EI72-ER71)))</f>
        <v>479.30000000000018</v>
      </c>
      <c r="EK72" s="17">
        <f>EJ72*VLOOKUP('Données projet'!$B$15,Paramètres!$A$1:$I$89,3,0)*VLOOKUP('Données projet'!$B$15,Paramètres!$A$1:$I$89,5,0)</f>
        <v>286.62140000000011</v>
      </c>
      <c r="EL72" s="13">
        <f t="shared" si="99"/>
        <v>68.364391929461689</v>
      </c>
      <c r="EM72" s="20">
        <f t="shared" si="73"/>
        <v>618.26692094381269</v>
      </c>
      <c r="EN72" s="59">
        <f t="shared" si="74"/>
        <v>911.60025427714595</v>
      </c>
      <c r="EO72" s="59">
        <f ca="1">AVERAGE(OFFSET($EN$3,0,0,'Données projet'!$E$15+1,1))-AVERAGE(OFFSET($H$3,0,0,'Données projet'!$E$15+1,1))</f>
        <v>259.30247982593914</v>
      </c>
      <c r="EP72" s="59">
        <f t="shared" si="100"/>
        <v>275.24740346220779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6.1159158790321388</v>
      </c>
      <c r="EX72" s="21">
        <f>EXP(-LN(2)/2)*EX71+(1-EXP(-LN(2)/2))/(LN(2)/2)*ER72*EU72*VLOOKUP('Données projet'!$B$15,Paramètres!$A$1:$I$89,3,0)*0.475*44/12</f>
        <v>3.868132582324093E-5</v>
      </c>
      <c r="EY72" s="22">
        <f t="shared" si="75"/>
        <v>6.1159545603579621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8.5</v>
      </c>
      <c r="FE72" s="12">
        <f>IF('Données projet'!$A$218&gt;35,FE71+FD72-FM71,IF(A72&lt;'Données projet'!$A$218,$FB$205^A72,IF(A72='Données projet'!$A$218,'Données projet'!$B$218,FE71+FD72-FM71)))</f>
        <v>321.5</v>
      </c>
      <c r="FF72" s="17">
        <f>FE72*VLOOKUP('Données projet'!$B$16,Paramètres!$A$1:$I$89,3,0)*VLOOKUP('Données projet'!$B$16,Paramètres!$A$1:$I$89,5,0)</f>
        <v>326.00099999999998</v>
      </c>
      <c r="FG72" s="13">
        <f t="shared" si="101"/>
        <v>76.600625047394786</v>
      </c>
      <c r="FH72" s="20">
        <f t="shared" si="76"/>
        <v>701.19783029087921</v>
      </c>
      <c r="FI72" s="59">
        <f t="shared" si="77"/>
        <v>994.53116362421247</v>
      </c>
      <c r="FJ72" s="59">
        <f ca="1">AVERAGE(OFFSET($FI$3,0,0,'Données projet'!$E$16+1,1))-AVERAGE(OFFSET($H$3,0,0,'Données projet'!$E$16+1,1))</f>
        <v>372.91317851957336</v>
      </c>
      <c r="FK72" s="59">
        <f t="shared" si="102"/>
        <v>269.69187715858413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1.2468325291082818</v>
      </c>
      <c r="FR72" s="21">
        <f>EXP(-LN(2)/25)*FR71+(1-EXP(-LN(2)/25))/(LN(2)/25)*Calculateur!FM72*Calculateur!FO72*VLOOKUP('Données projet'!$B$16,Paramètres!$A$1:$I$89,3,0)*0.475*44/12</f>
        <v>5.1522210505999624</v>
      </c>
      <c r="FS72" s="21">
        <f>EXP(-LN(2)/2)*FS71+(1-EXP(-LN(2)/2))/(LN(2)/2)*FM72*FP72*VLOOKUP('Données projet'!$B$16,Paramètres!$A$1:$I$89,3,0)*0.475*44/12</f>
        <v>3.2859554582270906E-5</v>
      </c>
      <c r="FT72" s="22">
        <f t="shared" si="78"/>
        <v>6.3990864392628266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15.5</v>
      </c>
      <c r="FZ72" s="12">
        <f>IF('Données projet'!$A$244&gt;35,FZ71+FY72-GH71,IF(A72&lt;'Données projet'!$A$244,$FW$205^A72,IF(A72='Données projet'!$A$244,'Données projet'!$B$244,FZ71+FY72-GH71)))</f>
        <v>430.89999999999986</v>
      </c>
      <c r="GA72" s="17">
        <f>FZ72*VLOOKUP('Données projet'!$B$17,Paramètres!$A$1:$I$89,3,0)*VLOOKUP('Données projet'!$B$17,Paramètres!$A$1:$I$89,5,0)</f>
        <v>201.66119999999992</v>
      </c>
      <c r="GB72" s="13">
        <f t="shared" si="103"/>
        <v>50.109073265229782</v>
      </c>
      <c r="GC72" s="20">
        <f t="shared" si="79"/>
        <v>438.49989260360843</v>
      </c>
      <c r="GD72" s="59">
        <f t="shared" si="80"/>
        <v>731.83322593694174</v>
      </c>
      <c r="GE72" s="59">
        <f ca="1">AVERAGE(OFFSET($GD$3,0,0,'Données projet'!$E$17+1,1))-AVERAGE(OFFSET($H$3,0,0,'Données projet'!$E$17+1,1))</f>
        <v>215.23235148064941</v>
      </c>
      <c r="GF72" s="59">
        <f t="shared" si="104"/>
        <v>184.07239726900434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1.4479252991364533</v>
      </c>
      <c r="GM72" s="21">
        <f>EXP(-LN(2)/25)*GM71+(1-EXP(-LN(2)/25))/(LN(2)/25)*Calculateur!GH72*Calculateur!GJ72*VLOOKUP('Données projet'!$B$17,Paramètres!$A$1:$I$89,3,0)*0.475*44/12</f>
        <v>2.6641892341845357</v>
      </c>
      <c r="GN72" s="21">
        <f>EXP(-LN(2)/2)*GN71+(1-EXP(-LN(2)/2))/(LN(2)/2)*GH72*GK72*VLOOKUP('Données projet'!$B$17,Paramètres!$A$1:$I$89,3,0)*0.475*44/12</f>
        <v>1.3260648084717135E-5</v>
      </c>
      <c r="GO72" s="21">
        <f t="shared" si="81"/>
        <v>4.1121277939690737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-1.1368683772161603E-13</v>
      </c>
      <c r="GV72" s="17">
        <f>GU72*VLOOKUP('Données projet'!$B$18,Paramètres!$A$1:$I$89,3,0)*VLOOKUP('Données projet'!$B$18,Paramètres!$A$1:$I$89,5,0)</f>
        <v>-6.7984728957526396E-14</v>
      </c>
      <c r="GW72" s="13" t="e">
        <f t="shared" si="105"/>
        <v>#NUM!</v>
      </c>
      <c r="GX72" s="20" t="e">
        <f t="shared" si="82"/>
        <v>#NUM!</v>
      </c>
      <c r="GY72" s="59" t="e">
        <f t="shared" si="83"/>
        <v>#NUM!</v>
      </c>
      <c r="GZ72" s="59">
        <f ca="1">AVERAGE(OFFSET($GY$3,0,0,'Données projet'!$E$18+1,1))-AVERAGE(OFFSET($H$3,0,0,'Données projet'!$E$18+1,1))</f>
        <v>227.89848316900191</v>
      </c>
      <c r="HA72" s="59">
        <f t="shared" si="106"/>
        <v>239.85955661394541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3.6685871058555102</v>
      </c>
      <c r="HH72" s="21">
        <f>EXP(-LN(2)/25)*HH71+(1-EXP(-LN(2)/25))/(LN(2)/25)*Calculateur!HC72*Calculateur!HE72*VLOOKUP('Données projet'!$B$18,Paramètres!$A$1:$I$89,3,0)*0.475*44/12</f>
        <v>5.8142628915869601</v>
      </c>
      <c r="HI72" s="21">
        <f>EXP(-LN(2)/2)*HI71+(1-EXP(-LN(2)/2))/(LN(2)/2)*HC72*HF72*VLOOKUP('Données projet'!$B$18,Paramètres!$A$1:$I$89,3,0)*0.475*44/12</f>
        <v>9.0411000029128012E-6</v>
      </c>
      <c r="HJ72" s="22">
        <f t="shared" si="84"/>
        <v>9.4828590385424736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677</v>
      </c>
      <c r="L73" s="12">
        <f>VLOOKUP(A73,'Données projet'!$A$35:$I$55,9,0)</f>
        <v>14.5</v>
      </c>
      <c r="M73" s="12">
        <f t="array" ref="M73">INDEX(L:L,MIN(IF(ISNUMBER(L73:L269),ROW(L73:L269),"")))</f>
        <v>14.5</v>
      </c>
      <c r="N73" s="13">
        <f>IF('Données projet'!$A$36&gt;35,N72+M73-V72,IF(A73&lt;'Données projet'!$A$36,$K$205^A73,IF(A73='Données projet'!$A$36,'Données projet'!$B$36,N72+M73-V72)))</f>
        <v>677</v>
      </c>
      <c r="O73" s="13">
        <f>N73*VLOOKUP('Données projet'!$B$9,Paramètres!$A$1:$I$89,3,0)*VLOOKUP('Données projet'!$B$9,Paramètres!$A$1:$I$89,5,0)</f>
        <v>378.44300000000004</v>
      </c>
      <c r="P73" s="13">
        <f t="shared" si="87"/>
        <v>87.392323475551621</v>
      </c>
      <c r="Q73" s="20">
        <f t="shared" si="54"/>
        <v>811.32985505325234</v>
      </c>
      <c r="R73" s="59">
        <f t="shared" si="55"/>
        <v>1104.6631883865857</v>
      </c>
      <c r="S73" s="59">
        <f ca="1">AVERAGE(OFFSET($R$3,0,0,'Données projet'!$E$9+1,1))-AVERAGE(OFFSET($H$3,0,0,'Données projet'!$E$9+1,1))</f>
        <v>370.69652285220093</v>
      </c>
      <c r="T73" s="59">
        <f t="shared" si="88"/>
        <v>376.53494965377718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75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4.6544579794929479</v>
      </c>
      <c r="AA73" s="21">
        <f>EXP(-LN(2)/25)*AA72+(1-EXP(-LN(2)/25))/(LN(2)/25)*Calculateur!V73*Calculateur!X73*VLOOKUP('Données projet'!$B$9,Paramètres!$A$1:$I$89,3,0)*0.475*44/12</f>
        <v>11.019757709799</v>
      </c>
      <c r="AB73" s="21">
        <f>EXP(-LN(2)/2)*AB72+(1-EXP(-LN(2)/2))/(LN(2)/2)*V73*Y73*VLOOKUP('Données projet'!$B$9,Paramètres!$A$1:$I$89,3,0)*0.475*44/12</f>
        <v>3.1213535825141046E-5</v>
      </c>
      <c r="AC73" s="22">
        <f t="shared" si="57"/>
        <v>15.674246902827774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298.58399999999995</v>
      </c>
      <c r="AK73" s="13">
        <f t="shared" si="89"/>
        <v>70.879533797607607</v>
      </c>
      <c r="AL73" s="20">
        <f t="shared" si="58"/>
        <v>643.48232136416652</v>
      </c>
      <c r="AM73" s="59">
        <f t="shared" si="59"/>
        <v>936.81565469749989</v>
      </c>
      <c r="AN73" s="59">
        <f ca="1">AVERAGE(OFFSET($AM$3,0,0,'Données projet'!$E$10+1,1))-AVERAGE(OFFSET($H$3,0,0,'Données projet'!$E$10+1,1))</f>
        <v>321.03881567735544</v>
      </c>
      <c r="AO73" s="59">
        <f t="shared" si="90"/>
        <v>234.87694492493506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1.0907416679215798</v>
      </c>
      <c r="AV73" s="21">
        <f>EXP(-LN(2)/25)*AV72+(1-EXP(-LN(2)/25))/(LN(2)/25)*Calculateur!AQ73*Calculateur!AS73*VLOOKUP('Données projet'!$B$10,Paramètres!$A$1:$I$89,3,0)*0.475*44/12</f>
        <v>4.4716512478709385</v>
      </c>
      <c r="AW73" s="21">
        <f>EXP(-LN(2)/2)*AW72+(1-EXP(-LN(2)/2))/(LN(2)/2)*AQ73*AT73*VLOOKUP('Données projet'!$B$10,Paramètres!$A$1:$I$89,3,0)*0.475*44/12</f>
        <v>2.0732960070304761E-5</v>
      </c>
      <c r="AX73" s="21">
        <f t="shared" si="60"/>
        <v>5.5624136487525888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464</v>
      </c>
      <c r="BB73" s="12">
        <f>VLOOKUP(A73,'Données projet'!$A$87:$I$107,9,0)</f>
        <v>9.8000000000000007</v>
      </c>
      <c r="BC73" s="12">
        <f t="array" ref="BC73">INDEX(BB:BB,MIN(IF(ISNUMBER(BB73:BB269),ROW(BB73:BB269),"")))</f>
        <v>9.8000000000000007</v>
      </c>
      <c r="BD73" s="12">
        <f>IF('Données projet'!$A$88&gt;35,BD72+BC73-BL72,IF(A73&lt;'Données projet'!$A$88,$BA$205^A73,IF(A73='Données projet'!$A$88,'Données projet'!$B$88,BD72+BC73-BL72)))</f>
        <v>464.00000000000034</v>
      </c>
      <c r="BE73" s="13">
        <f>BD73*VLOOKUP('Données projet'!$B$11,Paramètres!$A$1:$I$89,3,0)*VLOOKUP('Données projet'!$B$11,Paramètres!$A$1:$I$89,5,0)</f>
        <v>253.34400000000019</v>
      </c>
      <c r="BF73" s="13">
        <f t="shared" si="91"/>
        <v>61.301453431926305</v>
      </c>
      <c r="BG73" s="20">
        <f t="shared" si="61"/>
        <v>548.00749806060537</v>
      </c>
      <c r="BH73" s="59">
        <f t="shared" si="62"/>
        <v>841.34083139393874</v>
      </c>
      <c r="BI73" s="59">
        <f ca="1">AVERAGE(OFFSET($BH$3,0,0,'Données projet'!$E$11+1,1))-AVERAGE(OFFSET($H$3,0,0,'Données projet'!$E$11+1,1))</f>
        <v>248.1486444660062</v>
      </c>
      <c r="BJ73" s="59">
        <f t="shared" si="92"/>
        <v>293.34458072322127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63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3.8573943508694191</v>
      </c>
      <c r="BQ73" s="21">
        <f>EXP(-LN(2)/25)*BQ72+(1-EXP(-LN(2)/25))/(LN(2)/25)*Calculateur!BL73*Calculateur!BN73*VLOOKUP('Données projet'!$B$11,Paramètres!$A$1:$I$89,3,0)*0.475*44/12</f>
        <v>11.228266710178389</v>
      </c>
      <c r="BR73" s="21">
        <f>EXP(-LN(2)/2)*BR72+(1-EXP(-LN(2)/2))/(LN(2)/2)*BL73*BO73*VLOOKUP('Données projet'!$B$11,Paramètres!$A$1:$I$89,3,0)*0.475*44/12</f>
        <v>2.4015833010545972E-5</v>
      </c>
      <c r="BS73" s="22">
        <f t="shared" si="63"/>
        <v>15.08568507688082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272</v>
      </c>
      <c r="BW73" s="12">
        <f>VLOOKUP(A73,'Données projet'!$A$113:$I$133,9,0)</f>
        <v>5.6</v>
      </c>
      <c r="BX73" s="12">
        <f t="array" ref="BX73">INDEX(BW:BW,MIN(IF(ISNUMBER(BW73:BW269),ROW(BW73:BW269),"")))</f>
        <v>5.6</v>
      </c>
      <c r="BY73" s="12">
        <f>IF('Données projet'!$A$114&gt;35,BY72+BX73-CG72,IF(A73&lt;'Données projet'!$A$114,$BV$205^A73,IF(A73='Données projet'!$A$114,'Données projet'!$B$114,BY72+BX73-CG72)))</f>
        <v>272</v>
      </c>
      <c r="BZ73" s="13">
        <f>BY73*VLOOKUP('Données projet'!$B$12,Paramètres!$A$1:$I$89,3,0)*VLOOKUP('Données projet'!$B$12,Paramètres!$A$1:$I$89,5,0)</f>
        <v>237.61920000000003</v>
      </c>
      <c r="CA73" s="13">
        <f t="shared" si="93"/>
        <v>57.926992927794117</v>
      </c>
      <c r="CB73" s="20">
        <f t="shared" si="64"/>
        <v>514.74295268257481</v>
      </c>
      <c r="CC73" s="59">
        <f t="shared" si="65"/>
        <v>808.07628601590818</v>
      </c>
      <c r="CD73" s="59">
        <f ca="1">AVERAGE(OFFSET($CC$3,0,0,'Données projet'!$E$12+1,1))-AVERAGE(OFFSET($H$3,0,0,'Données projet'!$E$12+1,1))</f>
        <v>243.38048563215585</v>
      </c>
      <c r="CE73" s="59">
        <f t="shared" si="94"/>
        <v>372.1604147006675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272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3.3098367854172075</v>
      </c>
      <c r="CL73" s="21">
        <f>EXP(-LN(2)/25)*CL72+(1-EXP(-LN(2)/25))/(LN(2)/25)*Calculateur!CG73*Calculateur!CI73*VLOOKUP('Données projet'!$B$12,Paramètres!$A$1:$I$89,3,0)*0.475*44/12</f>
        <v>6.3872194057276337</v>
      </c>
      <c r="CM73" s="21">
        <f>EXP(-LN(2)/2)*CM72+(1-EXP(-LN(2)/2))/(LN(2)/2)*CG73*CJ73*VLOOKUP('Données projet'!$B$12,Paramètres!$A$1:$I$89,3,0)*0.475*44/12</f>
        <v>2.7956904614603198E-5</v>
      </c>
      <c r="CN73" s="22">
        <f t="shared" si="66"/>
        <v>9.6970841480494574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694</v>
      </c>
      <c r="CR73" s="12">
        <f>VLOOKUP(A73,'Données projet'!$A$139:$I$159,9,0)</f>
        <v>17</v>
      </c>
      <c r="CS73" s="12">
        <f t="array" ref="CS73">INDEX(CR:CR,MIN(IF(ISNUMBER(CR73:CR269),ROW(CR73:CR269),"")))</f>
        <v>17</v>
      </c>
      <c r="CT73" s="12">
        <f>IF('Données projet'!$A$140&gt;35,CT72+CS73-DB72,IF(A73&lt;'Données projet'!$A$140,$CQ$205^A73,IF(A73='Données projet'!$A$140,'Données projet'!$B$140,CT72+CS73-DB72)))</f>
        <v>694.00000000000034</v>
      </c>
      <c r="CU73" s="17">
        <f>CT73*VLOOKUP('Données projet'!$B$13,Paramètres!$A$1:$I$89,3,0)*VLOOKUP('Données projet'!$B$13,Paramètres!$A$1:$I$89,5,0)</f>
        <v>333.81400000000019</v>
      </c>
      <c r="CV73" s="13">
        <f t="shared" si="95"/>
        <v>78.220517061978072</v>
      </c>
      <c r="CW73" s="20">
        <f t="shared" si="67"/>
        <v>717.62678388294546</v>
      </c>
      <c r="CX73" s="59">
        <f t="shared" si="68"/>
        <v>1010.9601172162788</v>
      </c>
      <c r="CY73" s="59">
        <f ca="1">AVERAGE(OFFSET($CX$3,0,0,'Données projet'!$E$13+1,1))-AVERAGE(OFFSET($H$3,0,0,'Données projet'!$E$13+1,1))</f>
        <v>297.21955661193238</v>
      </c>
      <c r="CZ73" s="59">
        <f t="shared" si="96"/>
        <v>273.69206144662144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88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3.0514276011736712</v>
      </c>
      <c r="DG73" s="21">
        <f>EXP(-LN(2)/25)*DG72+(1-EXP(-LN(2)/25))/(LN(2)/25)*Calculateur!DB73*Calculateur!DD73*VLOOKUP('Données projet'!$B$13,Paramètres!$A$1:$I$89,3,0)*0.475*44/12</f>
        <v>4.4279835160001015</v>
      </c>
      <c r="DH73" s="21">
        <f>EXP(-LN(2)/2)*DH72+(1-EXP(-LN(2)/2))/(LN(2)/2)*DB73*DE73*VLOOKUP('Données projet'!$B$13,Paramètres!$A$1:$I$89,3,0)*0.475*44/12</f>
        <v>1.9943984440071902E-5</v>
      </c>
      <c r="DI73" s="22">
        <f t="shared" si="69"/>
        <v>7.4794310611582127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261.7523999999998</v>
      </c>
      <c r="DQ73" s="13">
        <f t="shared" si="97"/>
        <v>63.095772658160975</v>
      </c>
      <c r="DR73" s="20">
        <f t="shared" si="70"/>
        <v>565.7772340462966</v>
      </c>
      <c r="DS73" s="59">
        <f t="shared" si="71"/>
        <v>859.11056737962986</v>
      </c>
      <c r="DT73" s="59">
        <f ca="1">AVERAGE(OFFSET($DS$3,0,0,'Données projet'!$E$14+1,1))-AVERAGE(OFFSET($H$3,0,0,'Données projet'!$E$14+1,1))</f>
        <v>260.20517190557814</v>
      </c>
      <c r="DU73" s="59">
        <f t="shared" si="98"/>
        <v>307.22009971147133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1.4776838053288048</v>
      </c>
      <c r="EB73" s="21">
        <f>EXP(-LN(2)/25)*EB72+(1-EXP(-LN(2)/25))/(LN(2)/25)*Calculateur!DW73*Calculateur!DY73*VLOOKUP('Données projet'!$B$14,Paramètres!$A$1:$I$89,3,0)*0.475*44/12</f>
        <v>6.7689445303216687</v>
      </c>
      <c r="EC73" s="21">
        <f>EXP(-LN(2)/2)*EC72+(1-EXP(-LN(2)/2))/(LN(2)/2)*DW73*DZ73*VLOOKUP('Données projet'!$B$14,Paramètres!$A$1:$I$89,3,0)*0.475*44/12</f>
        <v>2.2925409558064734E-5</v>
      </c>
      <c r="ED73" s="22">
        <f t="shared" si="72"/>
        <v>8.2466512610600322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490</v>
      </c>
      <c r="EH73" s="12">
        <f>VLOOKUP(A73,'Données projet'!$A$191:$I$211,9,0)</f>
        <v>10.7</v>
      </c>
      <c r="EI73" s="12">
        <f t="array" ref="EI73">INDEX(EH:EH,MIN(IF(ISNUMBER(EH73:EH269),ROW(EH73:EH269),"")))</f>
        <v>10.7</v>
      </c>
      <c r="EJ73" s="12">
        <f>IF('Données projet'!$A$192&gt;35,EJ72+EI73-ER72,IF(A73&lt;'Données projet'!$A$192,$EG$205^A73,IF(A73='Données projet'!$A$192,'Données projet'!$B$192,EJ72+EI73-ER72)))</f>
        <v>490.00000000000017</v>
      </c>
      <c r="EK73" s="17">
        <f>EJ73*VLOOKUP('Données projet'!$B$15,Paramètres!$A$1:$I$89,3,0)*VLOOKUP('Données projet'!$B$15,Paramètres!$A$1:$I$89,5,0)</f>
        <v>293.02000000000015</v>
      </c>
      <c r="EL73" s="13">
        <f t="shared" si="99"/>
        <v>69.71118854917674</v>
      </c>
      <c r="EM73" s="20">
        <f t="shared" si="73"/>
        <v>631.75682005648298</v>
      </c>
      <c r="EN73" s="59">
        <f t="shared" si="74"/>
        <v>925.09015338981635</v>
      </c>
      <c r="EO73" s="59">
        <f ca="1">AVERAGE(OFFSET($EN$3,0,0,'Données projet'!$E$15+1,1))-AVERAGE(OFFSET($H$3,0,0,'Données projet'!$E$15+1,1))</f>
        <v>259.30247982593914</v>
      </c>
      <c r="EP73" s="59">
        <f t="shared" si="100"/>
        <v>275.24740346220779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50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5.9486758376979667</v>
      </c>
      <c r="EX73" s="21">
        <f>EXP(-LN(2)/2)*EX72+(1-EXP(-LN(2)/2))/(LN(2)/2)*ER73*EU73*VLOOKUP('Données projet'!$B$15,Paramètres!$A$1:$I$89,3,0)*0.475*44/12</f>
        <v>2.7351827794899975E-5</v>
      </c>
      <c r="EY73" s="22">
        <f t="shared" si="75"/>
        <v>5.9487031895257614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330</v>
      </c>
      <c r="FC73" s="12">
        <f>VLOOKUP(A73,'Données projet'!$A$217:$I$237,9,0)</f>
        <v>8.5</v>
      </c>
      <c r="FD73" s="12">
        <f t="array" ref="FD73">INDEX(FC:FC,MIN(IF(ISNUMBER(FC73:FC269),ROW(FC73:FC269),"")))</f>
        <v>8.5</v>
      </c>
      <c r="FE73" s="12">
        <f>IF('Données projet'!$A$218&gt;35,FE72+FD73-FM72,IF(A73&lt;'Données projet'!$A$218,$FB$205^A73,IF(A73='Données projet'!$A$218,'Données projet'!$B$218,FE72+FD73-FM72)))</f>
        <v>330</v>
      </c>
      <c r="FF73" s="17">
        <f>FE73*VLOOKUP('Données projet'!$B$16,Paramètres!$A$1:$I$89,3,0)*VLOOKUP('Données projet'!$B$16,Paramètres!$A$1:$I$89,5,0)</f>
        <v>334.62</v>
      </c>
      <c r="FG73" s="13">
        <f t="shared" si="101"/>
        <v>78.387374628661505</v>
      </c>
      <c r="FH73" s="20">
        <f t="shared" si="76"/>
        <v>719.32117747825214</v>
      </c>
      <c r="FI73" s="59">
        <f t="shared" si="77"/>
        <v>1012.6545108115854</v>
      </c>
      <c r="FJ73" s="59">
        <f ca="1">AVERAGE(OFFSET($FI$3,0,0,'Données projet'!$E$16+1,1))-AVERAGE(OFFSET($H$3,0,0,'Données projet'!$E$16+1,1))</f>
        <v>372.91317851957336</v>
      </c>
      <c r="FK73" s="59">
        <f t="shared" si="102"/>
        <v>269.69187715858413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56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1.2223829037052187</v>
      </c>
      <c r="FR73" s="21">
        <f>EXP(-LN(2)/25)*FR72+(1-EXP(-LN(2)/25))/(LN(2)/25)*Calculateur!FM73*Calculateur!FO73*VLOOKUP('Données projet'!$B$16,Paramètres!$A$1:$I$89,3,0)*0.475*44/12</f>
        <v>5.0113332950277769</v>
      </c>
      <c r="FS73" s="21">
        <f>EXP(-LN(2)/2)*FS72+(1-EXP(-LN(2)/2))/(LN(2)/2)*FM73*FP73*VLOOKUP('Données projet'!$B$16,Paramètres!$A$1:$I$89,3,0)*0.475*44/12</f>
        <v>2.3235213871893249E-5</v>
      </c>
      <c r="FT73" s="22">
        <f t="shared" si="78"/>
        <v>6.2337394339468677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446.4</v>
      </c>
      <c r="FX73" s="12">
        <f>VLOOKUP(A73,'Données projet'!$A$243:$I$263,9,0)</f>
        <v>15.5</v>
      </c>
      <c r="FY73" s="12">
        <f t="array" ref="FY73">INDEX(FX:FX,MIN(IF(ISNUMBER(FX73:FX269),ROW(FX73:FX269),"")))</f>
        <v>15.5</v>
      </c>
      <c r="FZ73" s="12">
        <f>IF('Données projet'!$A$244&gt;35,FZ72+FY73-GH72,IF(A73&lt;'Données projet'!$A$244,$FW$205^A73,IF(A73='Données projet'!$A$244,'Données projet'!$B$244,FZ72+FY73-GH72)))</f>
        <v>446.39999999999986</v>
      </c>
      <c r="GA73" s="17">
        <f>FZ73*VLOOKUP('Données projet'!$B$17,Paramètres!$A$1:$I$89,3,0)*VLOOKUP('Données projet'!$B$17,Paramètres!$A$1:$I$89,5,0)</f>
        <v>208.91519999999994</v>
      </c>
      <c r="GB73" s="13">
        <f t="shared" si="103"/>
        <v>51.698458198123326</v>
      </c>
      <c r="GC73" s="20">
        <f t="shared" si="79"/>
        <v>453.90212136173136</v>
      </c>
      <c r="GD73" s="59">
        <f t="shared" si="80"/>
        <v>747.23545469506462</v>
      </c>
      <c r="GE73" s="59">
        <f ca="1">AVERAGE(OFFSET($GD$3,0,0,'Données projet'!$E$17+1,1))-AVERAGE(OFFSET($H$3,0,0,'Données projet'!$E$17+1,1))</f>
        <v>215.23235148064941</v>
      </c>
      <c r="GF73" s="59">
        <f t="shared" si="104"/>
        <v>184.07239726900434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83.4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1.4195323671676163</v>
      </c>
      <c r="GM73" s="21">
        <f>EXP(-LN(2)/25)*GM72+(1-EXP(-LN(2)/25))/(LN(2)/25)*Calculateur!GH73*Calculateur!GJ73*VLOOKUP('Données projet'!$B$17,Paramètres!$A$1:$I$89,3,0)*0.475*44/12</f>
        <v>2.5913368394721368</v>
      </c>
      <c r="GN73" s="21">
        <f>EXP(-LN(2)/2)*GN72+(1-EXP(-LN(2)/2))/(LN(2)/2)*GH73*GK73*VLOOKUP('Données projet'!$B$17,Paramètres!$A$1:$I$89,3,0)*0.475*44/12</f>
        <v>9.3766941836318892E-6</v>
      </c>
      <c r="GO73" s="21">
        <f t="shared" si="81"/>
        <v>4.0108785833339367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-1.1368683772161603E-13</v>
      </c>
      <c r="GV73" s="17">
        <f>GU73*VLOOKUP('Données projet'!$B$18,Paramètres!$A$1:$I$89,3,0)*VLOOKUP('Données projet'!$B$18,Paramètres!$A$1:$I$89,5,0)</f>
        <v>-6.7984728957526396E-14</v>
      </c>
      <c r="GW73" s="13" t="e">
        <f t="shared" si="105"/>
        <v>#NUM!</v>
      </c>
      <c r="GX73" s="20" t="e">
        <f t="shared" si="82"/>
        <v>#NUM!</v>
      </c>
      <c r="GY73" s="59" t="e">
        <f t="shared" si="83"/>
        <v>#NUM!</v>
      </c>
      <c r="GZ73" s="59">
        <f ca="1">AVERAGE(OFFSET($GY$3,0,0,'Données projet'!$E$18+1,1))-AVERAGE(OFFSET($H$3,0,0,'Données projet'!$E$18+1,1))</f>
        <v>227.89848316900191</v>
      </c>
      <c r="HA73" s="59">
        <f t="shared" si="106"/>
        <v>239.85955661394541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3.596648350326872</v>
      </c>
      <c r="HH73" s="21">
        <f>EXP(-LN(2)/25)*HH72+(1-EXP(-LN(2)/25))/(LN(2)/25)*Calculateur!HC73*Calculateur!HE73*VLOOKUP('Données projet'!$B$18,Paramètres!$A$1:$I$89,3,0)*0.475*44/12</f>
        <v>5.6552715670577181</v>
      </c>
      <c r="HI73" s="21">
        <f>EXP(-LN(2)/2)*HI72+(1-EXP(-LN(2)/2))/(LN(2)/2)*HC73*HF73*VLOOKUP('Données projet'!$B$18,Paramètres!$A$1:$I$89,3,0)*0.475*44/12</f>
        <v>6.3930231214453563E-6</v>
      </c>
      <c r="HJ73" s="22">
        <f t="shared" si="84"/>
        <v>9.2519263104077112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11.7</v>
      </c>
      <c r="N74" s="13">
        <f>IF('Données projet'!$A$36&gt;35,N73+M74-V73,IF(A74&lt;'Données projet'!$A$36,$K$205^A74,IF(A74='Données projet'!$A$36,'Données projet'!$B$36,N73+M74-V73)))</f>
        <v>613.70000000000005</v>
      </c>
      <c r="O74" s="13">
        <f>N74*VLOOKUP('Données projet'!$B$9,Paramètres!$A$1:$I$89,3,0)*VLOOKUP('Données projet'!$B$9,Paramètres!$A$1:$I$89,5,0)</f>
        <v>343.05830000000003</v>
      </c>
      <c r="P74" s="13">
        <f t="shared" si="87"/>
        <v>80.131480880405647</v>
      </c>
      <c r="Q74" s="20">
        <f t="shared" si="54"/>
        <v>737.0555350333733</v>
      </c>
      <c r="R74" s="59">
        <f t="shared" si="55"/>
        <v>1030.3888683667067</v>
      </c>
      <c r="S74" s="59">
        <f ca="1">AVERAGE(OFFSET($R$3,0,0,'Données projet'!$E$9+1,1))-AVERAGE(OFFSET($H$3,0,0,'Données projet'!$E$9+1,1))</f>
        <v>370.69652285220093</v>
      </c>
      <c r="T74" s="59">
        <f t="shared" si="88"/>
        <v>376.53494965377718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4.5631868974541367</v>
      </c>
      <c r="AA74" s="21">
        <f>EXP(-LN(2)/25)*AA73+(1-EXP(-LN(2)/25))/(LN(2)/25)*Calculateur!V74*Calculateur!X74*VLOOKUP('Données projet'!$B$9,Paramètres!$A$1:$I$89,3,0)*0.475*44/12</f>
        <v>10.718421855720674</v>
      </c>
      <c r="AB74" s="21">
        <f>EXP(-LN(2)/2)*AB73+(1-EXP(-LN(2)/2))/(LN(2)/2)*V74*Y74*VLOOKUP('Données projet'!$B$9,Paramètres!$A$1:$I$89,3,0)*0.475*44/12</f>
        <v>2.2071302846766473E-5</v>
      </c>
      <c r="AC74" s="22">
        <f t="shared" si="57"/>
        <v>15.281630824477659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254.61071999999999</v>
      </c>
      <c r="AK74" s="13">
        <f t="shared" si="89"/>
        <v>61.572204587965679</v>
      </c>
      <c r="AL74" s="20">
        <f t="shared" si="58"/>
        <v>550.68526032404009</v>
      </c>
      <c r="AM74" s="59">
        <f t="shared" si="59"/>
        <v>844.01859365737346</v>
      </c>
      <c r="AN74" s="59">
        <f ca="1">AVERAGE(OFFSET($AM$3,0,0,'Données projet'!$E$10+1,1))-AVERAGE(OFFSET($H$3,0,0,'Données projet'!$E$10+1,1))</f>
        <v>321.03881567735544</v>
      </c>
      <c r="AO74" s="59">
        <f t="shared" si="90"/>
        <v>234.87694492493506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1.0693528891003634</v>
      </c>
      <c r="AV74" s="21">
        <f>EXP(-LN(2)/25)*AV73+(1-EXP(-LN(2)/25))/(LN(2)/25)*Calculateur!AQ74*Calculateur!AS74*VLOOKUP('Données projet'!$B$10,Paramètres!$A$1:$I$89,3,0)*0.475*44/12</f>
        <v>4.3493737093439888</v>
      </c>
      <c r="AW74" s="21">
        <f>EXP(-LN(2)/2)*AW73+(1-EXP(-LN(2)/2))/(LN(2)/2)*AQ74*AT74*VLOOKUP('Données projet'!$B$10,Paramètres!$A$1:$I$89,3,0)*0.475*44/12</f>
        <v>1.4660416659782416E-5</v>
      </c>
      <c r="AX74" s="21">
        <f t="shared" si="60"/>
        <v>5.4187412588610124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8.6</v>
      </c>
      <c r="BD74" s="12">
        <f>IF('Données projet'!$A$88&gt;35,BD73+BC74-BL73,IF(A74&lt;'Données projet'!$A$88,$BA$205^A74,IF(A74='Données projet'!$A$88,'Données projet'!$B$88,BD73+BC74-BL73)))</f>
        <v>409.60000000000036</v>
      </c>
      <c r="BE74" s="13">
        <f>BD74*VLOOKUP('Données projet'!$B$11,Paramètres!$A$1:$I$89,3,0)*VLOOKUP('Données projet'!$B$11,Paramètres!$A$1:$I$89,5,0)</f>
        <v>223.64160000000021</v>
      </c>
      <c r="BF74" s="13">
        <f t="shared" si="91"/>
        <v>54.905611653539268</v>
      </c>
      <c r="BG74" s="20">
        <f t="shared" si="61"/>
        <v>485.13639362991449</v>
      </c>
      <c r="BH74" s="59">
        <f t="shared" si="62"/>
        <v>778.46972696324781</v>
      </c>
      <c r="BI74" s="59">
        <f ca="1">AVERAGE(OFFSET($BH$3,0,0,'Données projet'!$E$11+1,1))-AVERAGE(OFFSET($H$3,0,0,'Données projet'!$E$11+1,1))</f>
        <v>248.1486444660062</v>
      </c>
      <c r="BJ74" s="59">
        <f t="shared" si="92"/>
        <v>293.34458072322127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3.7817532004271062</v>
      </c>
      <c r="BQ74" s="21">
        <f>EXP(-LN(2)/25)*BQ73+(1-EXP(-LN(2)/25))/(LN(2)/25)*Calculateur!BL74*Calculateur!BN74*VLOOKUP('Données projet'!$B$11,Paramètres!$A$1:$I$89,3,0)*0.475*44/12</f>
        <v>10.921229166519677</v>
      </c>
      <c r="BR74" s="21">
        <f>EXP(-LN(2)/2)*BR73+(1-EXP(-LN(2)/2))/(LN(2)/2)*BL74*BO74*VLOOKUP('Données projet'!$B$11,Paramètres!$A$1:$I$89,3,0)*0.475*44/12</f>
        <v>1.6981758377600795E-5</v>
      </c>
      <c r="BS74" s="22">
        <f t="shared" si="63"/>
        <v>14.702999348705161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243.38048563215585</v>
      </c>
      <c r="CE74" s="59">
        <f t="shared" si="94"/>
        <v>372.1604147006675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3.2449329048562752</v>
      </c>
      <c r="CL74" s="21">
        <f>EXP(-LN(2)/25)*CL73+(1-EXP(-LN(2)/25))/(LN(2)/25)*Calculateur!CG74*Calculateur!CI74*VLOOKUP('Données projet'!$B$12,Paramètres!$A$1:$I$89,3,0)*0.475*44/12</f>
        <v>6.2125605551887411</v>
      </c>
      <c r="CM74" s="21">
        <f>EXP(-LN(2)/2)*CM73+(1-EXP(-LN(2)/2))/(LN(2)/2)*CG74*CJ74*VLOOKUP('Données projet'!$B$12,Paramètres!$A$1:$I$89,3,0)*0.475*44/12</f>
        <v>1.9768516833971404E-5</v>
      </c>
      <c r="CN74" s="22">
        <f t="shared" si="66"/>
        <v>9.4575132285618508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14.7</v>
      </c>
      <c r="CT74" s="12">
        <f>IF('Données projet'!$A$140&gt;35,CT73+CS74-DB73,IF(A74&lt;'Données projet'!$A$140,$CQ$205^A74,IF(A74='Données projet'!$A$140,'Données projet'!$B$140,CT73+CS74-DB73)))</f>
        <v>620.70000000000039</v>
      </c>
      <c r="CU74" s="17">
        <f>CT74*VLOOKUP('Données projet'!$B$13,Paramètres!$A$1:$I$89,3,0)*VLOOKUP('Données projet'!$B$13,Paramètres!$A$1:$I$89,5,0)</f>
        <v>298.55670000000021</v>
      </c>
      <c r="CV74" s="13">
        <f t="shared" si="95"/>
        <v>70.873807485886047</v>
      </c>
      <c r="CW74" s="20">
        <f t="shared" si="67"/>
        <v>643.42480053791849</v>
      </c>
      <c r="CX74" s="59">
        <f t="shared" si="68"/>
        <v>936.75813387125186</v>
      </c>
      <c r="CY74" s="59">
        <f ca="1">AVERAGE(OFFSET($CX$3,0,0,'Données projet'!$E$13+1,1))-AVERAGE(OFFSET($H$3,0,0,'Données projet'!$E$13+1,1))</f>
        <v>297.21955661193238</v>
      </c>
      <c r="CZ74" s="59">
        <f t="shared" si="96"/>
        <v>273.69206144662144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2.9915909671017151</v>
      </c>
      <c r="DG74" s="21">
        <f>EXP(-LN(2)/25)*DG73+(1-EXP(-LN(2)/25))/(LN(2)/25)*Calculateur!DB74*Calculateur!DD74*VLOOKUP('Données projet'!$B$13,Paramètres!$A$1:$I$89,3,0)*0.475*44/12</f>
        <v>4.3069000738975456</v>
      </c>
      <c r="DH74" s="21">
        <f>EXP(-LN(2)/2)*DH73+(1-EXP(-LN(2)/2))/(LN(2)/2)*DB74*DE74*VLOOKUP('Données projet'!$B$13,Paramètres!$A$1:$I$89,3,0)*0.475*44/12</f>
        <v>1.4102526641453831E-5</v>
      </c>
      <c r="DI74" s="22">
        <f t="shared" si="69"/>
        <v>7.2985051435259027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244.16963999999976</v>
      </c>
      <c r="DQ74" s="13">
        <f t="shared" si="97"/>
        <v>59.335747541340979</v>
      </c>
      <c r="DR74" s="20">
        <f t="shared" si="70"/>
        <v>528.60521663450174</v>
      </c>
      <c r="DS74" s="59">
        <f t="shared" si="71"/>
        <v>821.93854996783512</v>
      </c>
      <c r="DT74" s="59">
        <f ca="1">AVERAGE(OFFSET($DS$3,0,0,'Données projet'!$E$14+1,1))-AVERAGE(OFFSET($H$3,0,0,'Données projet'!$E$14+1,1))</f>
        <v>260.20517190557814</v>
      </c>
      <c r="DU74" s="59">
        <f t="shared" si="98"/>
        <v>307.22009971147133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1.4487073272044324</v>
      </c>
      <c r="EB74" s="21">
        <f>EXP(-LN(2)/25)*EB73+(1-EXP(-LN(2)/25))/(LN(2)/25)*Calculateur!DW74*Calculateur!DY74*VLOOKUP('Données projet'!$B$14,Paramètres!$A$1:$I$89,3,0)*0.475*44/12</f>
        <v>6.5838473861767008</v>
      </c>
      <c r="EC74" s="21">
        <f>EXP(-LN(2)/2)*EC73+(1-EXP(-LN(2)/2))/(LN(2)/2)*DW74*DZ74*VLOOKUP('Données projet'!$B$14,Paramètres!$A$1:$I$89,3,0)*0.475*44/12</f>
        <v>1.6210712559986465E-5</v>
      </c>
      <c r="ED74" s="22">
        <f t="shared" si="72"/>
        <v>8.0325709240936938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8.1999999999999993</v>
      </c>
      <c r="EJ74" s="12">
        <f>IF('Données projet'!$A$192&gt;35,EJ73+EI74-ER73,IF(A74&lt;'Données projet'!$A$192,$EG$205^A74,IF(A74='Données projet'!$A$192,'Données projet'!$B$192,EJ73+EI74-ER73)))</f>
        <v>448.20000000000016</v>
      </c>
      <c r="EK74" s="17">
        <f>EJ74*VLOOKUP('Données projet'!$B$15,Paramètres!$A$1:$I$89,3,0)*VLOOKUP('Données projet'!$B$15,Paramètres!$A$1:$I$89,5,0)</f>
        <v>268.0236000000001</v>
      </c>
      <c r="EL74" s="13">
        <f t="shared" si="99"/>
        <v>64.429648145853221</v>
      </c>
      <c r="EM74" s="20">
        <f t="shared" si="73"/>
        <v>579.02274052069447</v>
      </c>
      <c r="EN74" s="59">
        <f t="shared" si="74"/>
        <v>872.35607385402773</v>
      </c>
      <c r="EO74" s="59">
        <f ca="1">AVERAGE(OFFSET($EN$3,0,0,'Données projet'!$E$15+1,1))-AVERAGE(OFFSET($H$3,0,0,'Données projet'!$E$15+1,1))</f>
        <v>259.30247982593914</v>
      </c>
      <c r="EP74" s="59">
        <f t="shared" si="100"/>
        <v>275.24740346220779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5.7860089840888493</v>
      </c>
      <c r="EX74" s="21">
        <f>EXP(-LN(2)/2)*EX73+(1-EXP(-LN(2)/2))/(LN(2)/2)*ER74*EU74*VLOOKUP('Données projet'!$B$15,Paramètres!$A$1:$I$89,3,0)*0.475*44/12</f>
        <v>1.9340662911620465E-5</v>
      </c>
      <c r="EY74" s="22">
        <f t="shared" si="75"/>
        <v>5.7860283247517605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7.4</v>
      </c>
      <c r="FE74" s="12">
        <f>IF('Données projet'!$A$218&gt;35,FE73+FD74-FM73,IF(A74&lt;'Données projet'!$A$218,$FB$205^A74,IF(A74='Données projet'!$A$218,'Données projet'!$B$218,FE73+FD74-FM73)))</f>
        <v>281.39999999999998</v>
      </c>
      <c r="FF74" s="17">
        <f>FE74*VLOOKUP('Données projet'!$B$16,Paramètres!$A$1:$I$89,3,0)*VLOOKUP('Données projet'!$B$16,Paramètres!$A$1:$I$89,5,0)</f>
        <v>285.33960000000002</v>
      </c>
      <c r="FG74" s="13">
        <f t="shared" si="101"/>
        <v>68.094176261531288</v>
      </c>
      <c r="FH74" s="20">
        <f t="shared" si="76"/>
        <v>615.56382698883374</v>
      </c>
      <c r="FI74" s="59">
        <f t="shared" si="77"/>
        <v>908.89716032216711</v>
      </c>
      <c r="FJ74" s="59">
        <f ca="1">AVERAGE(OFFSET($FI$3,0,0,'Données projet'!$E$16+1,1))-AVERAGE(OFFSET($H$3,0,0,'Données projet'!$E$16+1,1))</f>
        <v>372.91317851957336</v>
      </c>
      <c r="FK74" s="59">
        <f t="shared" si="102"/>
        <v>269.69187715858413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1.1984127205435107</v>
      </c>
      <c r="FR74" s="21">
        <f>EXP(-LN(2)/25)*FR73+(1-EXP(-LN(2)/25))/(LN(2)/25)*Calculateur!FM74*Calculateur!FO74*VLOOKUP('Données projet'!$B$16,Paramètres!$A$1:$I$89,3,0)*0.475*44/12</f>
        <v>4.8742981225406776</v>
      </c>
      <c r="FS74" s="21">
        <f>EXP(-LN(2)/2)*FS73+(1-EXP(-LN(2)/2))/(LN(2)/2)*FM74*FP74*VLOOKUP('Données projet'!$B$16,Paramètres!$A$1:$I$89,3,0)*0.475*44/12</f>
        <v>1.6429777291135453E-5</v>
      </c>
      <c r="FT74" s="22">
        <f t="shared" si="78"/>
        <v>6.0727272728614796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17</v>
      </c>
      <c r="FZ74" s="12">
        <f>IF('Données projet'!$A$244&gt;35,FZ73+FY74-GH73,IF(A74&lt;'Données projet'!$A$244,$FW$205^A74,IF(A74='Données projet'!$A$244,'Données projet'!$B$244,FZ73+FY74-GH73)))</f>
        <v>379.99999999999989</v>
      </c>
      <c r="GA74" s="17">
        <f>FZ74*VLOOKUP('Données projet'!$B$17,Paramètres!$A$1:$I$89,3,0)*VLOOKUP('Données projet'!$B$17,Paramètres!$A$1:$I$89,5,0)</f>
        <v>177.83999999999995</v>
      </c>
      <c r="GB74" s="13">
        <f t="shared" si="103"/>
        <v>44.841288830609102</v>
      </c>
      <c r="GC74" s="20">
        <f t="shared" si="79"/>
        <v>387.83657804664409</v>
      </c>
      <c r="GD74" s="59">
        <f t="shared" si="80"/>
        <v>681.16991137997741</v>
      </c>
      <c r="GE74" s="59">
        <f ca="1">AVERAGE(OFFSET($GD$3,0,0,'Données projet'!$E$17+1,1))-AVERAGE(OFFSET($H$3,0,0,'Données projet'!$E$17+1,1))</f>
        <v>215.23235148064941</v>
      </c>
      <c r="GF74" s="59">
        <f t="shared" si="104"/>
        <v>184.07239726900434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1.3916962032767097</v>
      </c>
      <c r="GM74" s="21">
        <f>EXP(-LN(2)/25)*GM73+(1-EXP(-LN(2)/25))/(LN(2)/25)*Calculateur!GH74*Calculateur!GJ74*VLOOKUP('Données projet'!$B$17,Paramètres!$A$1:$I$89,3,0)*0.475*44/12</f>
        <v>2.5204765973242895</v>
      </c>
      <c r="GN74" s="21">
        <f>EXP(-LN(2)/2)*GN73+(1-EXP(-LN(2)/2))/(LN(2)/2)*GH74*GK74*VLOOKUP('Données projet'!$B$17,Paramètres!$A$1:$I$89,3,0)*0.475*44/12</f>
        <v>6.6303240423585673E-6</v>
      </c>
      <c r="GO74" s="21">
        <f t="shared" si="81"/>
        <v>3.9121794309250415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-1.1368683772161603E-13</v>
      </c>
      <c r="GV74" s="17">
        <f>GU74*VLOOKUP('Données projet'!$B$18,Paramètres!$A$1:$I$89,3,0)*VLOOKUP('Données projet'!$B$18,Paramètres!$A$1:$I$89,5,0)</f>
        <v>-6.7984728957526396E-14</v>
      </c>
      <c r="GW74" s="13" t="e">
        <f t="shared" si="105"/>
        <v>#NUM!</v>
      </c>
      <c r="GX74" s="20" t="e">
        <f t="shared" si="82"/>
        <v>#NUM!</v>
      </c>
      <c r="GY74" s="59" t="e">
        <f t="shared" si="83"/>
        <v>#NUM!</v>
      </c>
      <c r="GZ74" s="59">
        <f ca="1">AVERAGE(OFFSET($GY$3,0,0,'Données projet'!$E$18+1,1))-AVERAGE(OFFSET($H$3,0,0,'Données projet'!$E$18+1,1))</f>
        <v>227.89848316900191</v>
      </c>
      <c r="HA74" s="59">
        <f t="shared" si="106"/>
        <v>239.85955661394541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3.5261202699158418</v>
      </c>
      <c r="HH74" s="21">
        <f>EXP(-LN(2)/25)*HH73+(1-EXP(-LN(2)/25))/(LN(2)/25)*Calculateur!HC74*Calculateur!HE74*VLOOKUP('Données projet'!$B$18,Paramètres!$A$1:$I$89,3,0)*0.475*44/12</f>
        <v>5.500627868658718</v>
      </c>
      <c r="HI74" s="21">
        <f>EXP(-LN(2)/2)*HI73+(1-EXP(-LN(2)/2))/(LN(2)/2)*HC74*HF74*VLOOKUP('Données projet'!$B$18,Paramètres!$A$1:$I$89,3,0)*0.475*44/12</f>
        <v>4.5205500014564006E-6</v>
      </c>
      <c r="HJ74" s="22">
        <f t="shared" si="84"/>
        <v>9.0267526591245613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11.7</v>
      </c>
      <c r="N75" s="13">
        <f>IF('Données projet'!$A$36&gt;35,N74+M75-V74,IF(A75&lt;'Données projet'!$A$36,$K$205^A75,IF(A75='Données projet'!$A$36,'Données projet'!$B$36,N74+M75-V74)))</f>
        <v>625.40000000000009</v>
      </c>
      <c r="O75" s="13">
        <f>N75*VLOOKUP('Données projet'!$B$9,Paramètres!$A$1:$I$89,3,0)*VLOOKUP('Données projet'!$B$9,Paramètres!$A$1:$I$89,5,0)</f>
        <v>349.59860000000003</v>
      </c>
      <c r="P75" s="13">
        <f t="shared" si="87"/>
        <v>81.479853290144945</v>
      </c>
      <c r="Q75" s="20">
        <f t="shared" si="54"/>
        <v>750.79497281366912</v>
      </c>
      <c r="R75" s="59">
        <f t="shared" si="55"/>
        <v>1044.1283061470024</v>
      </c>
      <c r="S75" s="59">
        <f ca="1">AVERAGE(OFFSET($R$3,0,0,'Données projet'!$E$9+1,1))-AVERAGE(OFFSET($H$3,0,0,'Données projet'!$E$9+1,1))</f>
        <v>370.69652285220093</v>
      </c>
      <c r="T75" s="59">
        <f t="shared" si="88"/>
        <v>376.53494965377718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4.4737055856642431</v>
      </c>
      <c r="AA75" s="21">
        <f>EXP(-LN(2)/25)*AA74+(1-EXP(-LN(2)/25))/(LN(2)/25)*Calculateur!V75*Calculateur!X75*VLOOKUP('Données projet'!$B$9,Paramètres!$A$1:$I$89,3,0)*0.475*44/12</f>
        <v>10.425326046418684</v>
      </c>
      <c r="AB75" s="21">
        <f>EXP(-LN(2)/2)*AB74+(1-EXP(-LN(2)/2))/(LN(2)/2)*V75*Y75*VLOOKUP('Données projet'!$B$9,Paramètres!$A$1:$I$89,3,0)*0.475*44/12</f>
        <v>1.5606767912570523E-5</v>
      </c>
      <c r="AC75" s="22">
        <f t="shared" si="57"/>
        <v>14.899047238850839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261.30623999999995</v>
      </c>
      <c r="AK75" s="13">
        <f t="shared" si="89"/>
        <v>63.000734275359598</v>
      </c>
      <c r="AL75" s="20">
        <f t="shared" si="58"/>
        <v>564.83464686291791</v>
      </c>
      <c r="AM75" s="59">
        <f t="shared" si="59"/>
        <v>858.16798019625116</v>
      </c>
      <c r="AN75" s="59">
        <f ca="1">AVERAGE(OFFSET($AM$3,0,0,'Données projet'!$E$10+1,1))-AVERAGE(OFFSET($H$3,0,0,'Données projet'!$E$10+1,1))</f>
        <v>321.03881567735544</v>
      </c>
      <c r="AO75" s="59">
        <f t="shared" si="90"/>
        <v>234.87694492493506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1.0483835311859642</v>
      </c>
      <c r="AV75" s="21">
        <f>EXP(-LN(2)/25)*AV74+(1-EXP(-LN(2)/25))/(LN(2)/25)*Calculateur!AQ75*Calculateur!AS75*VLOOKUP('Données projet'!$B$10,Paramètres!$A$1:$I$89,3,0)*0.475*44/12</f>
        <v>4.2304398565383545</v>
      </c>
      <c r="AW75" s="21">
        <f>EXP(-LN(2)/2)*AW74+(1-EXP(-LN(2)/2))/(LN(2)/2)*AQ75*AT75*VLOOKUP('Données projet'!$B$10,Paramètres!$A$1:$I$89,3,0)*0.475*44/12</f>
        <v>1.0366480035152381E-5</v>
      </c>
      <c r="AX75" s="21">
        <f t="shared" si="60"/>
        <v>5.2788337542043537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8.6</v>
      </c>
      <c r="BD75" s="12">
        <f>IF('Données projet'!$A$88&gt;35,BD74+BC75-BL74,IF(A75&lt;'Données projet'!$A$88,$BA$205^A75,IF(A75='Données projet'!$A$88,'Données projet'!$B$88,BD74+BC75-BL74)))</f>
        <v>418.20000000000039</v>
      </c>
      <c r="BE75" s="13">
        <f>BD75*VLOOKUP('Données projet'!$B$11,Paramètres!$A$1:$I$89,3,0)*VLOOKUP('Données projet'!$B$11,Paramètres!$A$1:$I$89,5,0)</f>
        <v>228.33720000000019</v>
      </c>
      <c r="BF75" s="13">
        <f t="shared" si="91"/>
        <v>55.922993607595103</v>
      </c>
      <c r="BG75" s="20">
        <f t="shared" si="61"/>
        <v>495.08650386656171</v>
      </c>
      <c r="BH75" s="59">
        <f t="shared" si="62"/>
        <v>788.41983719989503</v>
      </c>
      <c r="BI75" s="59">
        <f ca="1">AVERAGE(OFFSET($BH$3,0,0,'Données projet'!$E$11+1,1))-AVERAGE(OFFSET($H$3,0,0,'Données projet'!$E$11+1,1))</f>
        <v>248.1486444660062</v>
      </c>
      <c r="BJ75" s="59">
        <f t="shared" si="92"/>
        <v>293.34458072322127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3.7075953268084207</v>
      </c>
      <c r="BQ75" s="21">
        <f>EXP(-LN(2)/25)*BQ74+(1-EXP(-LN(2)/25))/(LN(2)/25)*Calculateur!BL75*Calculateur!BN75*VLOOKUP('Données projet'!$B$11,Paramètres!$A$1:$I$89,3,0)*0.475*44/12</f>
        <v>10.622587580638715</v>
      </c>
      <c r="BR75" s="21">
        <f>EXP(-LN(2)/2)*BR74+(1-EXP(-LN(2)/2))/(LN(2)/2)*BL75*BO75*VLOOKUP('Données projet'!$B$11,Paramètres!$A$1:$I$89,3,0)*0.475*44/12</f>
        <v>1.2007916505272986E-5</v>
      </c>
      <c r="BS75" s="22">
        <f t="shared" si="63"/>
        <v>14.33019491536364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243.38048563215585</v>
      </c>
      <c r="CE75" s="59">
        <f t="shared" si="94"/>
        <v>372.1604147006675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3.1813017498056846</v>
      </c>
      <c r="CL75" s="21">
        <f>EXP(-LN(2)/25)*CL74+(1-EXP(-LN(2)/25))/(LN(2)/25)*Calculateur!CG75*Calculateur!CI75*VLOOKUP('Données projet'!$B$12,Paramètres!$A$1:$I$89,3,0)*0.475*44/12</f>
        <v>6.0426777601027446</v>
      </c>
      <c r="CM75" s="21">
        <f>EXP(-LN(2)/2)*CM74+(1-EXP(-LN(2)/2))/(LN(2)/2)*CG75*CJ75*VLOOKUP('Données projet'!$B$12,Paramètres!$A$1:$I$89,3,0)*0.475*44/12</f>
        <v>1.3978452307301599E-5</v>
      </c>
      <c r="CN75" s="22">
        <f t="shared" si="66"/>
        <v>9.2239934883607351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14.7</v>
      </c>
      <c r="CT75" s="12">
        <f>IF('Données projet'!$A$140&gt;35,CT74+CS75-DB74,IF(A75&lt;'Données projet'!$A$140,$CQ$205^A75,IF(A75='Données projet'!$A$140,'Données projet'!$B$140,CT74+CS75-DB74)))</f>
        <v>635.40000000000043</v>
      </c>
      <c r="CU75" s="17">
        <f>CT75*VLOOKUP('Données projet'!$B$13,Paramètres!$A$1:$I$89,3,0)*VLOOKUP('Données projet'!$B$13,Paramètres!$A$1:$I$89,5,0)</f>
        <v>305.62740000000019</v>
      </c>
      <c r="CV75" s="13">
        <f t="shared" si="95"/>
        <v>72.354903650746223</v>
      </c>
      <c r="CW75" s="20">
        <f t="shared" si="67"/>
        <v>658.31917885838322</v>
      </c>
      <c r="CX75" s="59">
        <f t="shared" si="68"/>
        <v>951.6525121917166</v>
      </c>
      <c r="CY75" s="59">
        <f ca="1">AVERAGE(OFFSET($CX$3,0,0,'Données projet'!$E$13+1,1))-AVERAGE(OFFSET($H$3,0,0,'Données projet'!$E$13+1,1))</f>
        <v>297.21955661193238</v>
      </c>
      <c r="CZ75" s="59">
        <f t="shared" si="96"/>
        <v>273.69206144662144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2.932927692927167</v>
      </c>
      <c r="DG75" s="21">
        <f>EXP(-LN(2)/25)*DG74+(1-EXP(-LN(2)/25))/(LN(2)/25)*Calculateur!DB75*Calculateur!DD75*VLOOKUP('Données projet'!$B$13,Paramètres!$A$1:$I$89,3,0)*0.475*44/12</f>
        <v>4.1891276648867857</v>
      </c>
      <c r="DH75" s="21">
        <f>EXP(-LN(2)/2)*DH74+(1-EXP(-LN(2)/2))/(LN(2)/2)*DB75*DE75*VLOOKUP('Données projet'!$B$13,Paramètres!$A$1:$I$89,3,0)*0.475*44/12</f>
        <v>9.9719922200359512E-6</v>
      </c>
      <c r="DI75" s="22">
        <f t="shared" si="69"/>
        <v>7.1220653298061727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247.27247999999975</v>
      </c>
      <c r="DQ75" s="13">
        <f t="shared" si="97"/>
        <v>60.001511123918704</v>
      </c>
      <c r="DR75" s="20">
        <f t="shared" si="70"/>
        <v>535.16886787415797</v>
      </c>
      <c r="DS75" s="59">
        <f t="shared" si="71"/>
        <v>828.50220120749123</v>
      </c>
      <c r="DT75" s="59">
        <f ca="1">AVERAGE(OFFSET($DS$3,0,0,'Données projet'!$E$14+1,1))-AVERAGE(OFFSET($H$3,0,0,'Données projet'!$E$14+1,1))</f>
        <v>260.20517190557814</v>
      </c>
      <c r="DU75" s="59">
        <f t="shared" si="98"/>
        <v>307.22009971147133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1.4202990601421723</v>
      </c>
      <c r="EB75" s="21">
        <f>EXP(-LN(2)/25)*EB74+(1-EXP(-LN(2)/25))/(LN(2)/25)*Calculateur!DW75*Calculateur!DY75*VLOOKUP('Données projet'!$B$14,Paramètres!$A$1:$I$89,3,0)*0.475*44/12</f>
        <v>6.4038117331722129</v>
      </c>
      <c r="EC75" s="21">
        <f>EXP(-LN(2)/2)*EC74+(1-EXP(-LN(2)/2))/(LN(2)/2)*DW75*DZ75*VLOOKUP('Données projet'!$B$14,Paramètres!$A$1:$I$89,3,0)*0.475*44/12</f>
        <v>1.1462704779032367E-5</v>
      </c>
      <c r="ED75" s="22">
        <f t="shared" si="72"/>
        <v>7.8241222560191641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8.1999999999999993</v>
      </c>
      <c r="EJ75" s="12">
        <f>IF('Données projet'!$A$192&gt;35,EJ74+EI75-ER74,IF(A75&lt;'Données projet'!$A$192,$EG$205^A75,IF(A75='Données projet'!$A$192,'Données projet'!$B$192,EJ74+EI75-ER74)))</f>
        <v>456.40000000000015</v>
      </c>
      <c r="EK75" s="17">
        <f>EJ75*VLOOKUP('Données projet'!$B$15,Paramètres!$A$1:$I$89,3,0)*VLOOKUP('Données projet'!$B$15,Paramètres!$A$1:$I$89,5,0)</f>
        <v>272.92720000000008</v>
      </c>
      <c r="EL75" s="13">
        <f t="shared" si="99"/>
        <v>65.470104600408447</v>
      </c>
      <c r="EM75" s="20">
        <f t="shared" si="73"/>
        <v>589.37530551237808</v>
      </c>
      <c r="EN75" s="59">
        <f t="shared" si="74"/>
        <v>882.70863884571145</v>
      </c>
      <c r="EO75" s="59">
        <f ca="1">AVERAGE(OFFSET($EN$3,0,0,'Données projet'!$E$15+1,1))-AVERAGE(OFFSET($H$3,0,0,'Données projet'!$E$15+1,1))</f>
        <v>259.30247982593914</v>
      </c>
      <c r="EP75" s="59">
        <f t="shared" si="100"/>
        <v>275.24740346220779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5.6277902641459514</v>
      </c>
      <c r="EX75" s="21">
        <f>EXP(-LN(2)/2)*EX74+(1-EXP(-LN(2)/2))/(LN(2)/2)*ER75*EU75*VLOOKUP('Données projet'!$B$15,Paramètres!$A$1:$I$89,3,0)*0.475*44/12</f>
        <v>1.3675913897449988E-5</v>
      </c>
      <c r="EY75" s="22">
        <f t="shared" si="75"/>
        <v>5.6278039400598487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7.4</v>
      </c>
      <c r="FE75" s="12">
        <f>IF('Données projet'!$A$218&gt;35,FE74+FD75-FM74,IF(A75&lt;'Données projet'!$A$218,$FB$205^A75,IF(A75='Données projet'!$A$218,'Données projet'!$B$218,FE74+FD75-FM74)))</f>
        <v>288.79999999999995</v>
      </c>
      <c r="FF75" s="17">
        <f>FE75*VLOOKUP('Données projet'!$B$16,Paramètres!$A$1:$I$89,3,0)*VLOOKUP('Données projet'!$B$16,Paramètres!$A$1:$I$89,5,0)</f>
        <v>292.84319999999997</v>
      </c>
      <c r="FG75" s="13">
        <f t="shared" si="101"/>
        <v>69.674021468945611</v>
      </c>
      <c r="FH75" s="20">
        <f t="shared" si="76"/>
        <v>631.38416072508016</v>
      </c>
      <c r="FI75" s="59">
        <f t="shared" si="77"/>
        <v>924.71749405841342</v>
      </c>
      <c r="FJ75" s="59">
        <f ca="1">AVERAGE(OFFSET($FI$3,0,0,'Données projet'!$E$16+1,1))-AVERAGE(OFFSET($H$3,0,0,'Données projet'!$E$16+1,1))</f>
        <v>372.91317851957336</v>
      </c>
      <c r="FK75" s="59">
        <f t="shared" si="102"/>
        <v>269.69187715858413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1.1749125780532357</v>
      </c>
      <c r="FR75" s="21">
        <f>EXP(-LN(2)/25)*FR74+(1-EXP(-LN(2)/25))/(LN(2)/25)*Calculateur!FM75*Calculateur!FO75*VLOOKUP('Données projet'!$B$16,Paramètres!$A$1:$I$89,3,0)*0.475*44/12</f>
        <v>4.7410101840516052</v>
      </c>
      <c r="FS75" s="21">
        <f>EXP(-LN(2)/2)*FS74+(1-EXP(-LN(2)/2))/(LN(2)/2)*FM75*FP75*VLOOKUP('Données projet'!$B$16,Paramètres!$A$1:$I$89,3,0)*0.475*44/12</f>
        <v>1.1617606935946624E-5</v>
      </c>
      <c r="FT75" s="22">
        <f t="shared" si="78"/>
        <v>5.9159343797117767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17</v>
      </c>
      <c r="FZ75" s="12">
        <f>IF('Données projet'!$A$244&gt;35,FZ74+FY75-GH74,IF(A75&lt;'Données projet'!$A$244,$FW$205^A75,IF(A75='Données projet'!$A$244,'Données projet'!$B$244,FZ74+FY75-GH74)))</f>
        <v>396.99999999999989</v>
      </c>
      <c r="GA75" s="17">
        <f>FZ75*VLOOKUP('Données projet'!$B$17,Paramètres!$A$1:$I$89,3,0)*VLOOKUP('Données projet'!$B$17,Paramètres!$A$1:$I$89,5,0)</f>
        <v>185.79599999999996</v>
      </c>
      <c r="GB75" s="13">
        <f t="shared" si="103"/>
        <v>46.60930127448345</v>
      </c>
      <c r="GC75" s="20">
        <f t="shared" si="79"/>
        <v>404.77256638639187</v>
      </c>
      <c r="GD75" s="59">
        <f t="shared" si="80"/>
        <v>698.10589971972513</v>
      </c>
      <c r="GE75" s="59">
        <f ca="1">AVERAGE(OFFSET($GD$3,0,0,'Données projet'!$E$17+1,1))-AVERAGE(OFFSET($H$3,0,0,'Données projet'!$E$17+1,1))</f>
        <v>215.23235148064941</v>
      </c>
      <c r="GF75" s="59">
        <f t="shared" si="104"/>
        <v>184.07239726900434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1.3644058895813205</v>
      </c>
      <c r="GM75" s="21">
        <f>EXP(-LN(2)/25)*GM74+(1-EXP(-LN(2)/25))/(LN(2)/25)*Calculateur!GH75*Calculateur!GJ75*VLOOKUP('Données projet'!$B$17,Paramètres!$A$1:$I$89,3,0)*0.475*44/12</f>
        <v>2.4515540322243532</v>
      </c>
      <c r="GN75" s="21">
        <f>EXP(-LN(2)/2)*GN74+(1-EXP(-LN(2)/2))/(LN(2)/2)*GH75*GK75*VLOOKUP('Données projet'!$B$17,Paramètres!$A$1:$I$89,3,0)*0.475*44/12</f>
        <v>4.6883470918159446E-6</v>
      </c>
      <c r="GO75" s="21">
        <f t="shared" si="81"/>
        <v>3.8159646101527658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-1.1368683772161603E-13</v>
      </c>
      <c r="GV75" s="17">
        <f>GU75*VLOOKUP('Données projet'!$B$18,Paramètres!$A$1:$I$89,3,0)*VLOOKUP('Données projet'!$B$18,Paramètres!$A$1:$I$89,5,0)</f>
        <v>-6.7984728957526396E-14</v>
      </c>
      <c r="GW75" s="13" t="e">
        <f t="shared" si="105"/>
        <v>#NUM!</v>
      </c>
      <c r="GX75" s="20" t="e">
        <f t="shared" si="82"/>
        <v>#NUM!</v>
      </c>
      <c r="GY75" s="59" t="e">
        <f t="shared" si="83"/>
        <v>#NUM!</v>
      </c>
      <c r="GZ75" s="59">
        <f ca="1">AVERAGE(OFFSET($GY$3,0,0,'Données projet'!$E$18+1,1))-AVERAGE(OFFSET($H$3,0,0,'Données projet'!$E$18+1,1))</f>
        <v>227.89848316900191</v>
      </c>
      <c r="HA75" s="59">
        <f t="shared" si="106"/>
        <v>239.85955661394541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3.4569752021437909</v>
      </c>
      <c r="HH75" s="21">
        <f>EXP(-LN(2)/25)*HH74+(1-EXP(-LN(2)/25))/(LN(2)/25)*Calculateur!HC75*Calculateur!HE75*VLOOKUP('Données projet'!$B$18,Paramètres!$A$1:$I$89,3,0)*0.475*44/12</f>
        <v>5.3502129103247977</v>
      </c>
      <c r="HI75" s="21">
        <f>EXP(-LN(2)/2)*HI74+(1-EXP(-LN(2)/2))/(LN(2)/2)*HC75*HF75*VLOOKUP('Données projet'!$B$18,Paramètres!$A$1:$I$89,3,0)*0.475*44/12</f>
        <v>3.1965115607226782E-6</v>
      </c>
      <c r="HJ75" s="22">
        <f t="shared" si="84"/>
        <v>8.8071913089801495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11.7</v>
      </c>
      <c r="N76" s="13">
        <f>IF('Données projet'!$A$36&gt;35,N75+M76-V75,IF(A76&lt;'Données projet'!$A$36,$K$205^A76,IF(A76='Données projet'!$A$36,'Données projet'!$B$36,N75+M76-V75)))</f>
        <v>637.10000000000014</v>
      </c>
      <c r="O76" s="13">
        <f>N76*VLOOKUP('Données projet'!$B$9,Paramètres!$A$1:$I$89,3,0)*VLOOKUP('Données projet'!$B$9,Paramètres!$A$1:$I$89,5,0)</f>
        <v>356.13890000000004</v>
      </c>
      <c r="P76" s="13">
        <f t="shared" si="87"/>
        <v>82.825292478605164</v>
      </c>
      <c r="Q76" s="20">
        <f t="shared" si="54"/>
        <v>764.52930190023733</v>
      </c>
      <c r="R76" s="59">
        <f t="shared" si="55"/>
        <v>1057.8626352335707</v>
      </c>
      <c r="S76" s="59">
        <f ca="1">AVERAGE(OFFSET($R$3,0,0,'Données projet'!$E$9+1,1))-AVERAGE(OFFSET($H$3,0,0,'Données projet'!$E$9+1,1))</f>
        <v>370.69652285220093</v>
      </c>
      <c r="T76" s="59">
        <f t="shared" si="88"/>
        <v>376.53494965377718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4.3859789478203384</v>
      </c>
      <c r="AA76" s="21">
        <f>EXP(-LN(2)/25)*AA75+(1-EXP(-LN(2)/25))/(LN(2)/25)*Calculateur!V76*Calculateur!X76*VLOOKUP('Données projet'!$B$9,Paramètres!$A$1:$I$89,3,0)*0.475*44/12</f>
        <v>10.140244957435296</v>
      </c>
      <c r="AB76" s="21">
        <f>EXP(-LN(2)/2)*AB75+(1-EXP(-LN(2)/2))/(LN(2)/2)*V76*Y76*VLOOKUP('Données projet'!$B$9,Paramètres!$A$1:$I$89,3,0)*0.475*44/12</f>
        <v>1.1035651423383236E-5</v>
      </c>
      <c r="AC76" s="22">
        <f t="shared" si="57"/>
        <v>14.526234940907058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268.00175999999993</v>
      </c>
      <c r="AK76" s="13">
        <f t="shared" si="89"/>
        <v>64.425009159185578</v>
      </c>
      <c r="AL76" s="20">
        <f t="shared" si="58"/>
        <v>578.97662295224802</v>
      </c>
      <c r="AM76" s="59">
        <f t="shared" si="59"/>
        <v>872.30995628558139</v>
      </c>
      <c r="AN76" s="59">
        <f ca="1">AVERAGE(OFFSET($AM$3,0,0,'Données projet'!$E$10+1,1))-AVERAGE(OFFSET($H$3,0,0,'Données projet'!$E$10+1,1))</f>
        <v>321.03881567735544</v>
      </c>
      <c r="AO76" s="59">
        <f t="shared" si="90"/>
        <v>234.87694492493506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1.0278253695902209</v>
      </c>
      <c r="AV76" s="21">
        <f>EXP(-LN(2)/25)*AV75+(1-EXP(-LN(2)/25))/(LN(2)/25)*Calculateur!AQ76*Calculateur!AS76*VLOOKUP('Données projet'!$B$10,Paramètres!$A$1:$I$89,3,0)*0.475*44/12</f>
        <v>4.1147582561921503</v>
      </c>
      <c r="AW76" s="21">
        <f>EXP(-LN(2)/2)*AW75+(1-EXP(-LN(2)/2))/(LN(2)/2)*AQ76*AT76*VLOOKUP('Données projet'!$B$10,Paramètres!$A$1:$I$89,3,0)*0.475*44/12</f>
        <v>7.330208329891208E-6</v>
      </c>
      <c r="AX76" s="21">
        <f t="shared" si="60"/>
        <v>5.142590955990701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8.6</v>
      </c>
      <c r="BD76" s="12">
        <f>IF('Données projet'!$A$88&gt;35,BD75+BC76-BL75,IF(A76&lt;'Données projet'!$A$88,$BA$205^A76,IF(A76='Données projet'!$A$88,'Données projet'!$B$88,BD75+BC76-BL75)))</f>
        <v>426.80000000000041</v>
      </c>
      <c r="BE76" s="13">
        <f>BD76*VLOOKUP('Données projet'!$B$11,Paramètres!$A$1:$I$89,3,0)*VLOOKUP('Données projet'!$B$11,Paramètres!$A$1:$I$89,5,0)</f>
        <v>233.03280000000024</v>
      </c>
      <c r="BF76" s="13">
        <f t="shared" si="91"/>
        <v>56.937942998569035</v>
      </c>
      <c r="BG76" s="20">
        <f t="shared" si="61"/>
        <v>505.03237738917477</v>
      </c>
      <c r="BH76" s="59">
        <f t="shared" si="62"/>
        <v>798.36571072250808</v>
      </c>
      <c r="BI76" s="59">
        <f ca="1">AVERAGE(OFFSET($BH$3,0,0,'Données projet'!$E$11+1,1))-AVERAGE(OFFSET($H$3,0,0,'Données projet'!$E$11+1,1))</f>
        <v>248.1486444660062</v>
      </c>
      <c r="BJ76" s="59">
        <f t="shared" si="92"/>
        <v>293.34458072322127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3.6348916438595613</v>
      </c>
      <c r="BQ76" s="21">
        <f>EXP(-LN(2)/25)*BQ75+(1-EXP(-LN(2)/25))/(LN(2)/25)*Calculateur!BL76*Calculateur!BN76*VLOOKUP('Données projet'!$B$11,Paramètres!$A$1:$I$89,3,0)*0.475*44/12</f>
        <v>10.332112364628546</v>
      </c>
      <c r="BR76" s="21">
        <f>EXP(-LN(2)/2)*BR75+(1-EXP(-LN(2)/2))/(LN(2)/2)*BL76*BO76*VLOOKUP('Données projet'!$B$11,Paramètres!$A$1:$I$89,3,0)*0.475*44/12</f>
        <v>8.4908791888003976E-6</v>
      </c>
      <c r="BS76" s="22">
        <f t="shared" si="63"/>
        <v>13.967012499367296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243.38048563215585</v>
      </c>
      <c r="CE76" s="59">
        <f t="shared" si="94"/>
        <v>372.1604147006675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3.1189183628944637</v>
      </c>
      <c r="CL76" s="21">
        <f>EXP(-LN(2)/25)*CL75+(1-EXP(-LN(2)/25))/(LN(2)/25)*Calculateur!CG76*Calculateur!CI76*VLOOKUP('Données projet'!$B$12,Paramètres!$A$1:$I$89,3,0)*0.475*44/12</f>
        <v>5.8774404189821228</v>
      </c>
      <c r="CM76" s="21">
        <f>EXP(-LN(2)/2)*CM75+(1-EXP(-LN(2)/2))/(LN(2)/2)*CG76*CJ76*VLOOKUP('Données projet'!$B$12,Paramètres!$A$1:$I$89,3,0)*0.475*44/12</f>
        <v>9.8842584169857019E-6</v>
      </c>
      <c r="CN76" s="22">
        <f t="shared" si="66"/>
        <v>8.9963686661350035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14.7</v>
      </c>
      <c r="CT76" s="12">
        <f>IF('Données projet'!$A$140&gt;35,CT75+CS76-DB75,IF(A76&lt;'Données projet'!$A$140,$CQ$205^A76,IF(A76='Données projet'!$A$140,'Données projet'!$B$140,CT75+CS76-DB75)))</f>
        <v>650.10000000000048</v>
      </c>
      <c r="CU76" s="17">
        <f>CT76*VLOOKUP('Données projet'!$B$13,Paramètres!$A$1:$I$89,3,0)*VLOOKUP('Données projet'!$B$13,Paramètres!$A$1:$I$89,5,0)</f>
        <v>312.69810000000024</v>
      </c>
      <c r="CV76" s="13">
        <f t="shared" si="95"/>
        <v>73.832016335235011</v>
      </c>
      <c r="CW76" s="20">
        <f t="shared" si="67"/>
        <v>673.20661928386801</v>
      </c>
      <c r="CX76" s="59">
        <f t="shared" si="68"/>
        <v>966.53995261720138</v>
      </c>
      <c r="CY76" s="59">
        <f ca="1">AVERAGE(OFFSET($CX$3,0,0,'Données projet'!$E$13+1,1))-AVERAGE(OFFSET($H$3,0,0,'Données projet'!$E$13+1,1))</f>
        <v>297.21955661193238</v>
      </c>
      <c r="CZ76" s="59">
        <f t="shared" si="96"/>
        <v>273.69206144662144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2.8754147697781178</v>
      </c>
      <c r="DG76" s="21">
        <f>EXP(-LN(2)/25)*DG75+(1-EXP(-LN(2)/25))/(LN(2)/25)*Calculateur!DB76*Calculateur!DD76*VLOOKUP('Données projet'!$B$13,Paramètres!$A$1:$I$89,3,0)*0.475*44/12</f>
        <v>4.0745757485938068</v>
      </c>
      <c r="DH76" s="21">
        <f>EXP(-LN(2)/2)*DH75+(1-EXP(-LN(2)/2))/(LN(2)/2)*DB76*DE76*VLOOKUP('Données projet'!$B$13,Paramètres!$A$1:$I$89,3,0)*0.475*44/12</f>
        <v>7.0512633207269157E-6</v>
      </c>
      <c r="DI76" s="22">
        <f t="shared" si="69"/>
        <v>6.9499975696352454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250.37531999999973</v>
      </c>
      <c r="DQ76" s="13">
        <f t="shared" si="97"/>
        <v>60.666302963242082</v>
      </c>
      <c r="DR76" s="20">
        <f t="shared" si="70"/>
        <v>541.73082666097946</v>
      </c>
      <c r="DS76" s="59">
        <f t="shared" si="71"/>
        <v>835.06415999431283</v>
      </c>
      <c r="DT76" s="59">
        <f ca="1">AVERAGE(OFFSET($DS$3,0,0,'Données projet'!$E$14+1,1))-AVERAGE(OFFSET($H$3,0,0,'Données projet'!$E$14+1,1))</f>
        <v>260.20517190557814</v>
      </c>
      <c r="DU76" s="59">
        <f t="shared" si="98"/>
        <v>307.22009971147133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1.3924478618696714</v>
      </c>
      <c r="EB76" s="21">
        <f>EXP(-LN(2)/25)*EB75+(1-EXP(-LN(2)/25))/(LN(2)/25)*Calculateur!DW76*Calculateur!DY76*VLOOKUP('Données projet'!$B$14,Paramètres!$A$1:$I$89,3,0)*0.475*44/12</f>
        <v>6.2286991645667955</v>
      </c>
      <c r="EC76" s="21">
        <f>EXP(-LN(2)/2)*EC75+(1-EXP(-LN(2)/2))/(LN(2)/2)*DW76*DZ76*VLOOKUP('Données projet'!$B$14,Paramètres!$A$1:$I$89,3,0)*0.475*44/12</f>
        <v>8.1053562799932324E-6</v>
      </c>
      <c r="ED76" s="22">
        <f t="shared" si="72"/>
        <v>7.6211551317927473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8.1999999999999993</v>
      </c>
      <c r="EJ76" s="12">
        <f>IF('Données projet'!$A$192&gt;35,EJ75+EI76-ER75,IF(A76&lt;'Données projet'!$A$192,$EG$205^A76,IF(A76='Données projet'!$A$192,'Données projet'!$B$192,EJ75+EI76-ER75)))</f>
        <v>464.60000000000014</v>
      </c>
      <c r="EK76" s="17">
        <f>EJ76*VLOOKUP('Données projet'!$B$15,Paramètres!$A$1:$I$89,3,0)*VLOOKUP('Données projet'!$B$15,Paramètres!$A$1:$I$89,5,0)</f>
        <v>277.83080000000007</v>
      </c>
      <c r="EL76" s="13">
        <f t="shared" si="99"/>
        <v>66.508387274098368</v>
      </c>
      <c r="EM76" s="20">
        <f t="shared" si="73"/>
        <v>599.72408450238811</v>
      </c>
      <c r="EN76" s="59">
        <f t="shared" si="74"/>
        <v>893.05741783572148</v>
      </c>
      <c r="EO76" s="59">
        <f ca="1">AVERAGE(OFFSET($EN$3,0,0,'Données projet'!$E$15+1,1))-AVERAGE(OFFSET($H$3,0,0,'Données projet'!$E$15+1,1))</f>
        <v>259.30247982593914</v>
      </c>
      <c r="EP76" s="59">
        <f t="shared" si="100"/>
        <v>275.24740346220779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5.4738980434202524</v>
      </c>
      <c r="EX76" s="21">
        <f>EXP(-LN(2)/2)*EX75+(1-EXP(-LN(2)/2))/(LN(2)/2)*ER76*EU76*VLOOKUP('Données projet'!$B$15,Paramètres!$A$1:$I$89,3,0)*0.475*44/12</f>
        <v>9.6703314558102326E-6</v>
      </c>
      <c r="EY76" s="22">
        <f t="shared" si="75"/>
        <v>5.473907713751708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7.4</v>
      </c>
      <c r="FE76" s="12">
        <f>IF('Données projet'!$A$218&gt;35,FE75+FD76-FM75,IF(A76&lt;'Données projet'!$A$218,$FB$205^A76,IF(A76='Données projet'!$A$218,'Données projet'!$B$218,FE75+FD76-FM75)))</f>
        <v>296.19999999999993</v>
      </c>
      <c r="FF76" s="17">
        <f>FE76*VLOOKUP('Données projet'!$B$16,Paramètres!$A$1:$I$89,3,0)*VLOOKUP('Données projet'!$B$16,Paramètres!$A$1:$I$89,5,0)</f>
        <v>300.34679999999997</v>
      </c>
      <c r="FG76" s="13">
        <f t="shared" si="101"/>
        <v>71.249161187153362</v>
      </c>
      <c r="FH76" s="20">
        <f t="shared" si="76"/>
        <v>647.19629906762532</v>
      </c>
      <c r="FI76" s="59">
        <f t="shared" si="77"/>
        <v>940.52963240095869</v>
      </c>
      <c r="FJ76" s="59">
        <f ca="1">AVERAGE(OFFSET($FI$3,0,0,'Données projet'!$E$16+1,1))-AVERAGE(OFFSET($H$3,0,0,'Données projet'!$E$16+1,1))</f>
        <v>372.91317851957336</v>
      </c>
      <c r="FK76" s="59">
        <f t="shared" si="102"/>
        <v>269.69187715858413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1.1518732590235234</v>
      </c>
      <c r="FR76" s="21">
        <f>EXP(-LN(2)/25)*FR75+(1-EXP(-LN(2)/25))/(LN(2)/25)*Calculateur!FM76*Calculateur!FO76*VLOOKUP('Données projet'!$B$16,Paramètres!$A$1:$I$89,3,0)*0.475*44/12</f>
        <v>4.6113670112498246</v>
      </c>
      <c r="FS76" s="21">
        <f>EXP(-LN(2)/2)*FS75+(1-EXP(-LN(2)/2))/(LN(2)/2)*FM76*FP76*VLOOKUP('Données projet'!$B$16,Paramètres!$A$1:$I$89,3,0)*0.475*44/12</f>
        <v>8.2148886455677265E-6</v>
      </c>
      <c r="FT76" s="22">
        <f t="shared" si="78"/>
        <v>5.7632484851619941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17</v>
      </c>
      <c r="FZ76" s="12">
        <f>IF('Données projet'!$A$244&gt;35,FZ75+FY76-GH75,IF(A76&lt;'Données projet'!$A$244,$FW$205^A76,IF(A76='Données projet'!$A$244,'Données projet'!$B$244,FZ75+FY76-GH75)))</f>
        <v>413.99999999999989</v>
      </c>
      <c r="GA76" s="17">
        <f>FZ76*VLOOKUP('Données projet'!$B$17,Paramètres!$A$1:$I$89,3,0)*VLOOKUP('Données projet'!$B$17,Paramètres!$A$1:$I$89,5,0)</f>
        <v>193.75199999999995</v>
      </c>
      <c r="GB76" s="13">
        <f t="shared" si="103"/>
        <v>48.36852035537607</v>
      </c>
      <c r="GC76" s="20">
        <f t="shared" si="79"/>
        <v>421.69323961894656</v>
      </c>
      <c r="GD76" s="59">
        <f t="shared" si="80"/>
        <v>715.02657295227982</v>
      </c>
      <c r="GE76" s="59">
        <f ca="1">AVERAGE(OFFSET($GD$3,0,0,'Données projet'!$E$17+1,1))-AVERAGE(OFFSET($H$3,0,0,'Données projet'!$E$17+1,1))</f>
        <v>215.23235148064941</v>
      </c>
      <c r="GF76" s="59">
        <f t="shared" si="104"/>
        <v>184.07239726900434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1.33765072229205</v>
      </c>
      <c r="GM76" s="21">
        <f>EXP(-LN(2)/25)*GM75+(1-EXP(-LN(2)/25))/(LN(2)/25)*Calculateur!GH76*Calculateur!GJ76*VLOOKUP('Données projet'!$B$17,Paramètres!$A$1:$I$89,3,0)*0.475*44/12</f>
        <v>2.3845161582915546</v>
      </c>
      <c r="GN76" s="21">
        <f>EXP(-LN(2)/2)*GN75+(1-EXP(-LN(2)/2))/(LN(2)/2)*GH76*GK76*VLOOKUP('Données projet'!$B$17,Paramètres!$A$1:$I$89,3,0)*0.475*44/12</f>
        <v>3.3151620211792836E-6</v>
      </c>
      <c r="GO76" s="21">
        <f t="shared" si="81"/>
        <v>3.7221701957456261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-1.1368683772161603E-13</v>
      </c>
      <c r="GV76" s="17">
        <f>GU76*VLOOKUP('Données projet'!$B$18,Paramètres!$A$1:$I$89,3,0)*VLOOKUP('Données projet'!$B$18,Paramètres!$A$1:$I$89,5,0)</f>
        <v>-6.7984728957526396E-14</v>
      </c>
      <c r="GW76" s="13" t="e">
        <f t="shared" si="105"/>
        <v>#NUM!</v>
      </c>
      <c r="GX76" s="20" t="e">
        <f t="shared" si="82"/>
        <v>#NUM!</v>
      </c>
      <c r="GY76" s="59" t="e">
        <f t="shared" si="83"/>
        <v>#NUM!</v>
      </c>
      <c r="GZ76" s="59">
        <f ca="1">AVERAGE(OFFSET($GY$3,0,0,'Données projet'!$E$18+1,1))-AVERAGE(OFFSET($H$3,0,0,'Données projet'!$E$18+1,1))</f>
        <v>227.89848316900191</v>
      </c>
      <c r="HA76" s="59">
        <f t="shared" si="106"/>
        <v>239.85955661394541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3.3891860269764229</v>
      </c>
      <c r="HH76" s="21">
        <f>EXP(-LN(2)/25)*HH75+(1-EXP(-LN(2)/25))/(LN(2)/25)*Calculateur!HC76*Calculateur!HE76*VLOOKUP('Données projet'!$B$18,Paramètres!$A$1:$I$89,3,0)*0.475*44/12</f>
        <v>5.203911056936497</v>
      </c>
      <c r="HI76" s="21">
        <f>EXP(-LN(2)/2)*HI75+(1-EXP(-LN(2)/2))/(LN(2)/2)*HC76*HF76*VLOOKUP('Données projet'!$B$18,Paramètres!$A$1:$I$89,3,0)*0.475*44/12</f>
        <v>2.2602750007282003E-6</v>
      </c>
      <c r="HJ76" s="22">
        <f t="shared" si="84"/>
        <v>8.5930993441879195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11.7</v>
      </c>
      <c r="N77" s="13">
        <f>IF('Données projet'!$A$36&gt;35,N76+M77-V76,IF(A77&lt;'Données projet'!$A$36,$K$205^A77,IF(A77='Données projet'!$A$36,'Données projet'!$B$36,N76+M77-V76)))</f>
        <v>648.80000000000018</v>
      </c>
      <c r="O77" s="13">
        <f>N77*VLOOKUP('Données projet'!$B$9,Paramètres!$A$1:$I$89,3,0)*VLOOKUP('Données projet'!$B$9,Paramètres!$A$1:$I$89,5,0)</f>
        <v>362.67920000000015</v>
      </c>
      <c r="P77" s="13">
        <f t="shared" si="87"/>
        <v>84.167858525526952</v>
      </c>
      <c r="Q77" s="20">
        <f t="shared" si="54"/>
        <v>778.25862693195984</v>
      </c>
      <c r="R77" s="59">
        <f t="shared" si="55"/>
        <v>1071.5919602652932</v>
      </c>
      <c r="S77" s="59">
        <f ca="1">AVERAGE(OFFSET($R$3,0,0,'Données projet'!$E$9+1,1))-AVERAGE(OFFSET($H$3,0,0,'Données projet'!$E$9+1,1))</f>
        <v>370.69652285220093</v>
      </c>
      <c r="T77" s="59">
        <f t="shared" si="88"/>
        <v>376.53494965377718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4.2999725758365877</v>
      </c>
      <c r="AA77" s="21">
        <f>EXP(-LN(2)/25)*AA76+(1-EXP(-LN(2)/25))/(LN(2)/25)*Calculateur!V77*Calculateur!X77*VLOOKUP('Données projet'!$B$9,Paramètres!$A$1:$I$89,3,0)*0.475*44/12</f>
        <v>9.8629594258219218</v>
      </c>
      <c r="AB77" s="21">
        <f>EXP(-LN(2)/2)*AB76+(1-EXP(-LN(2)/2))/(LN(2)/2)*V77*Y77*VLOOKUP('Données projet'!$B$9,Paramètres!$A$1:$I$89,3,0)*0.475*44/12</f>
        <v>7.8033839562852616E-6</v>
      </c>
      <c r="AC77" s="22">
        <f t="shared" si="57"/>
        <v>14.162939805042466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274.69727999999992</v>
      </c>
      <c r="AK77" s="13">
        <f t="shared" si="89"/>
        <v>65.845147763387502</v>
      </c>
      <c r="AL77" s="20">
        <f t="shared" si="58"/>
        <v>593.11139502123308</v>
      </c>
      <c r="AM77" s="59">
        <f t="shared" si="59"/>
        <v>886.44472835456645</v>
      </c>
      <c r="AN77" s="59">
        <f ca="1">AVERAGE(OFFSET($AM$3,0,0,'Données projet'!$E$10+1,1))-AVERAGE(OFFSET($H$3,0,0,'Données projet'!$E$10+1,1))</f>
        <v>321.03881567735544</v>
      </c>
      <c r="AO77" s="59">
        <f t="shared" si="90"/>
        <v>234.87694492493506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1.0076703410041297</v>
      </c>
      <c r="AV77" s="21">
        <f>EXP(-LN(2)/25)*AV76+(1-EXP(-LN(2)/25))/(LN(2)/25)*Calculateur!AQ77*Calculateur!AS77*VLOOKUP('Données projet'!$B$10,Paramètres!$A$1:$I$89,3,0)*0.475*44/12</f>
        <v>4.002239975290844</v>
      </c>
      <c r="AW77" s="21">
        <f>EXP(-LN(2)/2)*AW76+(1-EXP(-LN(2)/2))/(LN(2)/2)*AQ77*AT77*VLOOKUP('Données projet'!$B$10,Paramètres!$A$1:$I$89,3,0)*0.475*44/12</f>
        <v>5.1832400175761903E-6</v>
      </c>
      <c r="AX77" s="21">
        <f t="shared" si="60"/>
        <v>5.0099154995349915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8.6</v>
      </c>
      <c r="BD77" s="12">
        <f>IF('Données projet'!$A$88&gt;35,BD76+BC77-BL76,IF(A77&lt;'Données projet'!$A$88,$BA$205^A77,IF(A77='Données projet'!$A$88,'Données projet'!$B$88,BD76+BC77-BL76)))</f>
        <v>435.40000000000043</v>
      </c>
      <c r="BE77" s="13">
        <f>BD77*VLOOKUP('Données projet'!$B$11,Paramètres!$A$1:$I$89,3,0)*VLOOKUP('Données projet'!$B$11,Paramètres!$A$1:$I$89,5,0)</f>
        <v>237.72840000000022</v>
      </c>
      <c r="BF77" s="13">
        <f t="shared" si="91"/>
        <v>57.950514491302194</v>
      </c>
      <c r="BG77" s="20">
        <f t="shared" si="61"/>
        <v>514.974109405685</v>
      </c>
      <c r="BH77" s="59">
        <f t="shared" si="62"/>
        <v>808.30744273901837</v>
      </c>
      <c r="BI77" s="59">
        <f ca="1">AVERAGE(OFFSET($BH$3,0,0,'Données projet'!$E$11+1,1))-AVERAGE(OFFSET($H$3,0,0,'Données projet'!$E$11+1,1))</f>
        <v>248.1486444660062</v>
      </c>
      <c r="BJ77" s="59">
        <f t="shared" si="92"/>
        <v>293.34458072322127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3.5636136357884611</v>
      </c>
      <c r="BQ77" s="21">
        <f>EXP(-LN(2)/25)*BQ76+(1-EXP(-LN(2)/25))/(LN(2)/25)*Calculateur!BL77*Calculateur!BN77*VLOOKUP('Données projet'!$B$11,Paramètres!$A$1:$I$89,3,0)*0.475*44/12</f>
        <v>10.049580208675604</v>
      </c>
      <c r="BR77" s="21">
        <f>EXP(-LN(2)/2)*BR76+(1-EXP(-LN(2)/2))/(LN(2)/2)*BL77*BO77*VLOOKUP('Données projet'!$B$11,Paramètres!$A$1:$I$89,3,0)*0.475*44/12</f>
        <v>6.003958252636493E-6</v>
      </c>
      <c r="BS77" s="22">
        <f t="shared" si="63"/>
        <v>13.613199848422317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243.38048563215585</v>
      </c>
      <c r="CE77" s="59">
        <f t="shared" si="94"/>
        <v>372.1604147006675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3.0577582761504627</v>
      </c>
      <c r="CL77" s="21">
        <f>EXP(-LN(2)/25)*CL76+(1-EXP(-LN(2)/25))/(LN(2)/25)*Calculateur!CG77*Calculateur!CI77*VLOOKUP('Données projet'!$B$12,Paramètres!$A$1:$I$89,3,0)*0.475*44/12</f>
        <v>5.7167215016438977</v>
      </c>
      <c r="CM77" s="21">
        <f>EXP(-LN(2)/2)*CM76+(1-EXP(-LN(2)/2))/(LN(2)/2)*CG77*CJ77*VLOOKUP('Données projet'!$B$12,Paramètres!$A$1:$I$89,3,0)*0.475*44/12</f>
        <v>6.9892261536507994E-6</v>
      </c>
      <c r="CN77" s="22">
        <f t="shared" si="66"/>
        <v>8.7744867670205142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14.7</v>
      </c>
      <c r="CT77" s="12">
        <f>IF('Données projet'!$A$140&gt;35,CT76+CS77-DB76,IF(A77&lt;'Données projet'!$A$140,$CQ$205^A77,IF(A77='Données projet'!$A$140,'Données projet'!$B$140,CT76+CS77-DB76)))</f>
        <v>664.80000000000052</v>
      </c>
      <c r="CU77" s="17">
        <f>CT77*VLOOKUP('Données projet'!$B$13,Paramètres!$A$1:$I$89,3,0)*VLOOKUP('Données projet'!$B$13,Paramètres!$A$1:$I$89,5,0)</f>
        <v>319.76880000000028</v>
      </c>
      <c r="CV77" s="13">
        <f t="shared" si="95"/>
        <v>75.305245983134625</v>
      </c>
      <c r="CW77" s="20">
        <f t="shared" si="67"/>
        <v>688.08729675395989</v>
      </c>
      <c r="CX77" s="59">
        <f t="shared" si="68"/>
        <v>981.42063008729315</v>
      </c>
      <c r="CY77" s="59">
        <f ca="1">AVERAGE(OFFSET($CX$3,0,0,'Données projet'!$E$13+1,1))-AVERAGE(OFFSET($H$3,0,0,'Données projet'!$E$13+1,1))</f>
        <v>297.21955661193238</v>
      </c>
      <c r="CZ77" s="59">
        <f t="shared" si="96"/>
        <v>273.69206144662144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2.819029639972602</v>
      </c>
      <c r="DG77" s="21">
        <f>EXP(-LN(2)/25)*DG76+(1-EXP(-LN(2)/25))/(LN(2)/25)*Calculateur!DB77*Calculateur!DD77*VLOOKUP('Données projet'!$B$13,Paramètres!$A$1:$I$89,3,0)*0.475*44/12</f>
        <v>3.9631562604758832</v>
      </c>
      <c r="DH77" s="21">
        <f>EXP(-LN(2)/2)*DH76+(1-EXP(-LN(2)/2))/(LN(2)/2)*DB77*DE77*VLOOKUP('Données projet'!$B$13,Paramètres!$A$1:$I$89,3,0)*0.475*44/12</f>
        <v>4.9859961100179756E-6</v>
      </c>
      <c r="DI77" s="22">
        <f t="shared" si="69"/>
        <v>6.7821908864445959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253.47815999999972</v>
      </c>
      <c r="DQ77" s="13">
        <f t="shared" si="97"/>
        <v>61.330136494642396</v>
      </c>
      <c r="DR77" s="20">
        <f t="shared" si="70"/>
        <v>548.29111639483494</v>
      </c>
      <c r="DS77" s="59">
        <f t="shared" si="71"/>
        <v>841.6244497281682</v>
      </c>
      <c r="DT77" s="59">
        <f ca="1">AVERAGE(OFFSET($DS$3,0,0,'Données projet'!$E$14+1,1))-AVERAGE(OFFSET($H$3,0,0,'Données projet'!$E$14+1,1))</f>
        <v>260.20517190557814</v>
      </c>
      <c r="DU77" s="59">
        <f t="shared" si="98"/>
        <v>307.22009971147133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1.3651428086077406</v>
      </c>
      <c r="EB77" s="21">
        <f>EXP(-LN(2)/25)*EB76+(1-EXP(-LN(2)/25))/(LN(2)/25)*Calculateur!DW77*Calculateur!DY77*VLOOKUP('Données projet'!$B$14,Paramètres!$A$1:$I$89,3,0)*0.475*44/12</f>
        <v>6.0583750583586635</v>
      </c>
      <c r="EC77" s="21">
        <f>EXP(-LN(2)/2)*EC76+(1-EXP(-LN(2)/2))/(LN(2)/2)*DW77*DZ77*VLOOKUP('Données projet'!$B$14,Paramètres!$A$1:$I$89,3,0)*0.475*44/12</f>
        <v>5.7313523895161834E-6</v>
      </c>
      <c r="ED77" s="22">
        <f t="shared" si="72"/>
        <v>7.423523598318793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8.1999999999999993</v>
      </c>
      <c r="EJ77" s="12">
        <f>IF('Données projet'!$A$192&gt;35,EJ76+EI77-ER76,IF(A77&lt;'Données projet'!$A$192,$EG$205^A77,IF(A77='Données projet'!$A$192,'Données projet'!$B$192,EJ76+EI77-ER76)))</f>
        <v>472.80000000000013</v>
      </c>
      <c r="EK77" s="17">
        <f>EJ77*VLOOKUP('Données projet'!$B$15,Paramètres!$A$1:$I$89,3,0)*VLOOKUP('Données projet'!$B$15,Paramètres!$A$1:$I$89,5,0)</f>
        <v>282.73440000000011</v>
      </c>
      <c r="EL77" s="13">
        <f t="shared" si="99"/>
        <v>67.544538959620354</v>
      </c>
      <c r="EM77" s="20">
        <f t="shared" si="73"/>
        <v>610.06915202133894</v>
      </c>
      <c r="EN77" s="59">
        <f t="shared" si="74"/>
        <v>903.40248535467231</v>
      </c>
      <c r="EO77" s="59">
        <f ca="1">AVERAGE(OFFSET($EN$3,0,0,'Données projet'!$E$15+1,1))-AVERAGE(OFFSET($H$3,0,0,'Données projet'!$E$15+1,1))</f>
        <v>259.30247982593914</v>
      </c>
      <c r="EP77" s="59">
        <f t="shared" si="100"/>
        <v>275.24740346220779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5.3242140135631386</v>
      </c>
      <c r="EX77" s="21">
        <f>EXP(-LN(2)/2)*EX76+(1-EXP(-LN(2)/2))/(LN(2)/2)*ER77*EU77*VLOOKUP('Données projet'!$B$15,Paramètres!$A$1:$I$89,3,0)*0.475*44/12</f>
        <v>6.8379569487249938E-6</v>
      </c>
      <c r="EY77" s="22">
        <f t="shared" si="75"/>
        <v>5.3242208515200877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7.4</v>
      </c>
      <c r="FE77" s="12">
        <f>IF('Données projet'!$A$218&gt;35,FE76+FD77-FM76,IF(A77&lt;'Données projet'!$A$218,$FB$205^A77,IF(A77='Données projet'!$A$218,'Données projet'!$B$218,FE76+FD77-FM76)))</f>
        <v>303.59999999999991</v>
      </c>
      <c r="FF77" s="17">
        <f>FE77*VLOOKUP('Données projet'!$B$16,Paramètres!$A$1:$I$89,3,0)*VLOOKUP('Données projet'!$B$16,Paramètres!$A$1:$I$89,5,0)</f>
        <v>307.85039999999992</v>
      </c>
      <c r="FG77" s="13">
        <f t="shared" si="101"/>
        <v>72.819726494623794</v>
      </c>
      <c r="FH77" s="20">
        <f t="shared" si="76"/>
        <v>663.0004703114696</v>
      </c>
      <c r="FI77" s="59">
        <f t="shared" si="77"/>
        <v>956.33380364480286</v>
      </c>
      <c r="FJ77" s="59">
        <f ca="1">AVERAGE(OFFSET($FI$3,0,0,'Données projet'!$E$16+1,1))-AVERAGE(OFFSET($H$3,0,0,'Données projet'!$E$16+1,1))</f>
        <v>372.91317851957336</v>
      </c>
      <c r="FK77" s="59">
        <f t="shared" si="102"/>
        <v>269.69187715858413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1.1292857269873868</v>
      </c>
      <c r="FR77" s="21">
        <f>EXP(-LN(2)/25)*FR76+(1-EXP(-LN(2)/25))/(LN(2)/25)*Calculateur!FM77*Calculateur!FO77*VLOOKUP('Données projet'!$B$16,Paramètres!$A$1:$I$89,3,0)*0.475*44/12</f>
        <v>4.4852689378259463</v>
      </c>
      <c r="FS77" s="21">
        <f>EXP(-LN(2)/2)*FS76+(1-EXP(-LN(2)/2))/(LN(2)/2)*FM77*FP77*VLOOKUP('Données projet'!$B$16,Paramètres!$A$1:$I$89,3,0)*0.475*44/12</f>
        <v>5.8088034679733122E-6</v>
      </c>
      <c r="FT77" s="22">
        <f t="shared" si="78"/>
        <v>5.6145604736168009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17</v>
      </c>
      <c r="FZ77" s="12">
        <f>IF('Données projet'!$A$244&gt;35,FZ76+FY77-GH76,IF(A77&lt;'Données projet'!$A$244,$FW$205^A77,IF(A77='Données projet'!$A$244,'Données projet'!$B$244,FZ76+FY77-GH76)))</f>
        <v>430.99999999999989</v>
      </c>
      <c r="GA77" s="17">
        <f>FZ77*VLOOKUP('Données projet'!$B$17,Paramètres!$A$1:$I$89,3,0)*VLOOKUP('Données projet'!$B$17,Paramètres!$A$1:$I$89,5,0)</f>
        <v>201.70799999999994</v>
      </c>
      <c r="GB77" s="13">
        <f t="shared" si="103"/>
        <v>50.119348451854243</v>
      </c>
      <c r="GC77" s="20">
        <f t="shared" si="79"/>
        <v>438.59929855364607</v>
      </c>
      <c r="GD77" s="59">
        <f t="shared" si="80"/>
        <v>731.93263188697938</v>
      </c>
      <c r="GE77" s="59">
        <f ca="1">AVERAGE(OFFSET($GD$3,0,0,'Données projet'!$E$17+1,1))-AVERAGE(OFFSET($H$3,0,0,'Données projet'!$E$17+1,1))</f>
        <v>215.23235148064941</v>
      </c>
      <c r="GF77" s="59">
        <f t="shared" si="104"/>
        <v>184.07239726900434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1.3114202075142813</v>
      </c>
      <c r="GM77" s="21">
        <f>EXP(-LN(2)/25)*GM76+(1-EXP(-LN(2)/25))/(LN(2)/25)*Calculateur!GH77*Calculateur!GJ77*VLOOKUP('Données projet'!$B$17,Paramètres!$A$1:$I$89,3,0)*0.475*44/12</f>
        <v>2.319311438546817</v>
      </c>
      <c r="GN77" s="21">
        <f>EXP(-LN(2)/2)*GN76+(1-EXP(-LN(2)/2))/(LN(2)/2)*GH77*GK77*VLOOKUP('Données projet'!$B$17,Paramètres!$A$1:$I$89,3,0)*0.475*44/12</f>
        <v>2.3441735459079723E-6</v>
      </c>
      <c r="GO77" s="21">
        <f t="shared" si="81"/>
        <v>3.6307339902346443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-1.1368683772161603E-13</v>
      </c>
      <c r="GV77" s="17">
        <f>GU77*VLOOKUP('Données projet'!$B$18,Paramètres!$A$1:$I$89,3,0)*VLOOKUP('Données projet'!$B$18,Paramètres!$A$1:$I$89,5,0)</f>
        <v>-6.7984728957526396E-14</v>
      </c>
      <c r="GW77" s="13" t="e">
        <f t="shared" si="105"/>
        <v>#NUM!</v>
      </c>
      <c r="GX77" s="20" t="e">
        <f t="shared" si="82"/>
        <v>#NUM!</v>
      </c>
      <c r="GY77" s="59" t="e">
        <f t="shared" si="83"/>
        <v>#NUM!</v>
      </c>
      <c r="GZ77" s="59">
        <f ca="1">AVERAGE(OFFSET($GY$3,0,0,'Données projet'!$E$18+1,1))-AVERAGE(OFFSET($H$3,0,0,'Données projet'!$E$18+1,1))</f>
        <v>227.89848316900191</v>
      </c>
      <c r="HA77" s="59">
        <f t="shared" si="106"/>
        <v>239.85955661394541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3.3227261561867727</v>
      </c>
      <c r="HH77" s="21">
        <f>EXP(-LN(2)/25)*HH76+(1-EXP(-LN(2)/25))/(LN(2)/25)*Calculateur!HC77*Calculateur!HE77*VLOOKUP('Données projet'!$B$18,Paramètres!$A$1:$I$89,3,0)*0.475*44/12</f>
        <v>5.0616098354227796</v>
      </c>
      <c r="HI77" s="21">
        <f>EXP(-LN(2)/2)*HI76+(1-EXP(-LN(2)/2))/(LN(2)/2)*HC77*HF77*VLOOKUP('Données projet'!$B$18,Paramètres!$A$1:$I$89,3,0)*0.475*44/12</f>
        <v>1.5982557803613391E-6</v>
      </c>
      <c r="HJ77" s="22">
        <f t="shared" si="84"/>
        <v>8.3843375898653321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11.7</v>
      </c>
      <c r="N78" s="13">
        <f>IF('Données projet'!$A$36&gt;35,N77+M78-V77,IF(A78&lt;'Données projet'!$A$36,$K$205^A78,IF(A78='Données projet'!$A$36,'Données projet'!$B$36,N77+M78-V77)))</f>
        <v>660.50000000000023</v>
      </c>
      <c r="O78" s="13">
        <f>N78*VLOOKUP('Données projet'!$B$9,Paramètres!$A$1:$I$89,3,0)*VLOOKUP('Données projet'!$B$9,Paramètres!$A$1:$I$89,5,0)</f>
        <v>369.21950000000015</v>
      </c>
      <c r="P78" s="13">
        <f t="shared" si="87"/>
        <v>85.507609219700839</v>
      </c>
      <c r="Q78" s="20">
        <f t="shared" si="54"/>
        <v>791.98304855764582</v>
      </c>
      <c r="R78" s="59">
        <f t="shared" si="55"/>
        <v>1085.3163818909791</v>
      </c>
      <c r="S78" s="59">
        <f ca="1">AVERAGE(OFFSET($R$3,0,0,'Données projet'!$E$9+1,1))-AVERAGE(OFFSET($H$3,0,0,'Données projet'!$E$9+1,1))</f>
        <v>370.69652285220093</v>
      </c>
      <c r="T78" s="59">
        <f t="shared" si="88"/>
        <v>376.53494965377718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4.2156527363487308</v>
      </c>
      <c r="AA78" s="21">
        <f>EXP(-LN(2)/25)*AA77+(1-EXP(-LN(2)/25))/(LN(2)/25)*Calculateur!V78*Calculateur!X78*VLOOKUP('Données projet'!$B$9,Paramètres!$A$1:$I$89,3,0)*0.475*44/12</f>
        <v>9.5932562816523266</v>
      </c>
      <c r="AB78" s="21">
        <f>EXP(-LN(2)/2)*AB77+(1-EXP(-LN(2)/2))/(LN(2)/2)*V78*Y78*VLOOKUP('Données projet'!$B$9,Paramètres!$A$1:$I$89,3,0)*0.475*44/12</f>
        <v>5.5178257116916182E-6</v>
      </c>
      <c r="AC78" s="22">
        <f t="shared" si="57"/>
        <v>13.808914535826768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281.39279999999985</v>
      </c>
      <c r="AK78" s="13">
        <f t="shared" si="89"/>
        <v>67.261262504634658</v>
      </c>
      <c r="AL78" s="20">
        <f t="shared" si="58"/>
        <v>607.23915886223847</v>
      </c>
      <c r="AM78" s="59">
        <f t="shared" si="59"/>
        <v>900.57249219557184</v>
      </c>
      <c r="AN78" s="59">
        <f ca="1">AVERAGE(OFFSET($AM$3,0,0,'Données projet'!$E$10+1,1))-AVERAGE(OFFSET($H$3,0,0,'Données projet'!$E$10+1,1))</f>
        <v>321.03881567735544</v>
      </c>
      <c r="AO78" s="59">
        <f t="shared" si="90"/>
        <v>234.87694492493506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0.98791054023525815</v>
      </c>
      <c r="AV78" s="21">
        <f>EXP(-LN(2)/25)*AV77+(1-EXP(-LN(2)/25))/(LN(2)/25)*Calculateur!AQ78*Calculateur!AS78*VLOOKUP('Données projet'!$B$10,Paramètres!$A$1:$I$89,3,0)*0.475*44/12</f>
        <v>3.8927985126978628</v>
      </c>
      <c r="AW78" s="21">
        <f>EXP(-LN(2)/2)*AW77+(1-EXP(-LN(2)/2))/(LN(2)/2)*AQ78*AT78*VLOOKUP('Données projet'!$B$10,Paramètres!$A$1:$I$89,3,0)*0.475*44/12</f>
        <v>3.665104164945604E-6</v>
      </c>
      <c r="AX78" s="21">
        <f t="shared" si="60"/>
        <v>4.8807127180372856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</v>
      </c>
      <c r="BD78" s="12">
        <f>IF('Données projet'!$A$88&gt;35,BD77+BC78-BL77,IF(A78&lt;'Données projet'!$A$88,$BA$205^A78,IF(A78='Données projet'!$A$88,'Données projet'!$B$88,BD77+BC78-BL77)))</f>
        <v>444.00000000000045</v>
      </c>
      <c r="BE78" s="13">
        <f>BD78*VLOOKUP('Données projet'!$B$11,Paramètres!$A$1:$I$89,3,0)*VLOOKUP('Données projet'!$B$11,Paramètres!$A$1:$I$89,5,0)</f>
        <v>242.42400000000026</v>
      </c>
      <c r="BF78" s="13">
        <f t="shared" si="91"/>
        <v>58.960760467659817</v>
      </c>
      <c r="BG78" s="20">
        <f t="shared" si="61"/>
        <v>524.91179114784131</v>
      </c>
      <c r="BH78" s="59">
        <f t="shared" si="62"/>
        <v>818.24512448117457</v>
      </c>
      <c r="BI78" s="59">
        <f ca="1">AVERAGE(OFFSET($BH$3,0,0,'Données projet'!$E$11+1,1))-AVERAGE(OFFSET($H$3,0,0,'Données projet'!$E$11+1,1))</f>
        <v>248.1486444660062</v>
      </c>
      <c r="BJ78" s="59">
        <f t="shared" si="92"/>
        <v>293.34458072322127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3.4937333459803432</v>
      </c>
      <c r="BQ78" s="21">
        <f>EXP(-LN(2)/25)*BQ77+(1-EXP(-LN(2)/25))/(LN(2)/25)*Calculateur!BL78*Calculateur!BN78*VLOOKUP('Données projet'!$B$11,Paramètres!$A$1:$I$89,3,0)*0.475*44/12</f>
        <v>9.7747739093849155</v>
      </c>
      <c r="BR78" s="21">
        <f>EXP(-LN(2)/2)*BR77+(1-EXP(-LN(2)/2))/(LN(2)/2)*BL78*BO78*VLOOKUP('Données projet'!$B$11,Paramètres!$A$1:$I$89,3,0)*0.475*44/12</f>
        <v>4.2454395944001988E-6</v>
      </c>
      <c r="BS78" s="22">
        <f t="shared" si="63"/>
        <v>13.268511500804854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243.38048563215585</v>
      </c>
      <c r="CE78" s="59">
        <f t="shared" si="94"/>
        <v>372.1604147006675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2.9977975014035425</v>
      </c>
      <c r="CL78" s="21">
        <f>EXP(-LN(2)/25)*CL77+(1-EXP(-LN(2)/25))/(LN(2)/25)*Calculateur!CG78*Calculateur!CI78*VLOOKUP('Données projet'!$B$12,Paramètres!$A$1:$I$89,3,0)*0.475*44/12</f>
        <v>5.5603974515521273</v>
      </c>
      <c r="CM78" s="21">
        <f>EXP(-LN(2)/2)*CM77+(1-EXP(-LN(2)/2))/(LN(2)/2)*CG78*CJ78*VLOOKUP('Données projet'!$B$12,Paramètres!$A$1:$I$89,3,0)*0.475*44/12</f>
        <v>4.9421292084928509E-6</v>
      </c>
      <c r="CN78" s="22">
        <f t="shared" si="66"/>
        <v>8.5581998950848792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14.7</v>
      </c>
      <c r="CT78" s="12">
        <f>IF('Données projet'!$A$140&gt;35,CT77+CS78-DB77,IF(A78&lt;'Données projet'!$A$140,$CQ$205^A78,IF(A78='Données projet'!$A$140,'Données projet'!$B$140,CT77+CS78-DB77)))</f>
        <v>679.50000000000057</v>
      </c>
      <c r="CU78" s="17">
        <f>CT78*VLOOKUP('Données projet'!$B$13,Paramètres!$A$1:$I$89,3,0)*VLOOKUP('Données projet'!$B$13,Paramètres!$A$1:$I$89,5,0)</f>
        <v>326.83950000000027</v>
      </c>
      <c r="CV78" s="13">
        <f t="shared" si="95"/>
        <v>76.774688342587709</v>
      </c>
      <c r="CW78" s="20">
        <f t="shared" si="67"/>
        <v>702.96137803000727</v>
      </c>
      <c r="CX78" s="59">
        <f t="shared" si="68"/>
        <v>996.29471136334064</v>
      </c>
      <c r="CY78" s="59">
        <f ca="1">AVERAGE(OFFSET($CX$3,0,0,'Données projet'!$E$13+1,1))-AVERAGE(OFFSET($H$3,0,0,'Données projet'!$E$13+1,1))</f>
        <v>297.21955661193238</v>
      </c>
      <c r="CZ78" s="59">
        <f t="shared" si="96"/>
        <v>273.69206144662144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2.7637501881710391</v>
      </c>
      <c r="DG78" s="21">
        <f>EXP(-LN(2)/25)*DG77+(1-EXP(-LN(2)/25))/(LN(2)/25)*Calculateur!DB78*Calculateur!DD78*VLOOKUP('Données projet'!$B$13,Paramètres!$A$1:$I$89,3,0)*0.475*44/12</f>
        <v>3.8547835441198401</v>
      </c>
      <c r="DH78" s="21">
        <f>EXP(-LN(2)/2)*DH77+(1-EXP(-LN(2)/2))/(LN(2)/2)*DB78*DE78*VLOOKUP('Données projet'!$B$13,Paramètres!$A$1:$I$89,3,0)*0.475*44/12</f>
        <v>3.5256316603634579E-6</v>
      </c>
      <c r="DI78" s="22">
        <f t="shared" si="69"/>
        <v>6.6185372579225401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256.58099999999968</v>
      </c>
      <c r="DQ78" s="13">
        <f t="shared" si="97"/>
        <v>61.993024805604399</v>
      </c>
      <c r="DR78" s="20">
        <f t="shared" si="70"/>
        <v>554.84975986976053</v>
      </c>
      <c r="DS78" s="59">
        <f t="shared" si="71"/>
        <v>848.1830932030939</v>
      </c>
      <c r="DT78" s="59">
        <f ca="1">AVERAGE(OFFSET($DS$3,0,0,'Données projet'!$E$14+1,1))-AVERAGE(OFFSET($H$3,0,0,'Données projet'!$E$14+1,1))</f>
        <v>260.20517190557814</v>
      </c>
      <c r="DU78" s="59">
        <f t="shared" si="98"/>
        <v>307.22009971147133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1.3383731907858383</v>
      </c>
      <c r="EB78" s="21">
        <f>EXP(-LN(2)/25)*EB77+(1-EXP(-LN(2)/25))/(LN(2)/25)*Calculateur!DW78*Calculateur!DY78*VLOOKUP('Données projet'!$B$14,Paramètres!$A$1:$I$89,3,0)*0.475*44/12</f>
        <v>5.8927084737917479</v>
      </c>
      <c r="EC78" s="21">
        <f>EXP(-LN(2)/2)*EC77+(1-EXP(-LN(2)/2))/(LN(2)/2)*DW78*DZ78*VLOOKUP('Données projet'!$B$14,Paramètres!$A$1:$I$89,3,0)*0.475*44/12</f>
        <v>4.0526781399966162E-6</v>
      </c>
      <c r="ED78" s="22">
        <f t="shared" si="72"/>
        <v>7.2310857172557261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8.1999999999999993</v>
      </c>
      <c r="EJ78" s="12">
        <f>IF('Données projet'!$A$192&gt;35,EJ77+EI78-ER77,IF(A78&lt;'Données projet'!$A$192,$EG$205^A78,IF(A78='Données projet'!$A$192,'Données projet'!$B$192,EJ77+EI78-ER77)))</f>
        <v>481.00000000000011</v>
      </c>
      <c r="EK78" s="17">
        <f>EJ78*VLOOKUP('Données projet'!$B$15,Paramètres!$A$1:$I$89,3,0)*VLOOKUP('Données projet'!$B$15,Paramètres!$A$1:$I$89,5,0)</f>
        <v>287.63800000000009</v>
      </c>
      <c r="EL78" s="13">
        <f t="shared" si="99"/>
        <v>68.578600880282579</v>
      </c>
      <c r="EM78" s="20">
        <f t="shared" si="73"/>
        <v>620.4105798664923</v>
      </c>
      <c r="EN78" s="59">
        <f t="shared" si="74"/>
        <v>913.74391319982556</v>
      </c>
      <c r="EO78" s="59">
        <f ca="1">AVERAGE(OFFSET($EN$3,0,0,'Données projet'!$E$15+1,1))-AVERAGE(OFFSET($H$3,0,0,'Données projet'!$E$15+1,1))</f>
        <v>259.30247982593914</v>
      </c>
      <c r="EP78" s="59">
        <f t="shared" si="100"/>
        <v>275.24740346220779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5.1786231013740078</v>
      </c>
      <c r="EX78" s="21">
        <f>EXP(-LN(2)/2)*EX77+(1-EXP(-LN(2)/2))/(LN(2)/2)*ER78*EU78*VLOOKUP('Données projet'!$B$15,Paramètres!$A$1:$I$89,3,0)*0.475*44/12</f>
        <v>4.8351657279051163E-6</v>
      </c>
      <c r="EY78" s="22">
        <f t="shared" si="75"/>
        <v>5.1786279365397361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7.4</v>
      </c>
      <c r="FE78" s="12">
        <f>IF('Données projet'!$A$218&gt;35,FE77+FD78-FM77,IF(A78&lt;'Données projet'!$A$218,$FB$205^A78,IF(A78='Données projet'!$A$218,'Données projet'!$B$218,FE77+FD78-FM77)))</f>
        <v>310.99999999999989</v>
      </c>
      <c r="FF78" s="17">
        <f>FE78*VLOOKUP('Données projet'!$B$16,Paramètres!$A$1:$I$89,3,0)*VLOOKUP('Données projet'!$B$16,Paramètres!$A$1:$I$89,5,0)</f>
        <v>315.35399999999987</v>
      </c>
      <c r="FG78" s="13">
        <f t="shared" si="101"/>
        <v>74.385841715644801</v>
      </c>
      <c r="FH78" s="20">
        <f t="shared" si="76"/>
        <v>678.79689098808103</v>
      </c>
      <c r="FI78" s="59">
        <f t="shared" si="77"/>
        <v>972.13022432141429</v>
      </c>
      <c r="FJ78" s="59">
        <f ca="1">AVERAGE(OFFSET($FI$3,0,0,'Données projet'!$E$16+1,1))-AVERAGE(OFFSET($H$3,0,0,'Données projet'!$E$16+1,1))</f>
        <v>372.91317851957336</v>
      </c>
      <c r="FK78" s="59">
        <f t="shared" si="102"/>
        <v>269.69187715858413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1.1071411226774446</v>
      </c>
      <c r="FR78" s="21">
        <f>EXP(-LN(2)/25)*FR77+(1-EXP(-LN(2)/25))/(LN(2)/25)*Calculateur!FM78*Calculateur!FO78*VLOOKUP('Données projet'!$B$16,Paramètres!$A$1:$I$89,3,0)*0.475*44/12</f>
        <v>4.362619022851054</v>
      </c>
      <c r="FS78" s="21">
        <f>EXP(-LN(2)/2)*FS77+(1-EXP(-LN(2)/2))/(LN(2)/2)*FM78*FP78*VLOOKUP('Données projet'!$B$16,Paramètres!$A$1:$I$89,3,0)*0.475*44/12</f>
        <v>4.1074443227838632E-6</v>
      </c>
      <c r="FT78" s="22">
        <f t="shared" si="78"/>
        <v>5.469764252972821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17</v>
      </c>
      <c r="FZ78" s="12">
        <f>IF('Données projet'!$A$244&gt;35,FZ77+FY78-GH77,IF(A78&lt;'Données projet'!$A$244,$FW$205^A78,IF(A78='Données projet'!$A$244,'Données projet'!$B$244,FZ77+FY78-GH77)))</f>
        <v>447.99999999999989</v>
      </c>
      <c r="GA78" s="17">
        <f>FZ78*VLOOKUP('Données projet'!$B$17,Paramètres!$A$1:$I$89,3,0)*VLOOKUP('Données projet'!$B$17,Paramètres!$A$1:$I$89,5,0)</f>
        <v>209.66399999999993</v>
      </c>
      <c r="GB78" s="13">
        <f t="shared" si="103"/>
        <v>51.862154403304487</v>
      </c>
      <c r="GC78" s="20">
        <f t="shared" si="79"/>
        <v>455.49138558575515</v>
      </c>
      <c r="GD78" s="59">
        <f t="shared" si="80"/>
        <v>748.82471891908847</v>
      </c>
      <c r="GE78" s="59">
        <f ca="1">AVERAGE(OFFSET($GD$3,0,0,'Données projet'!$E$17+1,1))-AVERAGE(OFFSET($H$3,0,0,'Données projet'!$E$17+1,1))</f>
        <v>215.23235148064941</v>
      </c>
      <c r="GF78" s="59">
        <f t="shared" si="104"/>
        <v>184.07239726900434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1.2857040571322707</v>
      </c>
      <c r="GM78" s="21">
        <f>EXP(-LN(2)/25)*GM77+(1-EXP(-LN(2)/25))/(LN(2)/25)*Calculateur!GH78*Calculateur!GJ78*VLOOKUP('Données projet'!$B$17,Paramètres!$A$1:$I$89,3,0)*0.475*44/12</f>
        <v>2.2558897452924667</v>
      </c>
      <c r="GN78" s="21">
        <f>EXP(-LN(2)/2)*GN77+(1-EXP(-LN(2)/2))/(LN(2)/2)*GH78*GK78*VLOOKUP('Données projet'!$B$17,Paramètres!$A$1:$I$89,3,0)*0.475*44/12</f>
        <v>1.6575810105896418E-6</v>
      </c>
      <c r="GO78" s="21">
        <f t="shared" si="81"/>
        <v>3.5415954600057478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-1.1368683772161603E-13</v>
      </c>
      <c r="GV78" s="17">
        <f>GU78*VLOOKUP('Données projet'!$B$18,Paramètres!$A$1:$I$89,3,0)*VLOOKUP('Données projet'!$B$18,Paramètres!$A$1:$I$89,5,0)</f>
        <v>-6.7984728957526396E-14</v>
      </c>
      <c r="GW78" s="13" t="e">
        <f t="shared" si="105"/>
        <v>#NUM!</v>
      </c>
      <c r="GX78" s="20" t="e">
        <f t="shared" si="82"/>
        <v>#NUM!</v>
      </c>
      <c r="GY78" s="59" t="e">
        <f t="shared" si="83"/>
        <v>#NUM!</v>
      </c>
      <c r="GZ78" s="59">
        <f ca="1">AVERAGE(OFFSET($GY$3,0,0,'Données projet'!$E$18+1,1))-AVERAGE(OFFSET($H$3,0,0,'Données projet'!$E$18+1,1))</f>
        <v>227.89848316900191</v>
      </c>
      <c r="HA78" s="59">
        <f t="shared" si="106"/>
        <v>239.85955661394541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3.2575695229267891</v>
      </c>
      <c r="HH78" s="21">
        <f>EXP(-LN(2)/25)*HH77+(1-EXP(-LN(2)/25))/(LN(2)/25)*Calculateur!HC78*Calculateur!HE78*VLOOKUP('Données projet'!$B$18,Paramètres!$A$1:$I$89,3,0)*0.475*44/12</f>
        <v>4.9231998482946508</v>
      </c>
      <c r="HI78" s="21">
        <f>EXP(-LN(2)/2)*HI77+(1-EXP(-LN(2)/2))/(LN(2)/2)*HC78*HF78*VLOOKUP('Données projet'!$B$18,Paramètres!$A$1:$I$89,3,0)*0.475*44/12</f>
        <v>1.1301375003641001E-6</v>
      </c>
      <c r="HJ78" s="22">
        <f t="shared" si="84"/>
        <v>8.1807705013589409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11.7</v>
      </c>
      <c r="N79" s="13">
        <f>IF('Données projet'!$A$36&gt;35,N78+M79-V78,IF(A79&lt;'Données projet'!$A$36,$K$205^A79,IF(A79='Données projet'!$A$36,'Données projet'!$B$36,N78+M79-V78)))</f>
        <v>672.20000000000027</v>
      </c>
      <c r="O79" s="13">
        <f>N79*VLOOKUP('Données projet'!$B$9,Paramètres!$A$1:$I$89,3,0)*VLOOKUP('Données projet'!$B$9,Paramètres!$A$1:$I$89,5,0)</f>
        <v>375.75980000000015</v>
      </c>
      <c r="P79" s="13">
        <f t="shared" si="87"/>
        <v>86.844600185332411</v>
      </c>
      <c r="Q79" s="20">
        <f t="shared" si="54"/>
        <v>805.70266365612088</v>
      </c>
      <c r="R79" s="59">
        <f t="shared" si="55"/>
        <v>1099.0359969894541</v>
      </c>
      <c r="S79" s="59">
        <f ca="1">AVERAGE(OFFSET($R$3,0,0,'Données projet'!$E$9+1,1))-AVERAGE(OFFSET($H$3,0,0,'Données projet'!$E$9+1,1))</f>
        <v>370.69652285220093</v>
      </c>
      <c r="T79" s="59">
        <f t="shared" si="88"/>
        <v>376.53494965377718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4.1329863574832073</v>
      </c>
      <c r="AA79" s="21">
        <f>EXP(-LN(2)/25)*AA78+(1-EXP(-LN(2)/25))/(LN(2)/25)*Calculateur!V79*Calculateur!X79*VLOOKUP('Données projet'!$B$9,Paramètres!$A$1:$I$89,3,0)*0.475*44/12</f>
        <v>9.3309281841431222</v>
      </c>
      <c r="AB79" s="21">
        <f>EXP(-LN(2)/2)*AB78+(1-EXP(-LN(2)/2))/(LN(2)/2)*V79*Y79*VLOOKUP('Données projet'!$B$9,Paramètres!$A$1:$I$89,3,0)*0.475*44/12</f>
        <v>3.9016919781426308E-6</v>
      </c>
      <c r="AC79" s="22">
        <f t="shared" si="57"/>
        <v>13.463918443318308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288.0883199999999</v>
      </c>
      <c r="AK79" s="13">
        <f t="shared" si="89"/>
        <v>68.673460144735557</v>
      </c>
      <c r="AL79" s="20">
        <f t="shared" si="58"/>
        <v>621.36010041874761</v>
      </c>
      <c r="AM79" s="59">
        <f t="shared" si="59"/>
        <v>914.69343375208086</v>
      </c>
      <c r="AN79" s="59">
        <f ca="1">AVERAGE(OFFSET($AM$3,0,0,'Données projet'!$E$10+1,1))-AVERAGE(OFFSET($H$3,0,0,'Données projet'!$E$10+1,1))</f>
        <v>321.03881567735544</v>
      </c>
      <c r="AO79" s="59">
        <f t="shared" si="90"/>
        <v>234.87694492493506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0.9685382171071758</v>
      </c>
      <c r="AV79" s="21">
        <f>EXP(-LN(2)/25)*AV78+(1-EXP(-LN(2)/25))/(LN(2)/25)*Calculateur!AQ79*Calculateur!AS79*VLOOKUP('Données projet'!$B$10,Paramètres!$A$1:$I$89,3,0)*0.475*44/12</f>
        <v>3.786349732654763</v>
      </c>
      <c r="AW79" s="21">
        <f>EXP(-LN(2)/2)*AW78+(1-EXP(-LN(2)/2))/(LN(2)/2)*AQ79*AT79*VLOOKUP('Données projet'!$B$10,Paramètres!$A$1:$I$89,3,0)*0.475*44/12</f>
        <v>2.5916200087880952E-6</v>
      </c>
      <c r="AX79" s="21">
        <f t="shared" si="60"/>
        <v>4.7548905413819469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</v>
      </c>
      <c r="BD79" s="12">
        <f>IF('Données projet'!$A$88&gt;35,BD78+BC79-BL78,IF(A79&lt;'Données projet'!$A$88,$BA$205^A79,IF(A79='Données projet'!$A$88,'Données projet'!$B$88,BD78+BC79-BL78)))</f>
        <v>452.60000000000048</v>
      </c>
      <c r="BE79" s="13">
        <f>BD79*VLOOKUP('Données projet'!$B$11,Paramètres!$A$1:$I$89,3,0)*VLOOKUP('Données projet'!$B$11,Paramètres!$A$1:$I$89,5,0)</f>
        <v>247.11960000000025</v>
      </c>
      <c r="BF79" s="13">
        <f t="shared" si="91"/>
        <v>59.968731164216315</v>
      </c>
      <c r="BG79" s="20">
        <f t="shared" si="61"/>
        <v>534.84551011101053</v>
      </c>
      <c r="BH79" s="59">
        <f t="shared" si="62"/>
        <v>828.17884344434378</v>
      </c>
      <c r="BI79" s="59">
        <f ca="1">AVERAGE(OFFSET($BH$3,0,0,'Données projet'!$E$11+1,1))-AVERAGE(OFFSET($H$3,0,0,'Données projet'!$E$11+1,1))</f>
        <v>248.1486444660062</v>
      </c>
      <c r="BJ79" s="59">
        <f t="shared" si="92"/>
        <v>293.34458072322127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3.4252233660325944</v>
      </c>
      <c r="BQ79" s="21">
        <f>EXP(-LN(2)/25)*BQ78+(1-EXP(-LN(2)/25))/(LN(2)/25)*Calculateur!BL79*Calculateur!BN79*VLOOKUP('Données projet'!$B$11,Paramètres!$A$1:$I$89,3,0)*0.475*44/12</f>
        <v>9.5074822027997659</v>
      </c>
      <c r="BR79" s="21">
        <f>EXP(-LN(2)/2)*BR78+(1-EXP(-LN(2)/2))/(LN(2)/2)*BL79*BO79*VLOOKUP('Données projet'!$B$11,Paramètres!$A$1:$I$89,3,0)*0.475*44/12</f>
        <v>3.0019791263182465E-6</v>
      </c>
      <c r="BS79" s="22">
        <f t="shared" si="63"/>
        <v>12.932708570811487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243.38048563215585</v>
      </c>
      <c r="CE79" s="59">
        <f t="shared" si="94"/>
        <v>372.1604147006675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2.9390125208769478</v>
      </c>
      <c r="CL79" s="21">
        <f>EXP(-LN(2)/25)*CL78+(1-EXP(-LN(2)/25))/(LN(2)/25)*Calculateur!CG79*Calculateur!CI79*VLOOKUP('Données projet'!$B$12,Paramètres!$A$1:$I$89,3,0)*0.475*44/12</f>
        <v>5.4083480908308408</v>
      </c>
      <c r="CM79" s="21">
        <f>EXP(-LN(2)/2)*CM78+(1-EXP(-LN(2)/2))/(LN(2)/2)*CG79*CJ79*VLOOKUP('Données projet'!$B$12,Paramètres!$A$1:$I$89,3,0)*0.475*44/12</f>
        <v>3.4946130768253997E-6</v>
      </c>
      <c r="CN79" s="22">
        <f t="shared" si="66"/>
        <v>8.3473641063208657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14.7</v>
      </c>
      <c r="CT79" s="12">
        <f>IF('Données projet'!$A$140&gt;35,CT78+CS79-DB78,IF(A79&lt;'Données projet'!$A$140,$CQ$205^A79,IF(A79='Données projet'!$A$140,'Données projet'!$B$140,CT78+CS79-DB78)))</f>
        <v>694.20000000000061</v>
      </c>
      <c r="CU79" s="17">
        <f>CT79*VLOOKUP('Données projet'!$B$13,Paramètres!$A$1:$I$89,3,0)*VLOOKUP('Données projet'!$B$13,Paramètres!$A$1:$I$89,5,0)</f>
        <v>333.91020000000032</v>
      </c>
      <c r="CV79" s="13">
        <f t="shared" si="95"/>
        <v>78.240434782372716</v>
      </c>
      <c r="CW79" s="20">
        <f t="shared" si="67"/>
        <v>717.82902224596637</v>
      </c>
      <c r="CX79" s="59">
        <f t="shared" si="68"/>
        <v>1011.1623555792996</v>
      </c>
      <c r="CY79" s="59">
        <f ca="1">AVERAGE(OFFSET($CX$3,0,0,'Données projet'!$E$13+1,1))-AVERAGE(OFFSET($H$3,0,0,'Données projet'!$E$13+1,1))</f>
        <v>297.21955661193238</v>
      </c>
      <c r="CZ79" s="59">
        <f t="shared" si="96"/>
        <v>273.69206144662144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2.7095547327021685</v>
      </c>
      <c r="DG79" s="21">
        <f>EXP(-LN(2)/25)*DG78+(1-EXP(-LN(2)/25))/(LN(2)/25)*Calculateur!DB79*Calculateur!DD79*VLOOKUP('Données projet'!$B$13,Paramètres!$A$1:$I$89,3,0)*0.475*44/12</f>
        <v>3.7493742853916268</v>
      </c>
      <c r="DH79" s="21">
        <f>EXP(-LN(2)/2)*DH78+(1-EXP(-LN(2)/2))/(LN(2)/2)*DB79*DE79*VLOOKUP('Données projet'!$B$13,Paramètres!$A$1:$I$89,3,0)*0.475*44/12</f>
        <v>2.4929980550089878E-6</v>
      </c>
      <c r="DI79" s="22">
        <f t="shared" si="69"/>
        <v>6.4589315110918504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259.68383999999969</v>
      </c>
      <c r="DQ79" s="13">
        <f t="shared" si="97"/>
        <v>62.654980648867301</v>
      </c>
      <c r="DR79" s="20">
        <f t="shared" si="70"/>
        <v>561.40677929677668</v>
      </c>
      <c r="DS79" s="59">
        <f t="shared" si="71"/>
        <v>854.74011263010993</v>
      </c>
      <c r="DT79" s="59">
        <f ca="1">AVERAGE(OFFSET($DS$3,0,0,'Données projet'!$E$14+1,1))-AVERAGE(OFFSET($H$3,0,0,'Données projet'!$E$14+1,1))</f>
        <v>260.20517190557814</v>
      </c>
      <c r="DU79" s="59">
        <f t="shared" si="98"/>
        <v>307.22009971147133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1.3121285088415688</v>
      </c>
      <c r="EB79" s="21">
        <f>EXP(-LN(2)/25)*EB78+(1-EXP(-LN(2)/25))/(LN(2)/25)*Calculateur!DW79*Calculateur!DY79*VLOOKUP('Données projet'!$B$14,Paramètres!$A$1:$I$89,3,0)*0.475*44/12</f>
        <v>5.7315720506918417</v>
      </c>
      <c r="EC79" s="21">
        <f>EXP(-LN(2)/2)*EC78+(1-EXP(-LN(2)/2))/(LN(2)/2)*DW79*DZ79*VLOOKUP('Données projet'!$B$14,Paramètres!$A$1:$I$89,3,0)*0.475*44/12</f>
        <v>2.8656761947580917E-6</v>
      </c>
      <c r="ED79" s="22">
        <f t="shared" si="72"/>
        <v>7.043703425209606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8.1999999999999993</v>
      </c>
      <c r="EJ79" s="12">
        <f>IF('Données projet'!$A$192&gt;35,EJ78+EI79-ER78,IF(A79&lt;'Données projet'!$A$192,$EG$205^A79,IF(A79='Données projet'!$A$192,'Données projet'!$B$192,EJ78+EI79-ER78)))</f>
        <v>489.2000000000001</v>
      </c>
      <c r="EK79" s="17">
        <f>EJ79*VLOOKUP('Données projet'!$B$15,Paramètres!$A$1:$I$89,3,0)*VLOOKUP('Données projet'!$B$15,Paramètres!$A$1:$I$89,5,0)</f>
        <v>292.54160000000007</v>
      </c>
      <c r="EL79" s="13">
        <f t="shared" si="99"/>
        <v>69.610612773315694</v>
      </c>
      <c r="EM79" s="20">
        <f t="shared" si="73"/>
        <v>630.74843724685832</v>
      </c>
      <c r="EN79" s="59">
        <f t="shared" si="74"/>
        <v>924.08177058019169</v>
      </c>
      <c r="EO79" s="59">
        <f ca="1">AVERAGE(OFFSET($EN$3,0,0,'Données projet'!$E$15+1,1))-AVERAGE(OFFSET($H$3,0,0,'Données projet'!$E$15+1,1))</f>
        <v>259.30247982593914</v>
      </c>
      <c r="EP79" s="59">
        <f t="shared" si="100"/>
        <v>275.24740346220779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5.037013380334983</v>
      </c>
      <c r="EX79" s="21">
        <f>EXP(-LN(2)/2)*EX78+(1-EXP(-LN(2)/2))/(LN(2)/2)*ER79*EU79*VLOOKUP('Données projet'!$B$15,Paramètres!$A$1:$I$89,3,0)*0.475*44/12</f>
        <v>3.4189784743624969E-6</v>
      </c>
      <c r="EY79" s="22">
        <f t="shared" si="75"/>
        <v>5.0370167993134576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7.4</v>
      </c>
      <c r="FE79" s="12">
        <f>IF('Données projet'!$A$218&gt;35,FE78+FD79-FM78,IF(A79&lt;'Données projet'!$A$218,$FB$205^A79,IF(A79='Données projet'!$A$218,'Données projet'!$B$218,FE78+FD79-FM78)))</f>
        <v>318.39999999999986</v>
      </c>
      <c r="FF79" s="17">
        <f>FE79*VLOOKUP('Données projet'!$B$16,Paramètres!$A$1:$I$89,3,0)*VLOOKUP('Données projet'!$B$16,Paramètres!$A$1:$I$89,5,0)</f>
        <v>322.85759999999988</v>
      </c>
      <c r="FG79" s="13">
        <f t="shared" si="101"/>
        <v>75.947624920658441</v>
      </c>
      <c r="FH79" s="20">
        <f t="shared" si="76"/>
        <v>694.58576673681318</v>
      </c>
      <c r="FI79" s="59">
        <f t="shared" si="77"/>
        <v>987.91910007014644</v>
      </c>
      <c r="FJ79" s="59">
        <f ca="1">AVERAGE(OFFSET($FI$3,0,0,'Données projet'!$E$16+1,1))-AVERAGE(OFFSET($H$3,0,0,'Données projet'!$E$16+1,1))</f>
        <v>372.91317851957336</v>
      </c>
      <c r="FK79" s="59">
        <f t="shared" si="102"/>
        <v>269.69187715858413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1.0854307605511455</v>
      </c>
      <c r="FR79" s="21">
        <f>EXP(-LN(2)/25)*FR78+(1-EXP(-LN(2)/25))/(LN(2)/25)*Calculateur!FM79*Calculateur!FO79*VLOOKUP('Données projet'!$B$16,Paramètres!$A$1:$I$89,3,0)*0.475*44/12</f>
        <v>4.2433229762510285</v>
      </c>
      <c r="FS79" s="21">
        <f>EXP(-LN(2)/2)*FS78+(1-EXP(-LN(2)/2))/(LN(2)/2)*FM79*FP79*VLOOKUP('Données projet'!$B$16,Paramètres!$A$1:$I$89,3,0)*0.475*44/12</f>
        <v>2.9044017339866561E-6</v>
      </c>
      <c r="FT79" s="22">
        <f t="shared" si="78"/>
        <v>5.328756641203908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17</v>
      </c>
      <c r="FZ79" s="12">
        <f>IF('Données projet'!$A$244&gt;35,FZ78+FY79-GH78,IF(A79&lt;'Données projet'!$A$244,$FW$205^A79,IF(A79='Données projet'!$A$244,'Données projet'!$B$244,FZ78+FY79-GH78)))</f>
        <v>464.99999999999989</v>
      </c>
      <c r="GA79" s="17">
        <f>FZ79*VLOOKUP('Données projet'!$B$17,Paramètres!$A$1:$I$89,3,0)*VLOOKUP('Données projet'!$B$17,Paramètres!$A$1:$I$89,5,0)</f>
        <v>217.61999999999995</v>
      </c>
      <c r="GB79" s="13">
        <f t="shared" si="103"/>
        <v>53.597277471320098</v>
      </c>
      <c r="GC79" s="20">
        <f t="shared" si="79"/>
        <v>472.37009159588234</v>
      </c>
      <c r="GD79" s="59">
        <f t="shared" si="80"/>
        <v>765.70342492921566</v>
      </c>
      <c r="GE79" s="59">
        <f ca="1">AVERAGE(OFFSET($GD$3,0,0,'Données projet'!$E$17+1,1))-AVERAGE(OFFSET($H$3,0,0,'Données projet'!$E$17+1,1))</f>
        <v>215.23235148064941</v>
      </c>
      <c r="GF79" s="59">
        <f t="shared" si="104"/>
        <v>184.07239726900434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1.2604921847739481</v>
      </c>
      <c r="GM79" s="21">
        <f>EXP(-LN(2)/25)*GM78+(1-EXP(-LN(2)/25))/(LN(2)/25)*Calculateur!GH79*Calculateur!GJ79*VLOOKUP('Données projet'!$B$17,Paramètres!$A$1:$I$89,3,0)*0.475*44/12</f>
        <v>2.1942023215753585</v>
      </c>
      <c r="GN79" s="21">
        <f>EXP(-LN(2)/2)*GN78+(1-EXP(-LN(2)/2))/(LN(2)/2)*GH79*GK79*VLOOKUP('Données projet'!$B$17,Paramètres!$A$1:$I$89,3,0)*0.475*44/12</f>
        <v>1.1720867729539862E-6</v>
      </c>
      <c r="GO79" s="21">
        <f t="shared" si="81"/>
        <v>3.4546956784360794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-1.1368683772161603E-13</v>
      </c>
      <c r="GV79" s="17">
        <f>GU79*VLOOKUP('Données projet'!$B$18,Paramètres!$A$1:$I$89,3,0)*VLOOKUP('Données projet'!$B$18,Paramètres!$A$1:$I$89,5,0)</f>
        <v>-6.7984728957526396E-14</v>
      </c>
      <c r="GW79" s="13" t="e">
        <f t="shared" si="105"/>
        <v>#NUM!</v>
      </c>
      <c r="GX79" s="20" t="e">
        <f t="shared" si="82"/>
        <v>#NUM!</v>
      </c>
      <c r="GY79" s="59" t="e">
        <f t="shared" si="83"/>
        <v>#NUM!</v>
      </c>
      <c r="GZ79" s="59">
        <f ca="1">AVERAGE(OFFSET($GY$3,0,0,'Données projet'!$E$18+1,1))-AVERAGE(OFFSET($H$3,0,0,'Données projet'!$E$18+1,1))</f>
        <v>227.89848316900191</v>
      </c>
      <c r="HA79" s="59">
        <f t="shared" si="106"/>
        <v>239.85955661394541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3.1936905715034114</v>
      </c>
      <c r="HH79" s="21">
        <f>EXP(-LN(2)/25)*HH78+(1-EXP(-LN(2)/25))/(LN(2)/25)*Calculateur!HC79*Calculateur!HE79*VLOOKUP('Données projet'!$B$18,Paramètres!$A$1:$I$89,3,0)*0.475*44/12</f>
        <v>4.7885746895432053</v>
      </c>
      <c r="HI79" s="21">
        <f>EXP(-LN(2)/2)*HI78+(1-EXP(-LN(2)/2))/(LN(2)/2)*HC79*HF79*VLOOKUP('Données projet'!$B$18,Paramètres!$A$1:$I$89,3,0)*0.475*44/12</f>
        <v>7.9912789018066954E-7</v>
      </c>
      <c r="HJ79" s="22">
        <f t="shared" si="84"/>
        <v>7.9822660601745072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11.7</v>
      </c>
      <c r="N80" s="13">
        <f>IF('Données projet'!$A$36&gt;35,N79+M80-V79,IF(A80&lt;'Données projet'!$A$36,$K$205^A80,IF(A80='Données projet'!$A$36,'Données projet'!$B$36,N79+M80-V79)))</f>
        <v>683.90000000000032</v>
      </c>
      <c r="O80" s="13">
        <f>N80*VLOOKUP('Données projet'!$B$9,Paramètres!$A$1:$I$89,3,0)*VLOOKUP('Données projet'!$B$9,Paramètres!$A$1:$I$89,5,0)</f>
        <v>382.30010000000016</v>
      </c>
      <c r="P80" s="13">
        <f t="shared" si="87"/>
        <v>88.178884999359013</v>
      </c>
      <c r="Q80" s="20">
        <f t="shared" si="54"/>
        <v>819.41756554055053</v>
      </c>
      <c r="R80" s="59">
        <f t="shared" si="55"/>
        <v>1112.7508988738839</v>
      </c>
      <c r="S80" s="59">
        <f ca="1">AVERAGE(OFFSET($R$3,0,0,'Données projet'!$E$9+1,1))-AVERAGE(OFFSET($H$3,0,0,'Données projet'!$E$9+1,1))</f>
        <v>370.69652285220093</v>
      </c>
      <c r="T80" s="59">
        <f t="shared" si="88"/>
        <v>376.53494965377718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4.0519410158857241</v>
      </c>
      <c r="AA80" s="21">
        <f>EXP(-LN(2)/25)*AA79+(1-EXP(-LN(2)/25))/(LN(2)/25)*Calculateur!V80*Calculateur!X80*VLOOKUP('Données projet'!$B$9,Paramètres!$A$1:$I$89,3,0)*0.475*44/12</f>
        <v>9.0757734622555422</v>
      </c>
      <c r="AB80" s="21">
        <f>EXP(-LN(2)/2)*AB79+(1-EXP(-LN(2)/2))/(LN(2)/2)*V80*Y80*VLOOKUP('Données projet'!$B$9,Paramètres!$A$1:$I$89,3,0)*0.475*44/12</f>
        <v>2.7589128558458091E-6</v>
      </c>
      <c r="AC80" s="22">
        <f t="shared" si="57"/>
        <v>13.127717237054123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294.78383999999983</v>
      </c>
      <c r="AK80" s="13">
        <f t="shared" si="89"/>
        <v>70.081842199807596</v>
      </c>
      <c r="AL80" s="20">
        <f t="shared" si="58"/>
        <v>635.47439649799799</v>
      </c>
      <c r="AM80" s="59">
        <f t="shared" si="59"/>
        <v>928.80772983133124</v>
      </c>
      <c r="AN80" s="59">
        <f ca="1">AVERAGE(OFFSET($AM$3,0,0,'Données projet'!$E$10+1,1))-AVERAGE(OFFSET($H$3,0,0,'Données projet'!$E$10+1,1))</f>
        <v>321.03881567735544</v>
      </c>
      <c r="AO80" s="59">
        <f t="shared" si="90"/>
        <v>234.87694492493506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0.94954577341968482</v>
      </c>
      <c r="AV80" s="21">
        <f>EXP(-LN(2)/25)*AV79+(1-EXP(-LN(2)/25))/(LN(2)/25)*Calculateur!AQ80*Calculateur!AS80*VLOOKUP('Données projet'!$B$10,Paramètres!$A$1:$I$89,3,0)*0.475*44/12</f>
        <v>3.6828118000998398</v>
      </c>
      <c r="AW80" s="21">
        <f>EXP(-LN(2)/2)*AW79+(1-EXP(-LN(2)/2))/(LN(2)/2)*AQ80*AT80*VLOOKUP('Données projet'!$B$10,Paramètres!$A$1:$I$89,3,0)*0.475*44/12</f>
        <v>1.832552082472802E-6</v>
      </c>
      <c r="AX80" s="21">
        <f t="shared" si="60"/>
        <v>4.6323594060716067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</v>
      </c>
      <c r="BD80" s="12">
        <f>IF('Données projet'!$A$88&gt;35,BD79+BC80-BL79,IF(A80&lt;'Données projet'!$A$88,$BA$205^A80,IF(A80='Données projet'!$A$88,'Données projet'!$B$88,BD79+BC80-BL79)))</f>
        <v>461.2000000000005</v>
      </c>
      <c r="BE80" s="13">
        <f>BD80*VLOOKUP('Données projet'!$B$11,Paramètres!$A$1:$I$89,3,0)*VLOOKUP('Données projet'!$B$11,Paramètres!$A$1:$I$89,5,0)</f>
        <v>251.81520000000029</v>
      </c>
      <c r="BF80" s="13">
        <f t="shared" si="91"/>
        <v>60.974474799180804</v>
      </c>
      <c r="BG80" s="20">
        <f t="shared" si="61"/>
        <v>544.77535027524038</v>
      </c>
      <c r="BH80" s="59">
        <f t="shared" si="62"/>
        <v>838.10868360857376</v>
      </c>
      <c r="BI80" s="59">
        <f ca="1">AVERAGE(OFFSET($BH$3,0,0,'Données projet'!$E$11+1,1))-AVERAGE(OFFSET($H$3,0,0,'Données projet'!$E$11+1,1))</f>
        <v>248.1486444660062</v>
      </c>
      <c r="BJ80" s="59">
        <f t="shared" si="92"/>
        <v>293.34458072322127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3.3580568250046592</v>
      </c>
      <c r="BQ80" s="21">
        <f>EXP(-LN(2)/25)*BQ79+(1-EXP(-LN(2)/25))/(LN(2)/25)*Calculateur!BL80*Calculateur!BN80*VLOOKUP('Données projet'!$B$11,Paramètres!$A$1:$I$89,3,0)*0.475*44/12</f>
        <v>9.247499601987446</v>
      </c>
      <c r="BR80" s="21">
        <f>EXP(-LN(2)/2)*BR79+(1-EXP(-LN(2)/2))/(LN(2)/2)*BL80*BO80*VLOOKUP('Données projet'!$B$11,Paramètres!$A$1:$I$89,3,0)*0.475*44/12</f>
        <v>2.1227197972000994E-6</v>
      </c>
      <c r="BS80" s="22">
        <f t="shared" si="63"/>
        <v>12.605558549711903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243.38048563215585</v>
      </c>
      <c r="CE80" s="59">
        <f t="shared" si="94"/>
        <v>372.1604147006675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2.8813802779631819</v>
      </c>
      <c r="CL80" s="21">
        <f>EXP(-LN(2)/25)*CL79+(1-EXP(-LN(2)/25))/(LN(2)/25)*Calculateur!CG80*Calculateur!CI80*VLOOKUP('Données projet'!$B$12,Paramètres!$A$1:$I$89,3,0)*0.475*44/12</f>
        <v>5.260456527874406</v>
      </c>
      <c r="CM80" s="21">
        <f>EXP(-LN(2)/2)*CM79+(1-EXP(-LN(2)/2))/(LN(2)/2)*CG80*CJ80*VLOOKUP('Données projet'!$B$12,Paramètres!$A$1:$I$89,3,0)*0.475*44/12</f>
        <v>2.4710646042464255E-6</v>
      </c>
      <c r="CN80" s="22">
        <f t="shared" si="66"/>
        <v>8.1418392769021928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14.7</v>
      </c>
      <c r="CT80" s="12">
        <f>IF('Données projet'!$A$140&gt;35,CT79+CS80-DB79,IF(A80&lt;'Données projet'!$A$140,$CQ$205^A80,IF(A80='Données projet'!$A$140,'Données projet'!$B$140,CT79+CS80-DB79)))</f>
        <v>708.90000000000066</v>
      </c>
      <c r="CU80" s="17">
        <f>CT80*VLOOKUP('Données projet'!$B$13,Paramètres!$A$1:$I$89,3,0)*VLOOKUP('Données projet'!$B$13,Paramètres!$A$1:$I$89,5,0)</f>
        <v>340.9809000000003</v>
      </c>
      <c r="CV80" s="13">
        <f t="shared" si="95"/>
        <v>79.702572580633841</v>
      </c>
      <c r="CW80" s="20">
        <f t="shared" si="67"/>
        <v>732.69038141127112</v>
      </c>
      <c r="CX80" s="59">
        <f t="shared" si="68"/>
        <v>1026.0237147446044</v>
      </c>
      <c r="CY80" s="59">
        <f ca="1">AVERAGE(OFFSET($CX$3,0,0,'Données projet'!$E$13+1,1))-AVERAGE(OFFSET($H$3,0,0,'Données projet'!$E$13+1,1))</f>
        <v>297.21955661193238</v>
      </c>
      <c r="CZ80" s="59">
        <f t="shared" si="96"/>
        <v>273.69206144662144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2.6564220170590787</v>
      </c>
      <c r="DG80" s="21">
        <f>EXP(-LN(2)/25)*DG79+(1-EXP(-LN(2)/25))/(LN(2)/25)*Calculateur!DB80*Calculateur!DD80*VLOOKUP('Données projet'!$B$13,Paramètres!$A$1:$I$89,3,0)*0.475*44/12</f>
        <v>3.6468474483865685</v>
      </c>
      <c r="DH80" s="21">
        <f>EXP(-LN(2)/2)*DH79+(1-EXP(-LN(2)/2))/(LN(2)/2)*DB80*DE80*VLOOKUP('Données projet'!$B$13,Paramètres!$A$1:$I$89,3,0)*0.475*44/12</f>
        <v>1.7628158301817289E-6</v>
      </c>
      <c r="DI80" s="22">
        <f t="shared" si="69"/>
        <v>6.3032712282614769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262.78667999999965</v>
      </c>
      <c r="DQ80" s="13">
        <f t="shared" si="97"/>
        <v>63.316016454882053</v>
      </c>
      <c r="DR80" s="20">
        <f t="shared" si="70"/>
        <v>567.96219632558564</v>
      </c>
      <c r="DS80" s="59">
        <f t="shared" si="71"/>
        <v>861.29552965891889</v>
      </c>
      <c r="DT80" s="59">
        <f ca="1">AVERAGE(OFFSET($DS$3,0,0,'Données projet'!$E$14+1,1))-AVERAGE(OFFSET($H$3,0,0,'Données projet'!$E$14+1,1))</f>
        <v>260.20517190557814</v>
      </c>
      <c r="DU80" s="59">
        <f t="shared" si="98"/>
        <v>307.22009971147133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1.2863984691025512</v>
      </c>
      <c r="EB80" s="21">
        <f>EXP(-LN(2)/25)*EB79+(1-EXP(-LN(2)/25))/(LN(2)/25)*Calculateur!DW80*Calculateur!DY80*VLOOKUP('Données projet'!$B$14,Paramètres!$A$1:$I$89,3,0)*0.475*44/12</f>
        <v>5.5748419115553984</v>
      </c>
      <c r="EC80" s="21">
        <f>EXP(-LN(2)/2)*EC79+(1-EXP(-LN(2)/2))/(LN(2)/2)*DW80*DZ80*VLOOKUP('Données projet'!$B$14,Paramètres!$A$1:$I$89,3,0)*0.475*44/12</f>
        <v>2.0263390699983081E-6</v>
      </c>
      <c r="ED80" s="22">
        <f t="shared" si="72"/>
        <v>6.8612424069970199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8.1999999999999993</v>
      </c>
      <c r="EJ80" s="12">
        <f>IF('Données projet'!$A$192&gt;35,EJ79+EI80-ER79,IF(A80&lt;'Données projet'!$A$192,$EG$205^A80,IF(A80='Données projet'!$A$192,'Données projet'!$B$192,EJ79+EI80-ER79)))</f>
        <v>497.40000000000009</v>
      </c>
      <c r="EK80" s="17">
        <f>EJ80*VLOOKUP('Données projet'!$B$15,Paramètres!$A$1:$I$89,3,0)*VLOOKUP('Données projet'!$B$15,Paramètres!$A$1:$I$89,5,0)</f>
        <v>297.44520000000011</v>
      </c>
      <c r="EL80" s="13">
        <f t="shared" si="99"/>
        <v>70.640612967440504</v>
      </c>
      <c r="EM80" s="20">
        <f t="shared" si="73"/>
        <v>641.08279091829229</v>
      </c>
      <c r="EN80" s="59">
        <f t="shared" si="74"/>
        <v>934.41612425162566</v>
      </c>
      <c r="EO80" s="59">
        <f ca="1">AVERAGE(OFFSET($EN$3,0,0,'Données projet'!$E$15+1,1))-AVERAGE(OFFSET($H$3,0,0,'Données projet'!$E$15+1,1))</f>
        <v>259.30247982593914</v>
      </c>
      <c r="EP80" s="59">
        <f t="shared" si="100"/>
        <v>275.24740346220779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4.8992759845647011</v>
      </c>
      <c r="EX80" s="21">
        <f>EXP(-LN(2)/2)*EX79+(1-EXP(-LN(2)/2))/(LN(2)/2)*ER80*EU80*VLOOKUP('Données projet'!$B$15,Paramètres!$A$1:$I$89,3,0)*0.475*44/12</f>
        <v>2.4175828639525581E-6</v>
      </c>
      <c r="EY80" s="22">
        <f t="shared" si="75"/>
        <v>4.8992784021475648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7.4</v>
      </c>
      <c r="FE80" s="12">
        <f>IF('Données projet'!$A$218&gt;35,FE79+FD80-FM79,IF(A80&lt;'Données projet'!$A$218,$FB$205^A80,IF(A80='Données projet'!$A$218,'Données projet'!$B$218,FE79+FD80-FM79)))</f>
        <v>325.79999999999984</v>
      </c>
      <c r="FF80" s="17">
        <f>FE80*VLOOKUP('Données projet'!$B$16,Paramètres!$A$1:$I$89,3,0)*VLOOKUP('Données projet'!$B$16,Paramètres!$A$1:$I$89,5,0)</f>
        <v>330.36119999999983</v>
      </c>
      <c r="FG80" s="13">
        <f t="shared" si="101"/>
        <v>77.505188378771209</v>
      </c>
      <c r="FH80" s="20">
        <f t="shared" si="76"/>
        <v>710.36729309302621</v>
      </c>
      <c r="FI80" s="59">
        <f t="shared" si="77"/>
        <v>1003.7006264263596</v>
      </c>
      <c r="FJ80" s="59">
        <f ca="1">AVERAGE(OFFSET($FI$3,0,0,'Données projet'!$E$16+1,1))-AVERAGE(OFFSET($H$3,0,0,'Données projet'!$E$16+1,1))</f>
        <v>372.91317851957336</v>
      </c>
      <c r="FK80" s="59">
        <f t="shared" si="102"/>
        <v>269.69187715858413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1.0641461253841298</v>
      </c>
      <c r="FR80" s="21">
        <f>EXP(-LN(2)/25)*FR79+(1-EXP(-LN(2)/25))/(LN(2)/25)*Calculateur!FM80*Calculateur!FO80*VLOOKUP('Données projet'!$B$16,Paramètres!$A$1:$I$89,3,0)*0.475*44/12</f>
        <v>4.127289086318787</v>
      </c>
      <c r="FS80" s="21">
        <f>EXP(-LN(2)/2)*FS79+(1-EXP(-LN(2)/2))/(LN(2)/2)*FM80*FP80*VLOOKUP('Données projet'!$B$16,Paramètres!$A$1:$I$89,3,0)*0.475*44/12</f>
        <v>2.0537221613919316E-6</v>
      </c>
      <c r="FT80" s="22">
        <f t="shared" si="78"/>
        <v>5.191437265425078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17</v>
      </c>
      <c r="FZ80" s="12">
        <f>IF('Données projet'!$A$244&gt;35,FZ79+FY80-GH79,IF(A80&lt;'Données projet'!$A$244,$FW$205^A80,IF(A80='Données projet'!$A$244,'Données projet'!$B$244,FZ79+FY80-GH79)))</f>
        <v>481.99999999999989</v>
      </c>
      <c r="GA80" s="17">
        <f>FZ80*VLOOKUP('Données projet'!$B$17,Paramètres!$A$1:$I$89,3,0)*VLOOKUP('Données projet'!$B$17,Paramètres!$A$1:$I$89,5,0)</f>
        <v>225.57599999999994</v>
      </c>
      <c r="GB80" s="13">
        <f t="shared" si="103"/>
        <v>55.325030705505945</v>
      </c>
      <c r="GC80" s="20">
        <f t="shared" si="79"/>
        <v>489.23596181208933</v>
      </c>
      <c r="GD80" s="59">
        <f t="shared" si="80"/>
        <v>782.56929514542264</v>
      </c>
      <c r="GE80" s="59">
        <f ca="1">AVERAGE(OFFSET($GD$3,0,0,'Données projet'!$E$17+1,1))-AVERAGE(OFFSET($H$3,0,0,'Données projet'!$E$17+1,1))</f>
        <v>215.23235148064941</v>
      </c>
      <c r="GF80" s="59">
        <f t="shared" si="104"/>
        <v>184.07239726900434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1.2357747018548486</v>
      </c>
      <c r="GM80" s="21">
        <f>EXP(-LN(2)/25)*GM79+(1-EXP(-LN(2)/25))/(LN(2)/25)*Calculateur!GH80*Calculateur!GJ80*VLOOKUP('Données projet'!$B$17,Paramètres!$A$1:$I$89,3,0)*0.475*44/12</f>
        <v>2.134201743703795</v>
      </c>
      <c r="GN80" s="21">
        <f>EXP(-LN(2)/2)*GN79+(1-EXP(-LN(2)/2))/(LN(2)/2)*GH80*GK80*VLOOKUP('Données projet'!$B$17,Paramètres!$A$1:$I$89,3,0)*0.475*44/12</f>
        <v>8.2879050529482091E-7</v>
      </c>
      <c r="GO80" s="21">
        <f t="shared" si="81"/>
        <v>3.3699772743491487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-1.1368683772161603E-13</v>
      </c>
      <c r="GV80" s="17">
        <f>GU80*VLOOKUP('Données projet'!$B$18,Paramètres!$A$1:$I$89,3,0)*VLOOKUP('Données projet'!$B$18,Paramètres!$A$1:$I$89,5,0)</f>
        <v>-6.7984728957526396E-14</v>
      </c>
      <c r="GW80" s="13" t="e">
        <f t="shared" si="105"/>
        <v>#NUM!</v>
      </c>
      <c r="GX80" s="20" t="e">
        <f t="shared" si="82"/>
        <v>#NUM!</v>
      </c>
      <c r="GY80" s="59" t="e">
        <f t="shared" si="83"/>
        <v>#NUM!</v>
      </c>
      <c r="GZ80" s="59">
        <f ca="1">AVERAGE(OFFSET($GY$3,0,0,'Données projet'!$E$18+1,1))-AVERAGE(OFFSET($H$3,0,0,'Données projet'!$E$18+1,1))</f>
        <v>227.89848316900191</v>
      </c>
      <c r="HA80" s="59">
        <f t="shared" si="106"/>
        <v>239.85955661394541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3.1310642473551331</v>
      </c>
      <c r="HH80" s="21">
        <f>EXP(-LN(2)/25)*HH79+(1-EXP(-LN(2)/25))/(LN(2)/25)*Calculateur!HC80*Calculateur!HE80*VLOOKUP('Données projet'!$B$18,Paramètres!$A$1:$I$89,3,0)*0.475*44/12</f>
        <v>4.6576308628374479</v>
      </c>
      <c r="HI80" s="21">
        <f>EXP(-LN(2)/2)*HI79+(1-EXP(-LN(2)/2))/(LN(2)/2)*HC80*HF80*VLOOKUP('Données projet'!$B$18,Paramètres!$A$1:$I$89,3,0)*0.475*44/12</f>
        <v>5.6506875018205007E-7</v>
      </c>
      <c r="HJ80" s="22">
        <f t="shared" si="84"/>
        <v>7.788695675261331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11.7</v>
      </c>
      <c r="N81" s="13">
        <f>IF('Données projet'!$A$36&gt;35,N80+M81-V80,IF(A81&lt;'Données projet'!$A$36,$K$205^A81,IF(A81='Données projet'!$A$36,'Données projet'!$B$36,N80+M81-V80)))</f>
        <v>695.60000000000036</v>
      </c>
      <c r="O81" s="13">
        <f>N81*VLOOKUP('Données projet'!$B$9,Paramètres!$A$1:$I$89,3,0)*VLOOKUP('Données projet'!$B$9,Paramètres!$A$1:$I$89,5,0)</f>
        <v>388.84040000000022</v>
      </c>
      <c r="P81" s="13">
        <f t="shared" si="87"/>
        <v>89.510515300512282</v>
      </c>
      <c r="Q81" s="20">
        <f t="shared" si="54"/>
        <v>833.12784414839268</v>
      </c>
      <c r="R81" s="59">
        <f t="shared" si="55"/>
        <v>1126.4611774817261</v>
      </c>
      <c r="S81" s="59">
        <f ca="1">AVERAGE(OFFSET($R$3,0,0,'Données projet'!$E$9+1,1))-AVERAGE(OFFSET($H$3,0,0,'Données projet'!$E$9+1,1))</f>
        <v>370.69652285220093</v>
      </c>
      <c r="T81" s="59">
        <f t="shared" si="88"/>
        <v>376.53494965377718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3.9724849240041902</v>
      </c>
      <c r="AA81" s="21">
        <f>EXP(-LN(2)/25)*AA80+(1-EXP(-LN(2)/25))/(LN(2)/25)*Calculateur!V81*Calculateur!X81*VLOOKUP('Données projet'!$B$9,Paramètres!$A$1:$I$89,3,0)*0.475*44/12</f>
        <v>8.8275959596559801</v>
      </c>
      <c r="AB81" s="21">
        <f>EXP(-LN(2)/2)*AB80+(1-EXP(-LN(2)/2))/(LN(2)/2)*V81*Y81*VLOOKUP('Données projet'!$B$9,Paramètres!$A$1:$I$89,3,0)*0.475*44/12</f>
        <v>1.9508459890713154E-6</v>
      </c>
      <c r="AC81" s="22">
        <f t="shared" si="57"/>
        <v>12.80008283450616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301.47935999999982</v>
      </c>
      <c r="AK81" s="13">
        <f t="shared" si="89"/>
        <v>71.486505311225272</v>
      </c>
      <c r="AL81" s="20">
        <f t="shared" si="58"/>
        <v>649.58221541705041</v>
      </c>
      <c r="AM81" s="59">
        <f t="shared" si="59"/>
        <v>942.91554875038378</v>
      </c>
      <c r="AN81" s="59">
        <f ca="1">AVERAGE(OFFSET($AM$3,0,0,'Données projet'!$E$10+1,1))-AVERAGE(OFFSET($H$3,0,0,'Données projet'!$E$10+1,1))</f>
        <v>321.03881567735544</v>
      </c>
      <c r="AO81" s="59">
        <f t="shared" si="90"/>
        <v>234.87694492493506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0.93092575996865867</v>
      </c>
      <c r="AV81" s="21">
        <f>EXP(-LN(2)/25)*AV80+(1-EXP(-LN(2)/25))/(LN(2)/25)*Calculateur!AQ81*Calculateur!AS81*VLOOKUP('Données projet'!$B$10,Paramètres!$A$1:$I$89,3,0)*0.475*44/12</f>
        <v>3.5821051177554541</v>
      </c>
      <c r="AW81" s="21">
        <f>EXP(-LN(2)/2)*AW80+(1-EXP(-LN(2)/2))/(LN(2)/2)*AQ81*AT81*VLOOKUP('Données projet'!$B$10,Paramètres!$A$1:$I$89,3,0)*0.475*44/12</f>
        <v>1.2958100043940476E-6</v>
      </c>
      <c r="AX81" s="21">
        <f t="shared" si="60"/>
        <v>4.5130321735341168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</v>
      </c>
      <c r="BD81" s="12">
        <f>IF('Données projet'!$A$88&gt;35,BD80+BC81-BL80,IF(A81&lt;'Données projet'!$A$88,$BA$205^A81,IF(A81='Données projet'!$A$88,'Données projet'!$B$88,BD80+BC81-BL80)))</f>
        <v>469.80000000000052</v>
      </c>
      <c r="BE81" s="13">
        <f>BD81*VLOOKUP('Données projet'!$B$11,Paramètres!$A$1:$I$89,3,0)*VLOOKUP('Données projet'!$B$11,Paramètres!$A$1:$I$89,5,0)</f>
        <v>256.51080000000024</v>
      </c>
      <c r="BF81" s="13">
        <f t="shared" si="91"/>
        <v>61.978037689587218</v>
      </c>
      <c r="BG81" s="20">
        <f t="shared" si="61"/>
        <v>554.70139230936479</v>
      </c>
      <c r="BH81" s="59">
        <f t="shared" si="62"/>
        <v>848.03472564269805</v>
      </c>
      <c r="BI81" s="59">
        <f ca="1">AVERAGE(OFFSET($BH$3,0,0,'Données projet'!$E$11+1,1))-AVERAGE(OFFSET($H$3,0,0,'Données projet'!$E$11+1,1))</f>
        <v>248.1486444660062</v>
      </c>
      <c r="BJ81" s="59">
        <f t="shared" si="92"/>
        <v>293.34458072322127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3.2922073788787367</v>
      </c>
      <c r="BQ81" s="21">
        <f>EXP(-LN(2)/25)*BQ80+(1-EXP(-LN(2)/25))/(LN(2)/25)*Calculateur!BL81*Calculateur!BN81*VLOOKUP('Données projet'!$B$11,Paramètres!$A$1:$I$89,3,0)*0.475*44/12</f>
        <v>8.9946262390662302</v>
      </c>
      <c r="BR81" s="21">
        <f>EXP(-LN(2)/2)*BR80+(1-EXP(-LN(2)/2))/(LN(2)/2)*BL81*BO81*VLOOKUP('Données projet'!$B$11,Paramètres!$A$1:$I$89,3,0)*0.475*44/12</f>
        <v>1.5009895631591232E-6</v>
      </c>
      <c r="BS81" s="22">
        <f t="shared" si="63"/>
        <v>12.286835118934532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243.38048563215585</v>
      </c>
      <c r="CE81" s="59">
        <f t="shared" si="94"/>
        <v>372.1604147006675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2.8248781681807578</v>
      </c>
      <c r="CL81" s="21">
        <f>EXP(-LN(2)/25)*CL80+(1-EXP(-LN(2)/25))/(LN(2)/25)*Calculateur!CG81*Calculateur!CI81*VLOOKUP('Données projet'!$B$12,Paramètres!$A$1:$I$89,3,0)*0.475*44/12</f>
        <v>5.1166090674842941</v>
      </c>
      <c r="CM81" s="21">
        <f>EXP(-LN(2)/2)*CM80+(1-EXP(-LN(2)/2))/(LN(2)/2)*CG81*CJ81*VLOOKUP('Données projet'!$B$12,Paramètres!$A$1:$I$89,3,0)*0.475*44/12</f>
        <v>1.7473065384126998E-6</v>
      </c>
      <c r="CN81" s="22">
        <f t="shared" si="66"/>
        <v>7.9414889829715909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14.7</v>
      </c>
      <c r="CT81" s="12">
        <f>IF('Données projet'!$A$140&gt;35,CT80+CS81-DB80,IF(A81&lt;'Données projet'!$A$140,$CQ$205^A81,IF(A81='Données projet'!$A$140,'Données projet'!$B$140,CT80+CS81-DB80)))</f>
        <v>723.6000000000007</v>
      </c>
      <c r="CU81" s="17">
        <f>CT81*VLOOKUP('Données projet'!$B$13,Paramètres!$A$1:$I$89,3,0)*VLOOKUP('Données projet'!$B$13,Paramètres!$A$1:$I$89,5,0)</f>
        <v>348.05160000000035</v>
      </c>
      <c r="CV81" s="13">
        <f t="shared" si="95"/>
        <v>81.161185188985826</v>
      </c>
      <c r="CW81" s="20">
        <f t="shared" si="67"/>
        <v>747.54560087081745</v>
      </c>
      <c r="CX81" s="59">
        <f t="shared" si="68"/>
        <v>1040.8789342041507</v>
      </c>
      <c r="CY81" s="59">
        <f ca="1">AVERAGE(OFFSET($CX$3,0,0,'Données projet'!$E$13+1,1))-AVERAGE(OFFSET($H$3,0,0,'Données projet'!$E$13+1,1))</f>
        <v>297.21955661193238</v>
      </c>
      <c r="CZ81" s="59">
        <f t="shared" si="96"/>
        <v>273.69206144662144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2.6043312015619935</v>
      </c>
      <c r="DG81" s="21">
        <f>EXP(-LN(2)/25)*DG80+(1-EXP(-LN(2)/25))/(LN(2)/25)*Calculateur!DB81*Calculateur!DD81*VLOOKUP('Données projet'!$B$13,Paramètres!$A$1:$I$89,3,0)*0.475*44/12</f>
        <v>3.5471242131310654</v>
      </c>
      <c r="DH81" s="21">
        <f>EXP(-LN(2)/2)*DH80+(1-EXP(-LN(2)/2))/(LN(2)/2)*DB81*DE81*VLOOKUP('Données projet'!$B$13,Paramètres!$A$1:$I$89,3,0)*0.475*44/12</f>
        <v>1.2464990275044939E-6</v>
      </c>
      <c r="DI81" s="22">
        <f t="shared" si="69"/>
        <v>6.1514566611920865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265.88951999999961</v>
      </c>
      <c r="DQ81" s="13">
        <f t="shared" si="97"/>
        <v>63.97614434366357</v>
      </c>
      <c r="DR81" s="20">
        <f t="shared" si="70"/>
        <v>574.51603206521338</v>
      </c>
      <c r="DS81" s="59">
        <f t="shared" si="71"/>
        <v>867.84936539854675</v>
      </c>
      <c r="DT81" s="59">
        <f ca="1">AVERAGE(OFFSET($DS$3,0,0,'Données projet'!$E$14+1,1))-AVERAGE(OFFSET($H$3,0,0,'Données projet'!$E$14+1,1))</f>
        <v>260.20517190557814</v>
      </c>
      <c r="DU81" s="59">
        <f t="shared" si="98"/>
        <v>307.22009971147133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1.261172979749041</v>
      </c>
      <c r="EB81" s="21">
        <f>EXP(-LN(2)/25)*EB80+(1-EXP(-LN(2)/25))/(LN(2)/25)*Calculateur!DW81*Calculateur!DY81*VLOOKUP('Données projet'!$B$14,Paramètres!$A$1:$I$89,3,0)*0.475*44/12</f>
        <v>5.4223975663157216</v>
      </c>
      <c r="EC81" s="21">
        <f>EXP(-LN(2)/2)*EC80+(1-EXP(-LN(2)/2))/(LN(2)/2)*DW81*DZ81*VLOOKUP('Données projet'!$B$14,Paramètres!$A$1:$I$89,3,0)*0.475*44/12</f>
        <v>1.4328380973790459E-6</v>
      </c>
      <c r="ED81" s="22">
        <f t="shared" si="72"/>
        <v>6.6835719789028598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8.1999999999999993</v>
      </c>
      <c r="EJ81" s="12">
        <f>IF('Données projet'!$A$192&gt;35,EJ80+EI81-ER80,IF(A81&lt;'Données projet'!$A$192,$EG$205^A81,IF(A81='Données projet'!$A$192,'Données projet'!$B$192,EJ80+EI81-ER80)))</f>
        <v>505.60000000000008</v>
      </c>
      <c r="EK81" s="17">
        <f>EJ81*VLOOKUP('Données projet'!$B$15,Paramètres!$A$1:$I$89,3,0)*VLOOKUP('Données projet'!$B$15,Paramètres!$A$1:$I$89,5,0)</f>
        <v>302.3488000000001</v>
      </c>
      <c r="EL81" s="13">
        <f t="shared" si="99"/>
        <v>71.668638455174857</v>
      </c>
      <c r="EM81" s="20">
        <f t="shared" si="73"/>
        <v>651.4137053094297</v>
      </c>
      <c r="EN81" s="59">
        <f t="shared" si="74"/>
        <v>944.74703864276307</v>
      </c>
      <c r="EO81" s="59">
        <f ca="1">AVERAGE(OFFSET($EN$3,0,0,'Données projet'!$E$15+1,1))-AVERAGE(OFFSET($H$3,0,0,'Données projet'!$E$15+1,1))</f>
        <v>259.30247982593914</v>
      </c>
      <c r="EP81" s="59">
        <f t="shared" si="100"/>
        <v>275.24740346220779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4.7653050251250528</v>
      </c>
      <c r="EX81" s="21">
        <f>EXP(-LN(2)/2)*EX80+(1-EXP(-LN(2)/2))/(LN(2)/2)*ER81*EU81*VLOOKUP('Données projet'!$B$15,Paramètres!$A$1:$I$89,3,0)*0.475*44/12</f>
        <v>1.7094892371812485E-6</v>
      </c>
      <c r="EY81" s="22">
        <f t="shared" si="75"/>
        <v>4.7653067346142901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7.4</v>
      </c>
      <c r="FE81" s="12">
        <f>IF('Données projet'!$A$218&gt;35,FE80+FD81-FM80,IF(A81&lt;'Données projet'!$A$218,$FB$205^A81,IF(A81='Données projet'!$A$218,'Données projet'!$B$218,FE80+FD81-FM80)))</f>
        <v>333.19999999999982</v>
      </c>
      <c r="FF81" s="17">
        <f>FE81*VLOOKUP('Données projet'!$B$16,Paramètres!$A$1:$I$89,3,0)*VLOOKUP('Données projet'!$B$16,Paramètres!$A$1:$I$89,5,0)</f>
        <v>337.86479999999983</v>
      </c>
      <c r="FG81" s="13">
        <f t="shared" si="101"/>
        <v>79.058638967994327</v>
      </c>
      <c r="FH81" s="20">
        <f t="shared" si="76"/>
        <v>726.14165620258984</v>
      </c>
      <c r="FI81" s="59">
        <f t="shared" si="77"/>
        <v>1019.4749895359232</v>
      </c>
      <c r="FJ81" s="59">
        <f ca="1">AVERAGE(OFFSET($FI$3,0,0,'Données projet'!$E$16+1,1))-AVERAGE(OFFSET($H$3,0,0,'Données projet'!$E$16+1,1))</f>
        <v>372.91317851957336</v>
      </c>
      <c r="FK81" s="59">
        <f t="shared" si="102"/>
        <v>269.69187715858413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1.0432788689303936</v>
      </c>
      <c r="FR81" s="21">
        <f>EXP(-LN(2)/25)*FR80+(1-EXP(-LN(2)/25))/(LN(2)/25)*Calculateur!FM81*Calculateur!FO81*VLOOKUP('Données projet'!$B$16,Paramètres!$A$1:$I$89,3,0)*0.475*44/12</f>
        <v>4.0144281492087002</v>
      </c>
      <c r="FS81" s="21">
        <f>EXP(-LN(2)/2)*FS80+(1-EXP(-LN(2)/2))/(LN(2)/2)*FM81*FP81*VLOOKUP('Données projet'!$B$16,Paramètres!$A$1:$I$89,3,0)*0.475*44/12</f>
        <v>1.452200866993328E-6</v>
      </c>
      <c r="FT81" s="22">
        <f t="shared" si="78"/>
        <v>5.0577084703399606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17</v>
      </c>
      <c r="FZ81" s="12">
        <f>IF('Données projet'!$A$244&gt;35,FZ80+FY81-GH80,IF(A81&lt;'Données projet'!$A$244,$FW$205^A81,IF(A81='Données projet'!$A$244,'Données projet'!$B$244,FZ80+FY81-GH80)))</f>
        <v>498.99999999999989</v>
      </c>
      <c r="GA81" s="17">
        <f>FZ81*VLOOKUP('Données projet'!$B$17,Paramètres!$A$1:$I$89,3,0)*VLOOKUP('Données projet'!$B$17,Paramètres!$A$1:$I$89,5,0)</f>
        <v>233.53199999999995</v>
      </c>
      <c r="GB81" s="13">
        <f t="shared" si="103"/>
        <v>57.04570382109808</v>
      </c>
      <c r="GC81" s="20">
        <f t="shared" si="79"/>
        <v>506.08950082174573</v>
      </c>
      <c r="GD81" s="59">
        <f t="shared" si="80"/>
        <v>799.42283415507904</v>
      </c>
      <c r="GE81" s="59">
        <f ca="1">AVERAGE(OFFSET($GD$3,0,0,'Données projet'!$E$17+1,1))-AVERAGE(OFFSET($H$3,0,0,'Données projet'!$E$17+1,1))</f>
        <v>215.23235148064941</v>
      </c>
      <c r="GF81" s="59">
        <f t="shared" si="104"/>
        <v>184.07239726900434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1.2115419136996166</v>
      </c>
      <c r="GM81" s="21">
        <f>EXP(-LN(2)/25)*GM80+(1-EXP(-LN(2)/25))/(LN(2)/25)*Calculateur!GH81*Calculateur!GJ81*VLOOKUP('Données projet'!$B$17,Paramètres!$A$1:$I$89,3,0)*0.475*44/12</f>
        <v>2.0758418847894227</v>
      </c>
      <c r="GN81" s="21">
        <f>EXP(-LN(2)/2)*GN80+(1-EXP(-LN(2)/2))/(LN(2)/2)*GH81*GK81*VLOOKUP('Données projet'!$B$17,Paramètres!$A$1:$I$89,3,0)*0.475*44/12</f>
        <v>5.8604338647699308E-7</v>
      </c>
      <c r="GO81" s="21">
        <f t="shared" si="81"/>
        <v>3.2873843845324258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-1.1368683772161603E-13</v>
      </c>
      <c r="GV81" s="17">
        <f>GU81*VLOOKUP('Données projet'!$B$18,Paramètres!$A$1:$I$89,3,0)*VLOOKUP('Données projet'!$B$18,Paramètres!$A$1:$I$89,5,0)</f>
        <v>-6.7984728957526396E-14</v>
      </c>
      <c r="GW81" s="13" t="e">
        <f t="shared" si="105"/>
        <v>#NUM!</v>
      </c>
      <c r="GX81" s="20" t="e">
        <f t="shared" si="82"/>
        <v>#NUM!</v>
      </c>
      <c r="GY81" s="59" t="e">
        <f t="shared" si="83"/>
        <v>#NUM!</v>
      </c>
      <c r="GZ81" s="59">
        <f ca="1">AVERAGE(OFFSET($GY$3,0,0,'Données projet'!$E$18+1,1))-AVERAGE(OFFSET($H$3,0,0,'Données projet'!$E$18+1,1))</f>
        <v>227.89848316900191</v>
      </c>
      <c r="HA81" s="59">
        <f t="shared" si="106"/>
        <v>239.85955661394541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3.0696659872251169</v>
      </c>
      <c r="HH81" s="21">
        <f>EXP(-LN(2)/25)*HH80+(1-EXP(-LN(2)/25))/(LN(2)/25)*Calculateur!HC81*Calculateur!HE81*VLOOKUP('Données projet'!$B$18,Paramètres!$A$1:$I$89,3,0)*0.475*44/12</f>
        <v>4.5302677019589961</v>
      </c>
      <c r="HI81" s="21">
        <f>EXP(-LN(2)/2)*HI80+(1-EXP(-LN(2)/2))/(LN(2)/2)*HC81*HF81*VLOOKUP('Données projet'!$B$18,Paramètres!$A$1:$I$89,3,0)*0.475*44/12</f>
        <v>3.9956394509033477E-7</v>
      </c>
      <c r="HJ81" s="22">
        <f t="shared" si="84"/>
        <v>7.599934088748058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11.7</v>
      </c>
      <c r="N82" s="13">
        <f>IF('Données projet'!$A$36&gt;35,N81+M82-V81,IF(A82&lt;'Données projet'!$A$36,$K$205^A82,IF(A82='Données projet'!$A$36,'Données projet'!$B$36,N81+M82-V81)))</f>
        <v>707.30000000000041</v>
      </c>
      <c r="O82" s="13">
        <f>N82*VLOOKUP('Données projet'!$B$9,Paramètres!$A$1:$I$89,3,0)*VLOOKUP('Données projet'!$B$9,Paramètres!$A$1:$I$89,5,0)</f>
        <v>395.38070000000027</v>
      </c>
      <c r="P82" s="13">
        <f t="shared" si="87"/>
        <v>90.839540890834357</v>
      </c>
      <c r="Q82" s="20">
        <f t="shared" si="54"/>
        <v>846.83358621820355</v>
      </c>
      <c r="R82" s="59">
        <f t="shared" si="55"/>
        <v>1140.1669195515369</v>
      </c>
      <c r="S82" s="59">
        <f ca="1">AVERAGE(OFFSET($R$3,0,0,'Données projet'!$E$9+1,1))-AVERAGE(OFFSET($H$3,0,0,'Données projet'!$E$9+1,1))</f>
        <v>370.69652285220093</v>
      </c>
      <c r="T82" s="59">
        <f t="shared" si="88"/>
        <v>376.53494965377718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3.8945869176210226</v>
      </c>
      <c r="AA82" s="21">
        <f>EXP(-LN(2)/25)*AA81+(1-EXP(-LN(2)/25))/(LN(2)/25)*Calculateur!V82*Calculateur!X82*VLOOKUP('Données projet'!$B$9,Paramètres!$A$1:$I$89,3,0)*0.475*44/12</f>
        <v>8.5862048839160909</v>
      </c>
      <c r="AB82" s="21">
        <f>EXP(-LN(2)/2)*AB81+(1-EXP(-LN(2)/2))/(LN(2)/2)*V82*Y82*VLOOKUP('Données projet'!$B$9,Paramètres!$A$1:$I$89,3,0)*0.475*44/12</f>
        <v>1.3794564279229045E-6</v>
      </c>
      <c r="AC82" s="22">
        <f t="shared" si="57"/>
        <v>12.480793180993542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308.1748799999998</v>
      </c>
      <c r="AK82" s="13">
        <f t="shared" si="89"/>
        <v>72.887541582684676</v>
      </c>
      <c r="AL82" s="20">
        <f t="shared" si="58"/>
        <v>663.6837175898421</v>
      </c>
      <c r="AM82" s="59">
        <f t="shared" si="59"/>
        <v>957.01705092317547</v>
      </c>
      <c r="AN82" s="59">
        <f ca="1">AVERAGE(OFFSET($AM$3,0,0,'Données projet'!$E$10+1,1))-AVERAGE(OFFSET($H$3,0,0,'Données projet'!$E$10+1,1))</f>
        <v>321.03881567735544</v>
      </c>
      <c r="AO82" s="59">
        <f t="shared" si="90"/>
        <v>234.87694492493506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0.91267087362432042</v>
      </c>
      <c r="AV82" s="21">
        <f>EXP(-LN(2)/25)*AV81+(1-EXP(-LN(2)/25))/(LN(2)/25)*Calculateur!AQ82*Calculateur!AS82*VLOOKUP('Données projet'!$B$10,Paramètres!$A$1:$I$89,3,0)*0.475*44/12</f>
        <v>3.4841522649357102</v>
      </c>
      <c r="AW82" s="21">
        <f>EXP(-LN(2)/2)*AW81+(1-EXP(-LN(2)/2))/(LN(2)/2)*AQ82*AT82*VLOOKUP('Données projet'!$B$10,Paramètres!$A$1:$I$89,3,0)*0.475*44/12</f>
        <v>9.16276041236401E-7</v>
      </c>
      <c r="AX82" s="21">
        <f t="shared" si="60"/>
        <v>4.3968240548360713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</v>
      </c>
      <c r="BD82" s="12">
        <f>IF('Données projet'!$A$88&gt;35,BD81+BC82-BL81,IF(A82&lt;'Données projet'!$A$88,$BA$205^A82,IF(A82='Données projet'!$A$88,'Données projet'!$B$88,BD81+BC82-BL81)))</f>
        <v>478.40000000000055</v>
      </c>
      <c r="BE82" s="13">
        <f>BD82*VLOOKUP('Données projet'!$B$11,Paramètres!$A$1:$I$89,3,0)*VLOOKUP('Données projet'!$B$11,Paramètres!$A$1:$I$89,5,0)</f>
        <v>261.20640000000031</v>
      </c>
      <c r="BF82" s="13">
        <f t="shared" si="91"/>
        <v>62.979464359660597</v>
      </c>
      <c r="BG82" s="20">
        <f t="shared" si="61"/>
        <v>564.62371375974271</v>
      </c>
      <c r="BH82" s="59">
        <f t="shared" si="62"/>
        <v>857.95704709307597</v>
      </c>
      <c r="BI82" s="59">
        <f ca="1">AVERAGE(OFFSET($BH$3,0,0,'Données projet'!$E$11+1,1))-AVERAGE(OFFSET($H$3,0,0,'Données projet'!$E$11+1,1))</f>
        <v>248.1486444660062</v>
      </c>
      <c r="BJ82" s="59">
        <f t="shared" si="92"/>
        <v>293.34458072322127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3.2276492002271473</v>
      </c>
      <c r="BQ82" s="21">
        <f>EXP(-LN(2)/25)*BQ81+(1-EXP(-LN(2)/25))/(LN(2)/25)*Calculateur!BL82*Calculateur!BN82*VLOOKUP('Données projet'!$B$11,Paramètres!$A$1:$I$89,3,0)*0.475*44/12</f>
        <v>8.7486677115521285</v>
      </c>
      <c r="BR82" s="21">
        <f>EXP(-LN(2)/2)*BR81+(1-EXP(-LN(2)/2))/(LN(2)/2)*BL82*BO82*VLOOKUP('Données projet'!$B$11,Paramètres!$A$1:$I$89,3,0)*0.475*44/12</f>
        <v>1.0613598986000497E-6</v>
      </c>
      <c r="BS82" s="22">
        <f t="shared" si="63"/>
        <v>11.976317973139173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243.38048563215585</v>
      </c>
      <c r="CE82" s="59">
        <f t="shared" si="94"/>
        <v>372.1604147006675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2.7694840303082828</v>
      </c>
      <c r="CL82" s="21">
        <f>EXP(-LN(2)/25)*CL81+(1-EXP(-LN(2)/25))/(LN(2)/25)*Calculateur!CG82*Calculateur!CI82*VLOOKUP('Données projet'!$B$12,Paramètres!$A$1:$I$89,3,0)*0.475*44/12</f>
        <v>4.9766951234631591</v>
      </c>
      <c r="CM82" s="21">
        <f>EXP(-LN(2)/2)*CM81+(1-EXP(-LN(2)/2))/(LN(2)/2)*CG82*CJ82*VLOOKUP('Données projet'!$B$12,Paramètres!$A$1:$I$89,3,0)*0.475*44/12</f>
        <v>1.2355323021232127E-6</v>
      </c>
      <c r="CN82" s="22">
        <f t="shared" si="66"/>
        <v>7.7461803893037438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14.7</v>
      </c>
      <c r="CT82" s="12">
        <f>IF('Données projet'!$A$140&gt;35,CT81+CS82-DB81,IF(A82&lt;'Données projet'!$A$140,$CQ$205^A82,IF(A82='Données projet'!$A$140,'Données projet'!$B$140,CT81+CS82-DB81)))</f>
        <v>738.30000000000075</v>
      </c>
      <c r="CU82" s="17">
        <f>CT82*VLOOKUP('Données projet'!$B$13,Paramètres!$A$1:$I$89,3,0)*VLOOKUP('Données projet'!$B$13,Paramètres!$A$1:$I$89,5,0)</f>
        <v>355.12230000000039</v>
      </c>
      <c r="CV82" s="13">
        <f t="shared" si="95"/>
        <v>82.616352474552542</v>
      </c>
      <c r="CW82" s="20">
        <f t="shared" si="67"/>
        <v>762.39481972651311</v>
      </c>
      <c r="CX82" s="59">
        <f t="shared" si="68"/>
        <v>1055.7281530598464</v>
      </c>
      <c r="CY82" s="59">
        <f ca="1">AVERAGE(OFFSET($CX$3,0,0,'Données projet'!$E$13+1,1))-AVERAGE(OFFSET($H$3,0,0,'Données projet'!$E$13+1,1))</f>
        <v>297.21955661193238</v>
      </c>
      <c r="CZ82" s="59">
        <f t="shared" si="96"/>
        <v>273.69206144662144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2.5532618551845458</v>
      </c>
      <c r="DG82" s="21">
        <f>EXP(-LN(2)/25)*DG81+(1-EXP(-LN(2)/25))/(LN(2)/25)*Calculateur!DB82*Calculateur!DD82*VLOOKUP('Données projet'!$B$13,Paramètres!$A$1:$I$89,3,0)*0.475*44/12</f>
        <v>3.4501279149878412</v>
      </c>
      <c r="DH82" s="21">
        <f>EXP(-LN(2)/2)*DH81+(1-EXP(-LN(2)/2))/(LN(2)/2)*DB82*DE82*VLOOKUP('Données projet'!$B$13,Paramètres!$A$1:$I$89,3,0)*0.475*44/12</f>
        <v>8.8140791509086446E-7</v>
      </c>
      <c r="DI82" s="22">
        <f t="shared" si="69"/>
        <v>6.0033906515803013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268.99235999999962</v>
      </c>
      <c r="DQ82" s="13">
        <f t="shared" si="97"/>
        <v>64.63537613607356</v>
      </c>
      <c r="DR82" s="20">
        <f t="shared" si="70"/>
        <v>581.06830710366069</v>
      </c>
      <c r="DS82" s="59">
        <f t="shared" si="71"/>
        <v>874.40164043699406</v>
      </c>
      <c r="DT82" s="59">
        <f ca="1">AVERAGE(OFFSET($DS$3,0,0,'Données projet'!$E$14+1,1))-AVERAGE(OFFSET($H$3,0,0,'Données projet'!$E$14+1,1))</f>
        <v>260.20517190557814</v>
      </c>
      <c r="DU82" s="59">
        <f t="shared" si="98"/>
        <v>307.22009971147133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1.2364421468557238</v>
      </c>
      <c r="EB82" s="21">
        <f>EXP(-LN(2)/25)*EB81+(1-EXP(-LN(2)/25))/(LN(2)/25)*Calculateur!DW82*Calculateur!DY82*VLOOKUP('Données projet'!$B$14,Paramètres!$A$1:$I$89,3,0)*0.475*44/12</f>
        <v>5.2741218197133231</v>
      </c>
      <c r="EC82" s="21">
        <f>EXP(-LN(2)/2)*EC81+(1-EXP(-LN(2)/2))/(LN(2)/2)*DW82*DZ82*VLOOKUP('Données projet'!$B$14,Paramètres!$A$1:$I$89,3,0)*0.475*44/12</f>
        <v>1.013169534999154E-6</v>
      </c>
      <c r="ED82" s="22">
        <f t="shared" si="72"/>
        <v>6.5105649797385814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8.1999999999999993</v>
      </c>
      <c r="EJ82" s="12">
        <f>IF('Données projet'!$A$192&gt;35,EJ81+EI82-ER81,IF(A82&lt;'Données projet'!$A$192,$EG$205^A82,IF(A82='Données projet'!$A$192,'Données projet'!$B$192,EJ81+EI82-ER81)))</f>
        <v>513.80000000000007</v>
      </c>
      <c r="EK82" s="17">
        <f>EJ82*VLOOKUP('Données projet'!$B$15,Paramètres!$A$1:$I$89,3,0)*VLOOKUP('Données projet'!$B$15,Paramètres!$A$1:$I$89,5,0)</f>
        <v>307.25240000000008</v>
      </c>
      <c r="EL82" s="13">
        <f t="shared" si="99"/>
        <v>72.694724960317785</v>
      </c>
      <c r="EM82" s="20">
        <f t="shared" si="73"/>
        <v>661.74124263922022</v>
      </c>
      <c r="EN82" s="59">
        <f t="shared" si="74"/>
        <v>955.07457597255348</v>
      </c>
      <c r="EO82" s="59">
        <f ca="1">AVERAGE(OFFSET($EN$3,0,0,'Données projet'!$E$15+1,1))-AVERAGE(OFFSET($H$3,0,0,'Données projet'!$E$15+1,1))</f>
        <v>259.30247982593914</v>
      </c>
      <c r="EP82" s="59">
        <f t="shared" si="100"/>
        <v>275.24740346220779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4.6349975086165083</v>
      </c>
      <c r="EX82" s="21">
        <f>EXP(-LN(2)/2)*EX81+(1-EXP(-LN(2)/2))/(LN(2)/2)*ER82*EU82*VLOOKUP('Données projet'!$B$15,Paramètres!$A$1:$I$89,3,0)*0.475*44/12</f>
        <v>1.2087914319762791E-6</v>
      </c>
      <c r="EY82" s="22">
        <f t="shared" si="75"/>
        <v>4.6349987174079406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7.4</v>
      </c>
      <c r="FE82" s="12">
        <f>IF('Données projet'!$A$218&gt;35,FE81+FD82-FM81,IF(A82&lt;'Données projet'!$A$218,$FB$205^A82,IF(A82='Données projet'!$A$218,'Données projet'!$B$218,FE81+FD82-FM81)))</f>
        <v>340.5999999999998</v>
      </c>
      <c r="FF82" s="17">
        <f>FE82*VLOOKUP('Données projet'!$B$16,Paramètres!$A$1:$I$89,3,0)*VLOOKUP('Données projet'!$B$16,Paramètres!$A$1:$I$89,5,0)</f>
        <v>345.36839999999984</v>
      </c>
      <c r="FG82" s="13">
        <f t="shared" si="101"/>
        <v>80.60807854801223</v>
      </c>
      <c r="FH82" s="20">
        <f t="shared" si="76"/>
        <v>741.90903347112101</v>
      </c>
      <c r="FI82" s="59">
        <f t="shared" si="77"/>
        <v>1035.2423668044544</v>
      </c>
      <c r="FJ82" s="59">
        <f ca="1">AVERAGE(OFFSET($FI$3,0,0,'Données projet'!$E$16+1,1))-AVERAGE(OFFSET($H$3,0,0,'Données projet'!$E$16+1,1))</f>
        <v>372.91317851957336</v>
      </c>
      <c r="FK82" s="59">
        <f t="shared" si="102"/>
        <v>269.69187715858413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1.0228208066479456</v>
      </c>
      <c r="FR82" s="21">
        <f>EXP(-LN(2)/25)*FR81+(1-EXP(-LN(2)/25))/(LN(2)/25)*Calculateur!FM82*Calculateur!FO82*VLOOKUP('Données projet'!$B$16,Paramètres!$A$1:$I$89,3,0)*0.475*44/12</f>
        <v>3.904653400358987</v>
      </c>
      <c r="FS82" s="21">
        <f>EXP(-LN(2)/2)*FS81+(1-EXP(-LN(2)/2))/(LN(2)/2)*FM82*FP82*VLOOKUP('Données projet'!$B$16,Paramètres!$A$1:$I$89,3,0)*0.475*44/12</f>
        <v>1.0268610806959658E-6</v>
      </c>
      <c r="FT82" s="22">
        <f t="shared" si="78"/>
        <v>4.9274752338680132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17</v>
      </c>
      <c r="FZ82" s="12">
        <f>IF('Données projet'!$A$244&gt;35,FZ81+FY82-GH81,IF(A82&lt;'Données projet'!$A$244,$FW$205^A82,IF(A82='Données projet'!$A$244,'Données projet'!$B$244,FZ81+FY82-GH81)))</f>
        <v>515.99999999999989</v>
      </c>
      <c r="GA82" s="17">
        <f>FZ82*VLOOKUP('Données projet'!$B$17,Paramètres!$A$1:$I$89,3,0)*VLOOKUP('Données projet'!$B$17,Paramètres!$A$1:$I$89,5,0)</f>
        <v>241.48799999999997</v>
      </c>
      <c r="GB82" s="13">
        <f t="shared" si="103"/>
        <v>58.759565673424916</v>
      </c>
      <c r="GC82" s="20">
        <f t="shared" si="79"/>
        <v>522.93117688121504</v>
      </c>
      <c r="GD82" s="59">
        <f t="shared" si="80"/>
        <v>816.26451021454841</v>
      </c>
      <c r="GE82" s="59">
        <f ca="1">AVERAGE(OFFSET($GD$3,0,0,'Données projet'!$E$17+1,1))-AVERAGE(OFFSET($H$3,0,0,'Données projet'!$E$17+1,1))</f>
        <v>215.23235148064941</v>
      </c>
      <c r="GF82" s="59">
        <f t="shared" si="104"/>
        <v>184.07239726900434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1.1877843157395676</v>
      </c>
      <c r="GM82" s="21">
        <f>EXP(-LN(2)/25)*GM81+(1-EXP(-LN(2)/25))/(LN(2)/25)*Calculateur!GH82*Calculateur!GJ82*VLOOKUP('Données projet'!$B$17,Paramètres!$A$1:$I$89,3,0)*0.475*44/12</f>
        <v>2.0190778792860757</v>
      </c>
      <c r="GN82" s="21">
        <f>EXP(-LN(2)/2)*GN81+(1-EXP(-LN(2)/2))/(LN(2)/2)*GH82*GK82*VLOOKUP('Données projet'!$B$17,Paramètres!$A$1:$I$89,3,0)*0.475*44/12</f>
        <v>4.1439525264741046E-7</v>
      </c>
      <c r="GO82" s="21">
        <f t="shared" si="81"/>
        <v>3.2068626094208961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-1.1368683772161603E-13</v>
      </c>
      <c r="GV82" s="17">
        <f>GU82*VLOOKUP('Données projet'!$B$18,Paramètres!$A$1:$I$89,3,0)*VLOOKUP('Données projet'!$B$18,Paramètres!$A$1:$I$89,5,0)</f>
        <v>-6.7984728957526396E-14</v>
      </c>
      <c r="GW82" s="13" t="e">
        <f t="shared" si="105"/>
        <v>#NUM!</v>
      </c>
      <c r="GX82" s="20" t="e">
        <f t="shared" si="82"/>
        <v>#NUM!</v>
      </c>
      <c r="GY82" s="59" t="e">
        <f t="shared" si="83"/>
        <v>#NUM!</v>
      </c>
      <c r="GZ82" s="59">
        <f ca="1">AVERAGE(OFFSET($GY$3,0,0,'Données projet'!$E$18+1,1))-AVERAGE(OFFSET($H$3,0,0,'Données projet'!$E$18+1,1))</f>
        <v>227.89848316900191</v>
      </c>
      <c r="HA82" s="59">
        <f t="shared" si="106"/>
        <v>239.85955661394541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3.0094717095270092</v>
      </c>
      <c r="HH82" s="21">
        <f>EXP(-LN(2)/25)*HH81+(1-EXP(-LN(2)/25))/(LN(2)/25)*Calculateur!HC82*Calculateur!HE82*VLOOKUP('Données projet'!$B$18,Paramètres!$A$1:$I$89,3,0)*0.475*44/12</f>
        <v>4.4063872934125028</v>
      </c>
      <c r="HI82" s="21">
        <f>EXP(-LN(2)/2)*HI81+(1-EXP(-LN(2)/2))/(LN(2)/2)*HC82*HF82*VLOOKUP('Données projet'!$B$18,Paramètres!$A$1:$I$89,3,0)*0.475*44/12</f>
        <v>2.8253437509102504E-7</v>
      </c>
      <c r="HJ82" s="22">
        <f t="shared" si="84"/>
        <v>7.4158592854738874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719</v>
      </c>
      <c r="L83" s="12">
        <f>VLOOKUP(A83,'Données projet'!$A$35:$I$55,9,0)</f>
        <v>11.7</v>
      </c>
      <c r="M83" s="12">
        <f t="array" ref="M83">INDEX(L:L,MIN(IF(ISNUMBER(L83:L279),ROW(L83:L279),"")))</f>
        <v>11.7</v>
      </c>
      <c r="N83" s="13">
        <f>IF('Données projet'!$A$36&gt;35,N82+M83-V82,IF(A83&lt;'Données projet'!$A$36,$K$205^A83,IF(A83='Données projet'!$A$36,'Données projet'!$B$36,N82+M83-V82)))</f>
        <v>719.00000000000045</v>
      </c>
      <c r="O83" s="13">
        <f>N83*VLOOKUP('Données projet'!$B$9,Paramètres!$A$1:$I$89,3,0)*VLOOKUP('Données projet'!$B$9,Paramètres!$A$1:$I$89,5,0)</f>
        <v>401.92100000000028</v>
      </c>
      <c r="P83" s="13">
        <f t="shared" si="87"/>
        <v>92.166009830286299</v>
      </c>
      <c r="Q83" s="20">
        <f t="shared" si="54"/>
        <v>860.53487545441567</v>
      </c>
      <c r="R83" s="59">
        <f t="shared" si="55"/>
        <v>1153.8682087877489</v>
      </c>
      <c r="S83" s="59">
        <f ca="1">AVERAGE(OFFSET($R$3,0,0,'Données projet'!$E$9+1,1))-AVERAGE(OFFSET($H$3,0,0,'Données projet'!$E$9+1,1))</f>
        <v>370.69652285220093</v>
      </c>
      <c r="T83" s="59">
        <f t="shared" si="88"/>
        <v>376.53494965377718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719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3.8182164436299364</v>
      </c>
      <c r="AA83" s="21">
        <f>EXP(-LN(2)/25)*AA82+(1-EXP(-LN(2)/25))/(LN(2)/25)*Calculateur!V83*Calculateur!X83*VLOOKUP('Données projet'!$B$9,Paramètres!$A$1:$I$89,3,0)*0.475*44/12</f>
        <v>8.3514146598365144</v>
      </c>
      <c r="AB83" s="21">
        <f>EXP(-LN(2)/2)*AB82+(1-EXP(-LN(2)/2))/(LN(2)/2)*V83*Y83*VLOOKUP('Données projet'!$B$9,Paramètres!$A$1:$I$89,3,0)*0.475*44/12</f>
        <v>9.754229945356577E-7</v>
      </c>
      <c r="AC83" s="22">
        <f t="shared" si="57"/>
        <v>12.169632078889444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314.87039999999979</v>
      </c>
      <c r="AK83" s="13">
        <f t="shared" si="89"/>
        <v>74.285038887149881</v>
      </c>
      <c r="AL83" s="20">
        <f t="shared" si="58"/>
        <v>677.7790560617857</v>
      </c>
      <c r="AM83" s="59">
        <f t="shared" si="59"/>
        <v>971.11238939511895</v>
      </c>
      <c r="AN83" s="59">
        <f ca="1">AVERAGE(OFFSET($AM$3,0,0,'Données projet'!$E$10+1,1))-AVERAGE(OFFSET($H$3,0,0,'Données projet'!$E$10+1,1))</f>
        <v>321.03881567735544</v>
      </c>
      <c r="AO83" s="59">
        <f t="shared" si="90"/>
        <v>234.87694492493506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0.8947739544668134</v>
      </c>
      <c r="AV83" s="21">
        <f>EXP(-LN(2)/25)*AV82+(1-EXP(-LN(2)/25))/(LN(2)/25)*Calculateur!AQ83*Calculateur!AS83*VLOOKUP('Données projet'!$B$10,Paramètres!$A$1:$I$89,3,0)*0.475*44/12</f>
        <v>3.3888779380274388</v>
      </c>
      <c r="AW83" s="21">
        <f>EXP(-LN(2)/2)*AW82+(1-EXP(-LN(2)/2))/(LN(2)/2)*AQ83*AT83*VLOOKUP('Données projet'!$B$10,Paramètres!$A$1:$I$89,3,0)*0.475*44/12</f>
        <v>6.4790500219702379E-7</v>
      </c>
      <c r="AX83" s="21">
        <f t="shared" si="60"/>
        <v>4.2836525403992542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487</v>
      </c>
      <c r="BB83" s="12">
        <f>VLOOKUP(A83,'Données projet'!$A$87:$I$107,9,0)</f>
        <v>8.6</v>
      </c>
      <c r="BC83" s="12">
        <f t="array" ref="BC83">INDEX(BB:BB,MIN(IF(ISNUMBER(BB83:BB279),ROW(BB83:BB279),"")))</f>
        <v>8.6</v>
      </c>
      <c r="BD83" s="12">
        <f>IF('Données projet'!$A$88&gt;35,BD82+BC83-BL82,IF(A83&lt;'Données projet'!$A$88,$BA$205^A83,IF(A83='Données projet'!$A$88,'Données projet'!$B$88,BD82+BC83-BL82)))</f>
        <v>487.00000000000057</v>
      </c>
      <c r="BE83" s="13">
        <f>BD83*VLOOKUP('Données projet'!$B$11,Paramètres!$A$1:$I$89,3,0)*VLOOKUP('Données projet'!$B$11,Paramètres!$A$1:$I$89,5,0)</f>
        <v>265.90200000000027</v>
      </c>
      <c r="BF83" s="13">
        <f t="shared" si="91"/>
        <v>63.978797641171262</v>
      </c>
      <c r="BG83" s="20">
        <f t="shared" si="61"/>
        <v>574.54238922504044</v>
      </c>
      <c r="BH83" s="59">
        <f t="shared" si="62"/>
        <v>867.87572255837381</v>
      </c>
      <c r="BI83" s="59">
        <f ca="1">AVERAGE(OFFSET($BH$3,0,0,'Données projet'!$E$11+1,1))-AVERAGE(OFFSET($H$3,0,0,'Données projet'!$E$11+1,1))</f>
        <v>248.1486444660062</v>
      </c>
      <c r="BJ83" s="59">
        <f t="shared" si="92"/>
        <v>293.34458072322127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487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3.1643569680823149</v>
      </c>
      <c r="BQ83" s="21">
        <f>EXP(-LN(2)/25)*BQ82+(1-EXP(-LN(2)/25))/(LN(2)/25)*Calculateur!BL83*Calculateur!BN83*VLOOKUP('Données projet'!$B$11,Paramètres!$A$1:$I$89,3,0)*0.475*44/12</f>
        <v>8.5094349329072951</v>
      </c>
      <c r="BR83" s="21">
        <f>EXP(-LN(2)/2)*BR82+(1-EXP(-LN(2)/2))/(LN(2)/2)*BL83*BO83*VLOOKUP('Données projet'!$B$11,Paramètres!$A$1:$I$89,3,0)*0.475*44/12</f>
        <v>7.5049478157956162E-7</v>
      </c>
      <c r="BS83" s="22">
        <f t="shared" si="63"/>
        <v>11.673792651484391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243.38048563215585</v>
      </c>
      <c r="CE83" s="59">
        <f t="shared" si="94"/>
        <v>372.1604147006675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2.7151761376923993</v>
      </c>
      <c r="CL83" s="21">
        <f>EXP(-LN(2)/25)*CL82+(1-EXP(-LN(2)/25))/(LN(2)/25)*Calculateur!CG83*Calculateur!CI83*VLOOKUP('Données projet'!$B$12,Paramètres!$A$1:$I$89,3,0)*0.475*44/12</f>
        <v>4.840607133599037</v>
      </c>
      <c r="CM83" s="21">
        <f>EXP(-LN(2)/2)*CM82+(1-EXP(-LN(2)/2))/(LN(2)/2)*CG83*CJ83*VLOOKUP('Données projet'!$B$12,Paramètres!$A$1:$I$89,3,0)*0.475*44/12</f>
        <v>8.7365326920634992E-7</v>
      </c>
      <c r="CN83" s="22">
        <f t="shared" si="66"/>
        <v>7.5557841449447052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753</v>
      </c>
      <c r="CR83" s="12">
        <f>VLOOKUP(A83,'Données projet'!$A$139:$I$159,9,0)</f>
        <v>14.7</v>
      </c>
      <c r="CS83" s="12">
        <f t="array" ref="CS83">INDEX(CR:CR,MIN(IF(ISNUMBER(CR83:CR279),ROW(CR83:CR279),"")))</f>
        <v>14.7</v>
      </c>
      <c r="CT83" s="12">
        <f>IF('Données projet'!$A$140&gt;35,CT82+CS83-DB82,IF(A83&lt;'Données projet'!$A$140,$CQ$205^A83,IF(A83='Données projet'!$A$140,'Données projet'!$B$140,CT82+CS83-DB82)))</f>
        <v>753.0000000000008</v>
      </c>
      <c r="CU83" s="17">
        <f>CT83*VLOOKUP('Données projet'!$B$13,Paramètres!$A$1:$I$89,3,0)*VLOOKUP('Données projet'!$B$13,Paramètres!$A$1:$I$89,5,0)</f>
        <v>362.19300000000038</v>
      </c>
      <c r="CV83" s="13">
        <f t="shared" si="95"/>
        <v>84.068150942182896</v>
      </c>
      <c r="CW83" s="20">
        <f t="shared" si="67"/>
        <v>777.23817122430262</v>
      </c>
      <c r="CX83" s="59">
        <f t="shared" si="68"/>
        <v>1070.571504557636</v>
      </c>
      <c r="CY83" s="59">
        <f ca="1">AVERAGE(OFFSET($CX$3,0,0,'Données projet'!$E$13+1,1))-AVERAGE(OFFSET($H$3,0,0,'Données projet'!$E$13+1,1))</f>
        <v>297.21955661193238</v>
      </c>
      <c r="CZ83" s="59">
        <f t="shared" si="96"/>
        <v>273.69206144662144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753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2.5031939475403342</v>
      </c>
      <c r="DG83" s="21">
        <f>EXP(-LN(2)/25)*DG82+(1-EXP(-LN(2)/25))/(LN(2)/25)*Calculateur!DB83*Calculateur!DD83*VLOOKUP('Données projet'!$B$13,Paramètres!$A$1:$I$89,3,0)*0.475*44/12</f>
        <v>3.3557839857181571</v>
      </c>
      <c r="DH83" s="21">
        <f>EXP(-LN(2)/2)*DH82+(1-EXP(-LN(2)/2))/(LN(2)/2)*DB83*DE83*VLOOKUP('Données projet'!$B$13,Paramètres!$A$1:$I$89,3,0)*0.475*44/12</f>
        <v>6.2324951375224695E-7</v>
      </c>
      <c r="DI83" s="22">
        <f t="shared" si="69"/>
        <v>5.8589785565080046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272.09519999999958</v>
      </c>
      <c r="DQ83" s="13">
        <f t="shared" si="97"/>
        <v>65.293723364568322</v>
      </c>
      <c r="DR83" s="20">
        <f t="shared" si="70"/>
        <v>587.61904152662237</v>
      </c>
      <c r="DS83" s="59">
        <f t="shared" si="71"/>
        <v>880.95237485995563</v>
      </c>
      <c r="DT83" s="59">
        <f ca="1">AVERAGE(OFFSET($DS$3,0,0,'Données projet'!$E$14+1,1))-AVERAGE(OFFSET($H$3,0,0,'Données projet'!$E$14+1,1))</f>
        <v>260.20517190557814</v>
      </c>
      <c r="DU83" s="59">
        <f t="shared" si="98"/>
        <v>307.22009971147133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1.212196270511126</v>
      </c>
      <c r="EB83" s="21">
        <f>EXP(-LN(2)/25)*EB82+(1-EXP(-LN(2)/25))/(LN(2)/25)*Calculateur!DW83*Calculateur!DY83*VLOOKUP('Données projet'!$B$14,Paramètres!$A$1:$I$89,3,0)*0.475*44/12</f>
        <v>5.12990068119925</v>
      </c>
      <c r="EC83" s="21">
        <f>EXP(-LN(2)/2)*EC82+(1-EXP(-LN(2)/2))/(LN(2)/2)*DW83*DZ83*VLOOKUP('Données projet'!$B$14,Paramètres!$A$1:$I$89,3,0)*0.475*44/12</f>
        <v>7.1641904868952293E-7</v>
      </c>
      <c r="ED83" s="22">
        <f t="shared" si="72"/>
        <v>6.3420976681294245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522</v>
      </c>
      <c r="EH83" s="12">
        <f>VLOOKUP(A83,'Données projet'!$A$191:$I$211,9,0)</f>
        <v>8.1999999999999993</v>
      </c>
      <c r="EI83" s="12">
        <f t="array" ref="EI83">INDEX(EH:EH,MIN(IF(ISNUMBER(EH83:EH279),ROW(EH83:EH279),"")))</f>
        <v>8.1999999999999993</v>
      </c>
      <c r="EJ83" s="12">
        <f>IF('Données projet'!$A$192&gt;35,EJ82+EI83-ER82,IF(A83&lt;'Données projet'!$A$192,$EG$205^A83,IF(A83='Données projet'!$A$192,'Données projet'!$B$192,EJ82+EI83-ER82)))</f>
        <v>522.00000000000011</v>
      </c>
      <c r="EK83" s="17">
        <f>EJ83*VLOOKUP('Données projet'!$B$15,Paramètres!$A$1:$I$89,3,0)*VLOOKUP('Données projet'!$B$15,Paramètres!$A$1:$I$89,5,0)</f>
        <v>312.15600000000006</v>
      </c>
      <c r="EL83" s="13">
        <f t="shared" si="99"/>
        <v>73.718907001002549</v>
      </c>
      <c r="EM83" s="20">
        <f t="shared" si="73"/>
        <v>672.06546302674622</v>
      </c>
      <c r="EN83" s="59">
        <f t="shared" si="74"/>
        <v>965.39879636007959</v>
      </c>
      <c r="EO83" s="59">
        <f ca="1">AVERAGE(OFFSET($EN$3,0,0,'Données projet'!$E$15+1,1))-AVERAGE(OFFSET($H$3,0,0,'Données projet'!$E$15+1,1))</f>
        <v>259.30247982593914</v>
      </c>
      <c r="EP83" s="59">
        <f t="shared" si="100"/>
        <v>275.24740346220779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522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4.5082532579994643</v>
      </c>
      <c r="EX83" s="21">
        <f>EXP(-LN(2)/2)*EX82+(1-EXP(-LN(2)/2))/(LN(2)/2)*ER83*EU83*VLOOKUP('Données projet'!$B$15,Paramètres!$A$1:$I$89,3,0)*0.475*44/12</f>
        <v>8.5474461859062423E-7</v>
      </c>
      <c r="EY83" s="22">
        <f t="shared" si="75"/>
        <v>4.5082541127440825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348</v>
      </c>
      <c r="FC83" s="12">
        <f>VLOOKUP(A83,'Données projet'!$A$217:$I$237,9,0)</f>
        <v>7.4</v>
      </c>
      <c r="FD83" s="12">
        <f t="array" ref="FD83">INDEX(FC:FC,MIN(IF(ISNUMBER(FC83:FC279),ROW(FC83:FC279),"")))</f>
        <v>7.4</v>
      </c>
      <c r="FE83" s="12">
        <f>IF('Données projet'!$A$218&gt;35,FE82+FD83-FM82,IF(A83&lt;'Données projet'!$A$218,$FB$205^A83,IF(A83='Données projet'!$A$218,'Données projet'!$B$218,FE82+FD83-FM82)))</f>
        <v>347.99999999999977</v>
      </c>
      <c r="FF83" s="17">
        <f>FE83*VLOOKUP('Données projet'!$B$16,Paramètres!$A$1:$I$89,3,0)*VLOOKUP('Données projet'!$B$16,Paramètres!$A$1:$I$89,5,0)</f>
        <v>352.87199999999979</v>
      </c>
      <c r="FG83" s="13">
        <f t="shared" si="101"/>
        <v>82.153604299641287</v>
      </c>
      <c r="FH83" s="20">
        <f t="shared" si="76"/>
        <v>757.6695941552083</v>
      </c>
      <c r="FI83" s="59">
        <f t="shared" si="77"/>
        <v>1051.0029274885417</v>
      </c>
      <c r="FJ83" s="59">
        <f ca="1">AVERAGE(OFFSET($FI$3,0,0,'Données projet'!$E$16+1,1))-AVERAGE(OFFSET($H$3,0,0,'Données projet'!$E$16+1,1))</f>
        <v>372.91317851957336</v>
      </c>
      <c r="FK83" s="59">
        <f t="shared" si="102"/>
        <v>269.69187715858413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56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1.0027639144886704</v>
      </c>
      <c r="FR83" s="21">
        <f>EXP(-LN(2)/25)*FR82+(1-EXP(-LN(2)/25))/(LN(2)/25)*Calculateur!FM83*Calculateur!FO83*VLOOKUP('Données projet'!$B$16,Paramètres!$A$1:$I$89,3,0)*0.475*44/12</f>
        <v>3.7978804477893724</v>
      </c>
      <c r="FS83" s="21">
        <f>EXP(-LN(2)/2)*FS82+(1-EXP(-LN(2)/2))/(LN(2)/2)*FM83*FP83*VLOOKUP('Données projet'!$B$16,Paramètres!$A$1:$I$89,3,0)*0.475*44/12</f>
        <v>7.2610043349666402E-7</v>
      </c>
      <c r="FT83" s="22">
        <f t="shared" si="78"/>
        <v>4.8006450883784755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533</v>
      </c>
      <c r="FX83" s="12">
        <f>VLOOKUP(A83,'Données projet'!$A$243:$I$263,9,0)</f>
        <v>17</v>
      </c>
      <c r="FY83" s="12">
        <f t="array" ref="FY83">INDEX(FX:FX,MIN(IF(ISNUMBER(FX83:FX279),ROW(FX83:FX279),"")))</f>
        <v>17</v>
      </c>
      <c r="FZ83" s="12">
        <f>IF('Données projet'!$A$244&gt;35,FZ82+FY83-GH82,IF(A83&lt;'Données projet'!$A$244,$FW$205^A83,IF(A83='Données projet'!$A$244,'Données projet'!$B$244,FZ82+FY83-GH82)))</f>
        <v>532.99999999999989</v>
      </c>
      <c r="GA83" s="17">
        <f>FZ83*VLOOKUP('Données projet'!$B$17,Paramètres!$A$1:$I$89,3,0)*VLOOKUP('Données projet'!$B$17,Paramètres!$A$1:$I$89,5,0)</f>
        <v>249.44399999999993</v>
      </c>
      <c r="GB83" s="13">
        <f t="shared" si="103"/>
        <v>60.466866397117599</v>
      </c>
      <c r="GC83" s="20">
        <f t="shared" si="79"/>
        <v>539.76142564164627</v>
      </c>
      <c r="GD83" s="59">
        <f t="shared" si="80"/>
        <v>833.09475897497964</v>
      </c>
      <c r="GE83" s="59">
        <f ca="1">AVERAGE(OFFSET($GD$3,0,0,'Données projet'!$E$17+1,1))-AVERAGE(OFFSET($H$3,0,0,'Données projet'!$E$17+1,1))</f>
        <v>215.23235148064941</v>
      </c>
      <c r="GF83" s="59">
        <f t="shared" si="104"/>
        <v>184.07239726900434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83.4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1.1644925897848111</v>
      </c>
      <c r="GM83" s="21">
        <f>EXP(-LN(2)/25)*GM82+(1-EXP(-LN(2)/25))/(LN(2)/25)*Calculateur!GH83*Calculateur!GJ83*VLOOKUP('Données projet'!$B$17,Paramètres!$A$1:$I$89,3,0)*0.475*44/12</f>
        <v>1.963866088498307</v>
      </c>
      <c r="GN83" s="21">
        <f>EXP(-LN(2)/2)*GN82+(1-EXP(-LN(2)/2))/(LN(2)/2)*GH83*GK83*VLOOKUP('Données projet'!$B$17,Paramètres!$A$1:$I$89,3,0)*0.475*44/12</f>
        <v>2.9302169323849654E-7</v>
      </c>
      <c r="GO83" s="21">
        <f t="shared" si="81"/>
        <v>3.1283589713048112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-1.1368683772161603E-13</v>
      </c>
      <c r="GV83" s="17">
        <f>GU83*VLOOKUP('Données projet'!$B$18,Paramètres!$A$1:$I$89,3,0)*VLOOKUP('Données projet'!$B$18,Paramètres!$A$1:$I$89,5,0)</f>
        <v>-6.7984728957526396E-14</v>
      </c>
      <c r="GW83" s="13" t="e">
        <f t="shared" si="105"/>
        <v>#NUM!</v>
      </c>
      <c r="GX83" s="20" t="e">
        <f t="shared" si="82"/>
        <v>#NUM!</v>
      </c>
      <c r="GY83" s="59" t="e">
        <f t="shared" si="83"/>
        <v>#NUM!</v>
      </c>
      <c r="GZ83" s="59">
        <f ca="1">AVERAGE(OFFSET($GY$3,0,0,'Données projet'!$E$18+1,1))-AVERAGE(OFFSET($H$3,0,0,'Données projet'!$E$18+1,1))</f>
        <v>227.89848316900191</v>
      </c>
      <c r="HA83" s="59">
        <f t="shared" si="106"/>
        <v>239.85955661394541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2.9504578048996772</v>
      </c>
      <c r="HH83" s="21">
        <f>EXP(-LN(2)/25)*HH82+(1-EXP(-LN(2)/25))/(LN(2)/25)*Calculateur!HC83*Calculateur!HE83*VLOOKUP('Données projet'!$B$18,Paramètres!$A$1:$I$89,3,0)*0.475*44/12</f>
        <v>4.2858944011523015</v>
      </c>
      <c r="HI83" s="21">
        <f>EXP(-LN(2)/2)*HI82+(1-EXP(-LN(2)/2))/(LN(2)/2)*HC83*HF83*VLOOKUP('Données projet'!$B$18,Paramètres!$A$1:$I$89,3,0)*0.475*44/12</f>
        <v>1.9978197254516738E-7</v>
      </c>
      <c r="HJ83" s="22">
        <f t="shared" si="84"/>
        <v>7.2363524058339515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2.5420376914553347E-13</v>
      </c>
      <c r="P84" s="13">
        <f t="shared" si="87"/>
        <v>3.4258699088369875E-12</v>
      </c>
      <c r="Q84" s="20">
        <f t="shared" si="54"/>
        <v>6.4094616558195571E-12</v>
      </c>
      <c r="R84" s="59">
        <f t="shared" si="55"/>
        <v>293.33333333333974</v>
      </c>
      <c r="S84" s="59">
        <f ca="1">AVERAGE(OFFSET($R$3,0,0,'Données projet'!$E$9+1,1))-AVERAGE(OFFSET($H$3,0,0,'Données projet'!$E$9+1,1))</f>
        <v>370.69652285220093</v>
      </c>
      <c r="T84" s="59">
        <f t="shared" si="88"/>
        <v>376.53494965377718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3.743343548052426</v>
      </c>
      <c r="AA84" s="21">
        <f>EXP(-LN(2)/25)*AA83+(1-EXP(-LN(2)/25))/(LN(2)/25)*Calculateur!V84*Calculateur!X84*VLOOKUP('Données projet'!$B$9,Paramètres!$A$1:$I$89,3,0)*0.475*44/12</f>
        <v>8.1230447867814757</v>
      </c>
      <c r="AB84" s="21">
        <f>EXP(-LN(2)/2)*AB83+(1-EXP(-LN(2)/2))/(LN(2)/2)*V84*Y84*VLOOKUP('Données projet'!$B$9,Paramètres!$A$1:$I$89,3,0)*0.475*44/12</f>
        <v>6.8972821396145227E-7</v>
      </c>
      <c r="AC84" s="22">
        <f t="shared" si="57"/>
        <v>11.866389024562116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270.17327999999981</v>
      </c>
      <c r="AK84" s="13">
        <f t="shared" si="89"/>
        <v>64.886042303882988</v>
      </c>
      <c r="AL84" s="20">
        <f t="shared" si="58"/>
        <v>583.56165301259591</v>
      </c>
      <c r="AM84" s="59">
        <f t="shared" si="59"/>
        <v>876.89498634592928</v>
      </c>
      <c r="AN84" s="59">
        <f ca="1">AVERAGE(OFFSET($AM$3,0,0,'Données projet'!$E$10+1,1))-AVERAGE(OFFSET($H$3,0,0,'Données projet'!$E$10+1,1))</f>
        <v>321.03881567735544</v>
      </c>
      <c r="AO84" s="59">
        <f t="shared" si="90"/>
        <v>234.87694492493506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0.87722798297794224</v>
      </c>
      <c r="AV84" s="21">
        <f>EXP(-LN(2)/25)*AV83+(1-EXP(-LN(2)/25))/(LN(2)/25)*Calculateur!AQ84*Calculateur!AS84*VLOOKUP('Données projet'!$B$10,Paramètres!$A$1:$I$89,3,0)*0.475*44/12</f>
        <v>3.2962088925987332</v>
      </c>
      <c r="AW84" s="21">
        <f>EXP(-LN(2)/2)*AW83+(1-EXP(-LN(2)/2))/(LN(2)/2)*AQ84*AT84*VLOOKUP('Données projet'!$B$10,Paramètres!$A$1:$I$89,3,0)*0.475*44/12</f>
        <v>4.581380206182005E-7</v>
      </c>
      <c r="AX84" s="21">
        <f t="shared" si="60"/>
        <v>4.1734373337146966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5.6843418860808015E-13</v>
      </c>
      <c r="BE84" s="13">
        <f>BD84*VLOOKUP('Données projet'!$B$11,Paramètres!$A$1:$I$89,3,0)*VLOOKUP('Données projet'!$B$11,Paramètres!$A$1:$I$89,5,0)</f>
        <v>3.1036506698001181E-13</v>
      </c>
      <c r="BF84" s="13">
        <f t="shared" si="91"/>
        <v>4.086682523110923E-12</v>
      </c>
      <c r="BG84" s="20">
        <f t="shared" si="61"/>
        <v>7.6581912194083782E-12</v>
      </c>
      <c r="BH84" s="59">
        <f t="shared" si="62"/>
        <v>293.33333333334099</v>
      </c>
      <c r="BI84" s="59">
        <f ca="1">AVERAGE(OFFSET($BH$3,0,0,'Données projet'!$E$11+1,1))-AVERAGE(OFFSET($H$3,0,0,'Données projet'!$E$11+1,1))</f>
        <v>248.1486444660062</v>
      </c>
      <c r="BJ84" s="59">
        <f t="shared" si="92"/>
        <v>293.34458072322127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3.1023058580053928</v>
      </c>
      <c r="BQ84" s="21">
        <f>EXP(-LN(2)/25)*BQ83+(1-EXP(-LN(2)/25))/(LN(2)/25)*Calculateur!BL84*Calculateur!BN84*VLOOKUP('Données projet'!$B$11,Paramètres!$A$1:$I$89,3,0)*0.475*44/12</f>
        <v>8.2767439871752106</v>
      </c>
      <c r="BR84" s="21">
        <f>EXP(-LN(2)/2)*BR83+(1-EXP(-LN(2)/2))/(LN(2)/2)*BL84*BO84*VLOOKUP('Données projet'!$B$11,Paramètres!$A$1:$I$89,3,0)*0.475*44/12</f>
        <v>5.3067994930002485E-7</v>
      </c>
      <c r="BS84" s="22">
        <f t="shared" si="63"/>
        <v>11.379050375860553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243.38048563215585</v>
      </c>
      <c r="CE84" s="59">
        <f t="shared" si="94"/>
        <v>372.1604147006675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2.6619331897261698</v>
      </c>
      <c r="CL84" s="21">
        <f>EXP(-LN(2)/25)*CL83+(1-EXP(-LN(2)/25))/(LN(2)/25)*Calculateur!CG84*Calculateur!CI84*VLOOKUP('Données projet'!$B$12,Paramètres!$A$1:$I$89,3,0)*0.475*44/12</f>
        <v>4.7082404769743054</v>
      </c>
      <c r="CM84" s="21">
        <f>EXP(-LN(2)/2)*CM83+(1-EXP(-LN(2)/2))/(LN(2)/2)*CG84*CJ84*VLOOKUP('Données projet'!$B$12,Paramètres!$A$1:$I$89,3,0)*0.475*44/12</f>
        <v>6.1776615106160637E-7</v>
      </c>
      <c r="CN84" s="22">
        <f t="shared" si="66"/>
        <v>7.3701742844666267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7.9580786405131221E-13</v>
      </c>
      <c r="CU84" s="17">
        <f>CT84*VLOOKUP('Données projet'!$B$13,Paramètres!$A$1:$I$89,3,0)*VLOOKUP('Données projet'!$B$13,Paramètres!$A$1:$I$89,5,0)</f>
        <v>3.8278358260868117E-13</v>
      </c>
      <c r="CV84" s="13">
        <f t="shared" si="95"/>
        <v>4.9186917125089072E-12</v>
      </c>
      <c r="CW84" s="20">
        <f t="shared" si="67"/>
        <v>9.2334028056631319E-12</v>
      </c>
      <c r="CX84" s="59">
        <f t="shared" si="68"/>
        <v>293.33333333334252</v>
      </c>
      <c r="CY84" s="59">
        <f ca="1">AVERAGE(OFFSET($CX$3,0,0,'Données projet'!$E$13+1,1))-AVERAGE(OFFSET($H$3,0,0,'Données projet'!$E$13+1,1))</f>
        <v>297.21955661193238</v>
      </c>
      <c r="CZ84" s="59">
        <f t="shared" si="96"/>
        <v>273.69206144662144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2.4541078410266177</v>
      </c>
      <c r="DG84" s="21">
        <f>EXP(-LN(2)/25)*DG83+(1-EXP(-LN(2)/25))/(LN(2)/25)*Calculateur!DB84*Calculateur!DD84*VLOOKUP('Données projet'!$B$13,Paramètres!$A$1:$I$89,3,0)*0.475*44/12</f>
        <v>3.2640198961556841</v>
      </c>
      <c r="DH84" s="21">
        <f>EXP(-LN(2)/2)*DH83+(1-EXP(-LN(2)/2))/(LN(2)/2)*DB84*DE84*VLOOKUP('Données projet'!$B$13,Paramètres!$A$1:$I$89,3,0)*0.475*44/12</f>
        <v>4.4070395754543223E-7</v>
      </c>
      <c r="DI84" s="22">
        <f t="shared" si="69"/>
        <v>5.7181281778862596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-4.0702161641092972E-13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260.20517190557814</v>
      </c>
      <c r="DU84" s="59">
        <f t="shared" si="98"/>
        <v>307.22009971147133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1.1884258410131214</v>
      </c>
      <c r="EB84" s="21">
        <f>EXP(-LN(2)/25)*EB83+(1-EXP(-LN(2)/25))/(LN(2)/25)*Calculateur!DW84*Calculateur!DY84*VLOOKUP('Données projet'!$B$14,Paramètres!$A$1:$I$89,3,0)*0.475*44/12</f>
        <v>4.9896232773021039</v>
      </c>
      <c r="EC84" s="21">
        <f>EXP(-LN(2)/2)*EC83+(1-EXP(-LN(2)/2))/(LN(2)/2)*DW84*DZ84*VLOOKUP('Données projet'!$B$14,Paramètres!$A$1:$I$89,3,0)*0.475*44/12</f>
        <v>5.0658476749957702E-7</v>
      </c>
      <c r="ED84" s="22">
        <f t="shared" si="72"/>
        <v>6.1780496248999937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1.1368683772161603E-13</v>
      </c>
      <c r="EK84" s="17">
        <f>EJ84*VLOOKUP('Données projet'!$B$15,Paramètres!$A$1:$I$89,3,0)*VLOOKUP('Données projet'!$B$15,Paramètres!$A$1:$I$89,5,0)</f>
        <v>6.7984728957526396E-14</v>
      </c>
      <c r="EL84" s="13">
        <f t="shared" si="99"/>
        <v>1.0682447123141398E-12</v>
      </c>
      <c r="EM84" s="20">
        <f t="shared" si="73"/>
        <v>1.978932943548152E-12</v>
      </c>
      <c r="EN84" s="59">
        <f t="shared" si="74"/>
        <v>293.3333333333353</v>
      </c>
      <c r="EO84" s="59">
        <f ca="1">AVERAGE(OFFSET($EN$3,0,0,'Données projet'!$E$15+1,1))-AVERAGE(OFFSET($H$3,0,0,'Données projet'!$E$15+1,1))</f>
        <v>259.30247982593914</v>
      </c>
      <c r="EP84" s="59">
        <f t="shared" si="100"/>
        <v>275.24740346220779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4.3849748355807341</v>
      </c>
      <c r="EX84" s="21">
        <f>EXP(-LN(2)/2)*EX83+(1-EXP(-LN(2)/2))/(LN(2)/2)*ER84*EU84*VLOOKUP('Données projet'!$B$15,Paramètres!$A$1:$I$89,3,0)*0.475*44/12</f>
        <v>6.0439571598813954E-7</v>
      </c>
      <c r="EY84" s="22">
        <f t="shared" si="75"/>
        <v>4.3849754399764498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6.6</v>
      </c>
      <c r="FE84" s="12">
        <f>IF('Données projet'!$A$218&gt;35,FE83+FD84-FM83,IF(A84&lt;'Données projet'!$A$218,$FB$205^A84,IF(A84='Données projet'!$A$218,'Données projet'!$B$218,FE83+FD84-FM83)))</f>
        <v>298.5999999999998</v>
      </c>
      <c r="FF84" s="17">
        <f>FE84*VLOOKUP('Données projet'!$B$16,Paramètres!$A$1:$I$89,3,0)*VLOOKUP('Données projet'!$B$16,Paramètres!$A$1:$I$89,5,0)</f>
        <v>302.78039999999982</v>
      </c>
      <c r="FG84" s="13">
        <f t="shared" si="101"/>
        <v>71.75902878776165</v>
      </c>
      <c r="FH84" s="20">
        <f t="shared" si="76"/>
        <v>652.32283847201791</v>
      </c>
      <c r="FI84" s="59">
        <f t="shared" si="77"/>
        <v>945.65617180535128</v>
      </c>
      <c r="FJ84" s="59">
        <f ca="1">AVERAGE(OFFSET($FI$3,0,0,'Données projet'!$E$16+1,1))-AVERAGE(OFFSET($H$3,0,0,'Données projet'!$E$16+1,1))</f>
        <v>372.91317851957336</v>
      </c>
      <c r="FK84" s="59">
        <f t="shared" si="102"/>
        <v>269.69187715858413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0.98310032575114237</v>
      </c>
      <c r="FR84" s="21">
        <f>EXP(-LN(2)/25)*FR83+(1-EXP(-LN(2)/25))/(LN(2)/25)*Calculateur!FM84*Calculateur!FO84*VLOOKUP('Données projet'!$B$16,Paramètres!$A$1:$I$89,3,0)*0.475*44/12</f>
        <v>3.6940272072227196</v>
      </c>
      <c r="FS84" s="21">
        <f>EXP(-LN(2)/2)*FS83+(1-EXP(-LN(2)/2))/(LN(2)/2)*FM84*FP84*VLOOKUP('Données projet'!$B$16,Paramètres!$A$1:$I$89,3,0)*0.475*44/12</f>
        <v>5.1343054034798291E-7</v>
      </c>
      <c r="FT84" s="22">
        <f t="shared" si="78"/>
        <v>4.6771280464044027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17.5</v>
      </c>
      <c r="FZ84" s="12">
        <f>IF('Données projet'!$A$244&gt;35,FZ83+FY84-GH83,IF(A84&lt;'Données projet'!$A$244,$FW$205^A84,IF(A84='Données projet'!$A$244,'Données projet'!$B$244,FZ83+FY84-GH83)))</f>
        <v>467.09999999999991</v>
      </c>
      <c r="GA84" s="17">
        <f>FZ84*VLOOKUP('Données projet'!$B$17,Paramètres!$A$1:$I$89,3,0)*VLOOKUP('Données projet'!$B$17,Paramètres!$A$1:$I$89,5,0)</f>
        <v>218.60279999999995</v>
      </c>
      <c r="GB84" s="13">
        <f t="shared" si="103"/>
        <v>53.811098692658383</v>
      </c>
      <c r="GC84" s="20">
        <f t="shared" si="79"/>
        <v>474.45420688971325</v>
      </c>
      <c r="GD84" s="59">
        <f t="shared" si="80"/>
        <v>767.78754022304656</v>
      </c>
      <c r="GE84" s="59">
        <f ca="1">AVERAGE(OFFSET($GD$3,0,0,'Données projet'!$E$17+1,1))-AVERAGE(OFFSET($H$3,0,0,'Données projet'!$E$17+1,1))</f>
        <v>215.23235148064941</v>
      </c>
      <c r="GF84" s="59">
        <f t="shared" si="104"/>
        <v>184.07239726900434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1.1416576003694774</v>
      </c>
      <c r="GM84" s="21">
        <f>EXP(-LN(2)/25)*GM83+(1-EXP(-LN(2)/25))/(LN(2)/25)*Calculateur!GH84*Calculateur!GJ84*VLOOKUP('Données projet'!$B$17,Paramètres!$A$1:$I$89,3,0)*0.475*44/12</f>
        <v>1.9101640670330917</v>
      </c>
      <c r="GN84" s="21">
        <f>EXP(-LN(2)/2)*GN83+(1-EXP(-LN(2)/2))/(LN(2)/2)*GH84*GK84*VLOOKUP('Données projet'!$B$17,Paramètres!$A$1:$I$89,3,0)*0.475*44/12</f>
        <v>2.0719762632370523E-7</v>
      </c>
      <c r="GO84" s="21">
        <f t="shared" si="81"/>
        <v>3.0518218746001953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-1.1368683772161603E-13</v>
      </c>
      <c r="GV84" s="17">
        <f>GU84*VLOOKUP('Données projet'!$B$18,Paramètres!$A$1:$I$89,3,0)*VLOOKUP('Données projet'!$B$18,Paramètres!$A$1:$I$89,5,0)</f>
        <v>-6.7984728957526396E-14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227.89848316900191</v>
      </c>
      <c r="HA84" s="59">
        <f t="shared" si="106"/>
        <v>239.85955661394541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2.8926011269471599</v>
      </c>
      <c r="HH84" s="21">
        <f>EXP(-LN(2)/25)*HH83+(1-EXP(-LN(2)/25))/(LN(2)/25)*Calculateur!HC84*Calculateur!HE84*VLOOKUP('Données projet'!$B$18,Paramètres!$A$1:$I$89,3,0)*0.475*44/12</f>
        <v>4.1686963933674006</v>
      </c>
      <c r="HI84" s="21">
        <f>EXP(-LN(2)/2)*HI83+(1-EXP(-LN(2)/2))/(LN(2)/2)*HC84*HF84*VLOOKUP('Données projet'!$B$18,Paramètres!$A$1:$I$89,3,0)*0.475*44/12</f>
        <v>1.4126718754551252E-7</v>
      </c>
      <c r="HJ84" s="22">
        <f t="shared" si="84"/>
        <v>7.0612976615817482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2.5420376914553347E-13</v>
      </c>
      <c r="P85" s="13">
        <f t="shared" si="87"/>
        <v>3.4258699088369875E-12</v>
      </c>
      <c r="Q85" s="20">
        <f t="shared" si="54"/>
        <v>6.4094616558195571E-12</v>
      </c>
      <c r="R85" s="59">
        <f t="shared" si="55"/>
        <v>293.33333333333974</v>
      </c>
      <c r="S85" s="59">
        <f ca="1">AVERAGE(OFFSET($R$3,0,0,'Données projet'!$E$9+1,1))-AVERAGE(OFFSET($H$3,0,0,'Données projet'!$E$9+1,1))</f>
        <v>370.69652285220093</v>
      </c>
      <c r="T85" s="59">
        <f t="shared" si="88"/>
        <v>376.53494965377718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3.6699388642892337</v>
      </c>
      <c r="AA85" s="21">
        <f>EXP(-LN(2)/25)*AA84+(1-EXP(-LN(2)/25))/(LN(2)/25)*Calculateur!V85*Calculateur!X85*VLOOKUP('Données projet'!$B$9,Paramètres!$A$1:$I$89,3,0)*0.475*44/12</f>
        <v>7.9009196999145761</v>
      </c>
      <c r="AB85" s="21">
        <f>EXP(-LN(2)/2)*AB84+(1-EXP(-LN(2)/2))/(LN(2)/2)*V85*Y85*VLOOKUP('Données projet'!$B$9,Paramètres!$A$1:$I$89,3,0)*0.475*44/12</f>
        <v>4.8771149726782885E-7</v>
      </c>
      <c r="AC85" s="22">
        <f t="shared" si="57"/>
        <v>11.570859051915308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276.1449599999998</v>
      </c>
      <c r="AK85" s="13">
        <f t="shared" si="89"/>
        <v>66.151671938851194</v>
      </c>
      <c r="AL85" s="20">
        <f t="shared" si="58"/>
        <v>596.16663396016543</v>
      </c>
      <c r="AM85" s="59">
        <f t="shared" si="59"/>
        <v>889.49996729349868</v>
      </c>
      <c r="AN85" s="59">
        <f ca="1">AVERAGE(OFFSET($AM$3,0,0,'Données projet'!$E$10+1,1))-AVERAGE(OFFSET($H$3,0,0,'Données projet'!$E$10+1,1))</f>
        <v>321.03881567735544</v>
      </c>
      <c r="AO85" s="59">
        <f t="shared" si="90"/>
        <v>234.87694492493506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0.86002607728798197</v>
      </c>
      <c r="AV85" s="21">
        <f>EXP(-LN(2)/25)*AV84+(1-EXP(-LN(2)/25))/(LN(2)/25)*Calculateur!AQ85*Calculateur!AS85*VLOOKUP('Données projet'!$B$10,Paramètres!$A$1:$I$89,3,0)*0.475*44/12</f>
        <v>3.2060738870905285</v>
      </c>
      <c r="AW85" s="21">
        <f>EXP(-LN(2)/2)*AW84+(1-EXP(-LN(2)/2))/(LN(2)/2)*AQ85*AT85*VLOOKUP('Données projet'!$B$10,Paramètres!$A$1:$I$89,3,0)*0.475*44/12</f>
        <v>3.239525010985119E-7</v>
      </c>
      <c r="AX85" s="21">
        <f t="shared" si="60"/>
        <v>4.066100288331012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5.6843418860808015E-13</v>
      </c>
      <c r="BE85" s="13">
        <f>BD85*VLOOKUP('Données projet'!$B$11,Paramètres!$A$1:$I$89,3,0)*VLOOKUP('Données projet'!$B$11,Paramètres!$A$1:$I$89,5,0)</f>
        <v>3.1036506698001181E-13</v>
      </c>
      <c r="BF85" s="13">
        <f t="shared" si="91"/>
        <v>4.086682523110923E-12</v>
      </c>
      <c r="BG85" s="20">
        <f t="shared" si="61"/>
        <v>7.6581912194083782E-12</v>
      </c>
      <c r="BH85" s="59">
        <f t="shared" si="62"/>
        <v>293.33333333334099</v>
      </c>
      <c r="BI85" s="59">
        <f ca="1">AVERAGE(OFFSET($BH$3,0,0,'Données projet'!$E$11+1,1))-AVERAGE(OFFSET($H$3,0,0,'Données projet'!$E$11+1,1))</f>
        <v>248.1486444660062</v>
      </c>
      <c r="BJ85" s="59">
        <f t="shared" si="92"/>
        <v>293.34458072322127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3.0414715323496391</v>
      </c>
      <c r="BQ85" s="21">
        <f>EXP(-LN(2)/25)*BQ84+(1-EXP(-LN(2)/25))/(LN(2)/25)*Calculateur!BL85*Calculateur!BN85*VLOOKUP('Données projet'!$B$11,Paramètres!$A$1:$I$89,3,0)*0.475*44/12</f>
        <v>8.0504159875908545</v>
      </c>
      <c r="BR85" s="21">
        <f>EXP(-LN(2)/2)*BR84+(1-EXP(-LN(2)/2))/(LN(2)/2)*BL85*BO85*VLOOKUP('Données projet'!$B$11,Paramètres!$A$1:$I$89,3,0)*0.475*44/12</f>
        <v>3.7524739078978081E-7</v>
      </c>
      <c r="BS85" s="22">
        <f t="shared" si="63"/>
        <v>11.091887895187885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243.38048563215585</v>
      </c>
      <c r="CE85" s="59">
        <f t="shared" si="94"/>
        <v>372.1604147006675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2.6097343034945664</v>
      </c>
      <c r="CL85" s="21">
        <f>EXP(-LN(2)/25)*CL84+(1-EXP(-LN(2)/25))/(LN(2)/25)*Calculateur!CG85*Calculateur!CI85*VLOOKUP('Données projet'!$B$12,Paramètres!$A$1:$I$89,3,0)*0.475*44/12</f>
        <v>4.5794933935358371</v>
      </c>
      <c r="CM85" s="21">
        <f>EXP(-LN(2)/2)*CM84+(1-EXP(-LN(2)/2))/(LN(2)/2)*CG85*CJ85*VLOOKUP('Données projet'!$B$12,Paramètres!$A$1:$I$89,3,0)*0.475*44/12</f>
        <v>4.3682663460317496E-7</v>
      </c>
      <c r="CN85" s="22">
        <f t="shared" si="66"/>
        <v>7.1892281338570383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7.9580786405131221E-13</v>
      </c>
      <c r="CU85" s="17">
        <f>CT85*VLOOKUP('Données projet'!$B$13,Paramètres!$A$1:$I$89,3,0)*VLOOKUP('Données projet'!$B$13,Paramètres!$A$1:$I$89,5,0)</f>
        <v>3.8278358260868117E-13</v>
      </c>
      <c r="CV85" s="13">
        <f t="shared" si="95"/>
        <v>4.9186917125089072E-12</v>
      </c>
      <c r="CW85" s="20">
        <f t="shared" si="67"/>
        <v>9.2334028056631319E-12</v>
      </c>
      <c r="CX85" s="59">
        <f t="shared" si="68"/>
        <v>293.33333333334252</v>
      </c>
      <c r="CY85" s="59">
        <f ca="1">AVERAGE(OFFSET($CX$3,0,0,'Données projet'!$E$13+1,1))-AVERAGE(OFFSET($H$3,0,0,'Données projet'!$E$13+1,1))</f>
        <v>297.21955661193238</v>
      </c>
      <c r="CZ85" s="59">
        <f t="shared" si="96"/>
        <v>273.69206144662144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2.4059842831220664</v>
      </c>
      <c r="DG85" s="21">
        <f>EXP(-LN(2)/25)*DG84+(1-EXP(-LN(2)/25))/(LN(2)/25)*Calculateur!DB85*Calculateur!DD85*VLOOKUP('Données projet'!$B$13,Paramètres!$A$1:$I$89,3,0)*0.475*44/12</f>
        <v>3.1747651004479605</v>
      </c>
      <c r="DH85" s="21">
        <f>EXP(-LN(2)/2)*DH84+(1-EXP(-LN(2)/2))/(LN(2)/2)*DB85*DE85*VLOOKUP('Données projet'!$B$13,Paramètres!$A$1:$I$89,3,0)*0.475*44/12</f>
        <v>3.1162475687612347E-7</v>
      </c>
      <c r="DI85" s="22">
        <f t="shared" si="69"/>
        <v>5.5807496951947835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-4.0702161641092972E-13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260.20517190557814</v>
      </c>
      <c r="DU85" s="59">
        <f t="shared" si="98"/>
        <v>307.22009971147133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1.1651215351390423</v>
      </c>
      <c r="EB85" s="21">
        <f>EXP(-LN(2)/25)*EB84+(1-EXP(-LN(2)/25))/(LN(2)/25)*Calculateur!DW85*Calculateur!DY85*VLOOKUP('Données projet'!$B$14,Paramètres!$A$1:$I$89,3,0)*0.475*44/12</f>
        <v>4.8531817663913932</v>
      </c>
      <c r="EC85" s="21">
        <f>EXP(-LN(2)/2)*EC84+(1-EXP(-LN(2)/2))/(LN(2)/2)*DW85*DZ85*VLOOKUP('Données projet'!$B$14,Paramètres!$A$1:$I$89,3,0)*0.475*44/12</f>
        <v>3.5820952434476146E-7</v>
      </c>
      <c r="ED85" s="22">
        <f t="shared" si="72"/>
        <v>6.01830365973996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1.1368683772161603E-13</v>
      </c>
      <c r="EK85" s="17">
        <f>EJ85*VLOOKUP('Données projet'!$B$15,Paramètres!$A$1:$I$89,3,0)*VLOOKUP('Données projet'!$B$15,Paramètres!$A$1:$I$89,5,0)</f>
        <v>6.7984728957526396E-14</v>
      </c>
      <c r="EL85" s="13">
        <f t="shared" si="99"/>
        <v>1.0682447123141398E-12</v>
      </c>
      <c r="EM85" s="20">
        <f t="shared" si="73"/>
        <v>1.978932943548152E-12</v>
      </c>
      <c r="EN85" s="59">
        <f t="shared" si="74"/>
        <v>293.3333333333353</v>
      </c>
      <c r="EO85" s="59">
        <f ca="1">AVERAGE(OFFSET($EN$3,0,0,'Données projet'!$E$15+1,1))-AVERAGE(OFFSET($H$3,0,0,'Données projet'!$E$15+1,1))</f>
        <v>259.30247982593914</v>
      </c>
      <c r="EP85" s="59">
        <f t="shared" si="100"/>
        <v>275.24740346220779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4.2650674681059746</v>
      </c>
      <c r="EX85" s="21">
        <f>EXP(-LN(2)/2)*EX84+(1-EXP(-LN(2)/2))/(LN(2)/2)*ER85*EU85*VLOOKUP('Données projet'!$B$15,Paramètres!$A$1:$I$89,3,0)*0.475*44/12</f>
        <v>4.2737230929531211E-7</v>
      </c>
      <c r="EY85" s="22">
        <f t="shared" si="75"/>
        <v>4.2650678954782837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6.6</v>
      </c>
      <c r="FE85" s="12">
        <f>IF('Données projet'!$A$218&gt;35,FE84+FD85-FM84,IF(A85&lt;'Données projet'!$A$218,$FB$205^A85,IF(A85='Données projet'!$A$218,'Données projet'!$B$218,FE84+FD85-FM84)))</f>
        <v>305.19999999999982</v>
      </c>
      <c r="FF85" s="17">
        <f>FE85*VLOOKUP('Données projet'!$B$16,Paramètres!$A$1:$I$89,3,0)*VLOOKUP('Données projet'!$B$16,Paramètres!$A$1:$I$89,5,0)</f>
        <v>309.47279999999984</v>
      </c>
      <c r="FG85" s="13">
        <f t="shared" si="101"/>
        <v>73.15871892427802</v>
      </c>
      <c r="FH85" s="20">
        <f t="shared" si="76"/>
        <v>666.41656212645069</v>
      </c>
      <c r="FI85" s="59">
        <f t="shared" si="77"/>
        <v>959.74989545978406</v>
      </c>
      <c r="FJ85" s="59">
        <f ca="1">AVERAGE(OFFSET($FI$3,0,0,'Données projet'!$E$16+1,1))-AVERAGE(OFFSET($H$3,0,0,'Données projet'!$E$16+1,1))</f>
        <v>372.91317851957336</v>
      </c>
      <c r="FK85" s="59">
        <f t="shared" si="102"/>
        <v>269.69187715858413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0.96382232799515244</v>
      </c>
      <c r="FR85" s="21">
        <f>EXP(-LN(2)/25)*FR84+(1-EXP(-LN(2)/25))/(LN(2)/25)*Calculateur!FM85*Calculateur!FO85*VLOOKUP('Données projet'!$B$16,Paramètres!$A$1:$I$89,3,0)*0.475*44/12</f>
        <v>3.5930138389807662</v>
      </c>
      <c r="FS85" s="21">
        <f>EXP(-LN(2)/2)*FS84+(1-EXP(-LN(2)/2))/(LN(2)/2)*FM85*FP85*VLOOKUP('Données projet'!$B$16,Paramètres!$A$1:$I$89,3,0)*0.475*44/12</f>
        <v>3.6305021674833201E-7</v>
      </c>
      <c r="FT85" s="22">
        <f t="shared" si="78"/>
        <v>4.5568365300261355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17.5</v>
      </c>
      <c r="FZ85" s="12">
        <f>IF('Données projet'!$A$244&gt;35,FZ84+FY85-GH84,IF(A85&lt;'Données projet'!$A$244,$FW$205^A85,IF(A85='Données projet'!$A$244,'Données projet'!$B$244,FZ84+FY85-GH84)))</f>
        <v>484.59999999999991</v>
      </c>
      <c r="GA85" s="17">
        <f>FZ85*VLOOKUP('Données projet'!$B$17,Paramètres!$A$1:$I$89,3,0)*VLOOKUP('Données projet'!$B$17,Paramètres!$A$1:$I$89,5,0)</f>
        <v>226.79279999999994</v>
      </c>
      <c r="GB85" s="13">
        <f t="shared" si="103"/>
        <v>55.588644170072158</v>
      </c>
      <c r="GC85" s="20">
        <f t="shared" si="79"/>
        <v>491.8143485962089</v>
      </c>
      <c r="GD85" s="59">
        <f t="shared" si="80"/>
        <v>785.14768192954216</v>
      </c>
      <c r="GE85" s="59">
        <f ca="1">AVERAGE(OFFSET($GD$3,0,0,'Données projet'!$E$17+1,1))-AVERAGE(OFFSET($H$3,0,0,'Données projet'!$E$17+1,1))</f>
        <v>215.23235148064941</v>
      </c>
      <c r="GF85" s="59">
        <f t="shared" si="104"/>
        <v>184.07239726900434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1.1192703911686102</v>
      </c>
      <c r="GM85" s="21">
        <f>EXP(-LN(2)/25)*GM84+(1-EXP(-LN(2)/25))/(LN(2)/25)*Calculateur!GH85*Calculateur!GJ85*VLOOKUP('Données projet'!$B$17,Paramètres!$A$1:$I$89,3,0)*0.475*44/12</f>
        <v>1.8579305301689093</v>
      </c>
      <c r="GN85" s="21">
        <f>EXP(-LN(2)/2)*GN84+(1-EXP(-LN(2)/2))/(LN(2)/2)*GH85*GK85*VLOOKUP('Données projet'!$B$17,Paramètres!$A$1:$I$89,3,0)*0.475*44/12</f>
        <v>1.4651084661924827E-7</v>
      </c>
      <c r="GO85" s="21">
        <f t="shared" si="81"/>
        <v>2.977201067848366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-1.1368683772161603E-13</v>
      </c>
      <c r="GV85" s="17">
        <f>GU85*VLOOKUP('Données projet'!$B$18,Paramètres!$A$1:$I$89,3,0)*VLOOKUP('Données projet'!$B$18,Paramètres!$A$1:$I$89,5,0)</f>
        <v>-6.7984728957526396E-14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227.89848316900191</v>
      </c>
      <c r="HA85" s="59">
        <f t="shared" si="106"/>
        <v>239.85955661394541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2.8358789831602023</v>
      </c>
      <c r="HH85" s="21">
        <f>EXP(-LN(2)/25)*HH84+(1-EXP(-LN(2)/25))/(LN(2)/25)*Calculateur!HC85*Calculateur!HE85*VLOOKUP('Données projet'!$B$18,Paramètres!$A$1:$I$89,3,0)*0.475*44/12</f>
        <v>4.0547031712685531</v>
      </c>
      <c r="HI85" s="21">
        <f>EXP(-LN(2)/2)*HI84+(1-EXP(-LN(2)/2))/(LN(2)/2)*HC85*HF85*VLOOKUP('Données projet'!$B$18,Paramètres!$A$1:$I$89,3,0)*0.475*44/12</f>
        <v>9.9890986272583692E-8</v>
      </c>
      <c r="HJ85" s="22">
        <f t="shared" si="84"/>
        <v>6.8905822543197415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2.5420376914553347E-13</v>
      </c>
      <c r="P86" s="13">
        <f t="shared" si="87"/>
        <v>3.4258699088369875E-12</v>
      </c>
      <c r="Q86" s="20">
        <f t="shared" si="54"/>
        <v>6.4094616558195571E-12</v>
      </c>
      <c r="R86" s="59">
        <f t="shared" si="55"/>
        <v>293.33333333333974</v>
      </c>
      <c r="S86" s="59">
        <f ca="1">AVERAGE(OFFSET($R$3,0,0,'Données projet'!$E$9+1,1))-AVERAGE(OFFSET($H$3,0,0,'Données projet'!$E$9+1,1))</f>
        <v>370.69652285220093</v>
      </c>
      <c r="T86" s="59">
        <f t="shared" si="88"/>
        <v>376.53494965377718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3.597973601602201</v>
      </c>
      <c r="AA86" s="21">
        <f>EXP(-LN(2)/25)*AA85+(1-EXP(-LN(2)/25))/(LN(2)/25)*Calculateur!V86*Calculateur!X86*VLOOKUP('Données projet'!$B$9,Paramètres!$A$1:$I$89,3,0)*0.475*44/12</f>
        <v>7.6848686352291029</v>
      </c>
      <c r="AB86" s="21">
        <f>EXP(-LN(2)/2)*AB85+(1-EXP(-LN(2)/2))/(LN(2)/2)*V86*Y86*VLOOKUP('Données projet'!$B$9,Paramètres!$A$1:$I$89,3,0)*0.475*44/12</f>
        <v>3.4486410698072614E-7</v>
      </c>
      <c r="AC86" s="22">
        <f t="shared" si="57"/>
        <v>11.282842581695411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282.11663999999985</v>
      </c>
      <c r="AK86" s="13">
        <f t="shared" si="89"/>
        <v>67.414119514142243</v>
      </c>
      <c r="AL86" s="20">
        <f t="shared" si="58"/>
        <v>608.76607282046416</v>
      </c>
      <c r="AM86" s="59">
        <f t="shared" si="59"/>
        <v>902.09940615379742</v>
      </c>
      <c r="AN86" s="59">
        <f ca="1">AVERAGE(OFFSET($AM$3,0,0,'Données projet'!$E$10+1,1))-AVERAGE(OFFSET($H$3,0,0,'Données projet'!$E$10+1,1))</f>
        <v>321.03881567735544</v>
      </c>
      <c r="AO86" s="59">
        <f t="shared" si="90"/>
        <v>234.87694492493506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0.84316149047647537</v>
      </c>
      <c r="AV86" s="21">
        <f>EXP(-LN(2)/25)*AV85+(1-EXP(-LN(2)/25))/(LN(2)/25)*Calculateur!AQ86*Calculateur!AS86*VLOOKUP('Données projet'!$B$10,Paramètres!$A$1:$I$89,3,0)*0.475*44/12</f>
        <v>3.1184036280479397</v>
      </c>
      <c r="AW86" s="21">
        <f>EXP(-LN(2)/2)*AW85+(1-EXP(-LN(2)/2))/(LN(2)/2)*AQ86*AT86*VLOOKUP('Données projet'!$B$10,Paramètres!$A$1:$I$89,3,0)*0.475*44/12</f>
        <v>2.2906901030910025E-7</v>
      </c>
      <c r="AX86" s="21">
        <f t="shared" si="60"/>
        <v>3.9615653475934254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5.6843418860808015E-13</v>
      </c>
      <c r="BE86" s="13">
        <f>BD86*VLOOKUP('Données projet'!$B$11,Paramètres!$A$1:$I$89,3,0)*VLOOKUP('Données projet'!$B$11,Paramètres!$A$1:$I$89,5,0)</f>
        <v>3.1036506698001181E-13</v>
      </c>
      <c r="BF86" s="13">
        <f t="shared" si="91"/>
        <v>4.086682523110923E-12</v>
      </c>
      <c r="BG86" s="20">
        <f t="shared" si="61"/>
        <v>7.6581912194083782E-12</v>
      </c>
      <c r="BH86" s="59">
        <f t="shared" si="62"/>
        <v>293.33333333334099</v>
      </c>
      <c r="BI86" s="59">
        <f ca="1">AVERAGE(OFFSET($BH$3,0,0,'Données projet'!$E$11+1,1))-AVERAGE(OFFSET($H$3,0,0,'Données projet'!$E$11+1,1))</f>
        <v>248.1486444660062</v>
      </c>
      <c r="BJ86" s="59">
        <f t="shared" si="92"/>
        <v>293.34458072322127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2.9818301307147199</v>
      </c>
      <c r="BQ86" s="21">
        <f>EXP(-LN(2)/25)*BQ85+(1-EXP(-LN(2)/25))/(LN(2)/25)*Calculateur!BL86*Calculateur!BN86*VLOOKUP('Données projet'!$B$11,Paramètres!$A$1:$I$89,3,0)*0.475*44/12</f>
        <v>7.8302769390572049</v>
      </c>
      <c r="BR86" s="21">
        <f>EXP(-LN(2)/2)*BR85+(1-EXP(-LN(2)/2))/(LN(2)/2)*BL86*BO86*VLOOKUP('Données projet'!$B$11,Paramètres!$A$1:$I$89,3,0)*0.475*44/12</f>
        <v>2.6533997465001243E-7</v>
      </c>
      <c r="BS86" s="22">
        <f t="shared" si="63"/>
        <v>10.812107335111898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243.38048563215585</v>
      </c>
      <c r="CE86" s="59">
        <f t="shared" si="94"/>
        <v>372.1604147006675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2.5585590055837879</v>
      </c>
      <c r="CL86" s="21">
        <f>EXP(-LN(2)/25)*CL85+(1-EXP(-LN(2)/25))/(LN(2)/25)*Calculateur!CG86*Calculateur!CI86*VLOOKUP('Données projet'!$B$12,Paramètres!$A$1:$I$89,3,0)*0.475*44/12</f>
        <v>4.4542669058645084</v>
      </c>
      <c r="CM86" s="21">
        <f>EXP(-LN(2)/2)*CM85+(1-EXP(-LN(2)/2))/(LN(2)/2)*CG86*CJ86*VLOOKUP('Données projet'!$B$12,Paramètres!$A$1:$I$89,3,0)*0.475*44/12</f>
        <v>3.0888307553080318E-7</v>
      </c>
      <c r="CN86" s="22">
        <f t="shared" si="66"/>
        <v>7.0128262203313714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7.9580786405131221E-13</v>
      </c>
      <c r="CU86" s="17">
        <f>CT86*VLOOKUP('Données projet'!$B$13,Paramètres!$A$1:$I$89,3,0)*VLOOKUP('Données projet'!$B$13,Paramètres!$A$1:$I$89,5,0)</f>
        <v>3.8278358260868117E-13</v>
      </c>
      <c r="CV86" s="13">
        <f t="shared" si="95"/>
        <v>4.9186917125089072E-12</v>
      </c>
      <c r="CW86" s="20">
        <f t="shared" si="67"/>
        <v>9.2334028056631319E-12</v>
      </c>
      <c r="CX86" s="59">
        <f t="shared" si="68"/>
        <v>293.33333333334252</v>
      </c>
      <c r="CY86" s="59">
        <f ca="1">AVERAGE(OFFSET($CX$3,0,0,'Données projet'!$E$13+1,1))-AVERAGE(OFFSET($H$3,0,0,'Données projet'!$E$13+1,1))</f>
        <v>297.21955661193238</v>
      </c>
      <c r="CZ86" s="59">
        <f t="shared" si="96"/>
        <v>273.69206144662144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2.3588043988355514</v>
      </c>
      <c r="DG86" s="21">
        <f>EXP(-LN(2)/25)*DG85+(1-EXP(-LN(2)/25))/(LN(2)/25)*Calculateur!DB86*Calculateur!DD86*VLOOKUP('Données projet'!$B$13,Paramètres!$A$1:$I$89,3,0)*0.475*44/12</f>
        <v>3.0879509818225706</v>
      </c>
      <c r="DH86" s="21">
        <f>EXP(-LN(2)/2)*DH85+(1-EXP(-LN(2)/2))/(LN(2)/2)*DB86*DE86*VLOOKUP('Données projet'!$B$13,Paramètres!$A$1:$I$89,3,0)*0.475*44/12</f>
        <v>2.2035197877271612E-7</v>
      </c>
      <c r="DI86" s="22">
        <f t="shared" si="69"/>
        <v>5.4467556010100999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-4.0702161641092972E-13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260.20517190557814</v>
      </c>
      <c r="DU86" s="59">
        <f t="shared" si="98"/>
        <v>307.22009971147133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1.1422742124889309</v>
      </c>
      <c r="EB86" s="21">
        <f>EXP(-LN(2)/25)*EB85+(1-EXP(-LN(2)/25))/(LN(2)/25)*Calculateur!DW86*Calculateur!DY86*VLOOKUP('Données projet'!$B$14,Paramètres!$A$1:$I$89,3,0)*0.475*44/12</f>
        <v>4.7204712557716837</v>
      </c>
      <c r="EC86" s="21">
        <f>EXP(-LN(2)/2)*EC85+(1-EXP(-LN(2)/2))/(LN(2)/2)*DW86*DZ86*VLOOKUP('Données projet'!$B$14,Paramètres!$A$1:$I$89,3,0)*0.475*44/12</f>
        <v>2.5329238374978851E-7</v>
      </c>
      <c r="ED86" s="22">
        <f t="shared" si="72"/>
        <v>5.8627457215529981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1.1368683772161603E-13</v>
      </c>
      <c r="EK86" s="17">
        <f>EJ86*VLOOKUP('Données projet'!$B$15,Paramètres!$A$1:$I$89,3,0)*VLOOKUP('Données projet'!$B$15,Paramètres!$A$1:$I$89,5,0)</f>
        <v>6.7984728957526396E-14</v>
      </c>
      <c r="EL86" s="13">
        <f t="shared" si="99"/>
        <v>1.0682447123141398E-12</v>
      </c>
      <c r="EM86" s="20">
        <f t="shared" si="73"/>
        <v>1.978932943548152E-12</v>
      </c>
      <c r="EN86" s="59">
        <f t="shared" si="74"/>
        <v>293.3333333333353</v>
      </c>
      <c r="EO86" s="59">
        <f ca="1">AVERAGE(OFFSET($EN$3,0,0,'Données projet'!$E$15+1,1))-AVERAGE(OFFSET($H$3,0,0,'Données projet'!$E$15+1,1))</f>
        <v>259.30247982593914</v>
      </c>
      <c r="EP86" s="59">
        <f t="shared" si="100"/>
        <v>275.24740346220779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4.1484389739004666</v>
      </c>
      <c r="EX86" s="21">
        <f>EXP(-LN(2)/2)*EX85+(1-EXP(-LN(2)/2))/(LN(2)/2)*ER86*EU86*VLOOKUP('Données projet'!$B$15,Paramètres!$A$1:$I$89,3,0)*0.475*44/12</f>
        <v>3.0219785799406977E-7</v>
      </c>
      <c r="EY86" s="22">
        <f t="shared" si="75"/>
        <v>4.1484392760983244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6.6</v>
      </c>
      <c r="FE86" s="12">
        <f>IF('Données projet'!$A$218&gt;35,FE85+FD86-FM85,IF(A86&lt;'Données projet'!$A$218,$FB$205^A86,IF(A86='Données projet'!$A$218,'Données projet'!$B$218,FE85+FD86-FM85)))</f>
        <v>311.79999999999984</v>
      </c>
      <c r="FF86" s="17">
        <f>FE86*VLOOKUP('Données projet'!$B$16,Paramètres!$A$1:$I$89,3,0)*VLOOKUP('Données projet'!$B$16,Paramètres!$A$1:$I$89,5,0)</f>
        <v>316.16519999999986</v>
      </c>
      <c r="FG86" s="13">
        <f t="shared" si="101"/>
        <v>74.554889944758472</v>
      </c>
      <c r="FH86" s="20">
        <f t="shared" si="76"/>
        <v>680.50415665378739</v>
      </c>
      <c r="FI86" s="59">
        <f t="shared" si="77"/>
        <v>973.83748998712076</v>
      </c>
      <c r="FJ86" s="59">
        <f ca="1">AVERAGE(OFFSET($FI$3,0,0,'Données projet'!$E$16+1,1))-AVERAGE(OFFSET($H$3,0,0,'Données projet'!$E$16+1,1))</f>
        <v>372.91317851957336</v>
      </c>
      <c r="FK86" s="59">
        <f t="shared" si="102"/>
        <v>269.69187715858413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0.9449223600167399</v>
      </c>
      <c r="FR86" s="21">
        <f>EXP(-LN(2)/25)*FR85+(1-EXP(-LN(2)/25))/(LN(2)/25)*Calculateur!FM86*Calculateur!FO86*VLOOKUP('Données projet'!$B$16,Paramètres!$A$1:$I$89,3,0)*0.475*44/12</f>
        <v>3.4947626866054513</v>
      </c>
      <c r="FS86" s="21">
        <f>EXP(-LN(2)/2)*FS85+(1-EXP(-LN(2)/2))/(LN(2)/2)*FM86*FP86*VLOOKUP('Données projet'!$B$16,Paramètres!$A$1:$I$89,3,0)*0.475*44/12</f>
        <v>2.5671527017399145E-7</v>
      </c>
      <c r="FT86" s="22">
        <f t="shared" si="78"/>
        <v>4.4396853033374617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17.5</v>
      </c>
      <c r="FZ86" s="12">
        <f>IF('Données projet'!$A$244&gt;35,FZ85+FY86-GH85,IF(A86&lt;'Données projet'!$A$244,$FW$205^A86,IF(A86='Données projet'!$A$244,'Données projet'!$B$244,FZ85+FY86-GH85)))</f>
        <v>502.09999999999991</v>
      </c>
      <c r="GA86" s="17">
        <f>FZ86*VLOOKUP('Données projet'!$B$17,Paramètres!$A$1:$I$89,3,0)*VLOOKUP('Données projet'!$B$17,Paramètres!$A$1:$I$89,5,0)</f>
        <v>234.98279999999997</v>
      </c>
      <c r="GB86" s="13">
        <f t="shared" si="103"/>
        <v>57.358731763746825</v>
      </c>
      <c r="GC86" s="20">
        <f t="shared" si="79"/>
        <v>509.16150115519235</v>
      </c>
      <c r="GD86" s="59">
        <f t="shared" si="80"/>
        <v>802.49483448852561</v>
      </c>
      <c r="GE86" s="59">
        <f ca="1">AVERAGE(OFFSET($GD$3,0,0,'Données projet'!$E$17+1,1))-AVERAGE(OFFSET($H$3,0,0,'Données projet'!$E$17+1,1))</f>
        <v>215.23235148064941</v>
      </c>
      <c r="GF86" s="59">
        <f t="shared" si="104"/>
        <v>184.07239726900434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1.0973221814853225</v>
      </c>
      <c r="GM86" s="21">
        <f>EXP(-LN(2)/25)*GM85+(1-EXP(-LN(2)/25))/(LN(2)/25)*Calculateur!GH86*Calculateur!GJ86*VLOOKUP('Données projet'!$B$17,Paramètres!$A$1:$I$89,3,0)*0.475*44/12</f>
        <v>1.8071253221171202</v>
      </c>
      <c r="GN86" s="21">
        <f>EXP(-LN(2)/2)*GN85+(1-EXP(-LN(2)/2))/(LN(2)/2)*GH86*GK86*VLOOKUP('Données projet'!$B$17,Paramètres!$A$1:$I$89,3,0)*0.475*44/12</f>
        <v>1.0359881316185261E-7</v>
      </c>
      <c r="GO86" s="21">
        <f t="shared" si="81"/>
        <v>2.9044476072012557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-1.1368683772161603E-13</v>
      </c>
      <c r="GV86" s="17">
        <f>GU86*VLOOKUP('Données projet'!$B$18,Paramètres!$A$1:$I$89,3,0)*VLOOKUP('Données projet'!$B$18,Paramètres!$A$1:$I$89,5,0)</f>
        <v>-6.7984728957526396E-14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227.89848316900191</v>
      </c>
      <c r="HA86" s="59">
        <f t="shared" si="106"/>
        <v>239.85955661394541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2.7802691260158152</v>
      </c>
      <c r="HH86" s="21">
        <f>EXP(-LN(2)/25)*HH85+(1-EXP(-LN(2)/25))/(LN(2)/25)*Calculateur!HC86*Calculateur!HE86*VLOOKUP('Données projet'!$B$18,Paramètres!$A$1:$I$89,3,0)*0.475*44/12</f>
        <v>3.9438270998226419</v>
      </c>
      <c r="HI86" s="21">
        <f>EXP(-LN(2)/2)*HI85+(1-EXP(-LN(2)/2))/(LN(2)/2)*HC86*HF86*VLOOKUP('Données projet'!$B$18,Paramètres!$A$1:$I$89,3,0)*0.475*44/12</f>
        <v>7.0633593772756259E-8</v>
      </c>
      <c r="HJ86" s="22">
        <f t="shared" si="84"/>
        <v>6.7240962964720508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2.5420376914553347E-13</v>
      </c>
      <c r="P87" s="13">
        <f t="shared" si="87"/>
        <v>3.4258699088369875E-12</v>
      </c>
      <c r="Q87" s="20">
        <f t="shared" si="54"/>
        <v>6.4094616558195571E-12</v>
      </c>
      <c r="R87" s="59">
        <f t="shared" si="55"/>
        <v>293.33333333333974</v>
      </c>
      <c r="S87" s="59">
        <f ca="1">AVERAGE(OFFSET($R$3,0,0,'Données projet'!$E$9+1,1))-AVERAGE(OFFSET($H$3,0,0,'Données projet'!$E$9+1,1))</f>
        <v>370.69652285220093</v>
      </c>
      <c r="T87" s="59">
        <f t="shared" si="88"/>
        <v>376.53494965377718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3.5274195338219854</v>
      </c>
      <c r="AA87" s="21">
        <f>EXP(-LN(2)/25)*AA86+(1-EXP(-LN(2)/25))/(LN(2)/25)*Calculateur!V87*Calculateur!X87*VLOOKUP('Données projet'!$B$9,Paramètres!$A$1:$I$89,3,0)*0.475*44/12</f>
        <v>7.4747254982690858</v>
      </c>
      <c r="AB87" s="21">
        <f>EXP(-LN(2)/2)*AB86+(1-EXP(-LN(2)/2))/(LN(2)/2)*V87*Y87*VLOOKUP('Données projet'!$B$9,Paramètres!$A$1:$I$89,3,0)*0.475*44/12</f>
        <v>2.4385574863391442E-7</v>
      </c>
      <c r="AC87" s="22">
        <f t="shared" si="57"/>
        <v>11.00214527594682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288.0883199999999</v>
      </c>
      <c r="AK87" s="13">
        <f t="shared" si="89"/>
        <v>68.673460144735557</v>
      </c>
      <c r="AL87" s="20">
        <f t="shared" si="58"/>
        <v>621.36010041874761</v>
      </c>
      <c r="AM87" s="59">
        <f t="shared" si="59"/>
        <v>914.69343375208086</v>
      </c>
      <c r="AN87" s="59">
        <f ca="1">AVERAGE(OFFSET($AM$3,0,0,'Données projet'!$E$10+1,1))-AVERAGE(OFFSET($H$3,0,0,'Données projet'!$E$10+1,1))</f>
        <v>321.03881567735544</v>
      </c>
      <c r="AO87" s="59">
        <f t="shared" si="90"/>
        <v>234.87694492493506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0.82662760792596013</v>
      </c>
      <c r="AV87" s="21">
        <f>EXP(-LN(2)/25)*AV86+(1-EXP(-LN(2)/25))/(LN(2)/25)*Calculateur!AQ87*Calculateur!AS87*VLOOKUP('Données projet'!$B$10,Paramètres!$A$1:$I$89,3,0)*0.475*44/12</f>
        <v>3.0331307168492492</v>
      </c>
      <c r="AW87" s="21">
        <f>EXP(-LN(2)/2)*AW86+(1-EXP(-LN(2)/2))/(LN(2)/2)*AQ87*AT87*VLOOKUP('Données projet'!$B$10,Paramètres!$A$1:$I$89,3,0)*0.475*44/12</f>
        <v>1.6197625054925595E-7</v>
      </c>
      <c r="AX87" s="21">
        <f t="shared" si="60"/>
        <v>3.8597584867514598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5.6843418860808015E-13</v>
      </c>
      <c r="BE87" s="13">
        <f>BD87*VLOOKUP('Données projet'!$B$11,Paramètres!$A$1:$I$89,3,0)*VLOOKUP('Données projet'!$B$11,Paramètres!$A$1:$I$89,5,0)</f>
        <v>3.1036506698001181E-13</v>
      </c>
      <c r="BF87" s="13">
        <f t="shared" si="91"/>
        <v>4.086682523110923E-12</v>
      </c>
      <c r="BG87" s="20">
        <f t="shared" si="61"/>
        <v>7.6581912194083782E-12</v>
      </c>
      <c r="BH87" s="59">
        <f t="shared" si="62"/>
        <v>293.33333333334099</v>
      </c>
      <c r="BI87" s="59">
        <f ca="1">AVERAGE(OFFSET($BH$3,0,0,'Données projet'!$E$11+1,1))-AVERAGE(OFFSET($H$3,0,0,'Données projet'!$E$11+1,1))</f>
        <v>248.1486444660062</v>
      </c>
      <c r="BJ87" s="59">
        <f t="shared" si="92"/>
        <v>293.34458072322127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2.9233582605881985</v>
      </c>
      <c r="BQ87" s="21">
        <f>EXP(-LN(2)/25)*BQ86+(1-EXP(-LN(2)/25))/(LN(2)/25)*Calculateur!BL87*Calculateur!BN87*VLOOKUP('Données projet'!$B$11,Paramètres!$A$1:$I$89,3,0)*0.475*44/12</f>
        <v>7.6161576043823178</v>
      </c>
      <c r="BR87" s="21">
        <f>EXP(-LN(2)/2)*BR86+(1-EXP(-LN(2)/2))/(LN(2)/2)*BL87*BO87*VLOOKUP('Données projet'!$B$11,Paramètres!$A$1:$I$89,3,0)*0.475*44/12</f>
        <v>1.876236953948904E-7</v>
      </c>
      <c r="BS87" s="22">
        <f t="shared" si="63"/>
        <v>10.539516052594212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243.38048563215585</v>
      </c>
      <c r="CE87" s="59">
        <f t="shared" si="94"/>
        <v>372.1604147006675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2.50838722405119</v>
      </c>
      <c r="CL87" s="21">
        <f>EXP(-LN(2)/25)*CL86+(1-EXP(-LN(2)/25))/(LN(2)/25)*Calculateur!CG87*Calculateur!CI87*VLOOKUP('Données projet'!$B$12,Paramètres!$A$1:$I$89,3,0)*0.475*44/12</f>
        <v>4.3324647430839276</v>
      </c>
      <c r="CM87" s="21">
        <f>EXP(-LN(2)/2)*CM86+(1-EXP(-LN(2)/2))/(LN(2)/2)*CG87*CJ87*VLOOKUP('Données projet'!$B$12,Paramètres!$A$1:$I$89,3,0)*0.475*44/12</f>
        <v>2.1841331730158748E-7</v>
      </c>
      <c r="CN87" s="22">
        <f t="shared" si="66"/>
        <v>6.8408521855484352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7.9580786405131221E-13</v>
      </c>
      <c r="CU87" s="17">
        <f>CT87*VLOOKUP('Données projet'!$B$13,Paramètres!$A$1:$I$89,3,0)*VLOOKUP('Données projet'!$B$13,Paramètres!$A$1:$I$89,5,0)</f>
        <v>3.8278358260868117E-13</v>
      </c>
      <c r="CV87" s="13">
        <f t="shared" si="95"/>
        <v>4.9186917125089072E-12</v>
      </c>
      <c r="CW87" s="20">
        <f t="shared" si="67"/>
        <v>9.2334028056631319E-12</v>
      </c>
      <c r="CX87" s="59">
        <f t="shared" si="68"/>
        <v>293.33333333334252</v>
      </c>
      <c r="CY87" s="59">
        <f ca="1">AVERAGE(OFFSET($CX$3,0,0,'Données projet'!$E$13+1,1))-AVERAGE(OFFSET($H$3,0,0,'Données projet'!$E$13+1,1))</f>
        <v>297.21955661193238</v>
      </c>
      <c r="CZ87" s="59">
        <f t="shared" si="96"/>
        <v>273.69206144662144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2.3125496833030068</v>
      </c>
      <c r="DG87" s="21">
        <f>EXP(-LN(2)/25)*DG86+(1-EXP(-LN(2)/25))/(LN(2)/25)*Calculateur!DB87*Calculateur!DD87*VLOOKUP('Données projet'!$B$13,Paramètres!$A$1:$I$89,3,0)*0.475*44/12</f>
        <v>3.0035107998363477</v>
      </c>
      <c r="DH87" s="21">
        <f>EXP(-LN(2)/2)*DH86+(1-EXP(-LN(2)/2))/(LN(2)/2)*DB87*DE87*VLOOKUP('Données projet'!$B$13,Paramètres!$A$1:$I$89,3,0)*0.475*44/12</f>
        <v>1.5581237843806174E-7</v>
      </c>
      <c r="DI87" s="22">
        <f t="shared" si="69"/>
        <v>5.3160606389517326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-4.0702161641092972E-13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260.20517190557814</v>
      </c>
      <c r="DU87" s="59">
        <f t="shared" si="98"/>
        <v>307.22009971147133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1.1198749119004974</v>
      </c>
      <c r="EB87" s="21">
        <f>EXP(-LN(2)/25)*EB86+(1-EXP(-LN(2)/25))/(LN(2)/25)*Calculateur!DW87*Calculateur!DY87*VLOOKUP('Données projet'!$B$14,Paramètres!$A$1:$I$89,3,0)*0.475*44/12</f>
        <v>4.5913897210438126</v>
      </c>
      <c r="EC87" s="21">
        <f>EXP(-LN(2)/2)*EC86+(1-EXP(-LN(2)/2))/(LN(2)/2)*DW87*DZ87*VLOOKUP('Données projet'!$B$14,Paramètres!$A$1:$I$89,3,0)*0.475*44/12</f>
        <v>1.7910476217238073E-7</v>
      </c>
      <c r="ED87" s="22">
        <f t="shared" si="72"/>
        <v>5.7112648120490723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1.1368683772161603E-13</v>
      </c>
      <c r="EK87" s="17">
        <f>EJ87*VLOOKUP('Données projet'!$B$15,Paramètres!$A$1:$I$89,3,0)*VLOOKUP('Données projet'!$B$15,Paramètres!$A$1:$I$89,5,0)</f>
        <v>6.7984728957526396E-14</v>
      </c>
      <c r="EL87" s="13">
        <f t="shared" si="99"/>
        <v>1.0682447123141398E-12</v>
      </c>
      <c r="EM87" s="20">
        <f t="shared" si="73"/>
        <v>1.978932943548152E-12</v>
      </c>
      <c r="EN87" s="59">
        <f t="shared" si="74"/>
        <v>293.3333333333353</v>
      </c>
      <c r="EO87" s="59">
        <f ca="1">AVERAGE(OFFSET($EN$3,0,0,'Données projet'!$E$15+1,1))-AVERAGE(OFFSET($H$3,0,0,'Données projet'!$E$15+1,1))</f>
        <v>259.30247982593914</v>
      </c>
      <c r="EP87" s="59">
        <f t="shared" si="100"/>
        <v>275.24740346220779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4.0349996920022342</v>
      </c>
      <c r="EX87" s="21">
        <f>EXP(-LN(2)/2)*EX86+(1-EXP(-LN(2)/2))/(LN(2)/2)*ER87*EU87*VLOOKUP('Données projet'!$B$15,Paramètres!$A$1:$I$89,3,0)*0.475*44/12</f>
        <v>2.1368615464765606E-7</v>
      </c>
      <c r="EY87" s="22">
        <f t="shared" si="75"/>
        <v>4.0349999056883892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6.6</v>
      </c>
      <c r="FE87" s="12">
        <f>IF('Données projet'!$A$218&gt;35,FE86+FD87-FM86,IF(A87&lt;'Données projet'!$A$218,$FB$205^A87,IF(A87='Données projet'!$A$218,'Données projet'!$B$218,FE86+FD87-FM86)))</f>
        <v>318.39999999999986</v>
      </c>
      <c r="FF87" s="17">
        <f>FE87*VLOOKUP('Données projet'!$B$16,Paramètres!$A$1:$I$89,3,0)*VLOOKUP('Données projet'!$B$16,Paramètres!$A$1:$I$89,5,0)</f>
        <v>322.85759999999988</v>
      </c>
      <c r="FG87" s="13">
        <f t="shared" si="101"/>
        <v>75.947624920658441</v>
      </c>
      <c r="FH87" s="20">
        <f t="shared" si="76"/>
        <v>694.58576673681318</v>
      </c>
      <c r="FI87" s="59">
        <f t="shared" si="77"/>
        <v>987.91910007014644</v>
      </c>
      <c r="FJ87" s="59">
        <f ca="1">AVERAGE(OFFSET($FI$3,0,0,'Données projet'!$E$16+1,1))-AVERAGE(OFFSET($H$3,0,0,'Données projet'!$E$16+1,1))</f>
        <v>372.91317851957336</v>
      </c>
      <c r="FK87" s="59">
        <f t="shared" si="102"/>
        <v>269.69187715858413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0.92639300888254184</v>
      </c>
      <c r="FR87" s="21">
        <f>EXP(-LN(2)/25)*FR86+(1-EXP(-LN(2)/25))/(LN(2)/25)*Calculateur!FM87*Calculateur!FO87*VLOOKUP('Données projet'!$B$16,Paramètres!$A$1:$I$89,3,0)*0.475*44/12</f>
        <v>3.3991982171586428</v>
      </c>
      <c r="FS87" s="21">
        <f>EXP(-LN(2)/2)*FS86+(1-EXP(-LN(2)/2))/(LN(2)/2)*FM87*FP87*VLOOKUP('Données projet'!$B$16,Paramètres!$A$1:$I$89,3,0)*0.475*44/12</f>
        <v>1.8152510837416601E-7</v>
      </c>
      <c r="FT87" s="22">
        <f t="shared" si="78"/>
        <v>4.3255914075662938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17.5</v>
      </c>
      <c r="FZ87" s="12">
        <f>IF('Données projet'!$A$244&gt;35,FZ86+FY87-GH86,IF(A87&lt;'Données projet'!$A$244,$FW$205^A87,IF(A87='Données projet'!$A$244,'Données projet'!$B$244,FZ86+FY87-GH86)))</f>
        <v>519.59999999999991</v>
      </c>
      <c r="GA87" s="17">
        <f>FZ87*VLOOKUP('Données projet'!$B$17,Paramètres!$A$1:$I$89,3,0)*VLOOKUP('Données projet'!$B$17,Paramètres!$A$1:$I$89,5,0)</f>
        <v>243.17279999999994</v>
      </c>
      <c r="GB87" s="13">
        <f t="shared" si="103"/>
        <v>59.121651195612671</v>
      </c>
      <c r="GC87" s="20">
        <f t="shared" si="79"/>
        <v>526.49616916569187</v>
      </c>
      <c r="GD87" s="59">
        <f t="shared" si="80"/>
        <v>819.82950249902524</v>
      </c>
      <c r="GE87" s="59">
        <f ca="1">AVERAGE(OFFSET($GD$3,0,0,'Données projet'!$E$17+1,1))-AVERAGE(OFFSET($H$3,0,0,'Données projet'!$E$17+1,1))</f>
        <v>215.23235148064941</v>
      </c>
      <c r="GF87" s="59">
        <f t="shared" si="104"/>
        <v>184.07239726900434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1.0758043628068381</v>
      </c>
      <c r="GM87" s="21">
        <f>EXP(-LN(2)/25)*GM86+(1-EXP(-LN(2)/25))/(LN(2)/25)*Calculateur!GH87*Calculateur!GJ87*VLOOKUP('Données projet'!$B$17,Paramètres!$A$1:$I$89,3,0)*0.475*44/12</f>
        <v>1.7577093851512371</v>
      </c>
      <c r="GN87" s="21">
        <f>EXP(-LN(2)/2)*GN86+(1-EXP(-LN(2)/2))/(LN(2)/2)*GH87*GK87*VLOOKUP('Données projet'!$B$17,Paramètres!$A$1:$I$89,3,0)*0.475*44/12</f>
        <v>7.3255423309624135E-8</v>
      </c>
      <c r="GO87" s="21">
        <f t="shared" si="81"/>
        <v>2.8335138212134985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-1.1368683772161603E-13</v>
      </c>
      <c r="GV87" s="17">
        <f>GU87*VLOOKUP('Données projet'!$B$18,Paramètres!$A$1:$I$89,3,0)*VLOOKUP('Données projet'!$B$18,Paramètres!$A$1:$I$89,5,0)</f>
        <v>-6.7984728957526396E-14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227.89848316900191</v>
      </c>
      <c r="HA87" s="59">
        <f t="shared" si="106"/>
        <v>239.85955661394541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2.7257497442513658</v>
      </c>
      <c r="HH87" s="21">
        <f>EXP(-LN(2)/25)*HH86+(1-EXP(-LN(2)/25))/(LN(2)/25)*Calculateur!HC87*Calculateur!HE87*VLOOKUP('Données projet'!$B$18,Paramètres!$A$1:$I$89,3,0)*0.475*44/12</f>
        <v>3.8359829403811383</v>
      </c>
      <c r="HI87" s="21">
        <f>EXP(-LN(2)/2)*HI86+(1-EXP(-LN(2)/2))/(LN(2)/2)*HC87*HF87*VLOOKUP('Données projet'!$B$18,Paramètres!$A$1:$I$89,3,0)*0.475*44/12</f>
        <v>4.9945493136291846E-8</v>
      </c>
      <c r="HJ87" s="22">
        <f t="shared" si="84"/>
        <v>6.5617327345779977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2.5420376914553347E-13</v>
      </c>
      <c r="P88" s="13">
        <f t="shared" si="87"/>
        <v>3.4258699088369875E-12</v>
      </c>
      <c r="Q88" s="20">
        <f t="shared" si="54"/>
        <v>6.4094616558195571E-12</v>
      </c>
      <c r="R88" s="59">
        <f t="shared" si="55"/>
        <v>293.33333333333974</v>
      </c>
      <c r="S88" s="59">
        <f ca="1">AVERAGE(OFFSET($R$3,0,0,'Données projet'!$E$9+1,1))-AVERAGE(OFFSET($H$3,0,0,'Données projet'!$E$9+1,1))</f>
        <v>370.69652285220093</v>
      </c>
      <c r="T88" s="59">
        <f t="shared" si="88"/>
        <v>376.53494965377718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3.4582489882772074</v>
      </c>
      <c r="AA88" s="21">
        <f>EXP(-LN(2)/25)*AA87+(1-EXP(-LN(2)/25))/(LN(2)/25)*Calculateur!V88*Calculateur!X88*VLOOKUP('Données projet'!$B$9,Paramètres!$A$1:$I$89,3,0)*0.475*44/12</f>
        <v>7.2703287364401872</v>
      </c>
      <c r="AB88" s="21">
        <f>EXP(-LN(2)/2)*AB87+(1-EXP(-LN(2)/2))/(LN(2)/2)*V88*Y88*VLOOKUP('Données projet'!$B$9,Paramètres!$A$1:$I$89,3,0)*0.475*44/12</f>
        <v>1.7243205349036307E-7</v>
      </c>
      <c r="AC88" s="22">
        <f t="shared" si="57"/>
        <v>10.728577897149448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294.05999999999989</v>
      </c>
      <c r="AK88" s="13">
        <f t="shared" si="89"/>
        <v>69.929765653573313</v>
      </c>
      <c r="AL88" s="20">
        <f t="shared" si="58"/>
        <v>633.94884184663999</v>
      </c>
      <c r="AM88" s="59">
        <f t="shared" si="59"/>
        <v>927.28217517997336</v>
      </c>
      <c r="AN88" s="59">
        <f ca="1">AVERAGE(OFFSET($AM$3,0,0,'Données projet'!$E$10+1,1))-AVERAGE(OFFSET($H$3,0,0,'Données projet'!$E$10+1,1))</f>
        <v>321.03881567735544</v>
      </c>
      <c r="AO88" s="59">
        <f t="shared" si="90"/>
        <v>234.87694492493506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0.81041794472758799</v>
      </c>
      <c r="AV88" s="21">
        <f>EXP(-LN(2)/25)*AV87+(1-EXP(-LN(2)/25))/(LN(2)/25)*Calculateur!AQ88*Calculateur!AS88*VLOOKUP('Données projet'!$B$10,Paramètres!$A$1:$I$89,3,0)*0.475*44/12</f>
        <v>2.9501895978915944</v>
      </c>
      <c r="AW88" s="21">
        <f>EXP(-LN(2)/2)*AW87+(1-EXP(-LN(2)/2))/(LN(2)/2)*AQ88*AT88*VLOOKUP('Données projet'!$B$10,Paramètres!$A$1:$I$89,3,0)*0.475*44/12</f>
        <v>1.1453450515455013E-7</v>
      </c>
      <c r="AX88" s="21">
        <f t="shared" si="60"/>
        <v>3.7606076571536873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5.6843418860808015E-13</v>
      </c>
      <c r="BE88" s="13">
        <f>BD88*VLOOKUP('Données projet'!$B$11,Paramètres!$A$1:$I$89,3,0)*VLOOKUP('Données projet'!$B$11,Paramètres!$A$1:$I$89,5,0)</f>
        <v>3.1036506698001181E-13</v>
      </c>
      <c r="BF88" s="13">
        <f t="shared" si="91"/>
        <v>4.086682523110923E-12</v>
      </c>
      <c r="BG88" s="20">
        <f t="shared" si="61"/>
        <v>7.6581912194083782E-12</v>
      </c>
      <c r="BH88" s="59">
        <f t="shared" si="62"/>
        <v>293.33333333334099</v>
      </c>
      <c r="BI88" s="59">
        <f ca="1">AVERAGE(OFFSET($BH$3,0,0,'Données projet'!$E$11+1,1))-AVERAGE(OFFSET($H$3,0,0,'Données projet'!$E$11+1,1))</f>
        <v>248.1486444660062</v>
      </c>
      <c r="BJ88" s="59">
        <f t="shared" si="92"/>
        <v>293.34458072322127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2.8660329881705389</v>
      </c>
      <c r="BQ88" s="21">
        <f>EXP(-LN(2)/25)*BQ87+(1-EXP(-LN(2)/25))/(LN(2)/25)*Calculateur!BL88*Calculateur!BN88*VLOOKUP('Données projet'!$B$11,Paramètres!$A$1:$I$89,3,0)*0.475*44/12</f>
        <v>7.4078933741741615</v>
      </c>
      <c r="BR88" s="21">
        <f>EXP(-LN(2)/2)*BR87+(1-EXP(-LN(2)/2))/(LN(2)/2)*BL88*BO88*VLOOKUP('Données projet'!$B$11,Paramètres!$A$1:$I$89,3,0)*0.475*44/12</f>
        <v>1.3266998732500621E-7</v>
      </c>
      <c r="BS88" s="22">
        <f t="shared" si="63"/>
        <v>10.273926495014686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243.38048563215585</v>
      </c>
      <c r="CE88" s="59">
        <f t="shared" si="94"/>
        <v>372.1604147006675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2.4591992805526814</v>
      </c>
      <c r="CL88" s="21">
        <f>EXP(-LN(2)/25)*CL87+(1-EXP(-LN(2)/25))/(LN(2)/25)*Calculateur!CG88*Calculateur!CI88*VLOOKUP('Données projet'!$B$12,Paramètres!$A$1:$I$89,3,0)*0.475*44/12</f>
        <v>4.2139932668498785</v>
      </c>
      <c r="CM88" s="21">
        <f>EXP(-LN(2)/2)*CM87+(1-EXP(-LN(2)/2))/(LN(2)/2)*CG88*CJ88*VLOOKUP('Données projet'!$B$12,Paramètres!$A$1:$I$89,3,0)*0.475*44/12</f>
        <v>1.5444153776540159E-7</v>
      </c>
      <c r="CN88" s="22">
        <f t="shared" si="66"/>
        <v>6.6731927018440977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7.9580786405131221E-13</v>
      </c>
      <c r="CU88" s="17">
        <f>CT88*VLOOKUP('Données projet'!$B$13,Paramètres!$A$1:$I$89,3,0)*VLOOKUP('Données projet'!$B$13,Paramètres!$A$1:$I$89,5,0)</f>
        <v>3.8278358260868117E-13</v>
      </c>
      <c r="CV88" s="13">
        <f t="shared" si="95"/>
        <v>4.9186917125089072E-12</v>
      </c>
      <c r="CW88" s="20">
        <f t="shared" si="67"/>
        <v>9.2334028056631319E-12</v>
      </c>
      <c r="CX88" s="59">
        <f t="shared" si="68"/>
        <v>293.33333333334252</v>
      </c>
      <c r="CY88" s="59">
        <f ca="1">AVERAGE(OFFSET($CX$3,0,0,'Données projet'!$E$13+1,1))-AVERAGE(OFFSET($H$3,0,0,'Données projet'!$E$13+1,1))</f>
        <v>297.21955661193238</v>
      </c>
      <c r="CZ88" s="59">
        <f t="shared" si="96"/>
        <v>273.69206144662144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2.2672019945294646</v>
      </c>
      <c r="DG88" s="21">
        <f>EXP(-LN(2)/25)*DG87+(1-EXP(-LN(2)/25))/(LN(2)/25)*Calculateur!DB88*Calculateur!DD88*VLOOKUP('Données projet'!$B$13,Paramètres!$A$1:$I$89,3,0)*0.475*44/12</f>
        <v>2.9213796390670543</v>
      </c>
      <c r="DH88" s="21">
        <f>EXP(-LN(2)/2)*DH87+(1-EXP(-LN(2)/2))/(LN(2)/2)*DB88*DE88*VLOOKUP('Données projet'!$B$13,Paramètres!$A$1:$I$89,3,0)*0.475*44/12</f>
        <v>1.1017598938635806E-7</v>
      </c>
      <c r="DI88" s="22">
        <f t="shared" si="69"/>
        <v>5.1885817437725077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-4.0702161641092972E-13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260.20517190557814</v>
      </c>
      <c r="DU88" s="59">
        <f t="shared" si="98"/>
        <v>307.22009971147133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1.0979148479343788</v>
      </c>
      <c r="EB88" s="21">
        <f>EXP(-LN(2)/25)*EB87+(1-EXP(-LN(2)/25))/(LN(2)/25)*Calculateur!DW88*Calculateur!DY88*VLOOKUP('Données projet'!$B$14,Paramètres!$A$1:$I$89,3,0)*0.475*44/12</f>
        <v>4.4658379276711777</v>
      </c>
      <c r="EC88" s="21">
        <f>EXP(-LN(2)/2)*EC87+(1-EXP(-LN(2)/2))/(LN(2)/2)*DW88*DZ88*VLOOKUP('Données projet'!$B$14,Paramètres!$A$1:$I$89,3,0)*0.475*44/12</f>
        <v>1.2664619187489426E-7</v>
      </c>
      <c r="ED88" s="22">
        <f t="shared" si="72"/>
        <v>5.5637529022517489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1.1368683772161603E-13</v>
      </c>
      <c r="EK88" s="17">
        <f>EJ88*VLOOKUP('Données projet'!$B$15,Paramètres!$A$1:$I$89,3,0)*VLOOKUP('Données projet'!$B$15,Paramètres!$A$1:$I$89,5,0)</f>
        <v>6.7984728957526396E-14</v>
      </c>
      <c r="EL88" s="13">
        <f t="shared" si="99"/>
        <v>1.0682447123141398E-12</v>
      </c>
      <c r="EM88" s="20">
        <f t="shared" si="73"/>
        <v>1.978932943548152E-12</v>
      </c>
      <c r="EN88" s="59">
        <f t="shared" si="74"/>
        <v>293.3333333333353</v>
      </c>
      <c r="EO88" s="59">
        <f ca="1">AVERAGE(OFFSET($EN$3,0,0,'Données projet'!$E$15+1,1))-AVERAGE(OFFSET($H$3,0,0,'Données projet'!$E$15+1,1))</f>
        <v>259.30247982593914</v>
      </c>
      <c r="EP88" s="59">
        <f t="shared" si="100"/>
        <v>275.24740346220779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3.9246624132330212</v>
      </c>
      <c r="EX88" s="21">
        <f>EXP(-LN(2)/2)*EX87+(1-EXP(-LN(2)/2))/(LN(2)/2)*ER88*EU88*VLOOKUP('Données projet'!$B$15,Paramètres!$A$1:$I$89,3,0)*0.475*44/12</f>
        <v>1.5109892899703488E-7</v>
      </c>
      <c r="EY88" s="22">
        <f t="shared" si="75"/>
        <v>3.9246625643319502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6.6</v>
      </c>
      <c r="FE88" s="12">
        <f>IF('Données projet'!$A$218&gt;35,FE87+FD88-FM87,IF(A88&lt;'Données projet'!$A$218,$FB$205^A88,IF(A88='Données projet'!$A$218,'Données projet'!$B$218,FE87+FD88-FM87)))</f>
        <v>324.99999999999989</v>
      </c>
      <c r="FF88" s="17">
        <f>FE88*VLOOKUP('Données projet'!$B$16,Paramètres!$A$1:$I$89,3,0)*VLOOKUP('Données projet'!$B$16,Paramètres!$A$1:$I$89,5,0)</f>
        <v>329.5499999999999</v>
      </c>
      <c r="FG88" s="13">
        <f t="shared" si="101"/>
        <v>77.337003282690574</v>
      </c>
      <c r="FH88" s="20">
        <f t="shared" si="76"/>
        <v>708.66153071735243</v>
      </c>
      <c r="FI88" s="59">
        <f t="shared" si="77"/>
        <v>1001.9948640506857</v>
      </c>
      <c r="FJ88" s="59">
        <f ca="1">AVERAGE(OFFSET($FI$3,0,0,'Données projet'!$E$16+1,1))-AVERAGE(OFFSET($H$3,0,0,'Données projet'!$E$16+1,1))</f>
        <v>372.91317851957336</v>
      </c>
      <c r="FK88" s="59">
        <f t="shared" si="102"/>
        <v>269.69187715858413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0.90822700702229719</v>
      </c>
      <c r="FR88" s="21">
        <f>EXP(-LN(2)/25)*FR87+(1-EXP(-LN(2)/25))/(LN(2)/25)*Calculateur!FM88*Calculateur!FO88*VLOOKUP('Données projet'!$B$16,Paramètres!$A$1:$I$89,3,0)*0.475*44/12</f>
        <v>3.3062469631543743</v>
      </c>
      <c r="FS88" s="21">
        <f>EXP(-LN(2)/2)*FS87+(1-EXP(-LN(2)/2))/(LN(2)/2)*FM88*FP88*VLOOKUP('Données projet'!$B$16,Paramètres!$A$1:$I$89,3,0)*0.475*44/12</f>
        <v>1.2835763508699573E-7</v>
      </c>
      <c r="FT88" s="22">
        <f t="shared" si="78"/>
        <v>4.2144740985343061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17.5</v>
      </c>
      <c r="FZ88" s="12">
        <f>IF('Données projet'!$A$244&gt;35,FZ87+FY88-GH87,IF(A88&lt;'Données projet'!$A$244,$FW$205^A88,IF(A88='Données projet'!$A$244,'Données projet'!$B$244,FZ87+FY88-GH87)))</f>
        <v>537.09999999999991</v>
      </c>
      <c r="GA88" s="17">
        <f>FZ88*VLOOKUP('Données projet'!$B$17,Paramètres!$A$1:$I$89,3,0)*VLOOKUP('Données projet'!$B$17,Paramètres!$A$1:$I$89,5,0)</f>
        <v>251.36279999999996</v>
      </c>
      <c r="GB88" s="13">
        <f t="shared" si="103"/>
        <v>60.877671564837158</v>
      </c>
      <c r="GC88" s="20">
        <f t="shared" si="79"/>
        <v>543.81882130875795</v>
      </c>
      <c r="GD88" s="59">
        <f t="shared" si="80"/>
        <v>837.15215464209132</v>
      </c>
      <c r="GE88" s="59">
        <f ca="1">AVERAGE(OFFSET($GD$3,0,0,'Données projet'!$E$17+1,1))-AVERAGE(OFFSET($H$3,0,0,'Données projet'!$E$17+1,1))</f>
        <v>215.23235148064941</v>
      </c>
      <c r="GF88" s="59">
        <f t="shared" si="104"/>
        <v>184.07239726900434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1.0547084954280654</v>
      </c>
      <c r="GM88" s="21">
        <f>EXP(-LN(2)/25)*GM87+(1-EXP(-LN(2)/25))/(LN(2)/25)*Calculateur!GH88*Calculateur!GJ88*VLOOKUP('Données projet'!$B$17,Paramètres!$A$1:$I$89,3,0)*0.475*44/12</f>
        <v>1.7096447295803572</v>
      </c>
      <c r="GN88" s="21">
        <f>EXP(-LN(2)/2)*GN87+(1-EXP(-LN(2)/2))/(LN(2)/2)*GH88*GK88*VLOOKUP('Données projet'!$B$17,Paramètres!$A$1:$I$89,3,0)*0.475*44/12</f>
        <v>5.1799406580926307E-8</v>
      </c>
      <c r="GO88" s="21">
        <f t="shared" si="81"/>
        <v>2.7643532768078289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-1.1368683772161603E-13</v>
      </c>
      <c r="GV88" s="17">
        <f>GU88*VLOOKUP('Données projet'!$B$18,Paramètres!$A$1:$I$89,3,0)*VLOOKUP('Données projet'!$B$18,Paramètres!$A$1:$I$89,5,0)</f>
        <v>-6.7984728957526396E-14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227.89848316900191</v>
      </c>
      <c r="HA88" s="59">
        <f t="shared" si="106"/>
        <v>239.85955661394541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2.672299454309778</v>
      </c>
      <c r="HH88" s="21">
        <f>EXP(-LN(2)/25)*HH87+(1-EXP(-LN(2)/25))/(LN(2)/25)*Calculateur!HC88*Calculateur!HE88*VLOOKUP('Données projet'!$B$18,Paramètres!$A$1:$I$89,3,0)*0.475*44/12</f>
        <v>3.7310877851508404</v>
      </c>
      <c r="HI88" s="21">
        <f>EXP(-LN(2)/2)*HI87+(1-EXP(-LN(2)/2))/(LN(2)/2)*HC88*HF88*VLOOKUP('Données projet'!$B$18,Paramètres!$A$1:$I$89,3,0)*0.475*44/12</f>
        <v>3.531679688637813E-8</v>
      </c>
      <c r="HJ88" s="22">
        <f t="shared" si="84"/>
        <v>6.4033872747774154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2.5420376914553347E-13</v>
      </c>
      <c r="P89" s="13">
        <f t="shared" si="87"/>
        <v>3.4258699088369875E-12</v>
      </c>
      <c r="Q89" s="20">
        <f t="shared" si="54"/>
        <v>6.4094616558195571E-12</v>
      </c>
      <c r="R89" s="59">
        <f t="shared" si="55"/>
        <v>293.33333333333974</v>
      </c>
      <c r="S89" s="59">
        <f ca="1">AVERAGE(OFFSET($R$3,0,0,'Données projet'!$E$9+1,1))-AVERAGE(OFFSET($H$3,0,0,'Données projet'!$E$9+1,1))</f>
        <v>370.69652285220093</v>
      </c>
      <c r="T89" s="59">
        <f t="shared" si="88"/>
        <v>376.53494965377718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3.3904348349406956</v>
      </c>
      <c r="AA89" s="21">
        <f>EXP(-LN(2)/25)*AA88+(1-EXP(-LN(2)/25))/(LN(2)/25)*Calculateur!V89*Calculateur!X89*VLOOKUP('Données projet'!$B$9,Paramètres!$A$1:$I$89,3,0)*0.475*44/12</f>
        <v>7.0715212148122584</v>
      </c>
      <c r="AB89" s="21">
        <f>EXP(-LN(2)/2)*AB88+(1-EXP(-LN(2)/2))/(LN(2)/2)*V89*Y89*VLOOKUP('Données projet'!$B$9,Paramètres!$A$1:$I$89,3,0)*0.475*44/12</f>
        <v>1.2192787431695721E-7</v>
      </c>
      <c r="AC89" s="22">
        <f t="shared" si="57"/>
        <v>10.461956171680828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300.03167999999994</v>
      </c>
      <c r="AK89" s="13">
        <f t="shared" si="89"/>
        <v>71.183104779714938</v>
      </c>
      <c r="AL89" s="20">
        <f t="shared" si="58"/>
        <v>646.53241682467001</v>
      </c>
      <c r="AM89" s="59">
        <f t="shared" si="59"/>
        <v>939.86575015800327</v>
      </c>
      <c r="AN89" s="59">
        <f ca="1">AVERAGE(OFFSET($AM$3,0,0,'Données projet'!$E$10+1,1))-AVERAGE(OFFSET($H$3,0,0,'Données projet'!$E$10+1,1))</f>
        <v>321.03881567735544</v>
      </c>
      <c r="AO89" s="59">
        <f t="shared" si="90"/>
        <v>234.87694492493506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0.7945261431376176</v>
      </c>
      <c r="AV89" s="21">
        <f>EXP(-LN(2)/25)*AV88+(1-EXP(-LN(2)/25))/(LN(2)/25)*Calculateur!AQ89*Calculateur!AS89*VLOOKUP('Données projet'!$B$10,Paramètres!$A$1:$I$89,3,0)*0.475*44/12</f>
        <v>2.8695165081935206</v>
      </c>
      <c r="AW89" s="21">
        <f>EXP(-LN(2)/2)*AW88+(1-EXP(-LN(2)/2))/(LN(2)/2)*AQ89*AT89*VLOOKUP('Données projet'!$B$10,Paramètres!$A$1:$I$89,3,0)*0.475*44/12</f>
        <v>8.0988125274627974E-8</v>
      </c>
      <c r="AX89" s="21">
        <f t="shared" si="60"/>
        <v>3.6640427323192633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5.6843418860808015E-13</v>
      </c>
      <c r="BE89" s="13">
        <f>BD89*VLOOKUP('Données projet'!$B$11,Paramètres!$A$1:$I$89,3,0)*VLOOKUP('Données projet'!$B$11,Paramètres!$A$1:$I$89,5,0)</f>
        <v>3.1036506698001181E-13</v>
      </c>
      <c r="BF89" s="13">
        <f t="shared" si="91"/>
        <v>4.086682523110923E-12</v>
      </c>
      <c r="BG89" s="20">
        <f t="shared" si="61"/>
        <v>7.6581912194083782E-12</v>
      </c>
      <c r="BH89" s="59">
        <f t="shared" si="62"/>
        <v>293.33333333334099</v>
      </c>
      <c r="BI89" s="59">
        <f ca="1">AVERAGE(OFFSET($BH$3,0,0,'Données projet'!$E$11+1,1))-AVERAGE(OFFSET($H$3,0,0,'Données projet'!$E$11+1,1))</f>
        <v>248.1486444660062</v>
      </c>
      <c r="BJ89" s="59">
        <f t="shared" si="92"/>
        <v>293.34458072322127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2.809831829380026</v>
      </c>
      <c r="BQ89" s="21">
        <f>EXP(-LN(2)/25)*BQ88+(1-EXP(-LN(2)/25))/(LN(2)/25)*Calculateur!BL89*Calculateur!BN89*VLOOKUP('Données projet'!$B$11,Paramètres!$A$1:$I$89,3,0)*0.475*44/12</f>
        <v>7.2053241402931878</v>
      </c>
      <c r="BR89" s="21">
        <f>EXP(-LN(2)/2)*BR88+(1-EXP(-LN(2)/2))/(LN(2)/2)*BL89*BO89*VLOOKUP('Données projet'!$B$11,Paramètres!$A$1:$I$89,3,0)*0.475*44/12</f>
        <v>9.3811847697445202E-8</v>
      </c>
      <c r="BS89" s="22">
        <f t="shared" si="63"/>
        <v>10.01515606348506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243.38048563215585</v>
      </c>
      <c r="CE89" s="59">
        <f t="shared" si="94"/>
        <v>372.1604147006675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2.4109758826244954</v>
      </c>
      <c r="CL89" s="21">
        <f>EXP(-LN(2)/25)*CL88+(1-EXP(-LN(2)/25))/(LN(2)/25)*Calculateur!CG89*Calculateur!CI89*VLOOKUP('Données projet'!$B$12,Paramètres!$A$1:$I$89,3,0)*0.475*44/12</f>
        <v>4.0987613993635943</v>
      </c>
      <c r="CM89" s="21">
        <f>EXP(-LN(2)/2)*CM88+(1-EXP(-LN(2)/2))/(LN(2)/2)*CG89*CJ89*VLOOKUP('Données projet'!$B$12,Paramètres!$A$1:$I$89,3,0)*0.475*44/12</f>
        <v>1.0920665865079374E-7</v>
      </c>
      <c r="CN89" s="22">
        <f t="shared" si="66"/>
        <v>6.509737391194748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7.9580786405131221E-13</v>
      </c>
      <c r="CU89" s="17">
        <f>CT89*VLOOKUP('Données projet'!$B$13,Paramètres!$A$1:$I$89,3,0)*VLOOKUP('Données projet'!$B$13,Paramètres!$A$1:$I$89,5,0)</f>
        <v>3.8278358260868117E-13</v>
      </c>
      <c r="CV89" s="13">
        <f t="shared" si="95"/>
        <v>4.9186917125089072E-12</v>
      </c>
      <c r="CW89" s="20">
        <f t="shared" si="67"/>
        <v>9.2334028056631319E-12</v>
      </c>
      <c r="CX89" s="59">
        <f t="shared" si="68"/>
        <v>293.33333333334252</v>
      </c>
      <c r="CY89" s="59">
        <f ca="1">AVERAGE(OFFSET($CX$3,0,0,'Données projet'!$E$13+1,1))-AVERAGE(OFFSET($H$3,0,0,'Données projet'!$E$13+1,1))</f>
        <v>297.21955661193238</v>
      </c>
      <c r="CZ89" s="59">
        <f t="shared" si="96"/>
        <v>273.69206144662144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2.2227435462734126</v>
      </c>
      <c r="DG89" s="21">
        <f>EXP(-LN(2)/25)*DG88+(1-EXP(-LN(2)/25))/(LN(2)/25)*Calculateur!DB89*Calculateur!DD89*VLOOKUP('Données projet'!$B$13,Paramètres!$A$1:$I$89,3,0)*0.475*44/12</f>
        <v>2.8414943592080872</v>
      </c>
      <c r="DH89" s="21">
        <f>EXP(-LN(2)/2)*DH88+(1-EXP(-LN(2)/2))/(LN(2)/2)*DB89*DE89*VLOOKUP('Données projet'!$B$13,Paramètres!$A$1:$I$89,3,0)*0.475*44/12</f>
        <v>7.7906189219030869E-8</v>
      </c>
      <c r="DI89" s="22">
        <f t="shared" si="69"/>
        <v>5.0642379833876889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-4.0702161641092972E-13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260.20517190557814</v>
      </c>
      <c r="DU89" s="59">
        <f t="shared" si="98"/>
        <v>307.22009971147133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1.0763854074283192</v>
      </c>
      <c r="EB89" s="21">
        <f>EXP(-LN(2)/25)*EB88+(1-EXP(-LN(2)/25))/(LN(2)/25)*Calculateur!DW89*Calculateur!DY89*VLOOKUP('Données projet'!$B$14,Paramètres!$A$1:$I$89,3,0)*0.475*44/12</f>
        <v>4.3437193546907995</v>
      </c>
      <c r="EC89" s="21">
        <f>EXP(-LN(2)/2)*EC88+(1-EXP(-LN(2)/2))/(LN(2)/2)*DW89*DZ89*VLOOKUP('Données projet'!$B$14,Paramètres!$A$1:$I$89,3,0)*0.475*44/12</f>
        <v>8.9552381086190366E-8</v>
      </c>
      <c r="ED89" s="22">
        <f t="shared" si="72"/>
        <v>5.4201048516714998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1.1368683772161603E-13</v>
      </c>
      <c r="EK89" s="17">
        <f>EJ89*VLOOKUP('Données projet'!$B$15,Paramètres!$A$1:$I$89,3,0)*VLOOKUP('Données projet'!$B$15,Paramètres!$A$1:$I$89,5,0)</f>
        <v>6.7984728957526396E-14</v>
      </c>
      <c r="EL89" s="13">
        <f t="shared" si="99"/>
        <v>1.0682447123141398E-12</v>
      </c>
      <c r="EM89" s="20">
        <f t="shared" si="73"/>
        <v>1.978932943548152E-12</v>
      </c>
      <c r="EN89" s="59">
        <f t="shared" si="74"/>
        <v>293.3333333333353</v>
      </c>
      <c r="EO89" s="59">
        <f ca="1">AVERAGE(OFFSET($EN$3,0,0,'Données projet'!$E$15+1,1))-AVERAGE(OFFSET($H$3,0,0,'Données projet'!$E$15+1,1))</f>
        <v>259.30247982593914</v>
      </c>
      <c r="EP89" s="59">
        <f t="shared" si="100"/>
        <v>275.24740346220779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3.8173423131541377</v>
      </c>
      <c r="EX89" s="21">
        <f>EXP(-LN(2)/2)*EX88+(1-EXP(-LN(2)/2))/(LN(2)/2)*ER89*EU89*VLOOKUP('Données projet'!$B$15,Paramètres!$A$1:$I$89,3,0)*0.475*44/12</f>
        <v>1.0684307732382803E-7</v>
      </c>
      <c r="EY89" s="22">
        <f t="shared" si="75"/>
        <v>3.8173424199972152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6.6</v>
      </c>
      <c r="FE89" s="12">
        <f>IF('Données projet'!$A$218&gt;35,FE88+FD89-FM88,IF(A89&lt;'Données projet'!$A$218,$FB$205^A89,IF(A89='Données projet'!$A$218,'Données projet'!$B$218,FE88+FD89-FM88)))</f>
        <v>331.59999999999991</v>
      </c>
      <c r="FF89" s="17">
        <f>FE89*VLOOKUP('Données projet'!$B$16,Paramètres!$A$1:$I$89,3,0)*VLOOKUP('Données projet'!$B$16,Paramètres!$A$1:$I$89,5,0)</f>
        <v>336.24239999999992</v>
      </c>
      <c r="FG89" s="13">
        <f t="shared" si="101"/>
        <v>78.723101051027399</v>
      </c>
      <c r="FH89" s="20">
        <f t="shared" si="76"/>
        <v>722.73158099720592</v>
      </c>
      <c r="FI89" s="59">
        <f t="shared" si="77"/>
        <v>1016.0649143305393</v>
      </c>
      <c r="FJ89" s="59">
        <f ca="1">AVERAGE(OFFSET($FI$3,0,0,'Données projet'!$E$16+1,1))-AVERAGE(OFFSET($H$3,0,0,'Données projet'!$E$16+1,1))</f>
        <v>372.91317851957336</v>
      </c>
      <c r="FK89" s="59">
        <f t="shared" si="102"/>
        <v>269.69187715858413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0.89041722937836487</v>
      </c>
      <c r="FR89" s="21">
        <f>EXP(-LN(2)/25)*FR88+(1-EXP(-LN(2)/25))/(LN(2)/25)*Calculateur!FM89*Calculateur!FO89*VLOOKUP('Données projet'!$B$16,Paramètres!$A$1:$I$89,3,0)*0.475*44/12</f>
        <v>3.2158374660789466</v>
      </c>
      <c r="FS89" s="21">
        <f>EXP(-LN(2)/2)*FS88+(1-EXP(-LN(2)/2))/(LN(2)/2)*FM89*FP89*VLOOKUP('Données projet'!$B$16,Paramètres!$A$1:$I$89,3,0)*0.475*44/12</f>
        <v>9.0762554187083003E-8</v>
      </c>
      <c r="FT89" s="22">
        <f t="shared" si="78"/>
        <v>4.1062547862198651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17.5</v>
      </c>
      <c r="FZ89" s="12">
        <f>IF('Données projet'!$A$244&gt;35,FZ88+FY89-GH88,IF(A89&lt;'Données projet'!$A$244,$FW$205^A89,IF(A89='Données projet'!$A$244,'Données projet'!$B$244,FZ88+FY89-GH88)))</f>
        <v>554.59999999999991</v>
      </c>
      <c r="GA89" s="17">
        <f>FZ89*VLOOKUP('Données projet'!$B$17,Paramètres!$A$1:$I$89,3,0)*VLOOKUP('Données projet'!$B$17,Paramètres!$A$1:$I$89,5,0)</f>
        <v>259.55279999999993</v>
      </c>
      <c r="GB89" s="13">
        <f t="shared" si="103"/>
        <v>62.627043439399927</v>
      </c>
      <c r="GC89" s="20">
        <f t="shared" si="79"/>
        <v>561.12989399028811</v>
      </c>
      <c r="GD89" s="59">
        <f t="shared" si="80"/>
        <v>854.46322732362137</v>
      </c>
      <c r="GE89" s="59">
        <f ca="1">AVERAGE(OFFSET($GD$3,0,0,'Données projet'!$E$17+1,1))-AVERAGE(OFFSET($H$3,0,0,'Données projet'!$E$17+1,1))</f>
        <v>215.23235148064941</v>
      </c>
      <c r="GF89" s="59">
        <f t="shared" si="104"/>
        <v>184.07239726900434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1.0340263051413818</v>
      </c>
      <c r="GM89" s="21">
        <f>EXP(-LN(2)/25)*GM88+(1-EXP(-LN(2)/25))/(LN(2)/25)*Calculateur!GH89*Calculateur!GJ89*VLOOKUP('Données projet'!$B$17,Paramètres!$A$1:$I$89,3,0)*0.475*44/12</f>
        <v>1.6628944045436733</v>
      </c>
      <c r="GN89" s="21">
        <f>EXP(-LN(2)/2)*GN88+(1-EXP(-LN(2)/2))/(LN(2)/2)*GH89*GK89*VLOOKUP('Données projet'!$B$17,Paramètres!$A$1:$I$89,3,0)*0.475*44/12</f>
        <v>3.6627711654812067E-8</v>
      </c>
      <c r="GO89" s="21">
        <f t="shared" si="81"/>
        <v>2.6969207463127667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-1.1368683772161603E-13</v>
      </c>
      <c r="GV89" s="17">
        <f>GU89*VLOOKUP('Données projet'!$B$18,Paramètres!$A$1:$I$89,3,0)*VLOOKUP('Données projet'!$B$18,Paramètres!$A$1:$I$89,5,0)</f>
        <v>-6.7984728957526396E-14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227.89848316900191</v>
      </c>
      <c r="HA89" s="59">
        <f t="shared" si="106"/>
        <v>239.85955661394541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2.619897291952487</v>
      </c>
      <c r="HH89" s="21">
        <f>EXP(-LN(2)/25)*HH88+(1-EXP(-LN(2)/25))/(LN(2)/25)*Calculateur!HC89*Calculateur!HE89*VLOOKUP('Données projet'!$B$18,Paramètres!$A$1:$I$89,3,0)*0.475*44/12</f>
        <v>3.6290609934565117</v>
      </c>
      <c r="HI89" s="21">
        <f>EXP(-LN(2)/2)*HI88+(1-EXP(-LN(2)/2))/(LN(2)/2)*HC89*HF89*VLOOKUP('Données projet'!$B$18,Paramètres!$A$1:$I$89,3,0)*0.475*44/12</f>
        <v>2.4972746568145923E-8</v>
      </c>
      <c r="HJ89" s="22">
        <f t="shared" si="84"/>
        <v>6.2489583103817452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2.5420376914553347E-13</v>
      </c>
      <c r="P90" s="13">
        <f t="shared" si="87"/>
        <v>3.4258699088369875E-12</v>
      </c>
      <c r="Q90" s="20">
        <f t="shared" si="54"/>
        <v>6.4094616558195571E-12</v>
      </c>
      <c r="R90" s="59">
        <f t="shared" si="55"/>
        <v>293.33333333333974</v>
      </c>
      <c r="S90" s="59">
        <f ca="1">AVERAGE(OFFSET($R$3,0,0,'Données projet'!$E$9+1,1))-AVERAGE(OFFSET($H$3,0,0,'Données projet'!$E$9+1,1))</f>
        <v>370.69652285220093</v>
      </c>
      <c r="T90" s="59">
        <f t="shared" si="88"/>
        <v>376.53494965377718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3.3239504757885636</v>
      </c>
      <c r="AA90" s="21">
        <f>EXP(-LN(2)/25)*AA89+(1-EXP(-LN(2)/25))/(LN(2)/25)*Calculateur!V90*Calculateur!X90*VLOOKUP('Données projet'!$B$9,Paramètres!$A$1:$I$89,3,0)*0.475*44/12</f>
        <v>6.8781500953180785</v>
      </c>
      <c r="AB90" s="21">
        <f>EXP(-LN(2)/2)*AB89+(1-EXP(-LN(2)/2))/(LN(2)/2)*V90*Y90*VLOOKUP('Données projet'!$B$9,Paramètres!$A$1:$I$89,3,0)*0.475*44/12</f>
        <v>8.6216026745181534E-8</v>
      </c>
      <c r="AC90" s="22">
        <f t="shared" si="57"/>
        <v>10.202100657322669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306.00335999999993</v>
      </c>
      <c r="AK90" s="13">
        <f t="shared" si="89"/>
        <v>72.433543369450447</v>
      </c>
      <c r="AL90" s="20">
        <f t="shared" si="58"/>
        <v>659.11094003512596</v>
      </c>
      <c r="AM90" s="59">
        <f t="shared" si="59"/>
        <v>952.44427336845933</v>
      </c>
      <c r="AN90" s="59">
        <f ca="1">AVERAGE(OFFSET($AM$3,0,0,'Données projet'!$E$10+1,1))-AVERAGE(OFFSET($H$3,0,0,'Données projet'!$E$10+1,1))</f>
        <v>321.03881567735544</v>
      </c>
      <c r="AO90" s="59">
        <f t="shared" si="90"/>
        <v>234.87694492493506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0.77894597008378463</v>
      </c>
      <c r="AV90" s="21">
        <f>EXP(-LN(2)/25)*AV89+(1-EXP(-LN(2)/25))/(LN(2)/25)*Calculateur!AQ90*Calculateur!AS90*VLOOKUP('Données projet'!$B$10,Paramètres!$A$1:$I$89,3,0)*0.475*44/12</f>
        <v>2.7910494283756537</v>
      </c>
      <c r="AW90" s="21">
        <f>EXP(-LN(2)/2)*AW89+(1-EXP(-LN(2)/2))/(LN(2)/2)*AQ90*AT90*VLOOKUP('Données projet'!$B$10,Paramètres!$A$1:$I$89,3,0)*0.475*44/12</f>
        <v>5.7267252577275063E-8</v>
      </c>
      <c r="AX90" s="21">
        <f t="shared" si="60"/>
        <v>3.5699954557266911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5.6843418860808015E-13</v>
      </c>
      <c r="BE90" s="13">
        <f>BD90*VLOOKUP('Données projet'!$B$11,Paramètres!$A$1:$I$89,3,0)*VLOOKUP('Données projet'!$B$11,Paramètres!$A$1:$I$89,5,0)</f>
        <v>3.1036506698001181E-13</v>
      </c>
      <c r="BF90" s="13">
        <f t="shared" si="91"/>
        <v>4.086682523110923E-12</v>
      </c>
      <c r="BG90" s="20">
        <f t="shared" si="61"/>
        <v>7.6581912194083782E-12</v>
      </c>
      <c r="BH90" s="59">
        <f t="shared" si="62"/>
        <v>293.33333333334099</v>
      </c>
      <c r="BI90" s="59">
        <f ca="1">AVERAGE(OFFSET($BH$3,0,0,'Données projet'!$E$11+1,1))-AVERAGE(OFFSET($H$3,0,0,'Données projet'!$E$11+1,1))</f>
        <v>248.1486444660062</v>
      </c>
      <c r="BJ90" s="59">
        <f t="shared" si="92"/>
        <v>293.34458072322127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2.754732741034073</v>
      </c>
      <c r="BQ90" s="21">
        <f>EXP(-LN(2)/25)*BQ89+(1-EXP(-LN(2)/25))/(LN(2)/25)*Calculateur!BL90*Calculateur!BN90*VLOOKUP('Données projet'!$B$11,Paramètres!$A$1:$I$89,3,0)*0.475*44/12</f>
        <v>7.0082941727653418</v>
      </c>
      <c r="BR90" s="21">
        <f>EXP(-LN(2)/2)*BR89+(1-EXP(-LN(2)/2))/(LN(2)/2)*BL90*BO90*VLOOKUP('Données projet'!$B$11,Paramètres!$A$1:$I$89,3,0)*0.475*44/12</f>
        <v>6.6334993662503106E-8</v>
      </c>
      <c r="BS90" s="22">
        <f t="shared" si="63"/>
        <v>9.7630269801344092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243.38048563215585</v>
      </c>
      <c r="CE90" s="59">
        <f t="shared" si="94"/>
        <v>372.1604147006675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2.3636981161163129</v>
      </c>
      <c r="CL90" s="21">
        <f>EXP(-LN(2)/25)*CL89+(1-EXP(-LN(2)/25))/(LN(2)/25)*Calculateur!CG90*Calculateur!CI90*VLOOKUP('Données projet'!$B$12,Paramètres!$A$1:$I$89,3,0)*0.475*44/12</f>
        <v>3.9866805533535028</v>
      </c>
      <c r="CM90" s="21">
        <f>EXP(-LN(2)/2)*CM89+(1-EXP(-LN(2)/2))/(LN(2)/2)*CG90*CJ90*VLOOKUP('Données projet'!$B$12,Paramètres!$A$1:$I$89,3,0)*0.475*44/12</f>
        <v>7.7220768882700796E-8</v>
      </c>
      <c r="CN90" s="22">
        <f t="shared" si="66"/>
        <v>6.3503787466905841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7.9580786405131221E-13</v>
      </c>
      <c r="CU90" s="17">
        <f>CT90*VLOOKUP('Données projet'!$B$13,Paramètres!$A$1:$I$89,3,0)*VLOOKUP('Données projet'!$B$13,Paramètres!$A$1:$I$89,5,0)</f>
        <v>3.8278358260868117E-13</v>
      </c>
      <c r="CV90" s="13">
        <f t="shared" si="95"/>
        <v>4.9186917125089072E-12</v>
      </c>
      <c r="CW90" s="20">
        <f t="shared" si="67"/>
        <v>9.2334028056631319E-12</v>
      </c>
      <c r="CX90" s="59">
        <f t="shared" si="68"/>
        <v>293.33333333334252</v>
      </c>
      <c r="CY90" s="59">
        <f ca="1">AVERAGE(OFFSET($CX$3,0,0,'Données projet'!$E$13+1,1))-AVERAGE(OFFSET($H$3,0,0,'Données projet'!$E$13+1,1))</f>
        <v>297.21955661193238</v>
      </c>
      <c r="CZ90" s="59">
        <f t="shared" si="96"/>
        <v>273.69206144662144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2.1791569010706859</v>
      </c>
      <c r="DG90" s="21">
        <f>EXP(-LN(2)/25)*DG89+(1-EXP(-LN(2)/25))/(LN(2)/25)*Calculateur!DB90*Calculateur!DD90*VLOOKUP('Données projet'!$B$13,Paramètres!$A$1:$I$89,3,0)*0.475*44/12</f>
        <v>2.763793546527848</v>
      </c>
      <c r="DH90" s="21">
        <f>EXP(-LN(2)/2)*DH89+(1-EXP(-LN(2)/2))/(LN(2)/2)*DB90*DE90*VLOOKUP('Données projet'!$B$13,Paramètres!$A$1:$I$89,3,0)*0.475*44/12</f>
        <v>5.5087994693179029E-8</v>
      </c>
      <c r="DI90" s="22">
        <f t="shared" si="69"/>
        <v>4.9429505026865286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-4.0702161641092972E-13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260.20517190557814</v>
      </c>
      <c r="DU90" s="59">
        <f t="shared" si="98"/>
        <v>307.22009971147133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1.0552781461189213</v>
      </c>
      <c r="EB90" s="21">
        <f>EXP(-LN(2)/25)*EB89+(1-EXP(-LN(2)/25))/(LN(2)/25)*Calculateur!DW90*Calculateur!DY90*VLOOKUP('Données projet'!$B$14,Paramètres!$A$1:$I$89,3,0)*0.475*44/12</f>
        <v>4.2249401205105066</v>
      </c>
      <c r="EC90" s="21">
        <f>EXP(-LN(2)/2)*EC89+(1-EXP(-LN(2)/2))/(LN(2)/2)*DW90*DZ90*VLOOKUP('Données projet'!$B$14,Paramètres!$A$1:$I$89,3,0)*0.475*44/12</f>
        <v>6.3323095937447128E-8</v>
      </c>
      <c r="ED90" s="22">
        <f t="shared" si="72"/>
        <v>5.2802183299525236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1.1368683772161603E-13</v>
      </c>
      <c r="EK90" s="17">
        <f>EJ90*VLOOKUP('Données projet'!$B$15,Paramètres!$A$1:$I$89,3,0)*VLOOKUP('Données projet'!$B$15,Paramètres!$A$1:$I$89,5,0)</f>
        <v>6.7984728957526396E-14</v>
      </c>
      <c r="EL90" s="13">
        <f t="shared" si="99"/>
        <v>1.0682447123141398E-12</v>
      </c>
      <c r="EM90" s="20">
        <f t="shared" si="73"/>
        <v>1.978932943548152E-12</v>
      </c>
      <c r="EN90" s="59">
        <f t="shared" si="74"/>
        <v>293.3333333333353</v>
      </c>
      <c r="EO90" s="59">
        <f ca="1">AVERAGE(OFFSET($EN$3,0,0,'Données projet'!$E$15+1,1))-AVERAGE(OFFSET($H$3,0,0,'Données projet'!$E$15+1,1))</f>
        <v>259.30247982593914</v>
      </c>
      <c r="EP90" s="59">
        <f t="shared" si="100"/>
        <v>275.24740346220779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3.7129568868556304</v>
      </c>
      <c r="EX90" s="21">
        <f>EXP(-LN(2)/2)*EX89+(1-EXP(-LN(2)/2))/(LN(2)/2)*ER90*EU90*VLOOKUP('Données projet'!$B$15,Paramètres!$A$1:$I$89,3,0)*0.475*44/12</f>
        <v>7.5549464498517442E-8</v>
      </c>
      <c r="EY90" s="22">
        <f t="shared" si="75"/>
        <v>3.7129569624050949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6.6</v>
      </c>
      <c r="FE90" s="12">
        <f>IF('Données projet'!$A$218&gt;35,FE89+FD90-FM89,IF(A90&lt;'Données projet'!$A$218,$FB$205^A90,IF(A90='Données projet'!$A$218,'Données projet'!$B$218,FE89+FD90-FM89)))</f>
        <v>338.19999999999993</v>
      </c>
      <c r="FF90" s="17">
        <f>FE90*VLOOKUP('Données projet'!$B$16,Paramètres!$A$1:$I$89,3,0)*VLOOKUP('Données projet'!$B$16,Paramètres!$A$1:$I$89,5,0)</f>
        <v>342.93479999999994</v>
      </c>
      <c r="FG90" s="13">
        <f t="shared" si="101"/>
        <v>80.105991046658843</v>
      </c>
      <c r="FH90" s="20">
        <f t="shared" si="76"/>
        <v>736.79604440626406</v>
      </c>
      <c r="FI90" s="59">
        <f t="shared" si="77"/>
        <v>1030.1293777395974</v>
      </c>
      <c r="FJ90" s="59">
        <f ca="1">AVERAGE(OFFSET($FI$3,0,0,'Données projet'!$E$16+1,1))-AVERAGE(OFFSET($H$3,0,0,'Données projet'!$E$16+1,1))</f>
        <v>372.91317851957336</v>
      </c>
      <c r="FK90" s="59">
        <f t="shared" si="102"/>
        <v>269.69187715858413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0.87295669061113834</v>
      </c>
      <c r="FR90" s="21">
        <f>EXP(-LN(2)/25)*FR89+(1-EXP(-LN(2)/25))/(LN(2)/25)*Calculateur!FM90*Calculateur!FO90*VLOOKUP('Données projet'!$B$16,Paramètres!$A$1:$I$89,3,0)*0.475*44/12</f>
        <v>3.1279002214554752</v>
      </c>
      <c r="FS90" s="21">
        <f>EXP(-LN(2)/2)*FS89+(1-EXP(-LN(2)/2))/(LN(2)/2)*FM90*FP90*VLOOKUP('Données projet'!$B$16,Paramètres!$A$1:$I$89,3,0)*0.475*44/12</f>
        <v>6.4178817543497863E-8</v>
      </c>
      <c r="FT90" s="22">
        <f t="shared" si="78"/>
        <v>4.0008569762454309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17.5</v>
      </c>
      <c r="FZ90" s="12">
        <f>IF('Données projet'!$A$244&gt;35,FZ89+FY90-GH89,IF(A90&lt;'Données projet'!$A$244,$FW$205^A90,IF(A90='Données projet'!$A$244,'Données projet'!$B$244,FZ89+FY90-GH89)))</f>
        <v>572.09999999999991</v>
      </c>
      <c r="GA90" s="17">
        <f>FZ90*VLOOKUP('Données projet'!$B$17,Paramètres!$A$1:$I$89,3,0)*VLOOKUP('Données projet'!$B$17,Paramètres!$A$1:$I$89,5,0)</f>
        <v>267.74279999999993</v>
      </c>
      <c r="GB90" s="13">
        <f t="shared" si="103"/>
        <v>64.370000676259949</v>
      </c>
      <c r="GC90" s="20">
        <f t="shared" si="79"/>
        <v>578.42979451115264</v>
      </c>
      <c r="GD90" s="59">
        <f t="shared" si="80"/>
        <v>871.76312784448601</v>
      </c>
      <c r="GE90" s="59">
        <f ca="1">AVERAGE(OFFSET($GD$3,0,0,'Données projet'!$E$17+1,1))-AVERAGE(OFFSET($H$3,0,0,'Données projet'!$E$17+1,1))</f>
        <v>215.23235148064941</v>
      </c>
      <c r="GF90" s="59">
        <f t="shared" si="104"/>
        <v>184.07239726900434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1.0137496799913297</v>
      </c>
      <c r="GM90" s="21">
        <f>EXP(-LN(2)/25)*GM89+(1-EXP(-LN(2)/25))/(LN(2)/25)*Calculateur!GH90*Calculateur!GJ90*VLOOKUP('Données projet'!$B$17,Paramètres!$A$1:$I$89,3,0)*0.475*44/12</f>
        <v>1.6174224696036104</v>
      </c>
      <c r="GN90" s="21">
        <f>EXP(-LN(2)/2)*GN89+(1-EXP(-LN(2)/2))/(LN(2)/2)*GH90*GK90*VLOOKUP('Données projet'!$B$17,Paramètres!$A$1:$I$89,3,0)*0.475*44/12</f>
        <v>2.5899703290463154E-8</v>
      </c>
      <c r="GO90" s="21">
        <f t="shared" si="81"/>
        <v>2.6311721754946436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-1.1368683772161603E-13</v>
      </c>
      <c r="GV90" s="17">
        <f>GU90*VLOOKUP('Données projet'!$B$18,Paramètres!$A$1:$I$89,3,0)*VLOOKUP('Données projet'!$B$18,Paramètres!$A$1:$I$89,5,0)</f>
        <v>-6.7984728957526396E-14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227.89848316900191</v>
      </c>
      <c r="HA90" s="59">
        <f t="shared" si="106"/>
        <v>239.85955661394541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2.5685227040368592</v>
      </c>
      <c r="HH90" s="21">
        <f>EXP(-LN(2)/25)*HH89+(1-EXP(-LN(2)/25))/(LN(2)/25)*Calculateur!HC90*Calculateur!HE90*VLOOKUP('Données projet'!$B$18,Paramètres!$A$1:$I$89,3,0)*0.475*44/12</f>
        <v>3.5298241297464199</v>
      </c>
      <c r="HI90" s="21">
        <f>EXP(-LN(2)/2)*HI89+(1-EXP(-LN(2)/2))/(LN(2)/2)*HC90*HF90*VLOOKUP('Données projet'!$B$18,Paramètres!$A$1:$I$89,3,0)*0.475*44/12</f>
        <v>1.7658398443189065E-8</v>
      </c>
      <c r="HJ90" s="22">
        <f t="shared" si="84"/>
        <v>6.0983468514416774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2.5420376914553347E-13</v>
      </c>
      <c r="P91" s="13">
        <f t="shared" si="87"/>
        <v>3.4258699088369875E-12</v>
      </c>
      <c r="Q91" s="20">
        <f t="shared" si="54"/>
        <v>6.4094616558195571E-12</v>
      </c>
      <c r="R91" s="59">
        <f t="shared" si="55"/>
        <v>293.33333333333974</v>
      </c>
      <c r="S91" s="59">
        <f ca="1">AVERAGE(OFFSET($R$3,0,0,'Données projet'!$E$9+1,1))-AVERAGE(OFFSET($H$3,0,0,'Données projet'!$E$9+1,1))</f>
        <v>370.69652285220093</v>
      </c>
      <c r="T91" s="59">
        <f t="shared" si="88"/>
        <v>376.53494965377718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3.2587698343679499</v>
      </c>
      <c r="AA91" s="21">
        <f>EXP(-LN(2)/25)*AA90+(1-EXP(-LN(2)/25))/(LN(2)/25)*Calculateur!V91*Calculateur!X91*VLOOKUP('Données projet'!$B$9,Paramètres!$A$1:$I$89,3,0)*0.475*44/12</f>
        <v>6.6900667192554124</v>
      </c>
      <c r="AB91" s="21">
        <f>EXP(-LN(2)/2)*AB90+(1-EXP(-LN(2)/2))/(LN(2)/2)*V91*Y91*VLOOKUP('Données projet'!$B$9,Paramètres!$A$1:$I$89,3,0)*0.475*44/12</f>
        <v>6.0963937158478606E-8</v>
      </c>
      <c r="AC91" s="22">
        <f t="shared" si="57"/>
        <v>9.9488366145873002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311.97503999999992</v>
      </c>
      <c r="AK91" s="13">
        <f t="shared" si="89"/>
        <v>73.681144552074599</v>
      </c>
      <c r="AL91" s="20">
        <f t="shared" si="58"/>
        <v>671.68452142819649</v>
      </c>
      <c r="AM91" s="59">
        <f t="shared" si="59"/>
        <v>965.01785476152986</v>
      </c>
      <c r="AN91" s="59">
        <f ca="1">AVERAGE(OFFSET($AM$3,0,0,'Données projet'!$E$10+1,1))-AVERAGE(OFFSET($H$3,0,0,'Données projet'!$E$10+1,1))</f>
        <v>321.03881567735544</v>
      </c>
      <c r="AO91" s="59">
        <f t="shared" si="90"/>
        <v>234.87694492493506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0.76367131472057015</v>
      </c>
      <c r="AV91" s="21">
        <f>EXP(-LN(2)/25)*AV90+(1-EXP(-LN(2)/25))/(LN(2)/25)*Calculateur!AQ91*Calculateur!AS91*VLOOKUP('Données projet'!$B$10,Paramètres!$A$1:$I$89,3,0)*0.475*44/12</f>
        <v>2.7147280349818113</v>
      </c>
      <c r="AW91" s="21">
        <f>EXP(-LN(2)/2)*AW90+(1-EXP(-LN(2)/2))/(LN(2)/2)*AQ91*AT91*VLOOKUP('Données projet'!$B$10,Paramètres!$A$1:$I$89,3,0)*0.475*44/12</f>
        <v>4.0494062637313987E-8</v>
      </c>
      <c r="AX91" s="21">
        <f t="shared" si="60"/>
        <v>3.4783993901964441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5.6843418860808015E-13</v>
      </c>
      <c r="BE91" s="13">
        <f>BD91*VLOOKUP('Données projet'!$B$11,Paramètres!$A$1:$I$89,3,0)*VLOOKUP('Données projet'!$B$11,Paramètres!$A$1:$I$89,5,0)</f>
        <v>3.1036506698001181E-13</v>
      </c>
      <c r="BF91" s="13">
        <f t="shared" si="91"/>
        <v>4.086682523110923E-12</v>
      </c>
      <c r="BG91" s="20">
        <f t="shared" si="61"/>
        <v>7.6581912194083782E-12</v>
      </c>
      <c r="BH91" s="59">
        <f t="shared" si="62"/>
        <v>293.33333333334099</v>
      </c>
      <c r="BI91" s="59">
        <f ca="1">AVERAGE(OFFSET($BH$3,0,0,'Données projet'!$E$11+1,1))-AVERAGE(OFFSET($H$3,0,0,'Données projet'!$E$11+1,1))</f>
        <v>248.1486444660062</v>
      </c>
      <c r="BJ91" s="59">
        <f t="shared" si="92"/>
        <v>293.34458072322127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2.7007141122034586</v>
      </c>
      <c r="BQ91" s="21">
        <f>EXP(-LN(2)/25)*BQ90+(1-EXP(-LN(2)/25))/(LN(2)/25)*Calculateur!BL91*Calculateur!BN91*VLOOKUP('Données projet'!$B$11,Paramètres!$A$1:$I$89,3,0)*0.475*44/12</f>
        <v>6.816652000060901</v>
      </c>
      <c r="BR91" s="21">
        <f>EXP(-LN(2)/2)*BR90+(1-EXP(-LN(2)/2))/(LN(2)/2)*BL91*BO91*VLOOKUP('Données projet'!$B$11,Paramètres!$A$1:$I$89,3,0)*0.475*44/12</f>
        <v>4.6905923848722601E-8</v>
      </c>
      <c r="BS91" s="22">
        <f t="shared" si="63"/>
        <v>9.5173661591702832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243.38048563215585</v>
      </c>
      <c r="CE91" s="59">
        <f t="shared" si="94"/>
        <v>372.1604147006675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2.3173474377727654</v>
      </c>
      <c r="CL91" s="21">
        <f>EXP(-LN(2)/25)*CL90+(1-EXP(-LN(2)/25))/(LN(2)/25)*Calculateur!CG91*Calculateur!CI91*VLOOKUP('Données projet'!$B$12,Paramètres!$A$1:$I$89,3,0)*0.475*44/12</f>
        <v>3.8776645639716327</v>
      </c>
      <c r="CM91" s="21">
        <f>EXP(-LN(2)/2)*CM90+(1-EXP(-LN(2)/2))/(LN(2)/2)*CG91*CJ91*VLOOKUP('Données projet'!$B$12,Paramètres!$A$1:$I$89,3,0)*0.475*44/12</f>
        <v>5.460332932539687E-8</v>
      </c>
      <c r="CN91" s="22">
        <f t="shared" si="66"/>
        <v>6.1950120563477276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7.9580786405131221E-13</v>
      </c>
      <c r="CU91" s="17">
        <f>CT91*VLOOKUP('Données projet'!$B$13,Paramètres!$A$1:$I$89,3,0)*VLOOKUP('Données projet'!$B$13,Paramètres!$A$1:$I$89,5,0)</f>
        <v>3.8278358260868117E-13</v>
      </c>
      <c r="CV91" s="13">
        <f t="shared" si="95"/>
        <v>4.9186917125089072E-12</v>
      </c>
      <c r="CW91" s="20">
        <f t="shared" si="67"/>
        <v>9.2334028056631319E-12</v>
      </c>
      <c r="CX91" s="59">
        <f t="shared" si="68"/>
        <v>293.33333333334252</v>
      </c>
      <c r="CY91" s="59">
        <f ca="1">AVERAGE(OFFSET($CX$3,0,0,'Données projet'!$E$13+1,1))-AVERAGE(OFFSET($H$3,0,0,'Données projet'!$E$13+1,1))</f>
        <v>297.21955661193238</v>
      </c>
      <c r="CZ91" s="59">
        <f t="shared" si="96"/>
        <v>273.69206144662144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2.1364249633951564</v>
      </c>
      <c r="DG91" s="21">
        <f>EXP(-LN(2)/25)*DG90+(1-EXP(-LN(2)/25))/(LN(2)/25)*Calculateur!DB91*Calculateur!DD91*VLOOKUP('Données projet'!$B$13,Paramètres!$A$1:$I$89,3,0)*0.475*44/12</f>
        <v>2.6882174666564582</v>
      </c>
      <c r="DH91" s="21">
        <f>EXP(-LN(2)/2)*DH90+(1-EXP(-LN(2)/2))/(LN(2)/2)*DB91*DE91*VLOOKUP('Données projet'!$B$13,Paramètres!$A$1:$I$89,3,0)*0.475*44/12</f>
        <v>3.8953094609515434E-8</v>
      </c>
      <c r="DI91" s="22">
        <f t="shared" si="69"/>
        <v>4.8246424690047096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-4.0702161641092972E-13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260.20517190557814</v>
      </c>
      <c r="DU91" s="59">
        <f t="shared" si="98"/>
        <v>307.22009971147133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1.0345847853296426</v>
      </c>
      <c r="EB91" s="21">
        <f>EXP(-LN(2)/25)*EB90+(1-EXP(-LN(2)/25))/(LN(2)/25)*Calculateur!DW91*Calculateur!DY91*VLOOKUP('Données projet'!$B$14,Paramètres!$A$1:$I$89,3,0)*0.475*44/12</f>
        <v>4.1094089107352021</v>
      </c>
      <c r="EC91" s="21">
        <f>EXP(-LN(2)/2)*EC90+(1-EXP(-LN(2)/2))/(LN(2)/2)*DW91*DZ91*VLOOKUP('Données projet'!$B$14,Paramètres!$A$1:$I$89,3,0)*0.475*44/12</f>
        <v>4.4776190543095183E-8</v>
      </c>
      <c r="ED91" s="22">
        <f t="shared" si="72"/>
        <v>5.1439937408410357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1.1368683772161603E-13</v>
      </c>
      <c r="EK91" s="17">
        <f>EJ91*VLOOKUP('Données projet'!$B$15,Paramètres!$A$1:$I$89,3,0)*VLOOKUP('Données projet'!$B$15,Paramètres!$A$1:$I$89,5,0)</f>
        <v>6.7984728957526396E-14</v>
      </c>
      <c r="EL91" s="13">
        <f t="shared" si="99"/>
        <v>1.0682447123141398E-12</v>
      </c>
      <c r="EM91" s="20">
        <f t="shared" si="73"/>
        <v>1.978932943548152E-12</v>
      </c>
      <c r="EN91" s="59">
        <f t="shared" si="74"/>
        <v>293.3333333333353</v>
      </c>
      <c r="EO91" s="59">
        <f ca="1">AVERAGE(OFFSET($EN$3,0,0,'Données projet'!$E$15+1,1))-AVERAGE(OFFSET($H$3,0,0,'Données projet'!$E$15+1,1))</f>
        <v>259.30247982593914</v>
      </c>
      <c r="EP91" s="59">
        <f t="shared" si="100"/>
        <v>275.24740346220779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3.6114258855286465</v>
      </c>
      <c r="EX91" s="21">
        <f>EXP(-LN(2)/2)*EX90+(1-EXP(-LN(2)/2))/(LN(2)/2)*ER91*EU91*VLOOKUP('Données projet'!$B$15,Paramètres!$A$1:$I$89,3,0)*0.475*44/12</f>
        <v>5.3421538661914014E-8</v>
      </c>
      <c r="EY91" s="22">
        <f t="shared" si="75"/>
        <v>3.6114259389501853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6.6</v>
      </c>
      <c r="FE91" s="12">
        <f>IF('Données projet'!$A$218&gt;35,FE90+FD91-FM90,IF(A91&lt;'Données projet'!$A$218,$FB$205^A91,IF(A91='Données projet'!$A$218,'Données projet'!$B$218,FE90+FD91-FM90)))</f>
        <v>344.79999999999995</v>
      </c>
      <c r="FF91" s="17">
        <f>FE91*VLOOKUP('Données projet'!$B$16,Paramètres!$A$1:$I$89,3,0)*VLOOKUP('Données projet'!$B$16,Paramètres!$A$1:$I$89,5,0)</f>
        <v>349.62719999999996</v>
      </c>
      <c r="FG91" s="13">
        <f t="shared" si="101"/>
        <v>81.485743085784506</v>
      </c>
      <c r="FH91" s="20">
        <f t="shared" si="76"/>
        <v>750.85504254107457</v>
      </c>
      <c r="FI91" s="59">
        <f t="shared" si="77"/>
        <v>1044.1883758744079</v>
      </c>
      <c r="FJ91" s="59">
        <f ca="1">AVERAGE(OFFSET($FI$3,0,0,'Données projet'!$E$16+1,1))-AVERAGE(OFFSET($H$3,0,0,'Données projet'!$E$16+1,1))</f>
        <v>372.91317851957336</v>
      </c>
      <c r="FK91" s="59">
        <f t="shared" si="102"/>
        <v>269.69187715858413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0.85583854235926005</v>
      </c>
      <c r="FR91" s="21">
        <f>EXP(-LN(2)/25)*FR90+(1-EXP(-LN(2)/25))/(LN(2)/25)*Calculateur!FM91*Calculateur!FO91*VLOOKUP('Données projet'!$B$16,Paramètres!$A$1:$I$89,3,0)*0.475*44/12</f>
        <v>3.0423676254106513</v>
      </c>
      <c r="FS91" s="21">
        <f>EXP(-LN(2)/2)*FS90+(1-EXP(-LN(2)/2))/(LN(2)/2)*FM91*FP91*VLOOKUP('Données projet'!$B$16,Paramètres!$A$1:$I$89,3,0)*0.475*44/12</f>
        <v>4.5381277093541501E-8</v>
      </c>
      <c r="FT91" s="22">
        <f t="shared" si="78"/>
        <v>3.8982062131511883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17.5</v>
      </c>
      <c r="FZ91" s="12">
        <f>IF('Données projet'!$A$244&gt;35,FZ90+FY91-GH90,IF(A91&lt;'Données projet'!$A$244,$FW$205^A91,IF(A91='Données projet'!$A$244,'Données projet'!$B$244,FZ90+FY91-GH90)))</f>
        <v>589.59999999999991</v>
      </c>
      <c r="GA91" s="17">
        <f>FZ91*VLOOKUP('Données projet'!$B$17,Paramètres!$A$1:$I$89,3,0)*VLOOKUP('Données projet'!$B$17,Paramètres!$A$1:$I$89,5,0)</f>
        <v>275.93279999999999</v>
      </c>
      <c r="GB91" s="13">
        <f t="shared" si="103"/>
        <v>66.106762012556132</v>
      </c>
      <c r="GC91" s="20">
        <f t="shared" si="79"/>
        <v>595.7189038385352</v>
      </c>
      <c r="GD91" s="59">
        <f t="shared" si="80"/>
        <v>889.05223717186846</v>
      </c>
      <c r="GE91" s="59">
        <f ca="1">AVERAGE(OFFSET($GD$3,0,0,'Données projet'!$E$17+1,1))-AVERAGE(OFFSET($H$3,0,0,'Données projet'!$E$17+1,1))</f>
        <v>215.23235148064941</v>
      </c>
      <c r="GF91" s="59">
        <f t="shared" si="104"/>
        <v>184.07239726900434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0.99387066709294991</v>
      </c>
      <c r="GM91" s="21">
        <f>EXP(-LN(2)/25)*GM90+(1-EXP(-LN(2)/25))/(LN(2)/25)*Calculateur!GH91*Calculateur!GJ91*VLOOKUP('Données projet'!$B$17,Paramètres!$A$1:$I$89,3,0)*0.475*44/12</f>
        <v>1.5731939671157487</v>
      </c>
      <c r="GN91" s="21">
        <f>EXP(-LN(2)/2)*GN90+(1-EXP(-LN(2)/2))/(LN(2)/2)*GH91*GK91*VLOOKUP('Données projet'!$B$17,Paramètres!$A$1:$I$89,3,0)*0.475*44/12</f>
        <v>1.8313855827406034E-8</v>
      </c>
      <c r="GO91" s="21">
        <f t="shared" si="81"/>
        <v>2.5670646525225544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-1.1368683772161603E-13</v>
      </c>
      <c r="GV91" s="17">
        <f>GU91*VLOOKUP('Données projet'!$B$18,Paramètres!$A$1:$I$89,3,0)*VLOOKUP('Données projet'!$B$18,Paramètres!$A$1:$I$89,5,0)</f>
        <v>-6.7984728957526396E-14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227.89848316900191</v>
      </c>
      <c r="HA91" s="59">
        <f t="shared" si="106"/>
        <v>239.85955661394541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2.5181555404548526</v>
      </c>
      <c r="HH91" s="21">
        <f>EXP(-LN(2)/25)*HH90+(1-EXP(-LN(2)/25))/(LN(2)/25)*Calculateur!HC91*Calculateur!HE91*VLOOKUP('Données projet'!$B$18,Paramètres!$A$1:$I$89,3,0)*0.475*44/12</f>
        <v>3.4333009032931208</v>
      </c>
      <c r="HI91" s="21">
        <f>EXP(-LN(2)/2)*HI90+(1-EXP(-LN(2)/2))/(LN(2)/2)*HC91*HF91*VLOOKUP('Données projet'!$B$18,Paramètres!$A$1:$I$89,3,0)*0.475*44/12</f>
        <v>1.2486373284072962E-8</v>
      </c>
      <c r="HJ91" s="22">
        <f t="shared" si="84"/>
        <v>5.9514564562343475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2.5420376914553347E-13</v>
      </c>
      <c r="P92" s="13">
        <f t="shared" si="87"/>
        <v>3.4258699088369875E-12</v>
      </c>
      <c r="Q92" s="20">
        <f t="shared" si="54"/>
        <v>6.4094616558195571E-12</v>
      </c>
      <c r="R92" s="59">
        <f t="shared" si="55"/>
        <v>293.33333333333974</v>
      </c>
      <c r="S92" s="59">
        <f ca="1">AVERAGE(OFFSET($R$3,0,0,'Données projet'!$E$9+1,1))-AVERAGE(OFFSET($H$3,0,0,'Données projet'!$E$9+1,1))</f>
        <v>370.69652285220093</v>
      </c>
      <c r="T92" s="59">
        <f t="shared" si="88"/>
        <v>376.53494965377718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3.1948673455693291</v>
      </c>
      <c r="AA92" s="21">
        <f>EXP(-LN(2)/25)*AA91+(1-EXP(-LN(2)/25))/(LN(2)/25)*Calculateur!V92*Calculateur!X92*VLOOKUP('Données projet'!$B$9,Paramètres!$A$1:$I$89,3,0)*0.475*44/12</f>
        <v>6.5071264930020547</v>
      </c>
      <c r="AB92" s="21">
        <f>EXP(-LN(2)/2)*AB91+(1-EXP(-LN(2)/2))/(LN(2)/2)*V92*Y92*VLOOKUP('Données projet'!$B$9,Paramètres!$A$1:$I$89,3,0)*0.475*44/12</f>
        <v>4.3108013372590767E-8</v>
      </c>
      <c r="AC92" s="22">
        <f t="shared" si="57"/>
        <v>9.701993881679396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317.94671999999997</v>
      </c>
      <c r="AK92" s="13">
        <f t="shared" si="89"/>
        <v>74.925968901822259</v>
      </c>
      <c r="AL92" s="20">
        <f t="shared" si="58"/>
        <v>684.253266504007</v>
      </c>
      <c r="AM92" s="59">
        <f t="shared" si="59"/>
        <v>977.58659983734037</v>
      </c>
      <c r="AN92" s="59">
        <f ca="1">AVERAGE(OFFSET($AM$3,0,0,'Données projet'!$E$10+1,1))-AVERAGE(OFFSET($H$3,0,0,'Données projet'!$E$10+1,1))</f>
        <v>321.03881567735544</v>
      </c>
      <c r="AO92" s="59">
        <f t="shared" si="90"/>
        <v>234.87694492493506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0.74869618603240851</v>
      </c>
      <c r="AV92" s="21">
        <f>EXP(-LN(2)/25)*AV91+(1-EXP(-LN(2)/25))/(LN(2)/25)*Calculateur!AQ92*Calculateur!AS92*VLOOKUP('Données projet'!$B$10,Paramètres!$A$1:$I$89,3,0)*0.475*44/12</f>
        <v>2.6404936541038908</v>
      </c>
      <c r="AW92" s="21">
        <f>EXP(-LN(2)/2)*AW91+(1-EXP(-LN(2)/2))/(LN(2)/2)*AQ92*AT92*VLOOKUP('Données projet'!$B$10,Paramètres!$A$1:$I$89,3,0)*0.475*44/12</f>
        <v>2.8633626288637531E-8</v>
      </c>
      <c r="AX92" s="21">
        <f t="shared" si="60"/>
        <v>3.3891898687699253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5.6843418860808015E-13</v>
      </c>
      <c r="BE92" s="13">
        <f>BD92*VLOOKUP('Données projet'!$B$11,Paramètres!$A$1:$I$89,3,0)*VLOOKUP('Données projet'!$B$11,Paramètres!$A$1:$I$89,5,0)</f>
        <v>3.1036506698001181E-13</v>
      </c>
      <c r="BF92" s="13">
        <f t="shared" si="91"/>
        <v>4.086682523110923E-12</v>
      </c>
      <c r="BG92" s="20">
        <f t="shared" si="61"/>
        <v>7.6581912194083782E-12</v>
      </c>
      <c r="BH92" s="59">
        <f t="shared" si="62"/>
        <v>293.33333333334099</v>
      </c>
      <c r="BI92" s="59">
        <f ca="1">AVERAGE(OFFSET($BH$3,0,0,'Données projet'!$E$11+1,1))-AVERAGE(OFFSET($H$3,0,0,'Données projet'!$E$11+1,1))</f>
        <v>248.1486444660062</v>
      </c>
      <c r="BJ92" s="59">
        <f t="shared" si="92"/>
        <v>293.34458072322127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2.6477547557361025</v>
      </c>
      <c r="BQ92" s="21">
        <f>EXP(-LN(2)/25)*BQ91+(1-EXP(-LN(2)/25))/(LN(2)/25)*Calculateur!BL92*Calculateur!BN92*VLOOKUP('Données projet'!$B$11,Paramètres!$A$1:$I$89,3,0)*0.475*44/12</f>
        <v>6.6302502926470863</v>
      </c>
      <c r="BR92" s="21">
        <f>EXP(-LN(2)/2)*BR91+(1-EXP(-LN(2)/2))/(LN(2)/2)*BL92*BO92*VLOOKUP('Données projet'!$B$11,Paramètres!$A$1:$I$89,3,0)*0.475*44/12</f>
        <v>3.3167496831251553E-8</v>
      </c>
      <c r="BS92" s="22">
        <f t="shared" si="63"/>
        <v>9.2780050815506865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243.38048563215585</v>
      </c>
      <c r="CE92" s="59">
        <f t="shared" si="94"/>
        <v>372.1604147006675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2.2719056679604126</v>
      </c>
      <c r="CL92" s="21">
        <f>EXP(-LN(2)/25)*CL91+(1-EXP(-LN(2)/25))/(LN(2)/25)*Calculateur!CG92*Calculateur!CI92*VLOOKUP('Données projet'!$B$12,Paramètres!$A$1:$I$89,3,0)*0.475*44/12</f>
        <v>3.7716296225523114</v>
      </c>
      <c r="CM92" s="21">
        <f>EXP(-LN(2)/2)*CM91+(1-EXP(-LN(2)/2))/(LN(2)/2)*CG92*CJ92*VLOOKUP('Données projet'!$B$12,Paramètres!$A$1:$I$89,3,0)*0.475*44/12</f>
        <v>3.8610384441350398E-8</v>
      </c>
      <c r="CN92" s="22">
        <f t="shared" si="66"/>
        <v>6.0435353291231078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7.9580786405131221E-13</v>
      </c>
      <c r="CU92" s="17">
        <f>CT92*VLOOKUP('Données projet'!$B$13,Paramètres!$A$1:$I$89,3,0)*VLOOKUP('Données projet'!$B$13,Paramètres!$A$1:$I$89,5,0)</f>
        <v>3.8278358260868117E-13</v>
      </c>
      <c r="CV92" s="13">
        <f t="shared" si="95"/>
        <v>4.9186917125089072E-12</v>
      </c>
      <c r="CW92" s="20">
        <f t="shared" si="67"/>
        <v>9.2334028056631319E-12</v>
      </c>
      <c r="CX92" s="59">
        <f t="shared" si="68"/>
        <v>293.33333333334252</v>
      </c>
      <c r="CY92" s="59">
        <f ca="1">AVERAGE(OFFSET($CX$3,0,0,'Données projet'!$E$13+1,1))-AVERAGE(OFFSET($H$3,0,0,'Données projet'!$E$13+1,1))</f>
        <v>297.21955661193238</v>
      </c>
      <c r="CZ92" s="59">
        <f t="shared" si="96"/>
        <v>273.69206144662144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2.0945309729535357</v>
      </c>
      <c r="DG92" s="21">
        <f>EXP(-LN(2)/25)*DG91+(1-EXP(-LN(2)/25))/(LN(2)/25)*Calculateur!DB92*Calculateur!DD92*VLOOKUP('Données projet'!$B$13,Paramètres!$A$1:$I$89,3,0)*0.475*44/12</f>
        <v>2.6147080186635248</v>
      </c>
      <c r="DH92" s="21">
        <f>EXP(-LN(2)/2)*DH91+(1-EXP(-LN(2)/2))/(LN(2)/2)*DB92*DE92*VLOOKUP('Données projet'!$B$13,Paramètres!$A$1:$I$89,3,0)*0.475*44/12</f>
        <v>2.7543997346589514E-8</v>
      </c>
      <c r="DI92" s="22">
        <f t="shared" si="69"/>
        <v>4.7092390191610578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-4.0702161641092972E-13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260.20517190557814</v>
      </c>
      <c r="DU92" s="59">
        <f t="shared" si="98"/>
        <v>307.22009971147133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1.0142972087237379</v>
      </c>
      <c r="EB92" s="21">
        <f>EXP(-LN(2)/25)*EB91+(1-EXP(-LN(2)/25))/(LN(2)/25)*Calculateur!DW92*Calculateur!DY92*VLOOKUP('Données projet'!$B$14,Paramètres!$A$1:$I$89,3,0)*0.475*44/12</f>
        <v>3.9970369079667254</v>
      </c>
      <c r="EC92" s="21">
        <f>EXP(-LN(2)/2)*EC91+(1-EXP(-LN(2)/2))/(LN(2)/2)*DW92*DZ92*VLOOKUP('Données projet'!$B$14,Paramètres!$A$1:$I$89,3,0)*0.475*44/12</f>
        <v>3.1661547968723564E-8</v>
      </c>
      <c r="ED92" s="22">
        <f t="shared" si="72"/>
        <v>5.0113341483520113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1.1368683772161603E-13</v>
      </c>
      <c r="EK92" s="17">
        <f>EJ92*VLOOKUP('Données projet'!$B$15,Paramètres!$A$1:$I$89,3,0)*VLOOKUP('Données projet'!$B$15,Paramètres!$A$1:$I$89,5,0)</f>
        <v>6.7984728957526396E-14</v>
      </c>
      <c r="EL92" s="13">
        <f t="shared" si="99"/>
        <v>1.0682447123141398E-12</v>
      </c>
      <c r="EM92" s="20">
        <f t="shared" si="73"/>
        <v>1.978932943548152E-12</v>
      </c>
      <c r="EN92" s="59">
        <f t="shared" si="74"/>
        <v>293.3333333333353</v>
      </c>
      <c r="EO92" s="59">
        <f ca="1">AVERAGE(OFFSET($EN$3,0,0,'Données projet'!$E$15+1,1))-AVERAGE(OFFSET($H$3,0,0,'Données projet'!$E$15+1,1))</f>
        <v>259.30247982593914</v>
      </c>
      <c r="EP92" s="59">
        <f t="shared" si="100"/>
        <v>275.24740346220779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3.5126712547722323</v>
      </c>
      <c r="EX92" s="21">
        <f>EXP(-LN(2)/2)*EX91+(1-EXP(-LN(2)/2))/(LN(2)/2)*ER92*EU92*VLOOKUP('Données projet'!$B$15,Paramètres!$A$1:$I$89,3,0)*0.475*44/12</f>
        <v>3.7774732249258721E-8</v>
      </c>
      <c r="EY92" s="22">
        <f t="shared" si="75"/>
        <v>3.5126712925469645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6.6</v>
      </c>
      <c r="FE92" s="12">
        <f>IF('Données projet'!$A$218&gt;35,FE91+FD92-FM91,IF(A92&lt;'Données projet'!$A$218,$FB$205^A92,IF(A92='Données projet'!$A$218,'Données projet'!$B$218,FE91+FD92-FM91)))</f>
        <v>351.4</v>
      </c>
      <c r="FF92" s="17">
        <f>FE92*VLOOKUP('Données projet'!$B$16,Paramètres!$A$1:$I$89,3,0)*VLOOKUP('Données projet'!$B$16,Paramètres!$A$1:$I$89,5,0)</f>
        <v>356.31959999999998</v>
      </c>
      <c r="FG92" s="13">
        <f t="shared" si="101"/>
        <v>82.862424158901803</v>
      </c>
      <c r="FH92" s="20">
        <f t="shared" si="76"/>
        <v>764.90869207675394</v>
      </c>
      <c r="FI92" s="59">
        <f t="shared" si="77"/>
        <v>1058.2420254100873</v>
      </c>
      <c r="FJ92" s="59">
        <f ca="1">AVERAGE(OFFSET($FI$3,0,0,'Données projet'!$E$16+1,1))-AVERAGE(OFFSET($H$3,0,0,'Données projet'!$E$16+1,1))</f>
        <v>372.91317851957336</v>
      </c>
      <c r="FK92" s="59">
        <f t="shared" si="102"/>
        <v>269.69187715858413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0.83905607055356157</v>
      </c>
      <c r="FR92" s="21">
        <f>EXP(-LN(2)/25)*FR91+(1-EXP(-LN(2)/25))/(LN(2)/25)*Calculateur!FM92*Calculateur!FO92*VLOOKUP('Données projet'!$B$16,Paramètres!$A$1:$I$89,3,0)*0.475*44/12</f>
        <v>2.9591739227026372</v>
      </c>
      <c r="FS92" s="21">
        <f>EXP(-LN(2)/2)*FS91+(1-EXP(-LN(2)/2))/(LN(2)/2)*FM92*FP92*VLOOKUP('Données projet'!$B$16,Paramètres!$A$1:$I$89,3,0)*0.475*44/12</f>
        <v>3.2089408771748932E-8</v>
      </c>
      <c r="FT92" s="22">
        <f t="shared" si="78"/>
        <v>3.7982300253456076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17.5</v>
      </c>
      <c r="FZ92" s="12">
        <f>IF('Données projet'!$A$244&gt;35,FZ91+FY92-GH91,IF(A92&lt;'Données projet'!$A$244,$FW$205^A92,IF(A92='Données projet'!$A$244,'Données projet'!$B$244,FZ91+FY92-GH91)))</f>
        <v>607.09999999999991</v>
      </c>
      <c r="GA92" s="17">
        <f>FZ92*VLOOKUP('Données projet'!$B$17,Paramètres!$A$1:$I$89,3,0)*VLOOKUP('Données projet'!$B$17,Paramètres!$A$1:$I$89,5,0)</f>
        <v>284.12279999999993</v>
      </c>
      <c r="GB92" s="13">
        <f t="shared" si="103"/>
        <v>67.837532462585557</v>
      </c>
      <c r="GC92" s="20">
        <f t="shared" si="79"/>
        <v>612.99757903900297</v>
      </c>
      <c r="GD92" s="59">
        <f t="shared" si="80"/>
        <v>906.33091237233634</v>
      </c>
      <c r="GE92" s="59">
        <f ca="1">AVERAGE(OFFSET($GD$3,0,0,'Données projet'!$E$17+1,1))-AVERAGE(OFFSET($H$3,0,0,'Données projet'!$E$17+1,1))</f>
        <v>215.23235148064941</v>
      </c>
      <c r="GF92" s="59">
        <f t="shared" si="104"/>
        <v>184.07239726900434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0.9743814695125067</v>
      </c>
      <c r="GM92" s="21">
        <f>EXP(-LN(2)/25)*GM91+(1-EXP(-LN(2)/25))/(LN(2)/25)*Calculateur!GH92*Calculateur!GJ92*VLOOKUP('Données projet'!$B$17,Paramètres!$A$1:$I$89,3,0)*0.475*44/12</f>
        <v>1.5301748953542933</v>
      </c>
      <c r="GN92" s="21">
        <f>EXP(-LN(2)/2)*GN91+(1-EXP(-LN(2)/2))/(LN(2)/2)*GH92*GK92*VLOOKUP('Données projet'!$B$17,Paramètres!$A$1:$I$89,3,0)*0.475*44/12</f>
        <v>1.2949851645231577E-8</v>
      </c>
      <c r="GO92" s="21">
        <f t="shared" si="81"/>
        <v>2.5045563778166517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-1.1368683772161603E-13</v>
      </c>
      <c r="GV92" s="17">
        <f>GU92*VLOOKUP('Données projet'!$B$18,Paramètres!$A$1:$I$89,3,0)*VLOOKUP('Données projet'!$B$18,Paramètres!$A$1:$I$89,5,0)</f>
        <v>-6.7984728957526396E-14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227.89848316900191</v>
      </c>
      <c r="HA92" s="59">
        <f t="shared" si="106"/>
        <v>239.85955661394541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2.4687760462297526</v>
      </c>
      <c r="HH92" s="21">
        <f>EXP(-LN(2)/25)*HH91+(1-EXP(-LN(2)/25))/(LN(2)/25)*Calculateur!HC92*Calculateur!HE92*VLOOKUP('Données projet'!$B$18,Paramètres!$A$1:$I$89,3,0)*0.475*44/12</f>
        <v>3.3394171095431227</v>
      </c>
      <c r="HI92" s="21">
        <f>EXP(-LN(2)/2)*HI91+(1-EXP(-LN(2)/2))/(LN(2)/2)*HC92*HF92*VLOOKUP('Données projet'!$B$18,Paramètres!$A$1:$I$89,3,0)*0.475*44/12</f>
        <v>8.8291992215945324E-9</v>
      </c>
      <c r="HJ92" s="22">
        <f t="shared" si="84"/>
        <v>5.8081931646020744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2.5420376914553347E-13</v>
      </c>
      <c r="P93" s="13">
        <f t="shared" si="87"/>
        <v>3.4258699088369875E-12</v>
      </c>
      <c r="Q93" s="20">
        <f t="shared" si="54"/>
        <v>6.4094616558195571E-12</v>
      </c>
      <c r="R93" s="59">
        <f t="shared" si="55"/>
        <v>293.33333333333974</v>
      </c>
      <c r="S93" s="59">
        <f ca="1">AVERAGE(OFFSET($R$3,0,0,'Données projet'!$E$9+1,1))-AVERAGE(OFFSET($H$3,0,0,'Données projet'!$E$9+1,1))</f>
        <v>370.69652285220093</v>
      </c>
      <c r="T93" s="59">
        <f t="shared" si="88"/>
        <v>376.53494965377718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3.1322179455993795</v>
      </c>
      <c r="AA93" s="21">
        <f>EXP(-LN(2)/25)*AA92+(1-EXP(-LN(2)/25))/(LN(2)/25)*Calculateur!V93*Calculateur!X93*VLOOKUP('Données projet'!$B$9,Paramètres!$A$1:$I$89,3,0)*0.475*44/12</f>
        <v>6.3291887768560038</v>
      </c>
      <c r="AB93" s="21">
        <f>EXP(-LN(2)/2)*AB92+(1-EXP(-LN(2)/2))/(LN(2)/2)*V93*Y93*VLOOKUP('Données projet'!$B$9,Paramètres!$A$1:$I$89,3,0)*0.475*44/12</f>
        <v>3.0481968579239303E-8</v>
      </c>
      <c r="AC93" s="22">
        <f t="shared" si="57"/>
        <v>9.4614067529373518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323.91839999999996</v>
      </c>
      <c r="AK93" s="13">
        <f t="shared" si="89"/>
        <v>76.168074587293091</v>
      </c>
      <c r="AL93" s="20">
        <f t="shared" si="58"/>
        <v>696.81727657286876</v>
      </c>
      <c r="AM93" s="59">
        <f t="shared" si="59"/>
        <v>990.15060990620213</v>
      </c>
      <c r="AN93" s="59">
        <f ca="1">AVERAGE(OFFSET($AM$3,0,0,'Données projet'!$E$10+1,1))-AVERAGE(OFFSET($H$3,0,0,'Données projet'!$E$10+1,1))</f>
        <v>321.03881567735544</v>
      </c>
      <c r="AO93" s="59">
        <f t="shared" si="90"/>
        <v>234.87694492493506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0.73401471048389511</v>
      </c>
      <c r="AV93" s="21">
        <f>EXP(-LN(2)/25)*AV92+(1-EXP(-LN(2)/25))/(LN(2)/25)*Calculateur!AQ93*Calculateur!AS93*VLOOKUP('Données projet'!$B$10,Paramètres!$A$1:$I$89,3,0)*0.475*44/12</f>
        <v>2.5682892162748936</v>
      </c>
      <c r="AW93" s="21">
        <f>EXP(-LN(2)/2)*AW92+(1-EXP(-LN(2)/2))/(LN(2)/2)*AQ93*AT93*VLOOKUP('Données projet'!$B$10,Paramètres!$A$1:$I$89,3,0)*0.475*44/12</f>
        <v>2.0247031318656994E-8</v>
      </c>
      <c r="AX93" s="21">
        <f t="shared" si="60"/>
        <v>3.3023039470058198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5.6843418860808015E-13</v>
      </c>
      <c r="BE93" s="13">
        <f>BD93*VLOOKUP('Données projet'!$B$11,Paramètres!$A$1:$I$89,3,0)*VLOOKUP('Données projet'!$B$11,Paramètres!$A$1:$I$89,5,0)</f>
        <v>3.1036506698001181E-13</v>
      </c>
      <c r="BF93" s="13">
        <f t="shared" si="91"/>
        <v>4.086682523110923E-12</v>
      </c>
      <c r="BG93" s="20">
        <f t="shared" si="61"/>
        <v>7.6581912194083782E-12</v>
      </c>
      <c r="BH93" s="59">
        <f t="shared" si="62"/>
        <v>293.33333333334099</v>
      </c>
      <c r="BI93" s="59">
        <f ca="1">AVERAGE(OFFSET($BH$3,0,0,'Données projet'!$E$11+1,1))-AVERAGE(OFFSET($H$3,0,0,'Données projet'!$E$11+1,1))</f>
        <v>248.1486444660062</v>
      </c>
      <c r="BJ93" s="59">
        <f t="shared" si="92"/>
        <v>293.34458072322127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2.5958338999470536</v>
      </c>
      <c r="BQ93" s="21">
        <f>EXP(-LN(2)/25)*BQ92+(1-EXP(-LN(2)/25))/(LN(2)/25)*Calculateur!BL93*Calculateur!BN93*VLOOKUP('Données projet'!$B$11,Paramètres!$A$1:$I$89,3,0)*0.475*44/12</f>
        <v>6.4489457497249427</v>
      </c>
      <c r="BR93" s="21">
        <f>EXP(-LN(2)/2)*BR92+(1-EXP(-LN(2)/2))/(LN(2)/2)*BL93*BO93*VLOOKUP('Données projet'!$B$11,Paramètres!$A$1:$I$89,3,0)*0.475*44/12</f>
        <v>2.3452961924361301E-8</v>
      </c>
      <c r="BS93" s="22">
        <f t="shared" si="63"/>
        <v>9.0447796731249586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243.38048563215585</v>
      </c>
      <c r="CE93" s="59">
        <f t="shared" si="94"/>
        <v>372.1604147006675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2.2273549835373374</v>
      </c>
      <c r="CL93" s="21">
        <f>EXP(-LN(2)/25)*CL92+(1-EXP(-LN(2)/25))/(LN(2)/25)*Calculateur!CG93*Calculateur!CI93*VLOOKUP('Données projet'!$B$12,Paramètres!$A$1:$I$89,3,0)*0.475*44/12</f>
        <v>3.6684942121822366</v>
      </c>
      <c r="CM93" s="21">
        <f>EXP(-LN(2)/2)*CM92+(1-EXP(-LN(2)/2))/(LN(2)/2)*CG93*CJ93*VLOOKUP('Données projet'!$B$12,Paramètres!$A$1:$I$89,3,0)*0.475*44/12</f>
        <v>2.7301664662698435E-8</v>
      </c>
      <c r="CN93" s="22">
        <f t="shared" si="66"/>
        <v>5.8958492230212389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7.9580786405131221E-13</v>
      </c>
      <c r="CU93" s="17">
        <f>CT93*VLOOKUP('Données projet'!$B$13,Paramètres!$A$1:$I$89,3,0)*VLOOKUP('Données projet'!$B$13,Paramètres!$A$1:$I$89,5,0)</f>
        <v>3.8278358260868117E-13</v>
      </c>
      <c r="CV93" s="13">
        <f t="shared" si="95"/>
        <v>4.9186917125089072E-12</v>
      </c>
      <c r="CW93" s="20">
        <f t="shared" si="67"/>
        <v>9.2334028056631319E-12</v>
      </c>
      <c r="CX93" s="59">
        <f t="shared" si="68"/>
        <v>293.33333333334252</v>
      </c>
      <c r="CY93" s="59">
        <f ca="1">AVERAGE(OFFSET($CX$3,0,0,'Données projet'!$E$13+1,1))-AVERAGE(OFFSET($H$3,0,0,'Données projet'!$E$13+1,1))</f>
        <v>297.21955661193238</v>
      </c>
      <c r="CZ93" s="59">
        <f t="shared" si="96"/>
        <v>273.69206144662144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2.0534584981116639</v>
      </c>
      <c r="DG93" s="21">
        <f>EXP(-LN(2)/25)*DG92+(1-EXP(-LN(2)/25))/(LN(2)/25)*Calculateur!DB93*Calculateur!DD93*VLOOKUP('Données projet'!$B$13,Paramètres!$A$1:$I$89,3,0)*0.475*44/12</f>
        <v>2.5432086903916518</v>
      </c>
      <c r="DH93" s="21">
        <f>EXP(-LN(2)/2)*DH92+(1-EXP(-LN(2)/2))/(LN(2)/2)*DB93*DE93*VLOOKUP('Données projet'!$B$13,Paramètres!$A$1:$I$89,3,0)*0.475*44/12</f>
        <v>1.9476547304757717E-8</v>
      </c>
      <c r="DI93" s="22">
        <f t="shared" si="69"/>
        <v>4.5966672079798636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-4.0702161641092972E-13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260.20517190557814</v>
      </c>
      <c r="DU93" s="59">
        <f t="shared" si="98"/>
        <v>307.22009971147133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0.99440745912087503</v>
      </c>
      <c r="EB93" s="21">
        <f>EXP(-LN(2)/25)*EB92+(1-EXP(-LN(2)/25))/(LN(2)/25)*Calculateur!DW93*Calculateur!DY93*VLOOKUP('Données projet'!$B$14,Paramètres!$A$1:$I$89,3,0)*0.475*44/12</f>
        <v>3.8877377235233395</v>
      </c>
      <c r="EC93" s="21">
        <f>EXP(-LN(2)/2)*EC92+(1-EXP(-LN(2)/2))/(LN(2)/2)*DW93*DZ93*VLOOKUP('Données projet'!$B$14,Paramètres!$A$1:$I$89,3,0)*0.475*44/12</f>
        <v>2.2388095271547592E-8</v>
      </c>
      <c r="ED93" s="22">
        <f t="shared" si="72"/>
        <v>4.8821452050323098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1.1368683772161603E-13</v>
      </c>
      <c r="EK93" s="17">
        <f>EJ93*VLOOKUP('Données projet'!$B$15,Paramètres!$A$1:$I$89,3,0)*VLOOKUP('Données projet'!$B$15,Paramètres!$A$1:$I$89,5,0)</f>
        <v>6.7984728957526396E-14</v>
      </c>
      <c r="EL93" s="13">
        <f t="shared" si="99"/>
        <v>1.0682447123141398E-12</v>
      </c>
      <c r="EM93" s="20">
        <f t="shared" si="73"/>
        <v>1.978932943548152E-12</v>
      </c>
      <c r="EN93" s="59">
        <f t="shared" si="74"/>
        <v>293.3333333333353</v>
      </c>
      <c r="EO93" s="59">
        <f ca="1">AVERAGE(OFFSET($EN$3,0,0,'Données projet'!$E$15+1,1))-AVERAGE(OFFSET($H$3,0,0,'Données projet'!$E$15+1,1))</f>
        <v>259.30247982593914</v>
      </c>
      <c r="EP93" s="59">
        <f t="shared" si="100"/>
        <v>275.24740346220779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3.4166170745871325</v>
      </c>
      <c r="EX93" s="21">
        <f>EXP(-LN(2)/2)*EX92+(1-EXP(-LN(2)/2))/(LN(2)/2)*ER93*EU93*VLOOKUP('Données projet'!$B$15,Paramètres!$A$1:$I$89,3,0)*0.475*44/12</f>
        <v>2.6710769330957007E-8</v>
      </c>
      <c r="EY93" s="22">
        <f t="shared" si="75"/>
        <v>3.4166171012979016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358</v>
      </c>
      <c r="FC93" s="12">
        <f>VLOOKUP(A93,'Données projet'!$A$217:$I$237,9,0)</f>
        <v>6.6</v>
      </c>
      <c r="FD93" s="12">
        <f t="array" ref="FD93">INDEX(FC:FC,MIN(IF(ISNUMBER(FC93:FC289),ROW(FC93:FC289),"")))</f>
        <v>6.6</v>
      </c>
      <c r="FE93" s="12">
        <f>IF('Données projet'!$A$218&gt;35,FE92+FD93-FM92,IF(A93&lt;'Données projet'!$A$218,$FB$205^A93,IF(A93='Données projet'!$A$218,'Données projet'!$B$218,FE92+FD93-FM92)))</f>
        <v>358</v>
      </c>
      <c r="FF93" s="17">
        <f>FE93*VLOOKUP('Données projet'!$B$16,Paramètres!$A$1:$I$89,3,0)*VLOOKUP('Données projet'!$B$16,Paramètres!$A$1:$I$89,5,0)</f>
        <v>363.01200000000006</v>
      </c>
      <c r="FG93" s="13">
        <f t="shared" si="101"/>
        <v>84.236098596059009</v>
      </c>
      <c r="FH93" s="20">
        <f t="shared" si="76"/>
        <v>778.95710505480292</v>
      </c>
      <c r="FI93" s="59">
        <f t="shared" si="77"/>
        <v>1072.2904383881362</v>
      </c>
      <c r="FJ93" s="59">
        <f ca="1">AVERAGE(OFFSET($FI$3,0,0,'Données projet'!$E$16+1,1))-AVERAGE(OFFSET($H$3,0,0,'Données projet'!$E$16+1,1))</f>
        <v>372.91317851957336</v>
      </c>
      <c r="FK93" s="59">
        <f t="shared" si="102"/>
        <v>269.69187715858413</v>
      </c>
      <c r="FL93" s="15">
        <f>IF(ISNA(VLOOKUP(A93,'Données projet'!$A$217:$I$237,3,0)),0,VLOOKUP(A93,'Données projet'!$A$217:$I$237,3,0))</f>
        <v>8</v>
      </c>
      <c r="FM93" s="15">
        <f>IF(ISNA(VLOOKUP(A93,'Données projet'!$A$217:$I$237,4,0)),0,VLOOKUP(A93,'Données projet'!$A$217:$I$237,4,0))</f>
        <v>56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0.82260269278367582</v>
      </c>
      <c r="FR93" s="21">
        <f>EXP(-LN(2)/25)*FR92+(1-EXP(-LN(2)/25))/(LN(2)/25)*Calculateur!FM93*Calculateur!FO93*VLOOKUP('Données projet'!$B$16,Paramètres!$A$1:$I$89,3,0)*0.475*44/12</f>
        <v>2.8782551561701402</v>
      </c>
      <c r="FS93" s="21">
        <f>EXP(-LN(2)/2)*FS92+(1-EXP(-LN(2)/2))/(LN(2)/2)*FM93*FP93*VLOOKUP('Données projet'!$B$16,Paramètres!$A$1:$I$89,3,0)*0.475*44/12</f>
        <v>2.2690638546770751E-8</v>
      </c>
      <c r="FT93" s="22">
        <f t="shared" si="78"/>
        <v>3.7008578716444545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624.6</v>
      </c>
      <c r="FX93" s="12">
        <f>VLOOKUP(A93,'Données projet'!$A$243:$I$263,9,0)</f>
        <v>17.5</v>
      </c>
      <c r="FY93" s="12">
        <f t="array" ref="FY93">INDEX(FX:FX,MIN(IF(ISNUMBER(FX93:FX289),ROW(FX93:FX289),"")))</f>
        <v>17.5</v>
      </c>
      <c r="FZ93" s="12">
        <f>IF('Données projet'!$A$244&gt;35,FZ92+FY93-GH92,IF(A93&lt;'Données projet'!$A$244,$FW$205^A93,IF(A93='Données projet'!$A$244,'Données projet'!$B$244,FZ92+FY93-GH92)))</f>
        <v>624.59999999999991</v>
      </c>
      <c r="GA93" s="17">
        <f>FZ93*VLOOKUP('Données projet'!$B$17,Paramètres!$A$1:$I$89,3,0)*VLOOKUP('Données projet'!$B$17,Paramètres!$A$1:$I$89,5,0)</f>
        <v>292.31279999999998</v>
      </c>
      <c r="GB93" s="13">
        <f t="shared" si="103"/>
        <v>69.562504549179678</v>
      </c>
      <c r="GC93" s="20">
        <f t="shared" si="79"/>
        <v>630.26615542315449</v>
      </c>
      <c r="GD93" s="59">
        <f t="shared" si="80"/>
        <v>923.59948875648774</v>
      </c>
      <c r="GE93" s="59">
        <f ca="1">AVERAGE(OFFSET($GD$3,0,0,'Données projet'!$E$17+1,1))-AVERAGE(OFFSET($H$3,0,0,'Données projet'!$E$17+1,1))</f>
        <v>215.23235148064941</v>
      </c>
      <c r="GF93" s="59">
        <f t="shared" si="104"/>
        <v>184.07239726900434</v>
      </c>
      <c r="GG93" s="15">
        <f>IF(ISNA(VLOOKUP(A93,'Données projet'!$A$243:$I$263,3,0)),0,VLOOKUP(A93,'Données projet'!$A$243:$I$263,3,0))</f>
        <v>8</v>
      </c>
      <c r="GH93" s="15">
        <f>IF(ISNA(VLOOKUP(A93,'Données projet'!$A$243:$I$263,4,0)),0,VLOOKUP(A93,'Données projet'!$A$243:$I$263,4,0))</f>
        <v>83.4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0.95527444320937926</v>
      </c>
      <c r="GM93" s="21">
        <f>EXP(-LN(2)/25)*GM92+(1-EXP(-LN(2)/25))/(LN(2)/25)*Calculateur!GH93*Calculateur!GJ93*VLOOKUP('Données projet'!$B$17,Paramètres!$A$1:$I$89,3,0)*0.475*44/12</f>
        <v>1.4883321823724296</v>
      </c>
      <c r="GN93" s="21">
        <f>EXP(-LN(2)/2)*GN92+(1-EXP(-LN(2)/2))/(LN(2)/2)*GH93*GK93*VLOOKUP('Données projet'!$B$17,Paramètres!$A$1:$I$89,3,0)*0.475*44/12</f>
        <v>9.1569279137030168E-9</v>
      </c>
      <c r="GO93" s="21">
        <f t="shared" si="81"/>
        <v>2.4436066347387371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-1.1368683772161603E-13</v>
      </c>
      <c r="GV93" s="17">
        <f>GU93*VLOOKUP('Données projet'!$B$18,Paramètres!$A$1:$I$89,3,0)*VLOOKUP('Données projet'!$B$18,Paramètres!$A$1:$I$89,5,0)</f>
        <v>-6.7984728957526396E-14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227.89848316900191</v>
      </c>
      <c r="HA93" s="59">
        <f t="shared" si="106"/>
        <v>239.85955661394541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2.4203648537678895</v>
      </c>
      <c r="HH93" s="21">
        <f>EXP(-LN(2)/25)*HH92+(1-EXP(-LN(2)/25))/(LN(2)/25)*Calculateur!HC93*Calculateur!HE93*VLOOKUP('Données projet'!$B$18,Paramètres!$A$1:$I$89,3,0)*0.475*44/12</f>
        <v>3.2481005730703525</v>
      </c>
      <c r="HI93" s="21">
        <f>EXP(-LN(2)/2)*HI92+(1-EXP(-LN(2)/2))/(LN(2)/2)*HC93*HF93*VLOOKUP('Données projet'!$B$18,Paramètres!$A$1:$I$89,3,0)*0.475*44/12</f>
        <v>6.2431866420364808E-9</v>
      </c>
      <c r="HJ93" s="22">
        <f t="shared" si="84"/>
        <v>5.6684654330814288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2.5420376914553347E-13</v>
      </c>
      <c r="P94" s="13">
        <f t="shared" si="87"/>
        <v>3.4258699088369875E-12</v>
      </c>
      <c r="Q94" s="20">
        <f t="shared" si="54"/>
        <v>6.4094616558195571E-12</v>
      </c>
      <c r="R94" s="59">
        <f t="shared" si="55"/>
        <v>293.33333333333974</v>
      </c>
      <c r="S94" s="59">
        <f ca="1">AVERAGE(OFFSET($R$3,0,0,'Données projet'!$E$9+1,1))-AVERAGE(OFFSET($H$3,0,0,'Données projet'!$E$9+1,1))</f>
        <v>370.69652285220093</v>
      </c>
      <c r="T94" s="59">
        <f t="shared" si="88"/>
        <v>376.53494965377718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3.0707970621504797</v>
      </c>
      <c r="AA94" s="21">
        <f>EXP(-LN(2)/25)*AA93+(1-EXP(-LN(2)/25))/(LN(2)/25)*Calculateur!V94*Calculateur!X94*VLOOKUP('Données projet'!$B$9,Paramètres!$A$1:$I$89,3,0)*0.475*44/12</f>
        <v>6.1561167769153045</v>
      </c>
      <c r="AB94" s="21">
        <f>EXP(-LN(2)/2)*AB93+(1-EXP(-LN(2)/2))/(LN(2)/2)*V94*Y94*VLOOKUP('Données projet'!$B$9,Paramètres!$A$1:$I$89,3,0)*0.475*44/12</f>
        <v>2.1554006686295384E-8</v>
      </c>
      <c r="AC94" s="22">
        <f t="shared" si="57"/>
        <v>9.2269138606197902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278.58791999999994</v>
      </c>
      <c r="AK94" s="13">
        <f t="shared" si="89"/>
        <v>66.668508032294213</v>
      </c>
      <c r="AL94" s="20">
        <f t="shared" si="58"/>
        <v>601.32161215624558</v>
      </c>
      <c r="AM94" s="59">
        <f t="shared" si="59"/>
        <v>894.65494548957895</v>
      </c>
      <c r="AN94" s="59">
        <f ca="1">AVERAGE(OFFSET($AM$3,0,0,'Données projet'!$E$10+1,1))-AVERAGE(OFFSET($H$3,0,0,'Données projet'!$E$10+1,1))</f>
        <v>321.03881567735544</v>
      </c>
      <c r="AO94" s="59">
        <f t="shared" si="90"/>
        <v>234.87694492493506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0.71962112971607217</v>
      </c>
      <c r="AV94" s="21">
        <f>EXP(-LN(2)/25)*AV93+(1-EXP(-LN(2)/25))/(LN(2)/25)*Calculateur!AQ94*Calculateur!AS94*VLOOKUP('Données projet'!$B$10,Paramètres!$A$1:$I$89,3,0)*0.475*44/12</f>
        <v>2.4980592125953964</v>
      </c>
      <c r="AW94" s="21">
        <f>EXP(-LN(2)/2)*AW93+(1-EXP(-LN(2)/2))/(LN(2)/2)*AQ94*AT94*VLOOKUP('Données projet'!$B$10,Paramètres!$A$1:$I$89,3,0)*0.475*44/12</f>
        <v>1.4316813144318766E-8</v>
      </c>
      <c r="AX94" s="21">
        <f t="shared" si="60"/>
        <v>3.2176803566282817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5.6843418860808015E-13</v>
      </c>
      <c r="BE94" s="13">
        <f>BD94*VLOOKUP('Données projet'!$B$11,Paramètres!$A$1:$I$89,3,0)*VLOOKUP('Données projet'!$B$11,Paramètres!$A$1:$I$89,5,0)</f>
        <v>3.1036506698001181E-13</v>
      </c>
      <c r="BF94" s="13">
        <f t="shared" si="91"/>
        <v>4.086682523110923E-12</v>
      </c>
      <c r="BG94" s="20">
        <f t="shared" si="61"/>
        <v>7.6581912194083782E-12</v>
      </c>
      <c r="BH94" s="59">
        <f t="shared" si="62"/>
        <v>293.33333333334099</v>
      </c>
      <c r="BI94" s="59">
        <f ca="1">AVERAGE(OFFSET($BH$3,0,0,'Données projet'!$E$11+1,1))-AVERAGE(OFFSET($H$3,0,0,'Données projet'!$E$11+1,1))</f>
        <v>248.1486444660062</v>
      </c>
      <c r="BJ94" s="59">
        <f t="shared" si="92"/>
        <v>293.34458072322127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2.5449311804714325</v>
      </c>
      <c r="BQ94" s="21">
        <f>EXP(-LN(2)/25)*BQ93+(1-EXP(-LN(2)/25))/(LN(2)/25)*Calculateur!BL94*Calculateur!BN94*VLOOKUP('Données projet'!$B$11,Paramètres!$A$1:$I$89,3,0)*0.475*44/12</f>
        <v>6.2725989890633969</v>
      </c>
      <c r="BR94" s="21">
        <f>EXP(-LN(2)/2)*BR93+(1-EXP(-LN(2)/2))/(LN(2)/2)*BL94*BO94*VLOOKUP('Données projet'!$B$11,Paramètres!$A$1:$I$89,3,0)*0.475*44/12</f>
        <v>1.6583748415625777E-8</v>
      </c>
      <c r="BS94" s="22">
        <f t="shared" si="63"/>
        <v>8.817530186118578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243.38048563215585</v>
      </c>
      <c r="CE94" s="59">
        <f t="shared" si="94"/>
        <v>372.1604147006675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2.1836779108625644</v>
      </c>
      <c r="CL94" s="21">
        <f>EXP(-LN(2)/25)*CL93+(1-EXP(-LN(2)/25))/(LN(2)/25)*Calculateur!CG94*Calculateur!CI94*VLOOKUP('Données projet'!$B$12,Paramètres!$A$1:$I$89,3,0)*0.475*44/12</f>
        <v>3.5681790450323874</v>
      </c>
      <c r="CM94" s="21">
        <f>EXP(-LN(2)/2)*CM93+(1-EXP(-LN(2)/2))/(LN(2)/2)*CG94*CJ94*VLOOKUP('Données projet'!$B$12,Paramètres!$A$1:$I$89,3,0)*0.475*44/12</f>
        <v>1.9305192220675199E-8</v>
      </c>
      <c r="CN94" s="22">
        <f t="shared" si="66"/>
        <v>5.7518569752001438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7.9580786405131221E-13</v>
      </c>
      <c r="CU94" s="17">
        <f>CT94*VLOOKUP('Données projet'!$B$13,Paramètres!$A$1:$I$89,3,0)*VLOOKUP('Données projet'!$B$13,Paramètres!$A$1:$I$89,5,0)</f>
        <v>3.8278358260868117E-13</v>
      </c>
      <c r="CV94" s="13">
        <f t="shared" si="95"/>
        <v>4.9186917125089072E-12</v>
      </c>
      <c r="CW94" s="20">
        <f t="shared" si="67"/>
        <v>9.2334028056631319E-12</v>
      </c>
      <c r="CX94" s="59">
        <f t="shared" si="68"/>
        <v>293.33333333334252</v>
      </c>
      <c r="CY94" s="59">
        <f ca="1">AVERAGE(OFFSET($CX$3,0,0,'Données projet'!$E$13+1,1))-AVERAGE(OFFSET($H$3,0,0,'Données projet'!$E$13+1,1))</f>
        <v>297.21955661193238</v>
      </c>
      <c r="CZ94" s="59">
        <f t="shared" si="96"/>
        <v>273.69206144662144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2.0131914294497055</v>
      </c>
      <c r="DG94" s="21">
        <f>EXP(-LN(2)/25)*DG93+(1-EXP(-LN(2)/25))/(LN(2)/25)*Calculateur!DB94*Calculateur!DD94*VLOOKUP('Données projet'!$B$13,Paramètres!$A$1:$I$89,3,0)*0.475*44/12</f>
        <v>2.4736645150113596</v>
      </c>
      <c r="DH94" s="21">
        <f>EXP(-LN(2)/2)*DH93+(1-EXP(-LN(2)/2))/(LN(2)/2)*DB94*DE94*VLOOKUP('Données projet'!$B$13,Paramètres!$A$1:$I$89,3,0)*0.475*44/12</f>
        <v>1.3771998673294757E-8</v>
      </c>
      <c r="DI94" s="22">
        <f t="shared" si="69"/>
        <v>4.4868559582330638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-4.0702161641092972E-13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260.20517190557814</v>
      </c>
      <c r="DU94" s="59">
        <f t="shared" si="98"/>
        <v>307.22009971147133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0.97490773537617503</v>
      </c>
      <c r="EB94" s="21">
        <f>EXP(-LN(2)/25)*EB93+(1-EXP(-LN(2)/25))/(LN(2)/25)*Calculateur!DW94*Calculateur!DY94*VLOOKUP('Données projet'!$B$14,Paramètres!$A$1:$I$89,3,0)*0.475*44/12</f>
        <v>3.7814273310263524</v>
      </c>
      <c r="EC94" s="21">
        <f>EXP(-LN(2)/2)*EC93+(1-EXP(-LN(2)/2))/(LN(2)/2)*DW94*DZ94*VLOOKUP('Données projet'!$B$14,Paramètres!$A$1:$I$89,3,0)*0.475*44/12</f>
        <v>1.5830773984361782E-8</v>
      </c>
      <c r="ED94" s="22">
        <f t="shared" si="72"/>
        <v>4.7563350822333019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1.1368683772161603E-13</v>
      </c>
      <c r="EK94" s="17">
        <f>EJ94*VLOOKUP('Données projet'!$B$15,Paramètres!$A$1:$I$89,3,0)*VLOOKUP('Données projet'!$B$15,Paramètres!$A$1:$I$89,5,0)</f>
        <v>6.7984728957526396E-14</v>
      </c>
      <c r="EL94" s="13">
        <f t="shared" si="99"/>
        <v>1.0682447123141398E-12</v>
      </c>
      <c r="EM94" s="20">
        <f t="shared" si="73"/>
        <v>1.978932943548152E-12</v>
      </c>
      <c r="EN94" s="59">
        <f t="shared" si="74"/>
        <v>293.3333333333353</v>
      </c>
      <c r="EO94" s="59">
        <f ca="1">AVERAGE(OFFSET($EN$3,0,0,'Données projet'!$E$15+1,1))-AVERAGE(OFFSET($H$3,0,0,'Données projet'!$E$15+1,1))</f>
        <v>259.30247982593914</v>
      </c>
      <c r="EP94" s="59">
        <f t="shared" si="100"/>
        <v>275.24740346220779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3.3231895010104644</v>
      </c>
      <c r="EX94" s="21">
        <f>EXP(-LN(2)/2)*EX93+(1-EXP(-LN(2)/2))/(LN(2)/2)*ER94*EU94*VLOOKUP('Données projet'!$B$15,Paramètres!$A$1:$I$89,3,0)*0.475*44/12</f>
        <v>1.8887366124629361E-8</v>
      </c>
      <c r="EY94" s="22">
        <f t="shared" si="75"/>
        <v>3.3231895198978307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5.9</v>
      </c>
      <c r="FE94" s="12">
        <f>IF('Données projet'!$A$218&gt;35,FE93+FD94-FM93,IF(A94&lt;'Données projet'!$A$218,$FB$205^A94,IF(A94='Données projet'!$A$218,'Données projet'!$B$218,FE93+FD94-FM93)))</f>
        <v>307.89999999999998</v>
      </c>
      <c r="FF94" s="17">
        <f>FE94*VLOOKUP('Données projet'!$B$16,Paramètres!$A$1:$I$89,3,0)*VLOOKUP('Données projet'!$B$16,Paramètres!$A$1:$I$89,5,0)</f>
        <v>312.2106</v>
      </c>
      <c r="FG94" s="13">
        <f t="shared" si="101"/>
        <v>73.730300342886324</v>
      </c>
      <c r="FH94" s="20">
        <f t="shared" si="76"/>
        <v>672.18040143052701</v>
      </c>
      <c r="FI94" s="59">
        <f t="shared" si="77"/>
        <v>965.51373476386038</v>
      </c>
      <c r="FJ94" s="59">
        <f ca="1">AVERAGE(OFFSET($FI$3,0,0,'Données projet'!$E$16+1,1))-AVERAGE(OFFSET($H$3,0,0,'Données projet'!$E$16+1,1))</f>
        <v>372.91317851957336</v>
      </c>
      <c r="FK94" s="59">
        <f t="shared" si="102"/>
        <v>269.69187715858413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0.80647195571628805</v>
      </c>
      <c r="FR94" s="21">
        <f>EXP(-LN(2)/25)*FR93+(1-EXP(-LN(2)/25))/(LN(2)/25)*Calculateur!FM94*Calculateur!FO94*VLOOKUP('Données projet'!$B$16,Paramètres!$A$1:$I$89,3,0)*0.475*44/12</f>
        <v>2.7995491175638074</v>
      </c>
      <c r="FS94" s="21">
        <f>EXP(-LN(2)/2)*FS93+(1-EXP(-LN(2)/2))/(LN(2)/2)*FM94*FP94*VLOOKUP('Données projet'!$B$16,Paramètres!$A$1:$I$89,3,0)*0.475*44/12</f>
        <v>1.6044704385874466E-8</v>
      </c>
      <c r="FT94" s="22">
        <f t="shared" si="78"/>
        <v>3.6060210893247997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18.5</v>
      </c>
      <c r="FZ94" s="12">
        <f>IF('Données projet'!$A$244&gt;35,FZ93+FY94-GH93,IF(A94&lt;'Données projet'!$A$244,$FW$205^A94,IF(A94='Données projet'!$A$244,'Données projet'!$B$244,FZ93+FY94-GH93)))</f>
        <v>559.69999999999993</v>
      </c>
      <c r="GA94" s="17">
        <f>FZ94*VLOOKUP('Données projet'!$B$17,Paramètres!$A$1:$I$89,3,0)*VLOOKUP('Données projet'!$B$17,Paramètres!$A$1:$I$89,5,0)</f>
        <v>261.93959999999998</v>
      </c>
      <c r="GB94" s="13">
        <f t="shared" si="103"/>
        <v>63.135643285567426</v>
      </c>
      <c r="GC94" s="20">
        <f t="shared" si="79"/>
        <v>566.1727153890298</v>
      </c>
      <c r="GD94" s="59">
        <f t="shared" si="80"/>
        <v>859.50604872236318</v>
      </c>
      <c r="GE94" s="59">
        <f ca="1">AVERAGE(OFFSET($GD$3,0,0,'Données projet'!$E$17+1,1))-AVERAGE(OFFSET($H$3,0,0,'Données projet'!$E$17+1,1))</f>
        <v>215.23235148064941</v>
      </c>
      <c r="GF94" s="59">
        <f t="shared" si="104"/>
        <v>184.07239726900434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0.93654209403792077</v>
      </c>
      <c r="GM94" s="21">
        <f>EXP(-LN(2)/25)*GM93+(1-EXP(-LN(2)/25))/(LN(2)/25)*Calculateur!GH94*Calculateur!GJ94*VLOOKUP('Données projet'!$B$17,Paramètres!$A$1:$I$89,3,0)*0.475*44/12</f>
        <v>1.4476336605774676</v>
      </c>
      <c r="GN94" s="21">
        <f>EXP(-LN(2)/2)*GN93+(1-EXP(-LN(2)/2))/(LN(2)/2)*GH94*GK94*VLOOKUP('Données projet'!$B$17,Paramètres!$A$1:$I$89,3,0)*0.475*44/12</f>
        <v>6.4749258226157884E-9</v>
      </c>
      <c r="GO94" s="21">
        <f t="shared" si="81"/>
        <v>2.3841757610903143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-1.1368683772161603E-13</v>
      </c>
      <c r="GV94" s="17">
        <f>GU94*VLOOKUP('Données projet'!$B$18,Paramètres!$A$1:$I$89,3,0)*VLOOKUP('Données projet'!$B$18,Paramètres!$A$1:$I$89,5,0)</f>
        <v>-6.7984728957526396E-14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227.89848316900191</v>
      </c>
      <c r="HA94" s="59">
        <f t="shared" si="106"/>
        <v>239.85955661394541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2.3729029752622917</v>
      </c>
      <c r="HH94" s="21">
        <f>EXP(-LN(2)/25)*HH93+(1-EXP(-LN(2)/25))/(LN(2)/25)*Calculateur!HC94*Calculateur!HE94*VLOOKUP('Données projet'!$B$18,Paramètres!$A$1:$I$89,3,0)*0.475*44/12</f>
        <v>3.1592810920895582</v>
      </c>
      <c r="HI94" s="21">
        <f>EXP(-LN(2)/2)*HI93+(1-EXP(-LN(2)/2))/(LN(2)/2)*HC94*HF94*VLOOKUP('Données projet'!$B$18,Paramètres!$A$1:$I$89,3,0)*0.475*44/12</f>
        <v>4.4145996107972662E-9</v>
      </c>
      <c r="HJ94" s="22">
        <f t="shared" si="84"/>
        <v>5.5321840717664488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2.5420376914553347E-13</v>
      </c>
      <c r="P95" s="13">
        <f t="shared" si="87"/>
        <v>3.4258699088369875E-12</v>
      </c>
      <c r="Q95" s="20">
        <f t="shared" si="54"/>
        <v>6.4094616558195571E-12</v>
      </c>
      <c r="R95" s="59">
        <f t="shared" si="55"/>
        <v>293.33333333333974</v>
      </c>
      <c r="S95" s="59">
        <f ca="1">AVERAGE(OFFSET($R$3,0,0,'Données projet'!$E$9+1,1))-AVERAGE(OFFSET($H$3,0,0,'Données projet'!$E$9+1,1))</f>
        <v>370.69652285220093</v>
      </c>
      <c r="T95" s="59">
        <f t="shared" si="88"/>
        <v>376.53494965377718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3.0105806047629731</v>
      </c>
      <c r="AA95" s="21">
        <f>EXP(-LN(2)/25)*AA94+(1-EXP(-LN(2)/25))/(LN(2)/25)*Calculateur!V95*Calculateur!X95*VLOOKUP('Données projet'!$B$9,Paramètres!$A$1:$I$89,3,0)*0.475*44/12</f>
        <v>5.9877774399144439</v>
      </c>
      <c r="AB95" s="21">
        <f>EXP(-LN(2)/2)*AB94+(1-EXP(-LN(2)/2))/(LN(2)/2)*V95*Y95*VLOOKUP('Données projet'!$B$9,Paramètres!$A$1:$I$89,3,0)*0.475*44/12</f>
        <v>1.5240984289619652E-8</v>
      </c>
      <c r="AC95" s="22">
        <f t="shared" si="57"/>
        <v>8.9983580599184005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283.92623999999995</v>
      </c>
      <c r="AK95" s="13">
        <f t="shared" si="89"/>
        <v>67.796062628528304</v>
      </c>
      <c r="AL95" s="20">
        <f t="shared" si="58"/>
        <v>612.58301041135337</v>
      </c>
      <c r="AM95" s="59">
        <f t="shared" si="59"/>
        <v>905.91634374468663</v>
      </c>
      <c r="AN95" s="59">
        <f ca="1">AVERAGE(OFFSET($AM$3,0,0,'Données projet'!$E$10+1,1))-AVERAGE(OFFSET($H$3,0,0,'Données projet'!$E$10+1,1))</f>
        <v>321.03881567735544</v>
      </c>
      <c r="AO95" s="59">
        <f t="shared" si="90"/>
        <v>234.87694492493506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0.70550979828788885</v>
      </c>
      <c r="AV95" s="21">
        <f>EXP(-LN(2)/25)*AV94+(1-EXP(-LN(2)/25))/(LN(2)/25)*Calculateur!AQ95*Calculateur!AS95*VLOOKUP('Données projet'!$B$10,Paramètres!$A$1:$I$89,3,0)*0.475*44/12</f>
        <v>2.4297496520597508</v>
      </c>
      <c r="AW95" s="21">
        <f>EXP(-LN(2)/2)*AW94+(1-EXP(-LN(2)/2))/(LN(2)/2)*AQ95*AT95*VLOOKUP('Données projet'!$B$10,Paramètres!$A$1:$I$89,3,0)*0.475*44/12</f>
        <v>1.0123515659328497E-8</v>
      </c>
      <c r="AX95" s="21">
        <f t="shared" si="60"/>
        <v>3.1352594604711554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5.6843418860808015E-13</v>
      </c>
      <c r="BE95" s="13">
        <f>BD95*VLOOKUP('Données projet'!$B$11,Paramètres!$A$1:$I$89,3,0)*VLOOKUP('Données projet'!$B$11,Paramètres!$A$1:$I$89,5,0)</f>
        <v>3.1036506698001181E-13</v>
      </c>
      <c r="BF95" s="13">
        <f t="shared" si="91"/>
        <v>4.086682523110923E-12</v>
      </c>
      <c r="BG95" s="20">
        <f t="shared" si="61"/>
        <v>7.6581912194083782E-12</v>
      </c>
      <c r="BH95" s="59">
        <f t="shared" si="62"/>
        <v>293.33333333334099</v>
      </c>
      <c r="BI95" s="59">
        <f ca="1">AVERAGE(OFFSET($BH$3,0,0,'Données projet'!$E$11+1,1))-AVERAGE(OFFSET($H$3,0,0,'Données projet'!$E$11+1,1))</f>
        <v>248.1486444660062</v>
      </c>
      <c r="BJ95" s="59">
        <f t="shared" si="92"/>
        <v>293.34458072322127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2.4950266322771353</v>
      </c>
      <c r="BQ95" s="21">
        <f>EXP(-LN(2)/25)*BQ94+(1-EXP(-LN(2)/25))/(LN(2)/25)*Calculateur!BL95*Calculateur!BN95*VLOOKUP('Données projet'!$B$11,Paramètres!$A$1:$I$89,3,0)*0.475*44/12</f>
        <v>6.1010744398458137</v>
      </c>
      <c r="BR95" s="21">
        <f>EXP(-LN(2)/2)*BR94+(1-EXP(-LN(2)/2))/(LN(2)/2)*BL95*BO95*VLOOKUP('Données projet'!$B$11,Paramètres!$A$1:$I$89,3,0)*0.475*44/12</f>
        <v>1.172648096218065E-8</v>
      </c>
      <c r="BS95" s="22">
        <f t="shared" si="63"/>
        <v>8.5961010838494296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243.38048563215585</v>
      </c>
      <c r="CE95" s="59">
        <f t="shared" si="94"/>
        <v>372.1604147006675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2.1408573189425595</v>
      </c>
      <c r="CL95" s="21">
        <f>EXP(-LN(2)/25)*CL94+(1-EXP(-LN(2)/25))/(LN(2)/25)*Calculateur!CG95*Calculateur!CI95*VLOOKUP('Données projet'!$B$12,Paramètres!$A$1:$I$89,3,0)*0.475*44/12</f>
        <v>3.4706070014035961</v>
      </c>
      <c r="CM95" s="21">
        <f>EXP(-LN(2)/2)*CM94+(1-EXP(-LN(2)/2))/(LN(2)/2)*CG95*CJ95*VLOOKUP('Données projet'!$B$12,Paramètres!$A$1:$I$89,3,0)*0.475*44/12</f>
        <v>1.3650832331349218E-8</v>
      </c>
      <c r="CN95" s="22">
        <f t="shared" si="66"/>
        <v>5.6114643339969881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7.9580786405131221E-13</v>
      </c>
      <c r="CU95" s="17">
        <f>CT95*VLOOKUP('Données projet'!$B$13,Paramètres!$A$1:$I$89,3,0)*VLOOKUP('Données projet'!$B$13,Paramètres!$A$1:$I$89,5,0)</f>
        <v>3.8278358260868117E-13</v>
      </c>
      <c r="CV95" s="13">
        <f t="shared" si="95"/>
        <v>4.9186917125089072E-12</v>
      </c>
      <c r="CW95" s="20">
        <f t="shared" si="67"/>
        <v>9.2334028056631319E-12</v>
      </c>
      <c r="CX95" s="59">
        <f t="shared" si="68"/>
        <v>293.33333333334252</v>
      </c>
      <c r="CY95" s="59">
        <f ca="1">AVERAGE(OFFSET($CX$3,0,0,'Données projet'!$E$13+1,1))-AVERAGE(OFFSET($H$3,0,0,'Données projet'!$E$13+1,1))</f>
        <v>297.21955661193238</v>
      </c>
      <c r="CZ95" s="59">
        <f t="shared" si="96"/>
        <v>273.69206144662144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1.9737139734437212</v>
      </c>
      <c r="DG95" s="21">
        <f>EXP(-LN(2)/25)*DG94+(1-EXP(-LN(2)/25))/(LN(2)/25)*Calculateur!DB95*Calculateur!DD95*VLOOKUP('Données projet'!$B$13,Paramètres!$A$1:$I$89,3,0)*0.475*44/12</f>
        <v>2.4060220287640108</v>
      </c>
      <c r="DH95" s="21">
        <f>EXP(-LN(2)/2)*DH94+(1-EXP(-LN(2)/2))/(LN(2)/2)*DB95*DE95*VLOOKUP('Données projet'!$B$13,Paramètres!$A$1:$I$89,3,0)*0.475*44/12</f>
        <v>9.7382736523788586E-9</v>
      </c>
      <c r="DI95" s="22">
        <f t="shared" si="69"/>
        <v>4.3797360119460054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-4.0702161641092972E-13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260.20517190557814</v>
      </c>
      <c r="DU95" s="59">
        <f t="shared" si="98"/>
        <v>307.22009971147133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0.95579038932045146</v>
      </c>
      <c r="EB95" s="21">
        <f>EXP(-LN(2)/25)*EB94+(1-EXP(-LN(2)/25))/(LN(2)/25)*Calculateur!DW95*Calculateur!DY95*VLOOKUP('Données projet'!$B$14,Paramètres!$A$1:$I$89,3,0)*0.475*44/12</f>
        <v>3.6780240018028159</v>
      </c>
      <c r="EC95" s="21">
        <f>EXP(-LN(2)/2)*EC94+(1-EXP(-LN(2)/2))/(LN(2)/2)*DW95*DZ95*VLOOKUP('Données projet'!$B$14,Paramètres!$A$1:$I$89,3,0)*0.475*44/12</f>
        <v>1.1194047635773796E-8</v>
      </c>
      <c r="ED95" s="22">
        <f t="shared" si="72"/>
        <v>4.6338144023173147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1.1368683772161603E-13</v>
      </c>
      <c r="EK95" s="17">
        <f>EJ95*VLOOKUP('Données projet'!$B$15,Paramètres!$A$1:$I$89,3,0)*VLOOKUP('Données projet'!$B$15,Paramètres!$A$1:$I$89,5,0)</f>
        <v>6.7984728957526396E-14</v>
      </c>
      <c r="EL95" s="13">
        <f t="shared" si="99"/>
        <v>1.0682447123141398E-12</v>
      </c>
      <c r="EM95" s="20">
        <f t="shared" si="73"/>
        <v>1.978932943548152E-12</v>
      </c>
      <c r="EN95" s="59">
        <f t="shared" si="74"/>
        <v>293.3333333333353</v>
      </c>
      <c r="EO95" s="59">
        <f ca="1">AVERAGE(OFFSET($EN$3,0,0,'Données projet'!$E$15+1,1))-AVERAGE(OFFSET($H$3,0,0,'Données projet'!$E$15+1,1))</f>
        <v>259.30247982593914</v>
      </c>
      <c r="EP95" s="59">
        <f t="shared" si="100"/>
        <v>275.24740346220779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3.2323167093463927</v>
      </c>
      <c r="EX95" s="21">
        <f>EXP(-LN(2)/2)*EX94+(1-EXP(-LN(2)/2))/(LN(2)/2)*ER95*EU95*VLOOKUP('Données projet'!$B$15,Paramètres!$A$1:$I$89,3,0)*0.475*44/12</f>
        <v>1.3355384665478504E-8</v>
      </c>
      <c r="EY95" s="22">
        <f t="shared" si="75"/>
        <v>3.2323167227017775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5.9</v>
      </c>
      <c r="FE95" s="12">
        <f>IF('Données projet'!$A$218&gt;35,FE94+FD95-FM94,IF(A95&lt;'Données projet'!$A$218,$FB$205^A95,IF(A95='Données projet'!$A$218,'Données projet'!$B$218,FE94+FD95-FM94)))</f>
        <v>313.79999999999995</v>
      </c>
      <c r="FF95" s="17">
        <f>FE95*VLOOKUP('Données projet'!$B$16,Paramètres!$A$1:$I$89,3,0)*VLOOKUP('Données projet'!$B$16,Paramètres!$A$1:$I$89,5,0)</f>
        <v>318.19319999999999</v>
      </c>
      <c r="FG95" s="13">
        <f t="shared" si="101"/>
        <v>74.977289985928564</v>
      </c>
      <c r="FH95" s="20">
        <f t="shared" si="76"/>
        <v>684.7719367254922</v>
      </c>
      <c r="FI95" s="59">
        <f t="shared" si="77"/>
        <v>978.10527005882545</v>
      </c>
      <c r="FJ95" s="59">
        <f ca="1">AVERAGE(OFFSET($FI$3,0,0,'Données projet'!$E$16+1,1))-AVERAGE(OFFSET($H$3,0,0,'Données projet'!$E$16+1,1))</f>
        <v>372.91317851957336</v>
      </c>
      <c r="FK95" s="59">
        <f t="shared" si="102"/>
        <v>269.69187715858413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0.79065753256401361</v>
      </c>
      <c r="FR95" s="21">
        <f>EXP(-LN(2)/25)*FR94+(1-EXP(-LN(2)/25))/(LN(2)/25)*Calculateur!FM95*Calculateur!FO95*VLOOKUP('Données projet'!$B$16,Paramètres!$A$1:$I$89,3,0)*0.475*44/12</f>
        <v>2.7229952997221356</v>
      </c>
      <c r="FS95" s="21">
        <f>EXP(-LN(2)/2)*FS94+(1-EXP(-LN(2)/2))/(LN(2)/2)*FM95*FP95*VLOOKUP('Données projet'!$B$16,Paramètres!$A$1:$I$89,3,0)*0.475*44/12</f>
        <v>1.1345319273385375E-8</v>
      </c>
      <c r="FT95" s="22">
        <f t="shared" si="78"/>
        <v>3.5136528436314687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18.5</v>
      </c>
      <c r="FZ95" s="12">
        <f>IF('Données projet'!$A$244&gt;35,FZ94+FY95-GH94,IF(A95&lt;'Données projet'!$A$244,$FW$205^A95,IF(A95='Données projet'!$A$244,'Données projet'!$B$244,FZ94+FY95-GH94)))</f>
        <v>578.19999999999993</v>
      </c>
      <c r="GA95" s="17">
        <f>FZ95*VLOOKUP('Données projet'!$B$17,Paramètres!$A$1:$I$89,3,0)*VLOOKUP('Données projet'!$B$17,Paramètres!$A$1:$I$89,5,0)</f>
        <v>270.59759999999994</v>
      </c>
      <c r="GB95" s="13">
        <f t="shared" si="103"/>
        <v>64.976078766498532</v>
      </c>
      <c r="GC95" s="20">
        <f t="shared" si="79"/>
        <v>584.45749051831808</v>
      </c>
      <c r="GD95" s="59">
        <f t="shared" si="80"/>
        <v>877.79082385165134</v>
      </c>
      <c r="GE95" s="59">
        <f ca="1">AVERAGE(OFFSET($GD$3,0,0,'Données projet'!$E$17+1,1))-AVERAGE(OFFSET($H$3,0,0,'Données projet'!$E$17+1,1))</f>
        <v>215.23235148064941</v>
      </c>
      <c r="GF95" s="59">
        <f t="shared" si="104"/>
        <v>184.07239726900434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0.91817707480810984</v>
      </c>
      <c r="GM95" s="21">
        <f>EXP(-LN(2)/25)*GM94+(1-EXP(-LN(2)/25))/(LN(2)/25)*Calculateur!GH95*Calculateur!GJ95*VLOOKUP('Données projet'!$B$17,Paramètres!$A$1:$I$89,3,0)*0.475*44/12</f>
        <v>1.4080480420012311</v>
      </c>
      <c r="GN95" s="21">
        <f>EXP(-LN(2)/2)*GN94+(1-EXP(-LN(2)/2))/(LN(2)/2)*GH95*GK95*VLOOKUP('Données projet'!$B$17,Paramètres!$A$1:$I$89,3,0)*0.475*44/12</f>
        <v>4.5784639568515084E-9</v>
      </c>
      <c r="GO95" s="21">
        <f t="shared" si="81"/>
        <v>2.3262251213878047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-1.1368683772161603E-13</v>
      </c>
      <c r="GV95" s="17">
        <f>GU95*VLOOKUP('Données projet'!$B$18,Paramètres!$A$1:$I$89,3,0)*VLOOKUP('Données projet'!$B$18,Paramètres!$A$1:$I$89,5,0)</f>
        <v>-6.7984728957526396E-14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227.89848316900191</v>
      </c>
      <c r="HA95" s="59">
        <f t="shared" si="106"/>
        <v>239.85955661394541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2.3263717952453011</v>
      </c>
      <c r="HH95" s="21">
        <f>EXP(-LN(2)/25)*HH94+(1-EXP(-LN(2)/25))/(LN(2)/25)*Calculateur!HC95*Calculateur!HE95*VLOOKUP('Données projet'!$B$18,Paramètres!$A$1:$I$89,3,0)*0.475*44/12</f>
        <v>3.072890384486997</v>
      </c>
      <c r="HI95" s="21">
        <f>EXP(-LN(2)/2)*HI94+(1-EXP(-LN(2)/2))/(LN(2)/2)*HC95*HF95*VLOOKUP('Données projet'!$B$18,Paramètres!$A$1:$I$89,3,0)*0.475*44/12</f>
        <v>3.1215933210182404E-9</v>
      </c>
      <c r="HJ95" s="22">
        <f t="shared" si="84"/>
        <v>5.3992621828538923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2.5420376914553347E-13</v>
      </c>
      <c r="P96" s="13">
        <f t="shared" si="87"/>
        <v>3.4258699088369875E-12</v>
      </c>
      <c r="Q96" s="20">
        <f t="shared" si="54"/>
        <v>6.4094616558195571E-12</v>
      </c>
      <c r="R96" s="59">
        <f t="shared" si="55"/>
        <v>293.33333333333974</v>
      </c>
      <c r="S96" s="59">
        <f ca="1">AVERAGE(OFFSET($R$3,0,0,'Données projet'!$E$9+1,1))-AVERAGE(OFFSET($H$3,0,0,'Données projet'!$E$9+1,1))</f>
        <v>370.69652285220093</v>
      </c>
      <c r="T96" s="59">
        <f t="shared" si="88"/>
        <v>376.53494965377718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2.951544955376423</v>
      </c>
      <c r="AA96" s="21">
        <f>EXP(-LN(2)/25)*AA95+(1-EXP(-LN(2)/25))/(LN(2)/25)*Calculateur!V96*Calculateur!X96*VLOOKUP('Données projet'!$B$9,Paramètres!$A$1:$I$89,3,0)*0.475*44/12</f>
        <v>5.8240413509364535</v>
      </c>
      <c r="AB96" s="21">
        <f>EXP(-LN(2)/2)*AB95+(1-EXP(-LN(2)/2))/(LN(2)/2)*V96*Y96*VLOOKUP('Données projet'!$B$9,Paramètres!$A$1:$I$89,3,0)*0.475*44/12</f>
        <v>1.0777003343147692E-8</v>
      </c>
      <c r="AC96" s="22">
        <f t="shared" si="57"/>
        <v>8.7755863170898802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289.26455999999996</v>
      </c>
      <c r="AK96" s="13">
        <f t="shared" si="89"/>
        <v>68.921152085057912</v>
      </c>
      <c r="AL96" s="20">
        <f t="shared" si="58"/>
        <v>623.84011521480909</v>
      </c>
      <c r="AM96" s="59">
        <f t="shared" si="59"/>
        <v>917.17344854814246</v>
      </c>
      <c r="AN96" s="59">
        <f ca="1">AVERAGE(OFFSET($AM$3,0,0,'Données projet'!$E$10+1,1))-AVERAGE(OFFSET($H$3,0,0,'Données projet'!$E$10+1,1))</f>
        <v>321.03881567735544</v>
      </c>
      <c r="AO96" s="59">
        <f t="shared" si="90"/>
        <v>234.87694492493506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0.69167518146194984</v>
      </c>
      <c r="AV96" s="21">
        <f>EXP(-LN(2)/25)*AV95+(1-EXP(-LN(2)/25))/(LN(2)/25)*Calculateur!AQ96*Calculateur!AS96*VLOOKUP('Données projet'!$B$10,Paramètres!$A$1:$I$89,3,0)*0.475*44/12</f>
        <v>2.363308020049196</v>
      </c>
      <c r="AW96" s="21">
        <f>EXP(-LN(2)/2)*AW95+(1-EXP(-LN(2)/2))/(LN(2)/2)*AQ96*AT96*VLOOKUP('Données projet'!$B$10,Paramètres!$A$1:$I$89,3,0)*0.475*44/12</f>
        <v>7.1584065721593828E-9</v>
      </c>
      <c r="AX96" s="21">
        <f t="shared" si="60"/>
        <v>3.0549832086695528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5.6843418860808015E-13</v>
      </c>
      <c r="BE96" s="13">
        <f>BD96*VLOOKUP('Données projet'!$B$11,Paramètres!$A$1:$I$89,3,0)*VLOOKUP('Données projet'!$B$11,Paramètres!$A$1:$I$89,5,0)</f>
        <v>3.1036506698001181E-13</v>
      </c>
      <c r="BF96" s="13">
        <f t="shared" si="91"/>
        <v>4.086682523110923E-12</v>
      </c>
      <c r="BG96" s="20">
        <f t="shared" si="61"/>
        <v>7.6581912194083782E-12</v>
      </c>
      <c r="BH96" s="59">
        <f t="shared" si="62"/>
        <v>293.33333333334099</v>
      </c>
      <c r="BI96" s="59">
        <f ca="1">AVERAGE(OFFSET($BH$3,0,0,'Données projet'!$E$11+1,1))-AVERAGE(OFFSET($H$3,0,0,'Données projet'!$E$11+1,1))</f>
        <v>248.1486444660062</v>
      </c>
      <c r="BJ96" s="59">
        <f t="shared" si="92"/>
        <v>293.34458072322127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2.4461006818341593</v>
      </c>
      <c r="BQ96" s="21">
        <f>EXP(-LN(2)/25)*BQ95+(1-EXP(-LN(2)/25))/(LN(2)/25)*Calculateur!BL96*Calculateur!BN96*VLOOKUP('Données projet'!$B$11,Paramètres!$A$1:$I$89,3,0)*0.475*44/12</f>
        <v>5.9342402384466695</v>
      </c>
      <c r="BR96" s="21">
        <f>EXP(-LN(2)/2)*BR95+(1-EXP(-LN(2)/2))/(LN(2)/2)*BL96*BO96*VLOOKUP('Données projet'!$B$11,Paramètres!$A$1:$I$89,3,0)*0.475*44/12</f>
        <v>8.2918742078128883E-9</v>
      </c>
      <c r="BS96" s="22">
        <f t="shared" si="63"/>
        <v>8.3803409285727035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243.38048563215585</v>
      </c>
      <c r="CE96" s="59">
        <f t="shared" si="94"/>
        <v>372.1604147006675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2.0988764127121242</v>
      </c>
      <c r="CL96" s="21">
        <f>EXP(-LN(2)/25)*CL95+(1-EXP(-LN(2)/25))/(LN(2)/25)*Calculateur!CG96*Calculateur!CI96*VLOOKUP('Données projet'!$B$12,Paramètres!$A$1:$I$89,3,0)*0.475*44/12</f>
        <v>3.3757030704389246</v>
      </c>
      <c r="CM96" s="21">
        <f>EXP(-LN(2)/2)*CM95+(1-EXP(-LN(2)/2))/(LN(2)/2)*CG96*CJ96*VLOOKUP('Données projet'!$B$12,Paramètres!$A$1:$I$89,3,0)*0.475*44/12</f>
        <v>9.6525961103375995E-9</v>
      </c>
      <c r="CN96" s="22">
        <f t="shared" si="66"/>
        <v>5.4745794928036444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7.9580786405131221E-13</v>
      </c>
      <c r="CU96" s="17">
        <f>CT96*VLOOKUP('Données projet'!$B$13,Paramètres!$A$1:$I$89,3,0)*VLOOKUP('Données projet'!$B$13,Paramètres!$A$1:$I$89,5,0)</f>
        <v>3.8278358260868117E-13</v>
      </c>
      <c r="CV96" s="13">
        <f t="shared" si="95"/>
        <v>4.9186917125089072E-12</v>
      </c>
      <c r="CW96" s="20">
        <f t="shared" si="67"/>
        <v>9.2334028056631319E-12</v>
      </c>
      <c r="CX96" s="59">
        <f t="shared" si="68"/>
        <v>293.33333333334252</v>
      </c>
      <c r="CY96" s="59">
        <f ca="1">AVERAGE(OFFSET($CX$3,0,0,'Données projet'!$E$13+1,1))-AVERAGE(OFFSET($H$3,0,0,'Données projet'!$E$13+1,1))</f>
        <v>297.21955661193238</v>
      </c>
      <c r="CZ96" s="59">
        <f t="shared" si="96"/>
        <v>273.69206144662144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1.9350106462711436</v>
      </c>
      <c r="DG96" s="21">
        <f>EXP(-LN(2)/25)*DG95+(1-EXP(-LN(2)/25))/(LN(2)/25)*Calculateur!DB96*Calculateur!DD96*VLOOKUP('Données projet'!$B$13,Paramètres!$A$1:$I$89,3,0)*0.475*44/12</f>
        <v>2.3402292298602596</v>
      </c>
      <c r="DH96" s="21">
        <f>EXP(-LN(2)/2)*DH95+(1-EXP(-LN(2)/2))/(LN(2)/2)*DB96*DE96*VLOOKUP('Données projet'!$B$13,Paramètres!$A$1:$I$89,3,0)*0.475*44/12</f>
        <v>6.8859993366473786E-9</v>
      </c>
      <c r="DI96" s="22">
        <f t="shared" si="69"/>
        <v>4.2752398830174023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-4.0702161641092972E-13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260.20517190557814</v>
      </c>
      <c r="DU96" s="59">
        <f t="shared" si="98"/>
        <v>307.22009971147133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0.9370479227604509</v>
      </c>
      <c r="EB96" s="21">
        <f>EXP(-LN(2)/25)*EB95+(1-EXP(-LN(2)/25))/(LN(2)/25)*Calculateur!DW96*Calculateur!DY96*VLOOKUP('Données projet'!$B$14,Paramètres!$A$1:$I$89,3,0)*0.475*44/12</f>
        <v>3.5774482420546416</v>
      </c>
      <c r="EC96" s="21">
        <f>EXP(-LN(2)/2)*EC95+(1-EXP(-LN(2)/2))/(LN(2)/2)*DW96*DZ96*VLOOKUP('Données projet'!$B$14,Paramètres!$A$1:$I$89,3,0)*0.475*44/12</f>
        <v>7.915386992180891E-9</v>
      </c>
      <c r="ED96" s="22">
        <f t="shared" si="72"/>
        <v>4.5144961727304791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1.1368683772161603E-13</v>
      </c>
      <c r="EK96" s="17">
        <f>EJ96*VLOOKUP('Données projet'!$B$15,Paramètres!$A$1:$I$89,3,0)*VLOOKUP('Données projet'!$B$15,Paramètres!$A$1:$I$89,5,0)</f>
        <v>6.7984728957526396E-14</v>
      </c>
      <c r="EL96" s="13">
        <f t="shared" si="99"/>
        <v>1.0682447123141398E-12</v>
      </c>
      <c r="EM96" s="20">
        <f t="shared" si="73"/>
        <v>1.978932943548152E-12</v>
      </c>
      <c r="EN96" s="59">
        <f t="shared" si="74"/>
        <v>293.3333333333353</v>
      </c>
      <c r="EO96" s="59">
        <f ca="1">AVERAGE(OFFSET($EN$3,0,0,'Données projet'!$E$15+1,1))-AVERAGE(OFFSET($H$3,0,0,'Données projet'!$E$15+1,1))</f>
        <v>259.30247982593914</v>
      </c>
      <c r="EP96" s="59">
        <f t="shared" si="100"/>
        <v>275.24740346220779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3.1439288389491673</v>
      </c>
      <c r="EX96" s="21">
        <f>EXP(-LN(2)/2)*EX95+(1-EXP(-LN(2)/2))/(LN(2)/2)*ER96*EU96*VLOOKUP('Données projet'!$B$15,Paramètres!$A$1:$I$89,3,0)*0.475*44/12</f>
        <v>9.4436830623146803E-9</v>
      </c>
      <c r="EY96" s="22">
        <f t="shared" si="75"/>
        <v>3.1439288483928505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5.9</v>
      </c>
      <c r="FE96" s="12">
        <f>IF('Données projet'!$A$218&gt;35,FE95+FD96-FM95,IF(A96&lt;'Données projet'!$A$218,$FB$205^A96,IF(A96='Données projet'!$A$218,'Données projet'!$B$218,FE95+FD96-FM95)))</f>
        <v>319.69999999999993</v>
      </c>
      <c r="FF96" s="17">
        <f>FE96*VLOOKUP('Données projet'!$B$16,Paramètres!$A$1:$I$89,3,0)*VLOOKUP('Données projet'!$B$16,Paramètres!$A$1:$I$89,5,0)</f>
        <v>324.17579999999992</v>
      </c>
      <c r="FG96" s="13">
        <f t="shared" si="101"/>
        <v>76.221553371909195</v>
      </c>
      <c r="FH96" s="20">
        <f t="shared" si="76"/>
        <v>697.35872378940837</v>
      </c>
      <c r="FI96" s="59">
        <f t="shared" si="77"/>
        <v>990.69205712274174</v>
      </c>
      <c r="FJ96" s="59">
        <f ca="1">AVERAGE(OFFSET($FI$3,0,0,'Données projet'!$E$16+1,1))-AVERAGE(OFFSET($H$3,0,0,'Données projet'!$E$16+1,1))</f>
        <v>372.91317851957336</v>
      </c>
      <c r="FK96" s="59">
        <f t="shared" si="102"/>
        <v>269.69187715858413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0.77515322060390957</v>
      </c>
      <c r="FR96" s="21">
        <f>EXP(-LN(2)/25)*FR95+(1-EXP(-LN(2)/25))/(LN(2)/25)*Calculateur!FM96*Calculateur!FO96*VLOOKUP('Données projet'!$B$16,Paramètres!$A$1:$I$89,3,0)*0.475*44/12</f>
        <v>2.6485348500551344</v>
      </c>
      <c r="FS96" s="21">
        <f>EXP(-LN(2)/2)*FS95+(1-EXP(-LN(2)/2))/(LN(2)/2)*FM96*FP96*VLOOKUP('Données projet'!$B$16,Paramètres!$A$1:$I$89,3,0)*0.475*44/12</f>
        <v>8.0223521929372329E-9</v>
      </c>
      <c r="FT96" s="22">
        <f t="shared" si="78"/>
        <v>3.4236880786813964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18.5</v>
      </c>
      <c r="FZ96" s="12">
        <f>IF('Données projet'!$A$244&gt;35,FZ95+FY96-GH95,IF(A96&lt;'Données projet'!$A$244,$FW$205^A96,IF(A96='Données projet'!$A$244,'Données projet'!$B$244,FZ95+FY96-GH95)))</f>
        <v>596.69999999999993</v>
      </c>
      <c r="GA96" s="17">
        <f>FZ96*VLOOKUP('Données projet'!$B$17,Paramètres!$A$1:$I$89,3,0)*VLOOKUP('Données projet'!$B$17,Paramètres!$A$1:$I$89,5,0)</f>
        <v>279.25559999999996</v>
      </c>
      <c r="GB96" s="13">
        <f t="shared" si="103"/>
        <v>66.809671397146161</v>
      </c>
      <c r="GC96" s="20">
        <f t="shared" si="79"/>
        <v>602.73034768336277</v>
      </c>
      <c r="GD96" s="59">
        <f t="shared" si="80"/>
        <v>896.06368101669614</v>
      </c>
      <c r="GE96" s="59">
        <f ca="1">AVERAGE(OFFSET($GD$3,0,0,'Données projet'!$E$17+1,1))-AVERAGE(OFFSET($H$3,0,0,'Données projet'!$E$17+1,1))</f>
        <v>215.23235148064941</v>
      </c>
      <c r="GF96" s="59">
        <f t="shared" si="104"/>
        <v>184.07239726900434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0.90017218240383978</v>
      </c>
      <c r="GM96" s="21">
        <f>EXP(-LN(2)/25)*GM95+(1-EXP(-LN(2)/25))/(LN(2)/25)*Calculateur!GH96*Calculateur!GJ96*VLOOKUP('Données projet'!$B$17,Paramètres!$A$1:$I$89,3,0)*0.475*44/12</f>
        <v>1.369544894246679</v>
      </c>
      <c r="GN96" s="21">
        <f>EXP(-LN(2)/2)*GN95+(1-EXP(-LN(2)/2))/(LN(2)/2)*GH96*GK96*VLOOKUP('Données projet'!$B$17,Paramètres!$A$1:$I$89,3,0)*0.475*44/12</f>
        <v>3.2374629113078942E-9</v>
      </c>
      <c r="GO96" s="21">
        <f t="shared" si="81"/>
        <v>2.2697170798879815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-1.1368683772161603E-13</v>
      </c>
      <c r="GV96" s="17">
        <f>GU96*VLOOKUP('Données projet'!$B$18,Paramètres!$A$1:$I$89,3,0)*VLOOKUP('Données projet'!$B$18,Paramètres!$A$1:$I$89,5,0)</f>
        <v>-6.7984728957526396E-14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227.89848316900191</v>
      </c>
      <c r="HA96" s="59">
        <f t="shared" si="106"/>
        <v>239.85955661394541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2.2807530632872264</v>
      </c>
      <c r="HH96" s="21">
        <f>EXP(-LN(2)/25)*HH95+(1-EXP(-LN(2)/25))/(LN(2)/25)*Calculateur!HC96*Calculateur!HE96*VLOOKUP('Données projet'!$B$18,Paramètres!$A$1:$I$89,3,0)*0.475*44/12</f>
        <v>2.988862035326918</v>
      </c>
      <c r="HI96" s="21">
        <f>EXP(-LN(2)/2)*HI95+(1-EXP(-LN(2)/2))/(LN(2)/2)*HC96*HF96*VLOOKUP('Données projet'!$B$18,Paramètres!$A$1:$I$89,3,0)*0.475*44/12</f>
        <v>2.2072998053986331E-9</v>
      </c>
      <c r="HJ96" s="22">
        <f t="shared" si="84"/>
        <v>5.2696151008214445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2.5420376914553347E-13</v>
      </c>
      <c r="P97" s="13">
        <f t="shared" si="87"/>
        <v>3.4258699088369875E-12</v>
      </c>
      <c r="Q97" s="20">
        <f t="shared" si="54"/>
        <v>6.4094616558195571E-12</v>
      </c>
      <c r="R97" s="59">
        <f t="shared" si="55"/>
        <v>293.33333333333974</v>
      </c>
      <c r="S97" s="59">
        <f ca="1">AVERAGE(OFFSET($R$3,0,0,'Données projet'!$E$9+1,1))-AVERAGE(OFFSET($H$3,0,0,'Données projet'!$E$9+1,1))</f>
        <v>370.69652285220093</v>
      </c>
      <c r="T97" s="59">
        <f t="shared" si="88"/>
        <v>376.53494965377718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2.8936669590661528</v>
      </c>
      <c r="AA97" s="21">
        <f>EXP(-LN(2)/25)*AA96+(1-EXP(-LN(2)/25))/(LN(2)/25)*Calculateur!V97*Calculateur!X97*VLOOKUP('Données projet'!$B$9,Paramètres!$A$1:$I$89,3,0)*0.475*44/12</f>
        <v>5.6647826339220728</v>
      </c>
      <c r="AB97" s="21">
        <f>EXP(-LN(2)/2)*AB96+(1-EXP(-LN(2)/2))/(LN(2)/2)*V97*Y97*VLOOKUP('Données projet'!$B$9,Paramètres!$A$1:$I$89,3,0)*0.475*44/12</f>
        <v>7.6204921448098258E-9</v>
      </c>
      <c r="AC97" s="22">
        <f t="shared" si="57"/>
        <v>8.5584496006087178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294.60287999999991</v>
      </c>
      <c r="AK97" s="13">
        <f t="shared" si="89"/>
        <v>70.043827142305673</v>
      </c>
      <c r="AL97" s="20">
        <f t="shared" si="58"/>
        <v>635.09301493951546</v>
      </c>
      <c r="AM97" s="59">
        <f t="shared" si="59"/>
        <v>928.42634827284883</v>
      </c>
      <c r="AN97" s="59">
        <f ca="1">AVERAGE(OFFSET($AM$3,0,0,'Données projet'!$E$10+1,1))-AVERAGE(OFFSET($H$3,0,0,'Données projet'!$E$10+1,1))</f>
        <v>321.03881567735544</v>
      </c>
      <c r="AO97" s="59">
        <f t="shared" si="90"/>
        <v>234.87694492493506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0.67811185303368449</v>
      </c>
      <c r="AV97" s="21">
        <f>EXP(-LN(2)/25)*AV96+(1-EXP(-LN(2)/25))/(LN(2)/25)*Calculateur!AQ97*Calculateur!AS97*VLOOKUP('Données projet'!$B$10,Paramètres!$A$1:$I$89,3,0)*0.475*44/12</f>
        <v>2.2986832379599833</v>
      </c>
      <c r="AW97" s="21">
        <f>EXP(-LN(2)/2)*AW96+(1-EXP(-LN(2)/2))/(LN(2)/2)*AQ97*AT97*VLOOKUP('Données projet'!$B$10,Paramètres!$A$1:$I$89,3,0)*0.475*44/12</f>
        <v>5.0617578296642484E-9</v>
      </c>
      <c r="AX97" s="21">
        <f t="shared" si="60"/>
        <v>2.9767950960554255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5.6843418860808015E-13</v>
      </c>
      <c r="BE97" s="13">
        <f>BD97*VLOOKUP('Données projet'!$B$11,Paramètres!$A$1:$I$89,3,0)*VLOOKUP('Données projet'!$B$11,Paramètres!$A$1:$I$89,5,0)</f>
        <v>3.1036506698001181E-13</v>
      </c>
      <c r="BF97" s="13">
        <f t="shared" si="91"/>
        <v>4.086682523110923E-12</v>
      </c>
      <c r="BG97" s="20">
        <f t="shared" si="61"/>
        <v>7.6581912194083782E-12</v>
      </c>
      <c r="BH97" s="59">
        <f t="shared" si="62"/>
        <v>293.33333333334099</v>
      </c>
      <c r="BI97" s="59">
        <f ca="1">AVERAGE(OFFSET($BH$3,0,0,'Données projet'!$E$11+1,1))-AVERAGE(OFFSET($H$3,0,0,'Données projet'!$E$11+1,1))</f>
        <v>248.1486444660062</v>
      </c>
      <c r="BJ97" s="59">
        <f t="shared" si="92"/>
        <v>293.34458072322127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2.3981341394374871</v>
      </c>
      <c r="BQ97" s="21">
        <f>EXP(-LN(2)/25)*BQ96+(1-EXP(-LN(2)/25))/(LN(2)/25)*Calculateur!BL97*Calculateur!BN97*VLOOKUP('Données projet'!$B$11,Paramètres!$A$1:$I$89,3,0)*0.475*44/12</f>
        <v>5.7719681270582139</v>
      </c>
      <c r="BR97" s="21">
        <f>EXP(-LN(2)/2)*BR96+(1-EXP(-LN(2)/2))/(LN(2)/2)*BL97*BO97*VLOOKUP('Données projet'!$B$11,Paramètres!$A$1:$I$89,3,0)*0.475*44/12</f>
        <v>5.8632404810903251E-9</v>
      </c>
      <c r="BS97" s="22">
        <f t="shared" si="63"/>
        <v>8.1701022723589407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243.38048563215585</v>
      </c>
      <c r="CE97" s="59">
        <f t="shared" si="94"/>
        <v>372.1604147006675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2.0577187264470433</v>
      </c>
      <c r="CL97" s="21">
        <f>EXP(-LN(2)/25)*CL96+(1-EXP(-LN(2)/25))/(LN(2)/25)*Calculateur!CG97*Calculateur!CI97*VLOOKUP('Données projet'!$B$12,Paramètres!$A$1:$I$89,3,0)*0.475*44/12</f>
        <v>3.2833942924572632</v>
      </c>
      <c r="CM97" s="21">
        <f>EXP(-LN(2)/2)*CM96+(1-EXP(-LN(2)/2))/(LN(2)/2)*CG97*CJ97*VLOOKUP('Données projet'!$B$12,Paramètres!$A$1:$I$89,3,0)*0.475*44/12</f>
        <v>6.8254161656746088E-9</v>
      </c>
      <c r="CN97" s="22">
        <f t="shared" si="66"/>
        <v>5.3411130257297224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7.9580786405131221E-13</v>
      </c>
      <c r="CU97" s="17">
        <f>CT97*VLOOKUP('Données projet'!$B$13,Paramètres!$A$1:$I$89,3,0)*VLOOKUP('Données projet'!$B$13,Paramètres!$A$1:$I$89,5,0)</f>
        <v>3.8278358260868117E-13</v>
      </c>
      <c r="CV97" s="13">
        <f t="shared" si="95"/>
        <v>4.9186917125089072E-12</v>
      </c>
      <c r="CW97" s="20">
        <f t="shared" si="67"/>
        <v>9.2334028056631319E-12</v>
      </c>
      <c r="CX97" s="59">
        <f t="shared" si="68"/>
        <v>293.33333333334252</v>
      </c>
      <c r="CY97" s="59">
        <f ca="1">AVERAGE(OFFSET($CX$3,0,0,'Données projet'!$E$13+1,1))-AVERAGE(OFFSET($H$3,0,0,'Données projet'!$E$13+1,1))</f>
        <v>297.21955661193238</v>
      </c>
      <c r="CZ97" s="59">
        <f t="shared" si="96"/>
        <v>273.69206144662144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1.8970662677377217</v>
      </c>
      <c r="DG97" s="21">
        <f>EXP(-LN(2)/25)*DG96+(1-EXP(-LN(2)/25))/(LN(2)/25)*Calculateur!DB97*Calculateur!DD97*VLOOKUP('Données projet'!$B$13,Paramètres!$A$1:$I$89,3,0)*0.475*44/12</f>
        <v>2.2762355385024242</v>
      </c>
      <c r="DH97" s="21">
        <f>EXP(-LN(2)/2)*DH96+(1-EXP(-LN(2)/2))/(LN(2)/2)*DB97*DE97*VLOOKUP('Données projet'!$B$13,Paramètres!$A$1:$I$89,3,0)*0.475*44/12</f>
        <v>4.8691368261894293E-9</v>
      </c>
      <c r="DI97" s="22">
        <f t="shared" si="69"/>
        <v>4.1733018111092832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-4.0702161641092972E-13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260.20517190557814</v>
      </c>
      <c r="DU97" s="59">
        <f t="shared" si="98"/>
        <v>307.22009971147133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0.91867298453791613</v>
      </c>
      <c r="EB97" s="21">
        <f>EXP(-LN(2)/25)*EB96+(1-EXP(-LN(2)/25))/(LN(2)/25)*Calculateur!DW97*Calculateur!DY97*VLOOKUP('Données projet'!$B$14,Paramètres!$A$1:$I$89,3,0)*0.475*44/12</f>
        <v>3.4796227317458306</v>
      </c>
      <c r="EC97" s="21">
        <f>EXP(-LN(2)/2)*EC96+(1-EXP(-LN(2)/2))/(LN(2)/2)*DW97*DZ97*VLOOKUP('Données projet'!$B$14,Paramètres!$A$1:$I$89,3,0)*0.475*44/12</f>
        <v>5.5970238178868979E-9</v>
      </c>
      <c r="ED97" s="22">
        <f t="shared" si="72"/>
        <v>4.3982957218807712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1.1368683772161603E-13</v>
      </c>
      <c r="EK97" s="17">
        <f>EJ97*VLOOKUP('Données projet'!$B$15,Paramètres!$A$1:$I$89,3,0)*VLOOKUP('Données projet'!$B$15,Paramètres!$A$1:$I$89,5,0)</f>
        <v>6.7984728957526396E-14</v>
      </c>
      <c r="EL97" s="13">
        <f t="shared" si="99"/>
        <v>1.0682447123141398E-12</v>
      </c>
      <c r="EM97" s="20">
        <f t="shared" si="73"/>
        <v>1.978932943548152E-12</v>
      </c>
      <c r="EN97" s="59">
        <f t="shared" si="74"/>
        <v>293.3333333333353</v>
      </c>
      <c r="EO97" s="59">
        <f ca="1">AVERAGE(OFFSET($EN$3,0,0,'Données projet'!$E$15+1,1))-AVERAGE(OFFSET($H$3,0,0,'Données projet'!$E$15+1,1))</f>
        <v>259.30247982593914</v>
      </c>
      <c r="EP97" s="59">
        <f t="shared" si="100"/>
        <v>275.24740346220779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3.0579579395160703</v>
      </c>
      <c r="EX97" s="21">
        <f>EXP(-LN(2)/2)*EX96+(1-EXP(-LN(2)/2))/(LN(2)/2)*ER97*EU97*VLOOKUP('Données projet'!$B$15,Paramètres!$A$1:$I$89,3,0)*0.475*44/12</f>
        <v>6.6776923327392518E-9</v>
      </c>
      <c r="EY97" s="22">
        <f t="shared" si="75"/>
        <v>3.0579579461937625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5.9</v>
      </c>
      <c r="FE97" s="12">
        <f>IF('Données projet'!$A$218&gt;35,FE96+FD97-FM96,IF(A97&lt;'Données projet'!$A$218,$FB$205^A97,IF(A97='Données projet'!$A$218,'Données projet'!$B$218,FE96+FD97-FM96)))</f>
        <v>325.59999999999991</v>
      </c>
      <c r="FF97" s="17">
        <f>FE97*VLOOKUP('Données projet'!$B$16,Paramètres!$A$1:$I$89,3,0)*VLOOKUP('Données projet'!$B$16,Paramètres!$A$1:$I$89,5,0)</f>
        <v>330.15839999999997</v>
      </c>
      <c r="FG97" s="13">
        <f t="shared" si="101"/>
        <v>77.463146615877591</v>
      </c>
      <c r="FH97" s="20">
        <f t="shared" si="76"/>
        <v>709.94086035598673</v>
      </c>
      <c r="FI97" s="59">
        <f t="shared" si="77"/>
        <v>1003.2741936893201</v>
      </c>
      <c r="FJ97" s="59">
        <f ca="1">AVERAGE(OFFSET($FI$3,0,0,'Données projet'!$E$16+1,1))-AVERAGE(OFFSET($H$3,0,0,'Données projet'!$E$16+1,1))</f>
        <v>372.91317851957336</v>
      </c>
      <c r="FK97" s="59">
        <f t="shared" si="102"/>
        <v>269.69187715858413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0.75995293874464664</v>
      </c>
      <c r="FR97" s="21">
        <f>EXP(-LN(2)/25)*FR96+(1-EXP(-LN(2)/25))/(LN(2)/25)*Calculateur!FM97*Calculateur!FO97*VLOOKUP('Données projet'!$B$16,Paramètres!$A$1:$I$89,3,0)*0.475*44/12</f>
        <v>2.5761105252999825</v>
      </c>
      <c r="FS97" s="21">
        <f>EXP(-LN(2)/2)*FS96+(1-EXP(-LN(2)/2))/(LN(2)/2)*FM97*FP97*VLOOKUP('Données projet'!$B$16,Paramètres!$A$1:$I$89,3,0)*0.475*44/12</f>
        <v>5.6726596366926877E-9</v>
      </c>
      <c r="FT97" s="22">
        <f t="shared" si="78"/>
        <v>3.3360634697172888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18.5</v>
      </c>
      <c r="FZ97" s="12">
        <f>IF('Données projet'!$A$244&gt;35,FZ96+FY97-GH96,IF(A97&lt;'Données projet'!$A$244,$FW$205^A97,IF(A97='Données projet'!$A$244,'Données projet'!$B$244,FZ96+FY97-GH96)))</f>
        <v>615.19999999999993</v>
      </c>
      <c r="GA97" s="17">
        <f>FZ97*VLOOKUP('Données projet'!$B$17,Paramètres!$A$1:$I$89,3,0)*VLOOKUP('Données projet'!$B$17,Paramètres!$A$1:$I$89,5,0)</f>
        <v>287.91359999999997</v>
      </c>
      <c r="GB97" s="13">
        <f t="shared" si="103"/>
        <v>68.636657677063752</v>
      </c>
      <c r="GC97" s="20">
        <f t="shared" si="79"/>
        <v>620.99169878755254</v>
      </c>
      <c r="GD97" s="59">
        <f t="shared" si="80"/>
        <v>914.32503212088591</v>
      </c>
      <c r="GE97" s="59">
        <f ca="1">AVERAGE(OFFSET($GD$3,0,0,'Données projet'!$E$17+1,1))-AVERAGE(OFFSET($H$3,0,0,'Données projet'!$E$17+1,1))</f>
        <v>215.23235148064941</v>
      </c>
      <c r="GF97" s="59">
        <f t="shared" si="104"/>
        <v>184.07239726900434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0.88252035495771752</v>
      </c>
      <c r="GM97" s="21">
        <f>EXP(-LN(2)/25)*GM96+(1-EXP(-LN(2)/25))/(LN(2)/25)*Calculateur!GH97*Calculateur!GJ97*VLOOKUP('Données projet'!$B$17,Paramètres!$A$1:$I$89,3,0)*0.475*44/12</f>
        <v>1.3320946170922678</v>
      </c>
      <c r="GN97" s="21">
        <f>EXP(-LN(2)/2)*GN96+(1-EXP(-LN(2)/2))/(LN(2)/2)*GH97*GK97*VLOOKUP('Données projet'!$B$17,Paramètres!$A$1:$I$89,3,0)*0.475*44/12</f>
        <v>2.2892319784257542E-9</v>
      </c>
      <c r="GO97" s="21">
        <f t="shared" si="81"/>
        <v>2.2146149743392174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-1.1368683772161603E-13</v>
      </c>
      <c r="GV97" s="17">
        <f>GU97*VLOOKUP('Données projet'!$B$18,Paramètres!$A$1:$I$89,3,0)*VLOOKUP('Données projet'!$B$18,Paramètres!$A$1:$I$89,5,0)</f>
        <v>-6.7984728957526396E-14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227.89848316900191</v>
      </c>
      <c r="HA97" s="59">
        <f t="shared" si="106"/>
        <v>239.85955661394541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2.2360288868381706</v>
      </c>
      <c r="HH97" s="21">
        <f>EXP(-LN(2)/25)*HH96+(1-EXP(-LN(2)/25))/(LN(2)/25)*Calculateur!HC97*Calculateur!HE97*VLOOKUP('Données projet'!$B$18,Paramètres!$A$1:$I$89,3,0)*0.475*44/12</f>
        <v>2.90713144579348</v>
      </c>
      <c r="HI97" s="21">
        <f>EXP(-LN(2)/2)*HI96+(1-EXP(-LN(2)/2))/(LN(2)/2)*HC97*HF97*VLOOKUP('Données projet'!$B$18,Paramètres!$A$1:$I$89,3,0)*0.475*44/12</f>
        <v>1.5607966605091202E-9</v>
      </c>
      <c r="HJ97" s="22">
        <f t="shared" si="84"/>
        <v>5.143160334192447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2.5420376914553347E-13</v>
      </c>
      <c r="P98" s="13">
        <f t="shared" si="87"/>
        <v>3.4258699088369875E-12</v>
      </c>
      <c r="Q98" s="20">
        <f t="shared" si="54"/>
        <v>6.4094616558195571E-12</v>
      </c>
      <c r="R98" s="59">
        <f t="shared" si="55"/>
        <v>293.33333333333974</v>
      </c>
      <c r="S98" s="59">
        <f ca="1">AVERAGE(OFFSET($R$3,0,0,'Données projet'!$E$9+1,1))-AVERAGE(OFFSET($H$3,0,0,'Données projet'!$E$9+1,1))</f>
        <v>370.69652285220093</v>
      </c>
      <c r="T98" s="59">
        <f t="shared" si="88"/>
        <v>376.53494965377718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2.8369239149614351</v>
      </c>
      <c r="AA98" s="21">
        <f>EXP(-LN(2)/25)*AA97+(1-EXP(-LN(2)/25))/(LN(2)/25)*Calculateur!V98*Calculateur!X98*VLOOKUP('Données projet'!$B$9,Paramètres!$A$1:$I$89,3,0)*0.475*44/12</f>
        <v>5.5098788548995019</v>
      </c>
      <c r="AB98" s="21">
        <f>EXP(-LN(2)/2)*AB97+(1-EXP(-LN(2)/2))/(LN(2)/2)*V98*Y98*VLOOKUP('Données projet'!$B$9,Paramètres!$A$1:$I$89,3,0)*0.475*44/12</f>
        <v>5.3885016715738459E-9</v>
      </c>
      <c r="AC98" s="22">
        <f t="shared" si="57"/>
        <v>8.3468027752494383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299.94119999999987</v>
      </c>
      <c r="AK98" s="13">
        <f t="shared" si="89"/>
        <v>71.164136596531506</v>
      </c>
      <c r="AL98" s="20">
        <f t="shared" si="58"/>
        <v>646.3417945722922</v>
      </c>
      <c r="AM98" s="59">
        <f t="shared" si="59"/>
        <v>939.67512790562546</v>
      </c>
      <c r="AN98" s="59">
        <f ca="1">AVERAGE(OFFSET($AM$3,0,0,'Données projet'!$E$10+1,1))-AVERAGE(OFFSET($H$3,0,0,'Données projet'!$E$10+1,1))</f>
        <v>321.03881567735544</v>
      </c>
      <c r="AO98" s="59">
        <f t="shared" si="90"/>
        <v>234.87694492493506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0.66481449320308394</v>
      </c>
      <c r="AV98" s="21">
        <f>EXP(-LN(2)/25)*AV97+(1-EXP(-LN(2)/25))/(LN(2)/25)*Calculateur!AQ98*Calculateur!AS98*VLOOKUP('Données projet'!$B$10,Paramètres!$A$1:$I$89,3,0)*0.475*44/12</f>
        <v>2.2358256239354697</v>
      </c>
      <c r="AW98" s="21">
        <f>EXP(-LN(2)/2)*AW97+(1-EXP(-LN(2)/2))/(LN(2)/2)*AQ98*AT98*VLOOKUP('Données projet'!$B$10,Paramètres!$A$1:$I$89,3,0)*0.475*44/12</f>
        <v>3.5792032860796914E-9</v>
      </c>
      <c r="AX98" s="21">
        <f t="shared" si="60"/>
        <v>2.9006401207177568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5.6843418860808015E-13</v>
      </c>
      <c r="BE98" s="13">
        <f>BD98*VLOOKUP('Données projet'!$B$11,Paramètres!$A$1:$I$89,3,0)*VLOOKUP('Données projet'!$B$11,Paramètres!$A$1:$I$89,5,0)</f>
        <v>3.1036506698001181E-13</v>
      </c>
      <c r="BF98" s="13">
        <f t="shared" si="91"/>
        <v>4.086682523110923E-12</v>
      </c>
      <c r="BG98" s="20">
        <f t="shared" si="61"/>
        <v>7.6581912194083782E-12</v>
      </c>
      <c r="BH98" s="59">
        <f t="shared" si="62"/>
        <v>293.33333333334099</v>
      </c>
      <c r="BI98" s="59">
        <f ca="1">AVERAGE(OFFSET($BH$3,0,0,'Données projet'!$E$11+1,1))-AVERAGE(OFFSET($H$3,0,0,'Données projet'!$E$11+1,1))</f>
        <v>248.1486444660062</v>
      </c>
      <c r="BJ98" s="59">
        <f t="shared" si="92"/>
        <v>293.34458072322127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2.3511081916805119</v>
      </c>
      <c r="BQ98" s="21">
        <f>EXP(-LN(2)/25)*BQ97+(1-EXP(-LN(2)/25))/(LN(2)/25)*Calculateur!BL98*Calculateur!BN98*VLOOKUP('Données projet'!$B$11,Paramètres!$A$1:$I$89,3,0)*0.475*44/12</f>
        <v>5.6141333550891952</v>
      </c>
      <c r="BR98" s="21">
        <f>EXP(-LN(2)/2)*BR97+(1-EXP(-LN(2)/2))/(LN(2)/2)*BL98*BO98*VLOOKUP('Données projet'!$B$11,Paramètres!$A$1:$I$89,3,0)*0.475*44/12</f>
        <v>4.1459371039064442E-9</v>
      </c>
      <c r="BS98" s="22">
        <f t="shared" si="63"/>
        <v>7.9652415509156445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243.38048563215585</v>
      </c>
      <c r="CE98" s="59">
        <f t="shared" si="94"/>
        <v>372.1604147006675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2.0173681173059106</v>
      </c>
      <c r="CL98" s="21">
        <f>EXP(-LN(2)/25)*CL97+(1-EXP(-LN(2)/25))/(LN(2)/25)*Calculateur!CG98*Calculateur!CI98*VLOOKUP('Données projet'!$B$12,Paramètres!$A$1:$I$89,3,0)*0.475*44/12</f>
        <v>3.1936097028638177</v>
      </c>
      <c r="CM98" s="21">
        <f>EXP(-LN(2)/2)*CM97+(1-EXP(-LN(2)/2))/(LN(2)/2)*CG98*CJ98*VLOOKUP('Données projet'!$B$12,Paramètres!$A$1:$I$89,3,0)*0.475*44/12</f>
        <v>4.8262980551687997E-9</v>
      </c>
      <c r="CN98" s="22">
        <f t="shared" si="66"/>
        <v>5.2109778249960268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7.9580786405131221E-13</v>
      </c>
      <c r="CU98" s="17">
        <f>CT98*VLOOKUP('Données projet'!$B$13,Paramètres!$A$1:$I$89,3,0)*VLOOKUP('Données projet'!$B$13,Paramètres!$A$1:$I$89,5,0)</f>
        <v>3.8278358260868117E-13</v>
      </c>
      <c r="CV98" s="13">
        <f t="shared" si="95"/>
        <v>4.9186917125089072E-12</v>
      </c>
      <c r="CW98" s="20">
        <f t="shared" si="67"/>
        <v>9.2334028056631319E-12</v>
      </c>
      <c r="CX98" s="59">
        <f t="shared" si="68"/>
        <v>293.33333333334252</v>
      </c>
      <c r="CY98" s="59">
        <f ca="1">AVERAGE(OFFSET($CX$3,0,0,'Données projet'!$E$13+1,1))-AVERAGE(OFFSET($H$3,0,0,'Données projet'!$E$13+1,1))</f>
        <v>297.21955661193238</v>
      </c>
      <c r="CZ98" s="59">
        <f t="shared" si="96"/>
        <v>273.69206144662144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1.8598659553235546</v>
      </c>
      <c r="DG98" s="21">
        <f>EXP(-LN(2)/25)*DG97+(1-EXP(-LN(2)/25))/(LN(2)/25)*Calculateur!DB98*Calculateur!DD98*VLOOKUP('Données projet'!$B$13,Paramètres!$A$1:$I$89,3,0)*0.475*44/12</f>
        <v>2.2139917580000508</v>
      </c>
      <c r="DH98" s="21">
        <f>EXP(-LN(2)/2)*DH97+(1-EXP(-LN(2)/2))/(LN(2)/2)*DB98*DE98*VLOOKUP('Données projet'!$B$13,Paramètres!$A$1:$I$89,3,0)*0.475*44/12</f>
        <v>3.4429996683236893E-9</v>
      </c>
      <c r="DI98" s="22">
        <f t="shared" si="69"/>
        <v>4.0738577167666046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-4.0702161641092972E-13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260.20517190557814</v>
      </c>
      <c r="DU98" s="59">
        <f t="shared" si="98"/>
        <v>307.22009971147133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0.90065836764631968</v>
      </c>
      <c r="EB98" s="21">
        <f>EXP(-LN(2)/25)*EB97+(1-EXP(-LN(2)/25))/(LN(2)/25)*Calculateur!DW98*Calculateur!DY98*VLOOKUP('Données projet'!$B$14,Paramètres!$A$1:$I$89,3,0)*0.475*44/12</f>
        <v>3.3844722651608343</v>
      </c>
      <c r="EC98" s="21">
        <f>EXP(-LN(2)/2)*EC97+(1-EXP(-LN(2)/2))/(LN(2)/2)*DW98*DZ98*VLOOKUP('Données projet'!$B$14,Paramètres!$A$1:$I$89,3,0)*0.475*44/12</f>
        <v>3.9576934960904455E-9</v>
      </c>
      <c r="ED98" s="22">
        <f t="shared" si="72"/>
        <v>4.2851306367648476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1.1368683772161603E-13</v>
      </c>
      <c r="EK98" s="17">
        <f>EJ98*VLOOKUP('Données projet'!$B$15,Paramètres!$A$1:$I$89,3,0)*VLOOKUP('Données projet'!$B$15,Paramètres!$A$1:$I$89,5,0)</f>
        <v>6.7984728957526396E-14</v>
      </c>
      <c r="EL98" s="13">
        <f t="shared" si="99"/>
        <v>1.0682447123141398E-12</v>
      </c>
      <c r="EM98" s="20">
        <f t="shared" si="73"/>
        <v>1.978932943548152E-12</v>
      </c>
      <c r="EN98" s="59">
        <f t="shared" si="74"/>
        <v>293.3333333333353</v>
      </c>
      <c r="EO98" s="59">
        <f ca="1">AVERAGE(OFFSET($EN$3,0,0,'Données projet'!$E$15+1,1))-AVERAGE(OFFSET($H$3,0,0,'Données projet'!$E$15+1,1))</f>
        <v>259.30247982593914</v>
      </c>
      <c r="EP98" s="59">
        <f t="shared" si="100"/>
        <v>275.24740346220779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2.9743379188489842</v>
      </c>
      <c r="EX98" s="21">
        <f>EXP(-LN(2)/2)*EX97+(1-EXP(-LN(2)/2))/(LN(2)/2)*ER98*EU98*VLOOKUP('Données projet'!$B$15,Paramètres!$A$1:$I$89,3,0)*0.475*44/12</f>
        <v>4.7218415311573401E-9</v>
      </c>
      <c r="EY98" s="22">
        <f t="shared" si="75"/>
        <v>2.9743379235708258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5.9</v>
      </c>
      <c r="FE98" s="12">
        <f>IF('Données projet'!$A$218&gt;35,FE97+FD98-FM97,IF(A98&lt;'Données projet'!$A$218,$FB$205^A98,IF(A98='Données projet'!$A$218,'Données projet'!$B$218,FE97+FD98-FM97)))</f>
        <v>331.49999999999989</v>
      </c>
      <c r="FF98" s="17">
        <f>FE98*VLOOKUP('Données projet'!$B$16,Paramètres!$A$1:$I$89,3,0)*VLOOKUP('Données projet'!$B$16,Paramètres!$A$1:$I$89,5,0)</f>
        <v>336.14099999999991</v>
      </c>
      <c r="FG98" s="13">
        <f t="shared" si="101"/>
        <v>78.70212368278645</v>
      </c>
      <c r="FH98" s="20">
        <f t="shared" si="76"/>
        <v>722.51844041418633</v>
      </c>
      <c r="FI98" s="59">
        <f t="shared" si="77"/>
        <v>1015.8517737475197</v>
      </c>
      <c r="FJ98" s="59">
        <f ca="1">AVERAGE(OFFSET($FI$3,0,0,'Données projet'!$E$16+1,1))-AVERAGE(OFFSET($H$3,0,0,'Données projet'!$E$16+1,1))</f>
        <v>372.91317851957336</v>
      </c>
      <c r="FK98" s="59">
        <f t="shared" si="102"/>
        <v>269.69187715858413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0.74505072514138737</v>
      </c>
      <c r="FR98" s="21">
        <f>EXP(-LN(2)/25)*FR97+(1-EXP(-LN(2)/25))/(LN(2)/25)*Calculateur!FM98*Calculateur!FO98*VLOOKUP('Données projet'!$B$16,Paramètres!$A$1:$I$89,3,0)*0.475*44/12</f>
        <v>2.5056666475138898</v>
      </c>
      <c r="FS98" s="21">
        <f>EXP(-LN(2)/2)*FS97+(1-EXP(-LN(2)/2))/(LN(2)/2)*FM98*FP98*VLOOKUP('Données projet'!$B$16,Paramètres!$A$1:$I$89,3,0)*0.475*44/12</f>
        <v>4.0111760964686164E-9</v>
      </c>
      <c r="FT98" s="22">
        <f t="shared" si="78"/>
        <v>3.2507173766664534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18.5</v>
      </c>
      <c r="FZ98" s="12">
        <f>IF('Données projet'!$A$244&gt;35,FZ97+FY98-GH97,IF(A98&lt;'Données projet'!$A$244,$FW$205^A98,IF(A98='Données projet'!$A$244,'Données projet'!$B$244,FZ97+FY98-GH97)))</f>
        <v>633.69999999999993</v>
      </c>
      <c r="GA98" s="17">
        <f>FZ98*VLOOKUP('Données projet'!$B$17,Paramètres!$A$1:$I$89,3,0)*VLOOKUP('Données projet'!$B$17,Paramètres!$A$1:$I$89,5,0)</f>
        <v>296.57159999999999</v>
      </c>
      <c r="GB98" s="13">
        <f t="shared" si="103"/>
        <v>70.457259073622822</v>
      </c>
      <c r="GC98" s="20">
        <f t="shared" si="79"/>
        <v>639.24192955322633</v>
      </c>
      <c r="GD98" s="59">
        <f t="shared" si="80"/>
        <v>932.57526288655959</v>
      </c>
      <c r="GE98" s="59">
        <f ca="1">AVERAGE(OFFSET($GD$3,0,0,'Données projet'!$E$17+1,1))-AVERAGE(OFFSET($H$3,0,0,'Données projet'!$E$17+1,1))</f>
        <v>215.23235148064941</v>
      </c>
      <c r="GF98" s="59">
        <f t="shared" si="104"/>
        <v>184.07239726900434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0.8652146690812621</v>
      </c>
      <c r="GM98" s="21">
        <f>EXP(-LN(2)/25)*GM97+(1-EXP(-LN(2)/25))/(LN(2)/25)*Calculateur!GH98*Calculateur!GJ98*VLOOKUP('Données projet'!$B$17,Paramètres!$A$1:$I$89,3,0)*0.475*44/12</f>
        <v>1.2956684197360684</v>
      </c>
      <c r="GN98" s="21">
        <f>EXP(-LN(2)/2)*GN97+(1-EXP(-LN(2)/2))/(LN(2)/2)*GH98*GK98*VLOOKUP('Données projet'!$B$17,Paramètres!$A$1:$I$89,3,0)*0.475*44/12</f>
        <v>1.6187314556539471E-9</v>
      </c>
      <c r="GO98" s="21">
        <f t="shared" si="81"/>
        <v>2.1608830904360619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-1.1368683772161603E-13</v>
      </c>
      <c r="GV98" s="17">
        <f>GU98*VLOOKUP('Données projet'!$B$18,Paramètres!$A$1:$I$89,3,0)*VLOOKUP('Données projet'!$B$18,Paramètres!$A$1:$I$89,5,0)</f>
        <v>-6.7984728957526396E-14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227.89848316900191</v>
      </c>
      <c r="HA98" s="59">
        <f t="shared" si="106"/>
        <v>239.85955661394541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2.1921817242102266</v>
      </c>
      <c r="HH98" s="21">
        <f>EXP(-LN(2)/25)*HH97+(1-EXP(-LN(2)/25))/(LN(2)/25)*Calculateur!HC98*Calculateur!HE98*VLOOKUP('Données projet'!$B$18,Paramètres!$A$1:$I$89,3,0)*0.475*44/12</f>
        <v>2.827635783528859</v>
      </c>
      <c r="HI98" s="21">
        <f>EXP(-LN(2)/2)*HI97+(1-EXP(-LN(2)/2))/(LN(2)/2)*HC98*HF98*VLOOKUP('Données projet'!$B$18,Paramètres!$A$1:$I$89,3,0)*0.475*44/12</f>
        <v>1.1036499026993166E-9</v>
      </c>
      <c r="HJ98" s="22">
        <f t="shared" si="84"/>
        <v>5.0198175088427357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2.5420376914553347E-13</v>
      </c>
      <c r="P99" s="13">
        <f t="shared" si="87"/>
        <v>3.4258699088369875E-12</v>
      </c>
      <c r="Q99" s="20">
        <f t="shared" ref="Q99:Q130" si="107">(O99+P99)*0.475*44/12</f>
        <v>6.4094616558195571E-12</v>
      </c>
      <c r="R99" s="59">
        <f t="shared" si="55"/>
        <v>293.33333333333974</v>
      </c>
      <c r="S99" s="59">
        <f ca="1">AVERAGE(OFFSET($R$3,0,0,'Données projet'!$E$9+1,1))-AVERAGE(OFFSET($H$3,0,0,'Données projet'!$E$9+1,1))</f>
        <v>370.69652285220093</v>
      </c>
      <c r="T99" s="59">
        <f t="shared" si="88"/>
        <v>376.53494965377718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2.7812935673417716</v>
      </c>
      <c r="AA99" s="21">
        <f>EXP(-LN(2)/25)*AA98+(1-EXP(-LN(2)/25))/(LN(2)/25)*Calculateur!V99*Calculateur!X99*VLOOKUP('Données projet'!$B$9,Paramètres!$A$1:$I$89,3,0)*0.475*44/12</f>
        <v>5.3592109278603388</v>
      </c>
      <c r="AB99" s="21">
        <f>EXP(-LN(2)/2)*AB98+(1-EXP(-LN(2)/2))/(LN(2)/2)*V99*Y99*VLOOKUP('Données projet'!$B$9,Paramètres!$A$1:$I$89,3,0)*0.475*44/12</f>
        <v>3.8102460724049129E-9</v>
      </c>
      <c r="AC99" s="22">
        <f t="shared" si="57"/>
        <v>8.1405044990123567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305.27951999999982</v>
      </c>
      <c r="AK99" s="13">
        <f t="shared" si="89"/>
        <v>72.282127407576809</v>
      </c>
      <c r="AL99" s="20">
        <f t="shared" si="58"/>
        <v>657.58653590152937</v>
      </c>
      <c r="AM99" s="59">
        <f t="shared" si="59"/>
        <v>950.91986923486274</v>
      </c>
      <c r="AN99" s="59">
        <f ca="1">AVERAGE(OFFSET($AM$3,0,0,'Données projet'!$E$10+1,1))-AVERAGE(OFFSET($H$3,0,0,'Données projet'!$E$10+1,1))</f>
        <v>321.03881567735544</v>
      </c>
      <c r="AO99" s="59">
        <f t="shared" si="90"/>
        <v>234.87694492493506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0.65177788648817281</v>
      </c>
      <c r="AV99" s="21">
        <f>EXP(-LN(2)/25)*AV98+(1-EXP(-LN(2)/25))/(LN(2)/25)*Calculateur!AQ99*Calculateur!AS99*VLOOKUP('Données projet'!$B$10,Paramètres!$A$1:$I$89,3,0)*0.475*44/12</f>
        <v>2.1746868546719949</v>
      </c>
      <c r="AW99" s="21">
        <f>EXP(-LN(2)/2)*AW98+(1-EXP(-LN(2)/2))/(LN(2)/2)*AQ99*AT99*VLOOKUP('Données projet'!$B$10,Paramètres!$A$1:$I$89,3,0)*0.475*44/12</f>
        <v>2.5308789148321242E-9</v>
      </c>
      <c r="AX99" s="21">
        <f t="shared" si="60"/>
        <v>2.8264647436910466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5.6843418860808015E-13</v>
      </c>
      <c r="BE99" s="13">
        <f>BD99*VLOOKUP('Données projet'!$B$11,Paramètres!$A$1:$I$89,3,0)*VLOOKUP('Données projet'!$B$11,Paramètres!$A$1:$I$89,5,0)</f>
        <v>3.1036506698001181E-13</v>
      </c>
      <c r="BF99" s="13">
        <f t="shared" si="91"/>
        <v>4.086682523110923E-12</v>
      </c>
      <c r="BG99" s="20">
        <f t="shared" si="61"/>
        <v>7.6581912194083782E-12</v>
      </c>
      <c r="BH99" s="59">
        <f t="shared" si="62"/>
        <v>293.33333333334099</v>
      </c>
      <c r="BI99" s="59">
        <f ca="1">AVERAGE(OFFSET($BH$3,0,0,'Données projet'!$E$11+1,1))-AVERAGE(OFFSET($H$3,0,0,'Données projet'!$E$11+1,1))</f>
        <v>248.1486444660062</v>
      </c>
      <c r="BJ99" s="59">
        <f t="shared" si="92"/>
        <v>293.34458072322127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2.3050043940760547</v>
      </c>
      <c r="BQ99" s="21">
        <f>EXP(-LN(2)/25)*BQ98+(1-EXP(-LN(2)/25))/(LN(2)/25)*Calculateur!BL99*Calculateur!BN99*VLOOKUP('Données projet'!$B$11,Paramètres!$A$1:$I$89,3,0)*0.475*44/12</f>
        <v>5.4606145832598392</v>
      </c>
      <c r="BR99" s="21">
        <f>EXP(-LN(2)/2)*BR98+(1-EXP(-LN(2)/2))/(LN(2)/2)*BL99*BO99*VLOOKUP('Données projet'!$B$11,Paramètres!$A$1:$I$89,3,0)*0.475*44/12</f>
        <v>2.9316202405451626E-9</v>
      </c>
      <c r="BS99" s="22">
        <f t="shared" si="63"/>
        <v>7.7656189802675142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243.38048563215585</v>
      </c>
      <c r="CE99" s="59">
        <f t="shared" si="94"/>
        <v>372.1604147006675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1.9778087589985942</v>
      </c>
      <c r="CL99" s="21">
        <f>EXP(-LN(2)/25)*CL98+(1-EXP(-LN(2)/25))/(LN(2)/25)*Calculateur!CG99*Calculateur!CI99*VLOOKUP('Données projet'!$B$12,Paramètres!$A$1:$I$89,3,0)*0.475*44/12</f>
        <v>3.1062802775943714</v>
      </c>
      <c r="CM99" s="21">
        <f>EXP(-LN(2)/2)*CM98+(1-EXP(-LN(2)/2))/(LN(2)/2)*CG99*CJ99*VLOOKUP('Données projet'!$B$12,Paramètres!$A$1:$I$89,3,0)*0.475*44/12</f>
        <v>3.4127080828373044E-9</v>
      </c>
      <c r="CN99" s="22">
        <f t="shared" si="66"/>
        <v>5.084089040005674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7.9580786405131221E-13</v>
      </c>
      <c r="CU99" s="17">
        <f>CT99*VLOOKUP('Données projet'!$B$13,Paramètres!$A$1:$I$89,3,0)*VLOOKUP('Données projet'!$B$13,Paramètres!$A$1:$I$89,5,0)</f>
        <v>3.8278358260868117E-13</v>
      </c>
      <c r="CV99" s="13">
        <f t="shared" si="95"/>
        <v>4.9186917125089072E-12</v>
      </c>
      <c r="CW99" s="20">
        <f t="shared" si="67"/>
        <v>9.2334028056631319E-12</v>
      </c>
      <c r="CX99" s="59">
        <f t="shared" si="68"/>
        <v>293.33333333334252</v>
      </c>
      <c r="CY99" s="59">
        <f ca="1">AVERAGE(OFFSET($CX$3,0,0,'Données projet'!$E$13+1,1))-AVERAGE(OFFSET($H$3,0,0,'Données projet'!$E$13+1,1))</f>
        <v>297.21955661193238</v>
      </c>
      <c r="CZ99" s="59">
        <f t="shared" si="96"/>
        <v>273.69206144662144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1.8233951183458792</v>
      </c>
      <c r="DG99" s="21">
        <f>EXP(-LN(2)/25)*DG98+(1-EXP(-LN(2)/25))/(LN(2)/25)*Calculateur!DB99*Calculateur!DD99*VLOOKUP('Données projet'!$B$13,Paramètres!$A$1:$I$89,3,0)*0.475*44/12</f>
        <v>2.1534500369487728</v>
      </c>
      <c r="DH99" s="21">
        <f>EXP(-LN(2)/2)*DH98+(1-EXP(-LN(2)/2))/(LN(2)/2)*DB99*DE99*VLOOKUP('Données projet'!$B$13,Paramètres!$A$1:$I$89,3,0)*0.475*44/12</f>
        <v>2.4345684130947146E-9</v>
      </c>
      <c r="DI99" s="22">
        <f t="shared" si="69"/>
        <v>3.9768451577292203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-4.0702161641092972E-13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260.20517190557814</v>
      </c>
      <c r="DU99" s="59">
        <f t="shared" si="98"/>
        <v>307.22009971147133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0.88299700640413603</v>
      </c>
      <c r="EB99" s="21">
        <f>EXP(-LN(2)/25)*EB98+(1-EXP(-LN(2)/25))/(LN(2)/25)*Calculateur!DW99*Calculateur!DY99*VLOOKUP('Données projet'!$B$14,Paramètres!$A$1:$I$89,3,0)*0.475*44/12</f>
        <v>3.2919236930883504</v>
      </c>
      <c r="EC99" s="21">
        <f>EXP(-LN(2)/2)*EC98+(1-EXP(-LN(2)/2))/(LN(2)/2)*DW99*DZ99*VLOOKUP('Données projet'!$B$14,Paramètres!$A$1:$I$89,3,0)*0.475*44/12</f>
        <v>2.7985119089434489E-9</v>
      </c>
      <c r="ED99" s="22">
        <f t="shared" si="72"/>
        <v>4.174920702290998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1.1368683772161603E-13</v>
      </c>
      <c r="EK99" s="17">
        <f>EJ99*VLOOKUP('Données projet'!$B$15,Paramètres!$A$1:$I$89,3,0)*VLOOKUP('Données projet'!$B$15,Paramètres!$A$1:$I$89,5,0)</f>
        <v>6.7984728957526396E-14</v>
      </c>
      <c r="EL99" s="13">
        <f t="shared" si="99"/>
        <v>1.0682447123141398E-12</v>
      </c>
      <c r="EM99" s="20">
        <f t="shared" si="73"/>
        <v>1.978932943548152E-12</v>
      </c>
      <c r="EN99" s="59">
        <f t="shared" si="74"/>
        <v>293.3333333333353</v>
      </c>
      <c r="EO99" s="59">
        <f ca="1">AVERAGE(OFFSET($EN$3,0,0,'Données projet'!$E$15+1,1))-AVERAGE(OFFSET($H$3,0,0,'Données projet'!$E$15+1,1))</f>
        <v>259.30247982593914</v>
      </c>
      <c r="EP99" s="59">
        <f t="shared" si="100"/>
        <v>275.24740346220779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2.8930044920444256</v>
      </c>
      <c r="EX99" s="21">
        <f>EXP(-LN(2)/2)*EX98+(1-EXP(-LN(2)/2))/(LN(2)/2)*ER99*EU99*VLOOKUP('Données projet'!$B$15,Paramètres!$A$1:$I$89,3,0)*0.475*44/12</f>
        <v>3.3388461663696259E-9</v>
      </c>
      <c r="EY99" s="22">
        <f t="shared" si="75"/>
        <v>2.8930044953832716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5.9</v>
      </c>
      <c r="FE99" s="12">
        <f>IF('Données projet'!$A$218&gt;35,FE98+FD99-FM98,IF(A99&lt;'Données projet'!$A$218,$FB$205^A99,IF(A99='Données projet'!$A$218,'Données projet'!$B$218,FE98+FD99-FM98)))</f>
        <v>337.39999999999986</v>
      </c>
      <c r="FF99" s="17">
        <f>FE99*VLOOKUP('Données projet'!$B$16,Paramètres!$A$1:$I$89,3,0)*VLOOKUP('Données projet'!$B$16,Paramètres!$A$1:$I$89,5,0)</f>
        <v>342.1235999999999</v>
      </c>
      <c r="FG99" s="13">
        <f t="shared" si="101"/>
        <v>79.938536506649598</v>
      </c>
      <c r="FH99" s="20">
        <f t="shared" si="76"/>
        <v>735.09155441574785</v>
      </c>
      <c r="FI99" s="59">
        <f t="shared" si="77"/>
        <v>1028.4248877490811</v>
      </c>
      <c r="FJ99" s="59">
        <f ca="1">AVERAGE(OFFSET($FI$3,0,0,'Données projet'!$E$16+1,1))-AVERAGE(OFFSET($H$3,0,0,'Données projet'!$E$16+1,1))</f>
        <v>372.91317851957336</v>
      </c>
      <c r="FK99" s="59">
        <f t="shared" si="102"/>
        <v>269.69187715858413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0.73044073485743521</v>
      </c>
      <c r="FR99" s="21">
        <f>EXP(-LN(2)/25)*FR98+(1-EXP(-LN(2)/25))/(LN(2)/25)*Calculateur!FM99*Calculateur!FO99*VLOOKUP('Données projet'!$B$16,Paramètres!$A$1:$I$89,3,0)*0.475*44/12</f>
        <v>2.4371490612703401</v>
      </c>
      <c r="FS99" s="21">
        <f>EXP(-LN(2)/2)*FS98+(1-EXP(-LN(2)/2))/(LN(2)/2)*FM99*FP99*VLOOKUP('Données projet'!$B$16,Paramètres!$A$1:$I$89,3,0)*0.475*44/12</f>
        <v>2.8363298183463438E-9</v>
      </c>
      <c r="FT99" s="22">
        <f t="shared" si="78"/>
        <v>3.1675897989641051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18.5</v>
      </c>
      <c r="FZ99" s="12">
        <f>IF('Données projet'!$A$244&gt;35,FZ98+FY99-GH98,IF(A99&lt;'Données projet'!$A$244,$FW$205^A99,IF(A99='Données projet'!$A$244,'Données projet'!$B$244,FZ98+FY99-GH98)))</f>
        <v>652.19999999999993</v>
      </c>
      <c r="GA99" s="17">
        <f>FZ99*VLOOKUP('Données projet'!$B$17,Paramètres!$A$1:$I$89,3,0)*VLOOKUP('Données projet'!$B$17,Paramètres!$A$1:$I$89,5,0)</f>
        <v>305.22959999999995</v>
      </c>
      <c r="GB99" s="13">
        <f t="shared" si="103"/>
        <v>72.271683388093081</v>
      </c>
      <c r="GC99" s="20">
        <f t="shared" si="79"/>
        <v>657.48140190092874</v>
      </c>
      <c r="GD99" s="59">
        <f t="shared" si="80"/>
        <v>950.81473523426212</v>
      </c>
      <c r="GE99" s="59">
        <f ca="1">AVERAGE(OFFSET($GD$3,0,0,'Données projet'!$E$17+1,1))-AVERAGE(OFFSET($H$3,0,0,'Données projet'!$E$17+1,1))</f>
        <v>215.23235148064941</v>
      </c>
      <c r="GF99" s="59">
        <f t="shared" si="104"/>
        <v>184.07239726900434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0.84824833714941783</v>
      </c>
      <c r="GM99" s="21">
        <f>EXP(-LN(2)/25)*GM98+(1-EXP(-LN(2)/25))/(LN(2)/25)*Calculateur!GH99*Calculateur!GJ99*VLOOKUP('Données projet'!$B$17,Paramètres!$A$1:$I$89,3,0)*0.475*44/12</f>
        <v>1.2602382986621448</v>
      </c>
      <c r="GN99" s="21">
        <f>EXP(-LN(2)/2)*GN98+(1-EXP(-LN(2)/2))/(LN(2)/2)*GH99*GK99*VLOOKUP('Données projet'!$B$17,Paramètres!$A$1:$I$89,3,0)*0.475*44/12</f>
        <v>1.1446159892128771E-9</v>
      </c>
      <c r="GO99" s="21">
        <f t="shared" si="81"/>
        <v>2.1084866369561786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-1.1368683772161603E-13</v>
      </c>
      <c r="GV99" s="17">
        <f>GU99*VLOOKUP('Données projet'!$B$18,Paramètres!$A$1:$I$89,3,0)*VLOOKUP('Données projet'!$B$18,Paramètres!$A$1:$I$89,5,0)</f>
        <v>-6.7984728957526396E-14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227.89848316900191</v>
      </c>
      <c r="HA99" s="59">
        <f t="shared" si="106"/>
        <v>239.85955661394541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2.1491943776972882</v>
      </c>
      <c r="HH99" s="21">
        <f>EXP(-LN(2)/25)*HH98+(1-EXP(-LN(2)/25))/(LN(2)/25)*Calculateur!HC99*Calculateur!HE99*VLOOKUP('Données projet'!$B$18,Paramètres!$A$1:$I$89,3,0)*0.475*44/12</f>
        <v>2.750313934329359</v>
      </c>
      <c r="HI99" s="21">
        <f>EXP(-LN(2)/2)*HI98+(1-EXP(-LN(2)/2))/(LN(2)/2)*HC99*HF99*VLOOKUP('Données projet'!$B$18,Paramètres!$A$1:$I$89,3,0)*0.475*44/12</f>
        <v>7.803983302545601E-10</v>
      </c>
      <c r="HJ99" s="22">
        <f t="shared" si="84"/>
        <v>4.8995083128070451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2.5420376914553347E-13</v>
      </c>
      <c r="P100" s="13">
        <f t="shared" si="87"/>
        <v>3.4258699088369875E-12</v>
      </c>
      <c r="Q100" s="20">
        <f t="shared" si="107"/>
        <v>6.4094616558195571E-12</v>
      </c>
      <c r="R100" s="59">
        <f t="shared" si="55"/>
        <v>293.33333333333974</v>
      </c>
      <c r="S100" s="59">
        <f ca="1">AVERAGE(OFFSET($R$3,0,0,'Données projet'!$E$9+1,1))-AVERAGE(OFFSET($H$3,0,0,'Données projet'!$E$9+1,1))</f>
        <v>370.69652285220093</v>
      </c>
      <c r="T100" s="59">
        <f t="shared" si="88"/>
        <v>376.53494965377718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2.7267540969077677</v>
      </c>
      <c r="AA100" s="21">
        <f>EXP(-LN(2)/25)*AA99+(1-EXP(-LN(2)/25))/(LN(2)/25)*Calculateur!V100*Calculateur!X100*VLOOKUP('Données projet'!$B$9,Paramètres!$A$1:$I$89,3,0)*0.475*44/12</f>
        <v>5.2126630232093438</v>
      </c>
      <c r="AB100" s="21">
        <f>EXP(-LN(2)/2)*AB99+(1-EXP(-LN(2)/2))/(LN(2)/2)*V100*Y100*VLOOKUP('Données projet'!$B$9,Paramètres!$A$1:$I$89,3,0)*0.475*44/12</f>
        <v>2.6942508357869229E-9</v>
      </c>
      <c r="AC100" s="22">
        <f t="shared" si="57"/>
        <v>7.9394171228113626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310.61783999999983</v>
      </c>
      <c r="AK100" s="13">
        <f t="shared" si="89"/>
        <v>73.397844798859666</v>
      </c>
      <c r="AL100" s="20">
        <f t="shared" si="58"/>
        <v>668.82731769134693</v>
      </c>
      <c r="AM100" s="59">
        <f t="shared" si="59"/>
        <v>962.16065102468019</v>
      </c>
      <c r="AN100" s="59">
        <f ca="1">AVERAGE(OFFSET($AM$3,0,0,'Données projet'!$E$10+1,1))-AVERAGE(OFFSET($H$3,0,0,'Données projet'!$E$10+1,1))</f>
        <v>321.03881567735544</v>
      </c>
      <c r="AO100" s="59">
        <f t="shared" si="90"/>
        <v>234.87694492493506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0.6389969196793962</v>
      </c>
      <c r="AV100" s="21">
        <f>EXP(-LN(2)/25)*AV99+(1-EXP(-LN(2)/25))/(LN(2)/25)*Calculateur!AQ100*Calculateur!AS100*VLOOKUP('Données projet'!$B$10,Paramètres!$A$1:$I$89,3,0)*0.475*44/12</f>
        <v>2.1152199282691777</v>
      </c>
      <c r="AW100" s="21">
        <f>EXP(-LN(2)/2)*AW99+(1-EXP(-LN(2)/2))/(LN(2)/2)*AQ100*AT100*VLOOKUP('Données projet'!$B$10,Paramètres!$A$1:$I$89,3,0)*0.475*44/12</f>
        <v>1.7896016430398457E-9</v>
      </c>
      <c r="AX100" s="21">
        <f t="shared" si="60"/>
        <v>2.7542168497381758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5.6843418860808015E-13</v>
      </c>
      <c r="BE100" s="13">
        <f>BD100*VLOOKUP('Données projet'!$B$11,Paramètres!$A$1:$I$89,3,0)*VLOOKUP('Données projet'!$B$11,Paramètres!$A$1:$I$89,5,0)</f>
        <v>3.1036506698001181E-13</v>
      </c>
      <c r="BF100" s="13">
        <f t="shared" si="91"/>
        <v>4.086682523110923E-12</v>
      </c>
      <c r="BG100" s="20">
        <f t="shared" si="61"/>
        <v>7.6581912194083782E-12</v>
      </c>
      <c r="BH100" s="59">
        <f t="shared" si="62"/>
        <v>293.33333333334099</v>
      </c>
      <c r="BI100" s="59">
        <f ca="1">AVERAGE(OFFSET($BH$3,0,0,'Données projet'!$E$11+1,1))-AVERAGE(OFFSET($H$3,0,0,'Données projet'!$E$11+1,1))</f>
        <v>248.1486444660062</v>
      </c>
      <c r="BJ100" s="59">
        <f t="shared" si="92"/>
        <v>293.34458072322127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2.2598046638220812</v>
      </c>
      <c r="BQ100" s="21">
        <f>EXP(-LN(2)/25)*BQ99+(1-EXP(-LN(2)/25))/(LN(2)/25)*Calculateur!BL100*Calculateur!BN100*VLOOKUP('Données projet'!$B$11,Paramètres!$A$1:$I$89,3,0)*0.475*44/12</f>
        <v>5.3112937903193584</v>
      </c>
      <c r="BR100" s="21">
        <f>EXP(-LN(2)/2)*BR99+(1-EXP(-LN(2)/2))/(LN(2)/2)*BL100*BO100*VLOOKUP('Données projet'!$B$11,Paramètres!$A$1:$I$89,3,0)*0.475*44/12</f>
        <v>2.0729685519532221E-9</v>
      </c>
      <c r="BS100" s="22">
        <f t="shared" si="63"/>
        <v>7.5710984562144086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243.38048563215585</v>
      </c>
      <c r="CE100" s="59">
        <f t="shared" si="94"/>
        <v>372.1604147006675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1.9390251355788581</v>
      </c>
      <c r="CL100" s="21">
        <f>EXP(-LN(2)/25)*CL99+(1-EXP(-LN(2)/25))/(LN(2)/25)*Calculateur!CG100*Calculateur!CI100*VLOOKUP('Données projet'!$B$12,Paramètres!$A$1:$I$89,3,0)*0.475*44/12</f>
        <v>3.0213388800513732</v>
      </c>
      <c r="CM100" s="21">
        <f>EXP(-LN(2)/2)*CM99+(1-EXP(-LN(2)/2))/(LN(2)/2)*CG100*CJ100*VLOOKUP('Données projet'!$B$12,Paramètres!$A$1:$I$89,3,0)*0.475*44/12</f>
        <v>2.4131490275843999E-9</v>
      </c>
      <c r="CN100" s="22">
        <f t="shared" si="66"/>
        <v>4.9603640180433803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7.9580786405131221E-13</v>
      </c>
      <c r="CU100" s="17">
        <f>CT100*VLOOKUP('Données projet'!$B$13,Paramètres!$A$1:$I$89,3,0)*VLOOKUP('Données projet'!$B$13,Paramètres!$A$1:$I$89,5,0)</f>
        <v>3.8278358260868117E-13</v>
      </c>
      <c r="CV100" s="13">
        <f t="shared" si="95"/>
        <v>4.9186917125089072E-12</v>
      </c>
      <c r="CW100" s="20">
        <f t="shared" si="67"/>
        <v>9.2334028056631319E-12</v>
      </c>
      <c r="CX100" s="59">
        <f t="shared" si="68"/>
        <v>293.33333333334252</v>
      </c>
      <c r="CY100" s="59">
        <f ca="1">AVERAGE(OFFSET($CX$3,0,0,'Données projet'!$E$13+1,1))-AVERAGE(OFFSET($H$3,0,0,'Données projet'!$E$13+1,1))</f>
        <v>297.21955661193238</v>
      </c>
      <c r="CZ100" s="59">
        <f t="shared" si="96"/>
        <v>273.69206144662144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1.7876394522363219</v>
      </c>
      <c r="DG100" s="21">
        <f>EXP(-LN(2)/25)*DG99+(1-EXP(-LN(2)/25))/(LN(2)/25)*Calculateur!DB100*Calculateur!DD100*VLOOKUP('Données projet'!$B$13,Paramètres!$A$1:$I$89,3,0)*0.475*44/12</f>
        <v>2.0945638324433928</v>
      </c>
      <c r="DH100" s="21">
        <f>EXP(-LN(2)/2)*DH99+(1-EXP(-LN(2)/2))/(LN(2)/2)*DB100*DE100*VLOOKUP('Données projet'!$B$13,Paramètres!$A$1:$I$89,3,0)*0.475*44/12</f>
        <v>1.7214998341618447E-9</v>
      </c>
      <c r="DI100" s="22">
        <f t="shared" si="69"/>
        <v>3.8822032864012148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-4.0702161641092972E-13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260.20517190557814</v>
      </c>
      <c r="DU100" s="59">
        <f t="shared" si="98"/>
        <v>307.22009971147133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0.86568197368354494</v>
      </c>
      <c r="EB100" s="21">
        <f>EXP(-LN(2)/25)*EB99+(1-EXP(-LN(2)/25))/(LN(2)/25)*Calculateur!DW100*Calculateur!DY100*VLOOKUP('Données projet'!$B$14,Paramètres!$A$1:$I$89,3,0)*0.475*44/12</f>
        <v>3.2019058665861064</v>
      </c>
      <c r="EC100" s="21">
        <f>EXP(-LN(2)/2)*EC99+(1-EXP(-LN(2)/2))/(LN(2)/2)*DW100*DZ100*VLOOKUP('Données projet'!$B$14,Paramètres!$A$1:$I$89,3,0)*0.475*44/12</f>
        <v>1.9788467480452227E-9</v>
      </c>
      <c r="ED100" s="22">
        <f t="shared" si="72"/>
        <v>4.0675878422484981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1.1368683772161603E-13</v>
      </c>
      <c r="EK100" s="17">
        <f>EJ100*VLOOKUP('Données projet'!$B$15,Paramètres!$A$1:$I$89,3,0)*VLOOKUP('Données projet'!$B$15,Paramètres!$A$1:$I$89,5,0)</f>
        <v>6.7984728957526396E-14</v>
      </c>
      <c r="EL100" s="13">
        <f t="shared" si="99"/>
        <v>1.0682447123141398E-12</v>
      </c>
      <c r="EM100" s="20">
        <f t="shared" si="73"/>
        <v>1.978932943548152E-12</v>
      </c>
      <c r="EN100" s="59">
        <f t="shared" si="74"/>
        <v>293.3333333333353</v>
      </c>
      <c r="EO100" s="59">
        <f ca="1">AVERAGE(OFFSET($EN$3,0,0,'Données projet'!$E$15+1,1))-AVERAGE(OFFSET($H$3,0,0,'Données projet'!$E$15+1,1))</f>
        <v>259.30247982593914</v>
      </c>
      <c r="EP100" s="59">
        <f t="shared" si="100"/>
        <v>275.24740346220779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2.8138951320729766</v>
      </c>
      <c r="EX100" s="21">
        <f>EXP(-LN(2)/2)*EX99+(1-EXP(-LN(2)/2))/(LN(2)/2)*ER100*EU100*VLOOKUP('Données projet'!$B$15,Paramètres!$A$1:$I$89,3,0)*0.475*44/12</f>
        <v>2.3609207655786701E-9</v>
      </c>
      <c r="EY100" s="22">
        <f t="shared" si="75"/>
        <v>2.8138951344338974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5.9</v>
      </c>
      <c r="FE100" s="12">
        <f>IF('Données projet'!$A$218&gt;35,FE99+FD100-FM99,IF(A100&lt;'Données projet'!$A$218,$FB$205^A100,IF(A100='Données projet'!$A$218,'Données projet'!$B$218,FE99+FD100-FM99)))</f>
        <v>343.29999999999984</v>
      </c>
      <c r="FF100" s="17">
        <f>FE100*VLOOKUP('Données projet'!$B$16,Paramètres!$A$1:$I$89,3,0)*VLOOKUP('Données projet'!$B$16,Paramètres!$A$1:$I$89,5,0)</f>
        <v>348.10619999999983</v>
      </c>
      <c r="FG100" s="13">
        <f t="shared" si="101"/>
        <v>81.172435101128713</v>
      </c>
      <c r="FH100" s="20">
        <f t="shared" si="76"/>
        <v>747.66028946779886</v>
      </c>
      <c r="FI100" s="59">
        <f t="shared" si="77"/>
        <v>1040.9936228011322</v>
      </c>
      <c r="FJ100" s="59">
        <f ca="1">AVERAGE(OFFSET($FI$3,0,0,'Données projet'!$E$16+1,1))-AVERAGE(OFFSET($H$3,0,0,'Données projet'!$E$16+1,1))</f>
        <v>372.91317851957336</v>
      </c>
      <c r="FK100" s="59">
        <f t="shared" si="102"/>
        <v>269.69187715858413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0.71611723757173729</v>
      </c>
      <c r="FR100" s="21">
        <f>EXP(-LN(2)/25)*FR99+(1-EXP(-LN(2)/25))/(LN(2)/25)*Calculateur!FM100*Calculateur!FO100*VLOOKUP('Données projet'!$B$16,Paramètres!$A$1:$I$89,3,0)*0.475*44/12</f>
        <v>2.370505092025804</v>
      </c>
      <c r="FS100" s="21">
        <f>EXP(-LN(2)/2)*FS99+(1-EXP(-LN(2)/2))/(LN(2)/2)*FM100*FP100*VLOOKUP('Données projet'!$B$16,Paramètres!$A$1:$I$89,3,0)*0.475*44/12</f>
        <v>2.0055880482343082E-9</v>
      </c>
      <c r="FT100" s="22">
        <f t="shared" si="78"/>
        <v>3.0866223316031296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18.5</v>
      </c>
      <c r="FZ100" s="12">
        <f>IF('Données projet'!$A$244&gt;35,FZ99+FY100-GH99,IF(A100&lt;'Données projet'!$A$244,$FW$205^A100,IF(A100='Données projet'!$A$244,'Données projet'!$B$244,FZ99+FY100-GH99)))</f>
        <v>670.69999999999993</v>
      </c>
      <c r="GA100" s="17">
        <f>FZ100*VLOOKUP('Données projet'!$B$17,Paramètres!$A$1:$I$89,3,0)*VLOOKUP('Données projet'!$B$17,Paramètres!$A$1:$I$89,5,0)</f>
        <v>313.88759999999996</v>
      </c>
      <c r="GB100" s="13">
        <f t="shared" si="103"/>
        <v>74.080125962367049</v>
      </c>
      <c r="GC100" s="20">
        <f t="shared" si="79"/>
        <v>675.71045605112249</v>
      </c>
      <c r="GD100" s="59">
        <f t="shared" si="80"/>
        <v>969.04378938445575</v>
      </c>
      <c r="GE100" s="59">
        <f ca="1">AVERAGE(OFFSET($GD$3,0,0,'Données projet'!$E$17+1,1))-AVERAGE(OFFSET($H$3,0,0,'Données projet'!$E$17+1,1))</f>
        <v>215.23235148064941</v>
      </c>
      <c r="GF100" s="59">
        <f t="shared" si="104"/>
        <v>184.07239726900434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0.83161470463831633</v>
      </c>
      <c r="GM100" s="21">
        <f>EXP(-LN(2)/25)*GM99+(1-EXP(-LN(2)/25))/(LN(2)/25)*Calculateur!GH100*Calculateur!GJ100*VLOOKUP('Données projet'!$B$17,Paramètres!$A$1:$I$89,3,0)*0.475*44/12</f>
        <v>1.2257770161121766</v>
      </c>
      <c r="GN100" s="21">
        <f>EXP(-LN(2)/2)*GN99+(1-EXP(-LN(2)/2))/(LN(2)/2)*GH100*GK100*VLOOKUP('Données projet'!$B$17,Paramètres!$A$1:$I$89,3,0)*0.475*44/12</f>
        <v>8.0936572782697355E-10</v>
      </c>
      <c r="GO100" s="21">
        <f t="shared" si="81"/>
        <v>2.0573917215598589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-1.1368683772161603E-13</v>
      </c>
      <c r="GV100" s="17">
        <f>GU100*VLOOKUP('Données projet'!$B$18,Paramètres!$A$1:$I$89,3,0)*VLOOKUP('Données projet'!$B$18,Paramètres!$A$1:$I$89,5,0)</f>
        <v>-6.7984728957526396E-14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227.89848316900191</v>
      </c>
      <c r="HA100" s="59">
        <f t="shared" si="106"/>
        <v>239.85955661394541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2.1070499868297761</v>
      </c>
      <c r="HH100" s="21">
        <f>EXP(-LN(2)/25)*HH99+(1-EXP(-LN(2)/25))/(LN(2)/25)*Calculateur!HC100*Calculateur!HE100*VLOOKUP('Données projet'!$B$18,Paramètres!$A$1:$I$89,3,0)*0.475*44/12</f>
        <v>2.6751064551623989</v>
      </c>
      <c r="HI100" s="21">
        <f>EXP(-LN(2)/2)*HI99+(1-EXP(-LN(2)/2))/(LN(2)/2)*HC100*HF100*VLOOKUP('Données projet'!$B$18,Paramètres!$A$1:$I$89,3,0)*0.475*44/12</f>
        <v>5.5182495134965828E-10</v>
      </c>
      <c r="HJ100" s="22">
        <f t="shared" si="84"/>
        <v>4.7821564425440002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2.5420376914553347E-13</v>
      </c>
      <c r="P101" s="13">
        <f t="shared" si="87"/>
        <v>3.4258699088369875E-12</v>
      </c>
      <c r="Q101" s="20">
        <f t="shared" si="107"/>
        <v>6.4094616558195571E-12</v>
      </c>
      <c r="R101" s="59">
        <f t="shared" si="55"/>
        <v>293.33333333333974</v>
      </c>
      <c r="S101" s="59">
        <f ca="1">AVERAGE(OFFSET($R$3,0,0,'Données projet'!$E$9+1,1))-AVERAGE(OFFSET($H$3,0,0,'Données projet'!$E$9+1,1))</f>
        <v>370.69652285220093</v>
      </c>
      <c r="T101" s="59">
        <f t="shared" si="88"/>
        <v>376.53494965377718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2.6732841122231825</v>
      </c>
      <c r="AA101" s="21">
        <f>EXP(-LN(2)/25)*AA100+(1-EXP(-LN(2)/25))/(LN(2)/25)*Calculateur!V101*Calculateur!X101*VLOOKUP('Données projet'!$B$9,Paramètres!$A$1:$I$89,3,0)*0.475*44/12</f>
        <v>5.07012247871765</v>
      </c>
      <c r="AB101" s="21">
        <f>EXP(-LN(2)/2)*AB100+(1-EXP(-LN(2)/2))/(LN(2)/2)*V101*Y101*VLOOKUP('Données projet'!$B$9,Paramètres!$A$1:$I$89,3,0)*0.475*44/12</f>
        <v>1.9051230362024564E-9</v>
      </c>
      <c r="AC101" s="22">
        <f t="shared" si="57"/>
        <v>7.7434065928459557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315.95615999999984</v>
      </c>
      <c r="AK101" s="13">
        <f t="shared" si="89"/>
        <v>74.511332350300975</v>
      </c>
      <c r="AL101" s="20">
        <f t="shared" si="58"/>
        <v>680.06421584344059</v>
      </c>
      <c r="AM101" s="59">
        <f t="shared" si="59"/>
        <v>973.39754917677396</v>
      </c>
      <c r="AN101" s="59">
        <f ca="1">AVERAGE(OFFSET($AM$3,0,0,'Données projet'!$E$10+1,1))-AVERAGE(OFFSET($H$3,0,0,'Données projet'!$E$10+1,1))</f>
        <v>321.03881567735544</v>
      </c>
      <c r="AO101" s="59">
        <f t="shared" si="90"/>
        <v>234.87694492493506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0.62646657983411969</v>
      </c>
      <c r="AV101" s="21">
        <f>EXP(-LN(2)/25)*AV100+(1-EXP(-LN(2)/25))/(LN(2)/25)*Calculateur!AQ101*Calculateur!AS101*VLOOKUP('Données projet'!$B$10,Paramètres!$A$1:$I$89,3,0)*0.475*44/12</f>
        <v>2.0573791280960756</v>
      </c>
      <c r="AW101" s="21">
        <f>EXP(-LN(2)/2)*AW100+(1-EXP(-LN(2)/2))/(LN(2)/2)*AQ101*AT101*VLOOKUP('Données projet'!$B$10,Paramètres!$A$1:$I$89,3,0)*0.475*44/12</f>
        <v>1.2654394574160621E-9</v>
      </c>
      <c r="AX101" s="21">
        <f t="shared" si="60"/>
        <v>2.6838457091956345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5.6843418860808015E-13</v>
      </c>
      <c r="BE101" s="13">
        <f>BD101*VLOOKUP('Données projet'!$B$11,Paramètres!$A$1:$I$89,3,0)*VLOOKUP('Données projet'!$B$11,Paramètres!$A$1:$I$89,5,0)</f>
        <v>3.1036506698001181E-13</v>
      </c>
      <c r="BF101" s="13">
        <f t="shared" si="91"/>
        <v>4.086682523110923E-12</v>
      </c>
      <c r="BG101" s="20">
        <f t="shared" si="61"/>
        <v>7.6581912194083782E-12</v>
      </c>
      <c r="BH101" s="59">
        <f t="shared" si="62"/>
        <v>293.33333333334099</v>
      </c>
      <c r="BI101" s="59">
        <f ca="1">AVERAGE(OFFSET($BH$3,0,0,'Données projet'!$E$11+1,1))-AVERAGE(OFFSET($H$3,0,0,'Données projet'!$E$11+1,1))</f>
        <v>248.1486444660062</v>
      </c>
      <c r="BJ101" s="59">
        <f t="shared" si="92"/>
        <v>293.34458072322127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2.2154912727092748</v>
      </c>
      <c r="BQ101" s="21">
        <f>EXP(-LN(2)/25)*BQ100+(1-EXP(-LN(2)/25))/(LN(2)/25)*Calculateur!BL101*Calculateur!BN101*VLOOKUP('Données projet'!$B$11,Paramètres!$A$1:$I$89,3,0)*0.475*44/12</f>
        <v>5.1660561823142741</v>
      </c>
      <c r="BR101" s="21">
        <f>EXP(-LN(2)/2)*BR100+(1-EXP(-LN(2)/2))/(LN(2)/2)*BL101*BO101*VLOOKUP('Données projet'!$B$11,Paramètres!$A$1:$I$89,3,0)*0.475*44/12</f>
        <v>1.4658101202725813E-9</v>
      </c>
      <c r="BS101" s="22">
        <f t="shared" si="63"/>
        <v>7.3815474564893586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243.38048563215585</v>
      </c>
      <c r="CE101" s="59">
        <f t="shared" si="94"/>
        <v>372.1604147006675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1.9010020353587087</v>
      </c>
      <c r="CL101" s="21">
        <f>EXP(-LN(2)/25)*CL100+(1-EXP(-LN(2)/25))/(LN(2)/25)*Calculateur!CG101*Calculateur!CI101*VLOOKUP('Données projet'!$B$12,Paramètres!$A$1:$I$89,3,0)*0.475*44/12</f>
        <v>2.9387202094910618</v>
      </c>
      <c r="CM101" s="21">
        <f>EXP(-LN(2)/2)*CM100+(1-EXP(-LN(2)/2))/(LN(2)/2)*CG101*CJ101*VLOOKUP('Données projet'!$B$12,Paramètres!$A$1:$I$89,3,0)*0.475*44/12</f>
        <v>1.7063540414186522E-9</v>
      </c>
      <c r="CN101" s="22">
        <f t="shared" si="66"/>
        <v>4.8397222465561249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7.9580786405131221E-13</v>
      </c>
      <c r="CU101" s="17">
        <f>CT101*VLOOKUP('Données projet'!$B$13,Paramètres!$A$1:$I$89,3,0)*VLOOKUP('Données projet'!$B$13,Paramètres!$A$1:$I$89,5,0)</f>
        <v>3.8278358260868117E-13</v>
      </c>
      <c r="CV101" s="13">
        <f t="shared" si="95"/>
        <v>4.9186917125089072E-12</v>
      </c>
      <c r="CW101" s="20">
        <f t="shared" si="67"/>
        <v>9.2334028056631319E-12</v>
      </c>
      <c r="CX101" s="59">
        <f t="shared" si="68"/>
        <v>293.33333333334252</v>
      </c>
      <c r="CY101" s="59">
        <f ca="1">AVERAGE(OFFSET($CX$3,0,0,'Données projet'!$E$13+1,1))-AVERAGE(OFFSET($H$3,0,0,'Données projet'!$E$13+1,1))</f>
        <v>297.21955661193238</v>
      </c>
      <c r="CZ101" s="59">
        <f t="shared" si="96"/>
        <v>273.69206144662144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1.7525849329303702</v>
      </c>
      <c r="DG101" s="21">
        <f>EXP(-LN(2)/25)*DG100+(1-EXP(-LN(2)/25))/(LN(2)/25)*Calculateur!DB101*Calculateur!DD101*VLOOKUP('Données projet'!$B$13,Paramètres!$A$1:$I$89,3,0)*0.475*44/12</f>
        <v>2.0372878742969034</v>
      </c>
      <c r="DH101" s="21">
        <f>EXP(-LN(2)/2)*DH100+(1-EXP(-LN(2)/2))/(LN(2)/2)*DB101*DE101*VLOOKUP('Données projet'!$B$13,Paramètres!$A$1:$I$89,3,0)*0.475*44/12</f>
        <v>1.2172842065473573E-9</v>
      </c>
      <c r="DI101" s="22">
        <f t="shared" si="69"/>
        <v>3.7898728084445574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-4.0702161641092972E-13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260.20517190557814</v>
      </c>
      <c r="DU101" s="59">
        <f t="shared" si="98"/>
        <v>307.22009971147133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0.84870647819347755</v>
      </c>
      <c r="EB101" s="21">
        <f>EXP(-LN(2)/25)*EB100+(1-EXP(-LN(2)/25))/(LN(2)/25)*Calculateur!DW101*Calculateur!DY101*VLOOKUP('Données projet'!$B$14,Paramètres!$A$1:$I$89,3,0)*0.475*44/12</f>
        <v>3.1143495822833978</v>
      </c>
      <c r="EC101" s="21">
        <f>EXP(-LN(2)/2)*EC100+(1-EXP(-LN(2)/2))/(LN(2)/2)*DW101*DZ101*VLOOKUP('Données projet'!$B$14,Paramètres!$A$1:$I$89,3,0)*0.475*44/12</f>
        <v>1.3992559544717245E-9</v>
      </c>
      <c r="ED101" s="22">
        <f t="shared" si="72"/>
        <v>3.9630560618761312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1.1368683772161603E-13</v>
      </c>
      <c r="EK101" s="17">
        <f>EJ101*VLOOKUP('Données projet'!$B$15,Paramètres!$A$1:$I$89,3,0)*VLOOKUP('Données projet'!$B$15,Paramètres!$A$1:$I$89,5,0)</f>
        <v>6.7984728957526396E-14</v>
      </c>
      <c r="EL101" s="13">
        <f t="shared" si="99"/>
        <v>1.0682447123141398E-12</v>
      </c>
      <c r="EM101" s="20">
        <f t="shared" si="73"/>
        <v>1.978932943548152E-12</v>
      </c>
      <c r="EN101" s="59">
        <f t="shared" si="74"/>
        <v>293.3333333333353</v>
      </c>
      <c r="EO101" s="59">
        <f ca="1">AVERAGE(OFFSET($EN$3,0,0,'Données projet'!$E$15+1,1))-AVERAGE(OFFSET($H$3,0,0,'Données projet'!$E$15+1,1))</f>
        <v>259.30247982593914</v>
      </c>
      <c r="EP101" s="59">
        <f t="shared" si="100"/>
        <v>275.24740346220779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2.7369490217101271</v>
      </c>
      <c r="EX101" s="21">
        <f>EXP(-LN(2)/2)*EX100+(1-EXP(-LN(2)/2))/(LN(2)/2)*ER101*EU101*VLOOKUP('Données projet'!$B$15,Paramètres!$A$1:$I$89,3,0)*0.475*44/12</f>
        <v>1.6694230831848129E-9</v>
      </c>
      <c r="EY101" s="22">
        <f t="shared" si="75"/>
        <v>2.7369490233795504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5.9</v>
      </c>
      <c r="FE101" s="12">
        <f>IF('Données projet'!$A$218&gt;35,FE100+FD101-FM100,IF(A101&lt;'Données projet'!$A$218,$FB$205^A101,IF(A101='Données projet'!$A$218,'Données projet'!$B$218,FE100+FD101-FM100)))</f>
        <v>349.19999999999982</v>
      </c>
      <c r="FF101" s="17">
        <f>FE101*VLOOKUP('Données projet'!$B$16,Paramètres!$A$1:$I$89,3,0)*VLOOKUP('Données projet'!$B$16,Paramètres!$A$1:$I$89,5,0)</f>
        <v>354.08879999999982</v>
      </c>
      <c r="FG101" s="13">
        <f t="shared" si="101"/>
        <v>82.403867662302346</v>
      </c>
      <c r="FH101" s="20">
        <f t="shared" si="76"/>
        <v>760.22472951184284</v>
      </c>
      <c r="FI101" s="59">
        <f t="shared" si="77"/>
        <v>1053.5580628451762</v>
      </c>
      <c r="FJ101" s="59">
        <f ca="1">AVERAGE(OFFSET($FI$3,0,0,'Données projet'!$E$16+1,1))-AVERAGE(OFFSET($H$3,0,0,'Données projet'!$E$16+1,1))</f>
        <v>372.91317851957336</v>
      </c>
      <c r="FK101" s="59">
        <f t="shared" si="102"/>
        <v>269.69187715858413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0.70207461533134119</v>
      </c>
      <c r="FR101" s="21">
        <f>EXP(-LN(2)/25)*FR100+(1-EXP(-LN(2)/25))/(LN(2)/25)*Calculateur!FM101*Calculateur!FO101*VLOOKUP('Données projet'!$B$16,Paramètres!$A$1:$I$89,3,0)*0.475*44/12</f>
        <v>2.3056835056249132</v>
      </c>
      <c r="FS101" s="21">
        <f>EXP(-LN(2)/2)*FS100+(1-EXP(-LN(2)/2))/(LN(2)/2)*FM101*FP101*VLOOKUP('Données projet'!$B$16,Paramètres!$A$1:$I$89,3,0)*0.475*44/12</f>
        <v>1.4181649091731719E-9</v>
      </c>
      <c r="FT101" s="22">
        <f t="shared" si="78"/>
        <v>3.007758122374419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18.5</v>
      </c>
      <c r="FZ101" s="12">
        <f>IF('Données projet'!$A$244&gt;35,FZ100+FY101-GH100,IF(A101&lt;'Données projet'!$A$244,$FW$205^A101,IF(A101='Données projet'!$A$244,'Données projet'!$B$244,FZ100+FY101-GH100)))</f>
        <v>689.19999999999993</v>
      </c>
      <c r="GA101" s="17">
        <f>FZ101*VLOOKUP('Données projet'!$B$17,Paramètres!$A$1:$I$89,3,0)*VLOOKUP('Données projet'!$B$17,Paramètres!$A$1:$I$89,5,0)</f>
        <v>322.54559999999998</v>
      </c>
      <c r="GB101" s="13">
        <f t="shared" si="103"/>
        <v>75.882770748800752</v>
      </c>
      <c r="GC101" s="20">
        <f t="shared" si="79"/>
        <v>693.92941238749461</v>
      </c>
      <c r="GD101" s="59">
        <f t="shared" si="80"/>
        <v>987.26274572082798</v>
      </c>
      <c r="GE101" s="59">
        <f ca="1">AVERAGE(OFFSET($GD$3,0,0,'Données projet'!$E$17+1,1))-AVERAGE(OFFSET($H$3,0,0,'Données projet'!$E$17+1,1))</f>
        <v>215.23235148064941</v>
      </c>
      <c r="GF101" s="59">
        <f t="shared" si="104"/>
        <v>184.07239726900434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0.81530724751524353</v>
      </c>
      <c r="GM101" s="21">
        <f>EXP(-LN(2)/25)*GM100+(1-EXP(-LN(2)/25))/(LN(2)/25)*Calculateur!GH101*Calculateur!GJ101*VLOOKUP('Données projet'!$B$17,Paramètres!$A$1:$I$89,3,0)*0.475*44/12</f>
        <v>1.1922580791457773</v>
      </c>
      <c r="GN101" s="21">
        <f>EXP(-LN(2)/2)*GN100+(1-EXP(-LN(2)/2))/(LN(2)/2)*GH101*GK101*VLOOKUP('Données projet'!$B$17,Paramètres!$A$1:$I$89,3,0)*0.475*44/12</f>
        <v>5.7230799460643855E-10</v>
      </c>
      <c r="GO101" s="21">
        <f t="shared" si="81"/>
        <v>2.0075653272333289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-1.1368683772161603E-13</v>
      </c>
      <c r="GV101" s="17">
        <f>GU101*VLOOKUP('Données projet'!$B$18,Paramètres!$A$1:$I$89,3,0)*VLOOKUP('Données projet'!$B$18,Paramètres!$A$1:$I$89,5,0)</f>
        <v>-6.7984728957526396E-14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227.89848316900191</v>
      </c>
      <c r="HA101" s="59">
        <f t="shared" si="106"/>
        <v>239.85955661394541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2.0657320217616357</v>
      </c>
      <c r="HH101" s="21">
        <f>EXP(-LN(2)/25)*HH100+(1-EXP(-LN(2)/25))/(LN(2)/25)*Calculateur!HC101*Calculateur!HE101*VLOOKUP('Données projet'!$B$18,Paramètres!$A$1:$I$89,3,0)*0.475*44/12</f>
        <v>2.6019555284682485</v>
      </c>
      <c r="HI101" s="21">
        <f>EXP(-LN(2)/2)*HI100+(1-EXP(-LN(2)/2))/(LN(2)/2)*HC101*HF101*VLOOKUP('Données projet'!$B$18,Paramètres!$A$1:$I$89,3,0)*0.475*44/12</f>
        <v>3.9019916512728005E-10</v>
      </c>
      <c r="HJ101" s="22">
        <f t="shared" si="84"/>
        <v>4.6676875506200828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2.5420376914553347E-13</v>
      </c>
      <c r="P102" s="13">
        <f t="shared" si="87"/>
        <v>3.4258699088369875E-12</v>
      </c>
      <c r="Q102" s="20">
        <f t="shared" si="107"/>
        <v>6.4094616558195571E-12</v>
      </c>
      <c r="R102" s="59">
        <f t="shared" si="55"/>
        <v>293.33333333333974</v>
      </c>
      <c r="S102" s="59">
        <f ca="1">AVERAGE(OFFSET($R$3,0,0,'Données projet'!$E$9+1,1))-AVERAGE(OFFSET($H$3,0,0,'Données projet'!$E$9+1,1))</f>
        <v>370.69652285220093</v>
      </c>
      <c r="T102" s="59">
        <f t="shared" si="88"/>
        <v>376.53494965377718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2.6208626413247917</v>
      </c>
      <c r="AA102" s="21">
        <f>EXP(-LN(2)/25)*AA101+(1-EXP(-LN(2)/25))/(LN(2)/25)*Calculateur!V102*Calculateur!X102*VLOOKUP('Données projet'!$B$9,Paramètres!$A$1:$I$89,3,0)*0.475*44/12</f>
        <v>4.9314797129109627</v>
      </c>
      <c r="AB102" s="21">
        <f>EXP(-LN(2)/2)*AB101+(1-EXP(-LN(2)/2))/(LN(2)/2)*V102*Y102*VLOOKUP('Données projet'!$B$9,Paramètres!$A$1:$I$89,3,0)*0.475*44/12</f>
        <v>1.3471254178934615E-9</v>
      </c>
      <c r="AC102" s="22">
        <f t="shared" si="57"/>
        <v>7.5523423555828799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321.29447999999979</v>
      </c>
      <c r="AK102" s="13">
        <f t="shared" si="89"/>
        <v>75.6226320847924</v>
      </c>
      <c r="AL102" s="20">
        <f t="shared" si="58"/>
        <v>691.29730354767969</v>
      </c>
      <c r="AM102" s="59">
        <f t="shared" si="59"/>
        <v>984.63063688101306</v>
      </c>
      <c r="AN102" s="59">
        <f ca="1">AVERAGE(OFFSET($AM$3,0,0,'Données projet'!$E$10+1,1))-AVERAGE(OFFSET($H$3,0,0,'Données projet'!$E$10+1,1))</f>
        <v>321.03881567735544</v>
      </c>
      <c r="AO102" s="59">
        <f t="shared" si="90"/>
        <v>234.87694492493506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0.61418195231045636</v>
      </c>
      <c r="AV102" s="21">
        <f>EXP(-LN(2)/25)*AV101+(1-EXP(-LN(2)/25))/(LN(2)/25)*Calculateur!AQ102*Calculateur!AS102*VLOOKUP('Données projet'!$B$10,Paramètres!$A$1:$I$89,3,0)*0.475*44/12</f>
        <v>2.0011199876454224</v>
      </c>
      <c r="AW102" s="21">
        <f>EXP(-LN(2)/2)*AW101+(1-EXP(-LN(2)/2))/(LN(2)/2)*AQ102*AT102*VLOOKUP('Données projet'!$B$10,Paramètres!$A$1:$I$89,3,0)*0.475*44/12</f>
        <v>8.9480082151992285E-10</v>
      </c>
      <c r="AX102" s="21">
        <f t="shared" si="60"/>
        <v>2.6153019408506797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5.6843418860808015E-13</v>
      </c>
      <c r="BE102" s="13">
        <f>BD102*VLOOKUP('Données projet'!$B$11,Paramètres!$A$1:$I$89,3,0)*VLOOKUP('Données projet'!$B$11,Paramètres!$A$1:$I$89,5,0)</f>
        <v>3.1036506698001181E-13</v>
      </c>
      <c r="BF102" s="13">
        <f t="shared" si="91"/>
        <v>4.086682523110923E-12</v>
      </c>
      <c r="BG102" s="20">
        <f t="shared" si="61"/>
        <v>7.6581912194083782E-12</v>
      </c>
      <c r="BH102" s="59">
        <f t="shared" si="62"/>
        <v>293.33333333334099</v>
      </c>
      <c r="BI102" s="59">
        <f ca="1">AVERAGE(OFFSET($BH$3,0,0,'Données projet'!$E$11+1,1))-AVERAGE(OFFSET($H$3,0,0,'Données projet'!$E$11+1,1))</f>
        <v>248.1486444660062</v>
      </c>
      <c r="BJ102" s="59">
        <f t="shared" si="92"/>
        <v>293.34458072322127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2.1720468401676909</v>
      </c>
      <c r="BQ102" s="21">
        <f>EXP(-LN(2)/25)*BQ101+(1-EXP(-LN(2)/25))/(LN(2)/25)*Calculateur!BL102*Calculateur!BN102*VLOOKUP('Données projet'!$B$11,Paramètres!$A$1:$I$89,3,0)*0.475*44/12</f>
        <v>5.0247901043378027</v>
      </c>
      <c r="BR102" s="21">
        <f>EXP(-LN(2)/2)*BR101+(1-EXP(-LN(2)/2))/(LN(2)/2)*BL102*BO102*VLOOKUP('Données projet'!$B$11,Paramètres!$A$1:$I$89,3,0)*0.475*44/12</f>
        <v>1.036484275976611E-9</v>
      </c>
      <c r="BS102" s="22">
        <f t="shared" si="63"/>
        <v>7.1968369455419783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243.38048563215585</v>
      </c>
      <c r="CE102" s="59">
        <f t="shared" si="94"/>
        <v>372.1604147006675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1.8637245449420752</v>
      </c>
      <c r="CL102" s="21">
        <f>EXP(-LN(2)/25)*CL101+(1-EXP(-LN(2)/25))/(LN(2)/25)*Calculateur!CG102*Calculateur!CI102*VLOOKUP('Données projet'!$B$12,Paramètres!$A$1:$I$89,3,0)*0.475*44/12</f>
        <v>2.8583607508219493</v>
      </c>
      <c r="CM102" s="21">
        <f>EXP(-LN(2)/2)*CM101+(1-EXP(-LN(2)/2))/(LN(2)/2)*CG102*CJ102*VLOOKUP('Données projet'!$B$12,Paramètres!$A$1:$I$89,3,0)*0.475*44/12</f>
        <v>1.2065745137921999E-9</v>
      </c>
      <c r="CN102" s="22">
        <f t="shared" si="66"/>
        <v>4.7220852969705991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7.9580786405131221E-13</v>
      </c>
      <c r="CU102" s="17">
        <f>CT102*VLOOKUP('Données projet'!$B$13,Paramètres!$A$1:$I$89,3,0)*VLOOKUP('Données projet'!$B$13,Paramètres!$A$1:$I$89,5,0)</f>
        <v>3.8278358260868117E-13</v>
      </c>
      <c r="CV102" s="13">
        <f t="shared" si="95"/>
        <v>4.9186917125089072E-12</v>
      </c>
      <c r="CW102" s="20">
        <f t="shared" si="67"/>
        <v>9.2334028056631319E-12</v>
      </c>
      <c r="CX102" s="59">
        <f t="shared" si="68"/>
        <v>293.33333333334252</v>
      </c>
      <c r="CY102" s="59">
        <f ca="1">AVERAGE(OFFSET($CX$3,0,0,'Données projet'!$E$13+1,1))-AVERAGE(OFFSET($H$3,0,0,'Données projet'!$E$13+1,1))</f>
        <v>297.21955661193238</v>
      </c>
      <c r="CZ102" s="59">
        <f t="shared" si="96"/>
        <v>273.69206144662144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1.7182178113668627</v>
      </c>
      <c r="DG102" s="21">
        <f>EXP(-LN(2)/25)*DG101+(1-EXP(-LN(2)/25))/(LN(2)/25)*Calculateur!DB102*Calculateur!DD102*VLOOKUP('Données projet'!$B$13,Paramètres!$A$1:$I$89,3,0)*0.475*44/12</f>
        <v>1.9815781302379416</v>
      </c>
      <c r="DH102" s="21">
        <f>EXP(-LN(2)/2)*DH101+(1-EXP(-LN(2)/2))/(LN(2)/2)*DB102*DE102*VLOOKUP('Données projet'!$B$13,Paramètres!$A$1:$I$89,3,0)*0.475*44/12</f>
        <v>8.6074991708092233E-10</v>
      </c>
      <c r="DI102" s="22">
        <f t="shared" si="69"/>
        <v>3.6997959424655544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-4.0702161641092972E-13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260.20517190557814</v>
      </c>
      <c r="DU102" s="59">
        <f t="shared" si="98"/>
        <v>307.22009971147133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0.8320638618159405</v>
      </c>
      <c r="EB102" s="21">
        <f>EXP(-LN(2)/25)*EB101+(1-EXP(-LN(2)/25))/(LN(2)/25)*Calculateur!DW102*Calculateur!DY102*VLOOKUP('Données projet'!$B$14,Paramètres!$A$1:$I$89,3,0)*0.475*44/12</f>
        <v>3.0291875291793318</v>
      </c>
      <c r="EC102" s="21">
        <f>EXP(-LN(2)/2)*EC101+(1-EXP(-LN(2)/2))/(LN(2)/2)*DW102*DZ102*VLOOKUP('Données projet'!$B$14,Paramètres!$A$1:$I$89,3,0)*0.475*44/12</f>
        <v>9.8942337402261137E-10</v>
      </c>
      <c r="ED102" s="22">
        <f t="shared" si="72"/>
        <v>3.8612513919846956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1.1368683772161603E-13</v>
      </c>
      <c r="EK102" s="17">
        <f>EJ102*VLOOKUP('Données projet'!$B$15,Paramètres!$A$1:$I$89,3,0)*VLOOKUP('Données projet'!$B$15,Paramètres!$A$1:$I$89,5,0)</f>
        <v>6.7984728957526396E-14</v>
      </c>
      <c r="EL102" s="13">
        <f t="shared" si="99"/>
        <v>1.0682447123141398E-12</v>
      </c>
      <c r="EM102" s="20">
        <f t="shared" si="73"/>
        <v>1.978932943548152E-12</v>
      </c>
      <c r="EN102" s="59">
        <f t="shared" si="74"/>
        <v>293.3333333333353</v>
      </c>
      <c r="EO102" s="59">
        <f ca="1">AVERAGE(OFFSET($EN$3,0,0,'Données projet'!$E$15+1,1))-AVERAGE(OFFSET($H$3,0,0,'Données projet'!$E$15+1,1))</f>
        <v>259.30247982593914</v>
      </c>
      <c r="EP102" s="59">
        <f t="shared" si="100"/>
        <v>275.24740346220779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2.6621070067815702</v>
      </c>
      <c r="EX102" s="21">
        <f>EXP(-LN(2)/2)*EX101+(1-EXP(-LN(2)/2))/(LN(2)/2)*ER102*EU102*VLOOKUP('Données projet'!$B$15,Paramètres!$A$1:$I$89,3,0)*0.475*44/12</f>
        <v>1.180460382789335E-9</v>
      </c>
      <c r="EY102" s="22">
        <f t="shared" si="75"/>
        <v>2.6621070079620304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5.9</v>
      </c>
      <c r="FE102" s="12">
        <f>IF('Données projet'!$A$218&gt;35,FE101+FD102-FM101,IF(A102&lt;'Données projet'!$A$218,$FB$205^A102,IF(A102='Données projet'!$A$218,'Données projet'!$B$218,FE101+FD102-FM101)))</f>
        <v>355.0999999999998</v>
      </c>
      <c r="FF102" s="17">
        <f>FE102*VLOOKUP('Données projet'!$B$16,Paramètres!$A$1:$I$89,3,0)*VLOOKUP('Données projet'!$B$16,Paramètres!$A$1:$I$89,5,0)</f>
        <v>360.07139999999981</v>
      </c>
      <c r="FG102" s="13">
        <f t="shared" si="101"/>
        <v>83.632880664293282</v>
      </c>
      <c r="FH102" s="20">
        <f t="shared" si="76"/>
        <v>772.78495549031049</v>
      </c>
      <c r="FI102" s="59">
        <f t="shared" si="77"/>
        <v>1066.1182888236438</v>
      </c>
      <c r="FJ102" s="59">
        <f ca="1">AVERAGE(OFFSET($FI$3,0,0,'Données projet'!$E$16+1,1))-AVERAGE(OFFSET($H$3,0,0,'Données projet'!$E$16+1,1))</f>
        <v>372.91317851957336</v>
      </c>
      <c r="FK102" s="59">
        <f t="shared" si="102"/>
        <v>269.69187715858413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0.68830736034792539</v>
      </c>
      <c r="FR102" s="21">
        <f>EXP(-LN(2)/25)*FR101+(1-EXP(-LN(2)/25))/(LN(2)/25)*Calculateur!FM102*Calculateur!FO102*VLOOKUP('Données projet'!$B$16,Paramètres!$A$1:$I$89,3,0)*0.475*44/12</f>
        <v>2.242634468912974</v>
      </c>
      <c r="FS102" s="21">
        <f>EXP(-LN(2)/2)*FS101+(1-EXP(-LN(2)/2))/(LN(2)/2)*FM102*FP102*VLOOKUP('Données projet'!$B$16,Paramètres!$A$1:$I$89,3,0)*0.475*44/12</f>
        <v>1.0027940241171541E-9</v>
      </c>
      <c r="FT102" s="22">
        <f t="shared" si="78"/>
        <v>2.9309418302636931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18.5</v>
      </c>
      <c r="FZ102" s="12">
        <f>IF('Données projet'!$A$244&gt;35,FZ101+FY102-GH101,IF(A102&lt;'Données projet'!$A$244,$FW$205^A102,IF(A102='Données projet'!$A$244,'Données projet'!$B$244,FZ101+FY102-GH101)))</f>
        <v>707.69999999999993</v>
      </c>
      <c r="GA102" s="17">
        <f>FZ102*VLOOKUP('Données projet'!$B$17,Paramètres!$A$1:$I$89,3,0)*VLOOKUP('Données projet'!$B$17,Paramètres!$A$1:$I$89,5,0)</f>
        <v>331.20359999999994</v>
      </c>
      <c r="GB102" s="13">
        <f t="shared" si="103"/>
        <v>77.67979126195354</v>
      </c>
      <c r="GC102" s="20">
        <f t="shared" si="79"/>
        <v>712.13857311456889</v>
      </c>
      <c r="GD102" s="59">
        <f t="shared" si="80"/>
        <v>1005.4719064479023</v>
      </c>
      <c r="GE102" s="59">
        <f ca="1">AVERAGE(OFFSET($GD$3,0,0,'Données projet'!$E$17+1,1))-AVERAGE(OFFSET($H$3,0,0,'Données projet'!$E$17+1,1))</f>
        <v>215.23235148064941</v>
      </c>
      <c r="GF102" s="59">
        <f t="shared" si="104"/>
        <v>184.07239726900434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0.79931956967978746</v>
      </c>
      <c r="GM102" s="21">
        <f>EXP(-LN(2)/25)*GM101+(1-EXP(-LN(2)/25))/(LN(2)/25)*Calculateur!GH102*Calculateur!GJ102*VLOOKUP('Données projet'!$B$17,Paramètres!$A$1:$I$89,3,0)*0.475*44/12</f>
        <v>1.1596557192734085</v>
      </c>
      <c r="GN102" s="21">
        <f>EXP(-LN(2)/2)*GN101+(1-EXP(-LN(2)/2))/(LN(2)/2)*GH102*GK102*VLOOKUP('Données projet'!$B$17,Paramètres!$A$1:$I$89,3,0)*0.475*44/12</f>
        <v>4.0468286391348677E-10</v>
      </c>
      <c r="GO102" s="21">
        <f t="shared" si="81"/>
        <v>1.9589752893578789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-1.1368683772161603E-13</v>
      </c>
      <c r="GV102" s="17">
        <f>GU102*VLOOKUP('Données projet'!$B$18,Paramètres!$A$1:$I$89,3,0)*VLOOKUP('Données projet'!$B$18,Paramètres!$A$1:$I$89,5,0)</f>
        <v>-6.7984728957526396E-14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227.89848316900191</v>
      </c>
      <c r="HA102" s="59">
        <f t="shared" si="106"/>
        <v>239.85955661394541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2.0252242767870112</v>
      </c>
      <c r="HH102" s="21">
        <f>EXP(-LN(2)/25)*HH101+(1-EXP(-LN(2)/25))/(LN(2)/25)*Calculateur!HC102*Calculateur!HE102*VLOOKUP('Données projet'!$B$18,Paramètres!$A$1:$I$89,3,0)*0.475*44/12</f>
        <v>2.5308049177113898</v>
      </c>
      <c r="HI102" s="21">
        <f>EXP(-LN(2)/2)*HI101+(1-EXP(-LN(2)/2))/(LN(2)/2)*HC102*HF102*VLOOKUP('Données projet'!$B$18,Paramètres!$A$1:$I$89,3,0)*0.475*44/12</f>
        <v>2.7591247567482914E-10</v>
      </c>
      <c r="HJ102" s="22">
        <f t="shared" si="84"/>
        <v>4.5560291947743137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2.5420376914553347E-13</v>
      </c>
      <c r="P103" s="13">
        <f t="shared" si="87"/>
        <v>3.4258699088369875E-12</v>
      </c>
      <c r="Q103" s="20">
        <f t="shared" si="107"/>
        <v>6.4094616558195571E-12</v>
      </c>
      <c r="R103" s="59">
        <f t="shared" si="55"/>
        <v>293.33333333333974</v>
      </c>
      <c r="S103" s="59">
        <f ca="1">AVERAGE(OFFSET($R$3,0,0,'Données projet'!$E$9+1,1))-AVERAGE(OFFSET($H$3,0,0,'Données projet'!$E$9+1,1))</f>
        <v>370.69652285220093</v>
      </c>
      <c r="T103" s="59">
        <f t="shared" si="88"/>
        <v>376.53494965377718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2.5694691234967784</v>
      </c>
      <c r="AA103" s="21">
        <f>EXP(-LN(2)/25)*AA102+(1-EXP(-LN(2)/25))/(LN(2)/25)*Calculateur!V103*Calculateur!X103*VLOOKUP('Données projet'!$B$9,Paramètres!$A$1:$I$89,3,0)*0.475*44/12</f>
        <v>4.7966281408261651</v>
      </c>
      <c r="AB103" s="21">
        <f>EXP(-LN(2)/2)*AB102+(1-EXP(-LN(2)/2))/(LN(2)/2)*V103*Y103*VLOOKUP('Données projet'!$B$9,Paramètres!$A$1:$I$89,3,0)*0.475*44/12</f>
        <v>9.5256151810122822E-10</v>
      </c>
      <c r="AC103" s="22">
        <f t="shared" si="57"/>
        <v>7.3660972652755055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326.6327999999998</v>
      </c>
      <c r="AK103" s="13">
        <f t="shared" si="89"/>
        <v>76.731784548754774</v>
      </c>
      <c r="AL103" s="20">
        <f t="shared" si="58"/>
        <v>702.52665142241415</v>
      </c>
      <c r="AM103" s="59">
        <f t="shared" si="59"/>
        <v>995.85998475574752</v>
      </c>
      <c r="AN103" s="59">
        <f ca="1">AVERAGE(OFFSET($AM$3,0,0,'Données projet'!$E$10+1,1))-AVERAGE(OFFSET($H$3,0,0,'Données projet'!$E$10+1,1))</f>
        <v>321.03881567735544</v>
      </c>
      <c r="AO103" s="59">
        <f t="shared" si="90"/>
        <v>234.87694492493506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0.60213821883964913</v>
      </c>
      <c r="AV103" s="21">
        <f>EXP(-LN(2)/25)*AV102+(1-EXP(-LN(2)/25))/(LN(2)/25)*Calculateur!AQ103*Calculateur!AS103*VLOOKUP('Données projet'!$B$10,Paramètres!$A$1:$I$89,3,0)*0.475*44/12</f>
        <v>1.9463992563489318</v>
      </c>
      <c r="AW103" s="21">
        <f>EXP(-LN(2)/2)*AW102+(1-EXP(-LN(2)/2))/(LN(2)/2)*AQ103*AT103*VLOOKUP('Données projet'!$B$10,Paramètres!$A$1:$I$89,3,0)*0.475*44/12</f>
        <v>6.3271972870803105E-10</v>
      </c>
      <c r="AX103" s="21">
        <f t="shared" si="60"/>
        <v>2.5485374758213006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5.6843418860808015E-13</v>
      </c>
      <c r="BE103" s="13">
        <f>BD103*VLOOKUP('Données projet'!$B$11,Paramètres!$A$1:$I$89,3,0)*VLOOKUP('Données projet'!$B$11,Paramètres!$A$1:$I$89,5,0)</f>
        <v>3.1036506698001181E-13</v>
      </c>
      <c r="BF103" s="13">
        <f t="shared" si="91"/>
        <v>4.086682523110923E-12</v>
      </c>
      <c r="BG103" s="20">
        <f t="shared" si="61"/>
        <v>7.6581912194083782E-12</v>
      </c>
      <c r="BH103" s="59">
        <f t="shared" si="62"/>
        <v>293.33333333334099</v>
      </c>
      <c r="BI103" s="59">
        <f ca="1">AVERAGE(OFFSET($BH$3,0,0,'Données projet'!$E$11+1,1))-AVERAGE(OFFSET($H$3,0,0,'Données projet'!$E$11+1,1))</f>
        <v>248.1486444660062</v>
      </c>
      <c r="BJ103" s="59">
        <f t="shared" si="92"/>
        <v>293.34458072322127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2.1294543264497601</v>
      </c>
      <c r="BQ103" s="21">
        <f>EXP(-LN(2)/25)*BQ102+(1-EXP(-LN(2)/25))/(LN(2)/25)*Calculateur!BL103*Calculateur!BN103*VLOOKUP('Données projet'!$B$11,Paramètres!$A$1:$I$89,3,0)*0.475*44/12</f>
        <v>4.8873869546924587</v>
      </c>
      <c r="BR103" s="21">
        <f>EXP(-LN(2)/2)*BR102+(1-EXP(-LN(2)/2))/(LN(2)/2)*BL103*BO103*VLOOKUP('Données projet'!$B$11,Paramètres!$A$1:$I$89,3,0)*0.475*44/12</f>
        <v>7.3290506013629064E-10</v>
      </c>
      <c r="BS103" s="22">
        <f t="shared" si="63"/>
        <v>7.0168412818751236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243.38048563215585</v>
      </c>
      <c r="CE103" s="59">
        <f t="shared" si="94"/>
        <v>372.1604147006675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1.8271780433754878</v>
      </c>
      <c r="CL103" s="21">
        <f>EXP(-LN(2)/25)*CL102+(1-EXP(-LN(2)/25))/(LN(2)/25)*Calculateur!CG103*Calculateur!CI103*VLOOKUP('Données projet'!$B$12,Paramètres!$A$1:$I$89,3,0)*0.475*44/12</f>
        <v>2.7801987257760641</v>
      </c>
      <c r="CM103" s="21">
        <f>EXP(-LN(2)/2)*CM102+(1-EXP(-LN(2)/2))/(LN(2)/2)*CG103*CJ103*VLOOKUP('Données projet'!$B$12,Paramètres!$A$1:$I$89,3,0)*0.475*44/12</f>
        <v>8.531770207093261E-10</v>
      </c>
      <c r="CN103" s="22">
        <f t="shared" si="66"/>
        <v>4.6073767700047288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7.9580786405131221E-13</v>
      </c>
      <c r="CU103" s="17">
        <f>CT103*VLOOKUP('Données projet'!$B$13,Paramètres!$A$1:$I$89,3,0)*VLOOKUP('Données projet'!$B$13,Paramètres!$A$1:$I$89,5,0)</f>
        <v>3.8278358260868117E-13</v>
      </c>
      <c r="CV103" s="13">
        <f t="shared" si="95"/>
        <v>4.9186917125089072E-12</v>
      </c>
      <c r="CW103" s="20">
        <f t="shared" si="67"/>
        <v>9.2334028056631319E-12</v>
      </c>
      <c r="CX103" s="59">
        <f t="shared" si="68"/>
        <v>293.33333333334252</v>
      </c>
      <c r="CY103" s="59">
        <f ca="1">AVERAGE(OFFSET($CX$3,0,0,'Données projet'!$E$13+1,1))-AVERAGE(OFFSET($H$3,0,0,'Données projet'!$E$13+1,1))</f>
        <v>297.21955661193238</v>
      </c>
      <c r="CZ103" s="59">
        <f t="shared" si="96"/>
        <v>273.69206144662144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1.6845246080953411</v>
      </c>
      <c r="DG103" s="21">
        <f>EXP(-LN(2)/25)*DG102+(1-EXP(-LN(2)/25))/(LN(2)/25)*Calculateur!DB103*Calculateur!DD103*VLOOKUP('Données projet'!$B$13,Paramètres!$A$1:$I$89,3,0)*0.475*44/12</f>
        <v>1.9273917720599201</v>
      </c>
      <c r="DH103" s="21">
        <f>EXP(-LN(2)/2)*DH102+(1-EXP(-LN(2)/2))/(LN(2)/2)*DB103*DE103*VLOOKUP('Données projet'!$B$13,Paramètres!$A$1:$I$89,3,0)*0.475*44/12</f>
        <v>6.0864210327367866E-10</v>
      </c>
      <c r="DI103" s="22">
        <f t="shared" si="69"/>
        <v>3.611916380763903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-4.0702161641092972E-13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260.20517190557814</v>
      </c>
      <c r="DU103" s="59">
        <f t="shared" si="98"/>
        <v>307.22009971147133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0.81574759699457322</v>
      </c>
      <c r="EB103" s="21">
        <f>EXP(-LN(2)/25)*EB102+(1-EXP(-LN(2)/25))/(LN(2)/25)*Calculateur!DW103*Calculateur!DY103*VLOOKUP('Données projet'!$B$14,Paramètres!$A$1:$I$89,3,0)*0.475*44/12</f>
        <v>2.9463542368958739</v>
      </c>
      <c r="EC103" s="21">
        <f>EXP(-LN(2)/2)*EC102+(1-EXP(-LN(2)/2))/(LN(2)/2)*DW103*DZ103*VLOOKUP('Données projet'!$B$14,Paramètres!$A$1:$I$89,3,0)*0.475*44/12</f>
        <v>6.9962797723586224E-10</v>
      </c>
      <c r="ED103" s="22">
        <f t="shared" si="72"/>
        <v>3.7621018345900752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1.1368683772161603E-13</v>
      </c>
      <c r="EK103" s="17">
        <f>EJ103*VLOOKUP('Données projet'!$B$15,Paramètres!$A$1:$I$89,3,0)*VLOOKUP('Données projet'!$B$15,Paramètres!$A$1:$I$89,5,0)</f>
        <v>6.7984728957526396E-14</v>
      </c>
      <c r="EL103" s="13">
        <f t="shared" si="99"/>
        <v>1.0682447123141398E-12</v>
      </c>
      <c r="EM103" s="20">
        <f t="shared" si="73"/>
        <v>1.978932943548152E-12</v>
      </c>
      <c r="EN103" s="59">
        <f t="shared" si="74"/>
        <v>293.3333333333353</v>
      </c>
      <c r="EO103" s="59">
        <f ca="1">AVERAGE(OFFSET($EN$3,0,0,'Données projet'!$E$15+1,1))-AVERAGE(OFFSET($H$3,0,0,'Données projet'!$E$15+1,1))</f>
        <v>259.30247982593914</v>
      </c>
      <c r="EP103" s="59">
        <f t="shared" si="100"/>
        <v>275.24740346220779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2.5893115506870048</v>
      </c>
      <c r="EX103" s="21">
        <f>EXP(-LN(2)/2)*EX102+(1-EXP(-LN(2)/2))/(LN(2)/2)*ER103*EU103*VLOOKUP('Données projet'!$B$15,Paramètres!$A$1:$I$89,3,0)*0.475*44/12</f>
        <v>8.3471154159240647E-10</v>
      </c>
      <c r="EY103" s="22">
        <f t="shared" si="75"/>
        <v>2.5893115515217162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361</v>
      </c>
      <c r="FC103" s="12">
        <f>VLOOKUP(A103,'Données projet'!$A$217:$I$237,9,0)</f>
        <v>5.9</v>
      </c>
      <c r="FD103" s="12">
        <f t="array" ref="FD103">INDEX(FC:FC,MIN(IF(ISNUMBER(FC103:FC299),ROW(FC103:FC299),"")))</f>
        <v>5.9</v>
      </c>
      <c r="FE103" s="12">
        <f>IF('Données projet'!$A$218&gt;35,FE102+FD103-FM102,IF(A103&lt;'Données projet'!$A$218,$FB$205^A103,IF(A103='Données projet'!$A$218,'Données projet'!$B$218,FE102+FD103-FM102)))</f>
        <v>360.99999999999977</v>
      </c>
      <c r="FF103" s="17">
        <f>FE103*VLOOKUP('Données projet'!$B$16,Paramètres!$A$1:$I$89,3,0)*VLOOKUP('Données projet'!$B$16,Paramètres!$A$1:$I$89,5,0)</f>
        <v>366.0539999999998</v>
      </c>
      <c r="FG103" s="13">
        <f t="shared" si="101"/>
        <v>84.85951894835965</v>
      </c>
      <c r="FH103" s="20">
        <f t="shared" si="76"/>
        <v>785.34104550172606</v>
      </c>
      <c r="FI103" s="59">
        <f t="shared" si="77"/>
        <v>1078.6743788350593</v>
      </c>
      <c r="FJ103" s="59">
        <f ca="1">AVERAGE(OFFSET($FI$3,0,0,'Données projet'!$E$16+1,1))-AVERAGE(OFFSET($H$3,0,0,'Données projet'!$E$16+1,1))</f>
        <v>372.91317851957336</v>
      </c>
      <c r="FK103" s="59">
        <f t="shared" si="102"/>
        <v>269.69187715858413</v>
      </c>
      <c r="FL103" s="15">
        <f>IF(ISNA(VLOOKUP(A103,'Données projet'!$A$217:$I$237,3,0)),0,VLOOKUP(A103,'Données projet'!$A$217:$I$237,3,0))</f>
        <v>9</v>
      </c>
      <c r="FM103" s="15">
        <f>IF(ISNA(VLOOKUP(A103,'Données projet'!$A$217:$I$237,4,0)),0,VLOOKUP(A103,'Données projet'!$A$217:$I$237,4,0))</f>
        <v>55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0.67481007283753802</v>
      </c>
      <c r="FR103" s="21">
        <f>EXP(-LN(2)/25)*FR102+(1-EXP(-LN(2)/25))/(LN(2)/25)*Calculateur!FM103*Calculateur!FO103*VLOOKUP('Données projet'!$B$16,Paramètres!$A$1:$I$89,3,0)*0.475*44/12</f>
        <v>2.1813095114255274</v>
      </c>
      <c r="FS103" s="21">
        <f>EXP(-LN(2)/2)*FS102+(1-EXP(-LN(2)/2))/(LN(2)/2)*FM103*FP103*VLOOKUP('Données projet'!$B$16,Paramètres!$A$1:$I$89,3,0)*0.475*44/12</f>
        <v>7.0908245458658596E-10</v>
      </c>
      <c r="FT103" s="22">
        <f t="shared" si="78"/>
        <v>2.8561195849721481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726.2</v>
      </c>
      <c r="FX103" s="12">
        <f>VLOOKUP(A103,'Données projet'!$A$243:$I$263,9,0)</f>
        <v>18.5</v>
      </c>
      <c r="FY103" s="12">
        <f t="array" ref="FY103">INDEX(FX:FX,MIN(IF(ISNUMBER(FX103:FX299),ROW(FX103:FX299),"")))</f>
        <v>18.5</v>
      </c>
      <c r="FZ103" s="12">
        <f>IF('Données projet'!$A$244&gt;35,FZ102+FY103-GH102,IF(A103&lt;'Données projet'!$A$244,$FW$205^A103,IF(A103='Données projet'!$A$244,'Données projet'!$B$244,FZ102+FY103-GH102)))</f>
        <v>726.19999999999993</v>
      </c>
      <c r="GA103" s="17">
        <f>FZ103*VLOOKUP('Données projet'!$B$17,Paramètres!$A$1:$I$89,3,0)*VLOOKUP('Données projet'!$B$17,Paramètres!$A$1:$I$89,5,0)</f>
        <v>339.86159999999995</v>
      </c>
      <c r="GB103" s="13">
        <f t="shared" si="103"/>
        <v>79.47135142801136</v>
      </c>
      <c r="GC103" s="20">
        <f t="shared" si="79"/>
        <v>730.33822373711973</v>
      </c>
      <c r="GD103" s="59">
        <f t="shared" si="80"/>
        <v>1023.671557070453</v>
      </c>
      <c r="GE103" s="59">
        <f ca="1">AVERAGE(OFFSET($GD$3,0,0,'Données projet'!$E$17+1,1))-AVERAGE(OFFSET($H$3,0,0,'Données projet'!$E$17+1,1))</f>
        <v>215.23235148064941</v>
      </c>
      <c r="GF103" s="59">
        <f t="shared" si="104"/>
        <v>184.07239726900434</v>
      </c>
      <c r="GG103" s="15">
        <f>IF(ISNA(VLOOKUP(A103,'Données projet'!$A$243:$I$263,3,0)),0,VLOOKUP(A103,'Données projet'!$A$243:$I$263,3,0))</f>
        <v>9</v>
      </c>
      <c r="GH103" s="15">
        <f>IF(ISNA(VLOOKUP(A103,'Données projet'!$A$243:$I$263,4,0)),0,VLOOKUP(A103,'Données projet'!$A$243:$I$263,4,0))</f>
        <v>726.2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0.78364540045516407</v>
      </c>
      <c r="GM103" s="21">
        <f>EXP(-LN(2)/25)*GM102+(1-EXP(-LN(2)/25))/(LN(2)/25)*Calculateur!GH103*Calculateur!GJ103*VLOOKUP('Données projet'!$B$17,Paramètres!$A$1:$I$89,3,0)*0.475*44/12</f>
        <v>1.1279448726462333</v>
      </c>
      <c r="GN103" s="21">
        <f>EXP(-LN(2)/2)*GN102+(1-EXP(-LN(2)/2))/(LN(2)/2)*GH103*GK103*VLOOKUP('Données projet'!$B$17,Paramètres!$A$1:$I$89,3,0)*0.475*44/12</f>
        <v>2.8615399730321928E-10</v>
      </c>
      <c r="GO103" s="21">
        <f t="shared" si="81"/>
        <v>1.9115902733875514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-1.1368683772161603E-13</v>
      </c>
      <c r="GV103" s="17">
        <f>GU103*VLOOKUP('Données projet'!$B$18,Paramètres!$A$1:$I$89,3,0)*VLOOKUP('Données projet'!$B$18,Paramètres!$A$1:$I$89,5,0)</f>
        <v>-6.7984728957526396E-14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227.89848316900191</v>
      </c>
      <c r="HA103" s="59">
        <f t="shared" si="106"/>
        <v>239.85955661394541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1.9855108639840544</v>
      </c>
      <c r="HH103" s="21">
        <f>EXP(-LN(2)/25)*HH102+(1-EXP(-LN(2)/25))/(LN(2)/25)*Calculateur!HC103*Calculateur!HE103*VLOOKUP('Données projet'!$B$18,Paramètres!$A$1:$I$89,3,0)*0.475*44/12</f>
        <v>2.4615999241473254</v>
      </c>
      <c r="HI103" s="21">
        <f>EXP(-LN(2)/2)*HI102+(1-EXP(-LN(2)/2))/(LN(2)/2)*HC103*HF103*VLOOKUP('Données projet'!$B$18,Paramètres!$A$1:$I$89,3,0)*0.475*44/12</f>
        <v>1.9509958256364002E-10</v>
      </c>
      <c r="HJ103" s="22">
        <f t="shared" si="84"/>
        <v>4.44711078832648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2.5420376914553347E-13</v>
      </c>
      <c r="P104" s="13">
        <f t="shared" si="87"/>
        <v>3.4258699088369875E-12</v>
      </c>
      <c r="Q104" s="20">
        <f t="shared" si="107"/>
        <v>6.4094616558195571E-12</v>
      </c>
      <c r="R104" s="59">
        <f t="shared" si="55"/>
        <v>293.33333333333974</v>
      </c>
      <c r="S104" s="59">
        <f ca="1">AVERAGE(OFFSET($R$3,0,0,'Données projet'!$E$9+1,1))-AVERAGE(OFFSET($H$3,0,0,'Données projet'!$E$9+1,1))</f>
        <v>370.69652285220093</v>
      </c>
      <c r="T104" s="59">
        <f t="shared" si="88"/>
        <v>376.53494965377718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2.5190834012064216</v>
      </c>
      <c r="AA104" s="21">
        <f>EXP(-LN(2)/25)*AA103+(1-EXP(-LN(2)/25))/(LN(2)/25)*Calculateur!V104*Calculateur!X104*VLOOKUP('Données projet'!$B$9,Paramètres!$A$1:$I$89,3,0)*0.475*44/12</f>
        <v>4.6654640920715629</v>
      </c>
      <c r="AB104" s="21">
        <f>EXP(-LN(2)/2)*AB103+(1-EXP(-LN(2)/2))/(LN(2)/2)*V104*Y104*VLOOKUP('Données projet'!$B$9,Paramètres!$A$1:$I$89,3,0)*0.475*44/12</f>
        <v>6.7356270894673074E-10</v>
      </c>
      <c r="AC104" s="22">
        <f t="shared" si="57"/>
        <v>7.1845474939515466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281.57375999999977</v>
      </c>
      <c r="AK104" s="13">
        <f t="shared" si="89"/>
        <v>67.299481043334993</v>
      </c>
      <c r="AL104" s="20">
        <f t="shared" si="58"/>
        <v>607.62089481714133</v>
      </c>
      <c r="AM104" s="59">
        <f t="shared" si="59"/>
        <v>900.95422815047459</v>
      </c>
      <c r="AN104" s="59">
        <f ca="1">AVERAGE(OFFSET($AM$3,0,0,'Données projet'!$E$10+1,1))-AVERAGE(OFFSET($H$3,0,0,'Données projet'!$E$10+1,1))</f>
        <v>321.03881567735544</v>
      </c>
      <c r="AO104" s="59">
        <f t="shared" si="90"/>
        <v>234.87694492493506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0.59033065563625242</v>
      </c>
      <c r="AV104" s="21">
        <f>EXP(-LN(2)/25)*AV103+(1-EXP(-LN(2)/25))/(LN(2)/25)*Calculateur!AQ104*Calculateur!AS104*VLOOKUP('Données projet'!$B$10,Paramètres!$A$1:$I$89,3,0)*0.475*44/12</f>
        <v>1.893174866327382</v>
      </c>
      <c r="AW104" s="21">
        <f>EXP(-LN(2)/2)*AW103+(1-EXP(-LN(2)/2))/(LN(2)/2)*AQ104*AT104*VLOOKUP('Données projet'!$B$10,Paramètres!$A$1:$I$89,3,0)*0.475*44/12</f>
        <v>4.4740041075996143E-10</v>
      </c>
      <c r="AX104" s="21">
        <f t="shared" si="60"/>
        <v>2.4835055224110345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5.6843418860808015E-13</v>
      </c>
      <c r="BE104" s="13">
        <f>BD104*VLOOKUP('Données projet'!$B$11,Paramètres!$A$1:$I$89,3,0)*VLOOKUP('Données projet'!$B$11,Paramètres!$A$1:$I$89,5,0)</f>
        <v>3.1036506698001181E-13</v>
      </c>
      <c r="BF104" s="13">
        <f t="shared" si="91"/>
        <v>4.086682523110923E-12</v>
      </c>
      <c r="BG104" s="20">
        <f t="shared" si="61"/>
        <v>7.6581912194083782E-12</v>
      </c>
      <c r="BH104" s="59">
        <f t="shared" si="62"/>
        <v>293.33333333334099</v>
      </c>
      <c r="BI104" s="59">
        <f ca="1">AVERAGE(OFFSET($BH$3,0,0,'Données projet'!$E$11+1,1))-AVERAGE(OFFSET($H$3,0,0,'Données projet'!$E$11+1,1))</f>
        <v>248.1486444660062</v>
      </c>
      <c r="BJ104" s="59">
        <f t="shared" si="92"/>
        <v>293.34458072322127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2.0876970259469698</v>
      </c>
      <c r="BQ104" s="21">
        <f>EXP(-LN(2)/25)*BQ103+(1-EXP(-LN(2)/25))/(LN(2)/25)*Calculateur!BL104*Calculateur!BN104*VLOOKUP('Données projet'!$B$11,Paramètres!$A$1:$I$89,3,0)*0.475*44/12</f>
        <v>4.7537411013998838</v>
      </c>
      <c r="BR104" s="21">
        <f>EXP(-LN(2)/2)*BR103+(1-EXP(-LN(2)/2))/(LN(2)/2)*BL104*BO104*VLOOKUP('Données projet'!$B$11,Paramètres!$A$1:$I$89,3,0)*0.475*44/12</f>
        <v>5.1824213798830552E-10</v>
      </c>
      <c r="BS104" s="22">
        <f t="shared" si="63"/>
        <v>6.8414381278650955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243.38048563215585</v>
      </c>
      <c r="CE104" s="59">
        <f t="shared" si="94"/>
        <v>372.1604147006675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1.7913481964134563</v>
      </c>
      <c r="CL104" s="21">
        <f>EXP(-LN(2)/25)*CL103+(1-EXP(-LN(2)/25))/(LN(2)/25)*Calculateur!CG104*Calculateur!CI104*VLOOKUP('Données projet'!$B$12,Paramètres!$A$1:$I$89,3,0)*0.475*44/12</f>
        <v>2.7041740454154208</v>
      </c>
      <c r="CM104" s="21">
        <f>EXP(-LN(2)/2)*CM103+(1-EXP(-LN(2)/2))/(LN(2)/2)*CG104*CJ104*VLOOKUP('Données projet'!$B$12,Paramètres!$A$1:$I$89,3,0)*0.475*44/12</f>
        <v>6.0328725689609997E-10</v>
      </c>
      <c r="CN104" s="22">
        <f t="shared" si="66"/>
        <v>4.4955222424321644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7.9580786405131221E-13</v>
      </c>
      <c r="CU104" s="17">
        <f>CT104*VLOOKUP('Données projet'!$B$13,Paramètres!$A$1:$I$89,3,0)*VLOOKUP('Données projet'!$B$13,Paramètres!$A$1:$I$89,5,0)</f>
        <v>3.8278358260868117E-13</v>
      </c>
      <c r="CV104" s="13">
        <f t="shared" si="95"/>
        <v>4.9186917125089072E-12</v>
      </c>
      <c r="CW104" s="20">
        <f t="shared" si="67"/>
        <v>9.2334028056631319E-12</v>
      </c>
      <c r="CX104" s="59">
        <f t="shared" si="68"/>
        <v>293.33333333334252</v>
      </c>
      <c r="CY104" s="59">
        <f ca="1">AVERAGE(OFFSET($CX$3,0,0,'Données projet'!$E$13+1,1))-AVERAGE(OFFSET($H$3,0,0,'Données projet'!$E$13+1,1))</f>
        <v>297.21955661193238</v>
      </c>
      <c r="CZ104" s="59">
        <f t="shared" si="96"/>
        <v>273.69206144662144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1.6514921079891494</v>
      </c>
      <c r="DG104" s="21">
        <f>EXP(-LN(2)/25)*DG103+(1-EXP(-LN(2)/25))/(LN(2)/25)*Calculateur!DB104*Calculateur!DD104*VLOOKUP('Données projet'!$B$13,Paramètres!$A$1:$I$89,3,0)*0.475*44/12</f>
        <v>1.8746871426958134</v>
      </c>
      <c r="DH104" s="21">
        <f>EXP(-LN(2)/2)*DH103+(1-EXP(-LN(2)/2))/(LN(2)/2)*DB104*DE104*VLOOKUP('Données projet'!$B$13,Paramètres!$A$1:$I$89,3,0)*0.475*44/12</f>
        <v>4.3037495854046116E-10</v>
      </c>
      <c r="DI104" s="22">
        <f t="shared" si="69"/>
        <v>3.5261792511153374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-4.0702161641092972E-13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260.20517190557814</v>
      </c>
      <c r="DU104" s="59">
        <f t="shared" si="98"/>
        <v>307.22009971147133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0.7997512841744141</v>
      </c>
      <c r="EB104" s="21">
        <f>EXP(-LN(2)/25)*EB103+(1-EXP(-LN(2)/25))/(LN(2)/25)*Calculateur!DW104*Calculateur!DY104*VLOOKUP('Données projet'!$B$14,Paramètres!$A$1:$I$89,3,0)*0.475*44/12</f>
        <v>2.8657860253459209</v>
      </c>
      <c r="EC104" s="21">
        <f>EXP(-LN(2)/2)*EC103+(1-EXP(-LN(2)/2))/(LN(2)/2)*DW104*DZ104*VLOOKUP('Données projet'!$B$14,Paramètres!$A$1:$I$89,3,0)*0.475*44/12</f>
        <v>4.9471168701130569E-10</v>
      </c>
      <c r="ED104" s="22">
        <f t="shared" si="72"/>
        <v>3.665537310015047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1.1368683772161603E-13</v>
      </c>
      <c r="EK104" s="17">
        <f>EJ104*VLOOKUP('Données projet'!$B$15,Paramètres!$A$1:$I$89,3,0)*VLOOKUP('Données projet'!$B$15,Paramètres!$A$1:$I$89,5,0)</f>
        <v>6.7984728957526396E-14</v>
      </c>
      <c r="EL104" s="13">
        <f t="shared" si="99"/>
        <v>1.0682447123141398E-12</v>
      </c>
      <c r="EM104" s="20">
        <f t="shared" si="73"/>
        <v>1.978932943548152E-12</v>
      </c>
      <c r="EN104" s="59">
        <f t="shared" si="74"/>
        <v>293.3333333333353</v>
      </c>
      <c r="EO104" s="59">
        <f ca="1">AVERAGE(OFFSET($EN$3,0,0,'Données projet'!$E$15+1,1))-AVERAGE(OFFSET($H$3,0,0,'Données projet'!$E$15+1,1))</f>
        <v>259.30247982593914</v>
      </c>
      <c r="EP104" s="59">
        <f t="shared" si="100"/>
        <v>275.24740346220779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2.518506690167492</v>
      </c>
      <c r="EX104" s="21">
        <f>EXP(-LN(2)/2)*EX103+(1-EXP(-LN(2)/2))/(LN(2)/2)*ER104*EU104*VLOOKUP('Données projet'!$B$15,Paramètres!$A$1:$I$89,3,0)*0.475*44/12</f>
        <v>5.9023019139466752E-10</v>
      </c>
      <c r="EY104" s="22">
        <f t="shared" si="75"/>
        <v>2.518506690757722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5.2</v>
      </c>
      <c r="FE104" s="12">
        <f>IF('Données projet'!$A$218&gt;35,FE103+FD104-FM103,IF(A104&lt;'Données projet'!$A$218,$FB$205^A104,IF(A104='Données projet'!$A$218,'Données projet'!$B$218,FE103+FD104-FM103)))</f>
        <v>311.19999999999976</v>
      </c>
      <c r="FF104" s="17">
        <f>FE104*VLOOKUP('Données projet'!$B$16,Paramètres!$A$1:$I$89,3,0)*VLOOKUP('Données projet'!$B$16,Paramètres!$A$1:$I$89,5,0)</f>
        <v>315.55679999999978</v>
      </c>
      <c r="FG104" s="13">
        <f t="shared" si="101"/>
        <v>74.428108513271013</v>
      </c>
      <c r="FH104" s="20">
        <f t="shared" si="76"/>
        <v>679.22371566061327</v>
      </c>
      <c r="FI104" s="59">
        <f t="shared" si="77"/>
        <v>972.55704899394664</v>
      </c>
      <c r="FJ104" s="59">
        <f ca="1">AVERAGE(OFFSET($FI$3,0,0,'Données projet'!$E$16+1,1))-AVERAGE(OFFSET($H$3,0,0,'Données projet'!$E$16+1,1))</f>
        <v>372.91317851957336</v>
      </c>
      <c r="FK104" s="59">
        <f t="shared" si="102"/>
        <v>269.69187715858413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0.66157745890269681</v>
      </c>
      <c r="FR104" s="21">
        <f>EXP(-LN(2)/25)*FR103+(1-EXP(-LN(2)/25))/(LN(2)/25)*Calculateur!FM104*Calculateur!FO104*VLOOKUP('Données projet'!$B$16,Paramètres!$A$1:$I$89,3,0)*0.475*44/12</f>
        <v>2.1216614881255147</v>
      </c>
      <c r="FS104" s="21">
        <f>EXP(-LN(2)/2)*FS103+(1-EXP(-LN(2)/2))/(LN(2)/2)*FM104*FP104*VLOOKUP('Données projet'!$B$16,Paramètres!$A$1:$I$89,3,0)*0.475*44/12</f>
        <v>5.0139701205857706E-10</v>
      </c>
      <c r="FT104" s="22">
        <f t="shared" si="78"/>
        <v>2.7832389475296084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-1.1368683772161603E-13</v>
      </c>
      <c r="GA104" s="17">
        <f>FZ104*VLOOKUP('Données projet'!$B$17,Paramètres!$A$1:$I$89,3,0)*VLOOKUP('Données projet'!$B$17,Paramètres!$A$1:$I$89,5,0)</f>
        <v>-5.3205440053716299E-14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215.23235148064941</v>
      </c>
      <c r="GF104" s="59">
        <f t="shared" si="104"/>
        <v>184.07239726900434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0.76827859212873628</v>
      </c>
      <c r="GM104" s="21">
        <f>EXP(-LN(2)/25)*GM103+(1-EXP(-LN(2)/25))/(LN(2)/25)*Calculateur!GH104*Calculateur!GJ104*VLOOKUP('Données projet'!$B$17,Paramètres!$A$1:$I$89,3,0)*0.475*44/12</f>
        <v>1.0971011607876793</v>
      </c>
      <c r="GN104" s="21">
        <f>EXP(-LN(2)/2)*GN103+(1-EXP(-LN(2)/2))/(LN(2)/2)*GH104*GK104*VLOOKUP('Données projet'!$B$17,Paramètres!$A$1:$I$89,3,0)*0.475*44/12</f>
        <v>2.0234143195674339E-10</v>
      </c>
      <c r="GO104" s="21">
        <f t="shared" si="81"/>
        <v>1.865379753118757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-1.1368683772161603E-13</v>
      </c>
      <c r="GV104" s="17">
        <f>GU104*VLOOKUP('Données projet'!$B$18,Paramètres!$A$1:$I$89,3,0)*VLOOKUP('Données projet'!$B$18,Paramètres!$A$1:$I$89,5,0)</f>
        <v>-6.7984728957526396E-14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227.89848316900191</v>
      </c>
      <c r="HA104" s="59">
        <f t="shared" si="106"/>
        <v>239.85955661394541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1.9465762069833736</v>
      </c>
      <c r="HH104" s="21">
        <f>EXP(-LN(2)/25)*HH103+(1-EXP(-LN(2)/25))/(LN(2)/25)*Calculateur!HC104*Calculateur!HE104*VLOOKUP('Données projet'!$B$18,Paramètres!$A$1:$I$89,3,0)*0.475*44/12</f>
        <v>2.3942873447716027</v>
      </c>
      <c r="HI104" s="21">
        <f>EXP(-LN(2)/2)*HI103+(1-EXP(-LN(2)/2))/(LN(2)/2)*HC104*HF104*VLOOKUP('Données projet'!$B$18,Paramètres!$A$1:$I$89,3,0)*0.475*44/12</f>
        <v>1.3795623783741457E-10</v>
      </c>
      <c r="HJ104" s="22">
        <f t="shared" si="84"/>
        <v>4.3408635518929328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2.5420376914553347E-13</v>
      </c>
      <c r="P105" s="13">
        <f t="shared" si="87"/>
        <v>3.4258699088369875E-12</v>
      </c>
      <c r="Q105" s="20">
        <f t="shared" si="107"/>
        <v>6.4094616558195571E-12</v>
      </c>
      <c r="R105" s="59">
        <f t="shared" si="55"/>
        <v>293.33333333333974</v>
      </c>
      <c r="S105" s="59">
        <f ca="1">AVERAGE(OFFSET($R$3,0,0,'Données projet'!$E$9+1,1))-AVERAGE(OFFSET($H$3,0,0,'Données projet'!$E$9+1,1))</f>
        <v>370.69652285220093</v>
      </c>
      <c r="T105" s="59">
        <f t="shared" si="88"/>
        <v>376.53494965377718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2.4696857121979225</v>
      </c>
      <c r="AA105" s="21">
        <f>EXP(-LN(2)/25)*AA104+(1-EXP(-LN(2)/25))/(LN(2)/25)*Calculateur!V105*Calculateur!X105*VLOOKUP('Données projet'!$B$9,Paramètres!$A$1:$I$89,3,0)*0.475*44/12</f>
        <v>4.5378867311277729</v>
      </c>
      <c r="AB105" s="21">
        <f>EXP(-LN(2)/2)*AB104+(1-EXP(-LN(2)/2))/(LN(2)/2)*V105*Y105*VLOOKUP('Données projet'!$B$9,Paramètres!$A$1:$I$89,3,0)*0.475*44/12</f>
        <v>4.7628075905061411E-10</v>
      </c>
      <c r="AC105" s="22">
        <f t="shared" si="57"/>
        <v>7.0075724438019762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286.27871999999974</v>
      </c>
      <c r="AK105" s="13">
        <f t="shared" si="89"/>
        <v>68.292165517667542</v>
      </c>
      <c r="AL105" s="20">
        <f t="shared" si="58"/>
        <v>617.54429227660387</v>
      </c>
      <c r="AM105" s="59">
        <f t="shared" si="59"/>
        <v>910.87762560993724</v>
      </c>
      <c r="AN105" s="59">
        <f ca="1">AVERAGE(OFFSET($AM$3,0,0,'Données projet'!$E$10+1,1))-AVERAGE(OFFSET($H$3,0,0,'Données projet'!$E$10+1,1))</f>
        <v>321.03881567735544</v>
      </c>
      <c r="AO105" s="59">
        <f t="shared" si="90"/>
        <v>234.87694492493506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0.57875463154537188</v>
      </c>
      <c r="AV105" s="21">
        <f>EXP(-LN(2)/25)*AV104+(1-EXP(-LN(2)/25))/(LN(2)/25)*Calculateur!AQ105*Calculateur!AS105*VLOOKUP('Données projet'!$B$10,Paramètres!$A$1:$I$89,3,0)*0.475*44/12</f>
        <v>1.8414059000499203</v>
      </c>
      <c r="AW105" s="21">
        <f>EXP(-LN(2)/2)*AW104+(1-EXP(-LN(2)/2))/(LN(2)/2)*AQ105*AT105*VLOOKUP('Données projet'!$B$10,Paramètres!$A$1:$I$89,3,0)*0.475*44/12</f>
        <v>3.1635986435401552E-10</v>
      </c>
      <c r="AX105" s="21">
        <f t="shared" si="60"/>
        <v>2.4201605319116521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5.6843418860808015E-13</v>
      </c>
      <c r="BE105" s="13">
        <f>BD105*VLOOKUP('Données projet'!$B$11,Paramètres!$A$1:$I$89,3,0)*VLOOKUP('Données projet'!$B$11,Paramètres!$A$1:$I$89,5,0)</f>
        <v>3.1036506698001181E-13</v>
      </c>
      <c r="BF105" s="13">
        <f t="shared" si="91"/>
        <v>4.086682523110923E-12</v>
      </c>
      <c r="BG105" s="20">
        <f t="shared" si="61"/>
        <v>7.6581912194083782E-12</v>
      </c>
      <c r="BH105" s="59">
        <f t="shared" si="62"/>
        <v>293.33333333334099</v>
      </c>
      <c r="BI105" s="59">
        <f ca="1">AVERAGE(OFFSET($BH$3,0,0,'Données projet'!$E$11+1,1))-AVERAGE(OFFSET($H$3,0,0,'Données projet'!$E$11+1,1))</f>
        <v>248.1486444660062</v>
      </c>
      <c r="BJ105" s="59">
        <f t="shared" si="92"/>
        <v>293.34458072322127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2.0467585606376009</v>
      </c>
      <c r="BQ105" s="21">
        <f>EXP(-LN(2)/25)*BQ104+(1-EXP(-LN(2)/25))/(LN(2)/25)*Calculateur!BL105*Calculateur!BN105*VLOOKUP('Données projet'!$B$11,Paramètres!$A$1:$I$89,3,0)*0.475*44/12</f>
        <v>4.6237498009937239</v>
      </c>
      <c r="BR105" s="21">
        <f>EXP(-LN(2)/2)*BR104+(1-EXP(-LN(2)/2))/(LN(2)/2)*BL105*BO105*VLOOKUP('Données projet'!$B$11,Paramètres!$A$1:$I$89,3,0)*0.475*44/12</f>
        <v>3.6645253006814532E-10</v>
      </c>
      <c r="BS105" s="22">
        <f t="shared" si="63"/>
        <v>6.6705083619977774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243.38048563215585</v>
      </c>
      <c r="CE105" s="59">
        <f t="shared" si="94"/>
        <v>372.1604147006675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1.7562209508963016</v>
      </c>
      <c r="CL105" s="21">
        <f>EXP(-LN(2)/25)*CL104+(1-EXP(-LN(2)/25))/(LN(2)/25)*Calculateur!CG105*Calculateur!CI105*VLOOKUP('Données projet'!$B$12,Paramètres!$A$1:$I$89,3,0)*0.475*44/12</f>
        <v>2.6302282639372034</v>
      </c>
      <c r="CM105" s="21">
        <f>EXP(-LN(2)/2)*CM104+(1-EXP(-LN(2)/2))/(LN(2)/2)*CG105*CJ105*VLOOKUP('Données projet'!$B$12,Paramètres!$A$1:$I$89,3,0)*0.475*44/12</f>
        <v>4.2658851035466305E-10</v>
      </c>
      <c r="CN105" s="22">
        <f t="shared" si="66"/>
        <v>4.3864492152600931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7.9580786405131221E-13</v>
      </c>
      <c r="CU105" s="17">
        <f>CT105*VLOOKUP('Données projet'!$B$13,Paramètres!$A$1:$I$89,3,0)*VLOOKUP('Données projet'!$B$13,Paramètres!$A$1:$I$89,5,0)</f>
        <v>3.8278358260868117E-13</v>
      </c>
      <c r="CV105" s="13">
        <f t="shared" si="95"/>
        <v>4.9186917125089072E-12</v>
      </c>
      <c r="CW105" s="20">
        <f t="shared" si="67"/>
        <v>9.2334028056631319E-12</v>
      </c>
      <c r="CX105" s="59">
        <f t="shared" si="68"/>
        <v>293.33333333334252</v>
      </c>
      <c r="CY105" s="59">
        <f ca="1">AVERAGE(OFFSET($CX$3,0,0,'Données projet'!$E$13+1,1))-AVERAGE(OFFSET($H$3,0,0,'Données projet'!$E$13+1,1))</f>
        <v>297.21955661193238</v>
      </c>
      <c r="CZ105" s="59">
        <f t="shared" si="96"/>
        <v>273.69206144662144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1.6191073550622044</v>
      </c>
      <c r="DG105" s="21">
        <f>EXP(-LN(2)/25)*DG104+(1-EXP(-LN(2)/25))/(LN(2)/25)*Calculateur!DB105*Calculateur!DD105*VLOOKUP('Données projet'!$B$13,Paramètres!$A$1:$I$89,3,0)*0.475*44/12</f>
        <v>1.8234237241932842</v>
      </c>
      <c r="DH105" s="21">
        <f>EXP(-LN(2)/2)*DH104+(1-EXP(-LN(2)/2))/(LN(2)/2)*DB105*DE105*VLOOKUP('Données projet'!$B$13,Paramètres!$A$1:$I$89,3,0)*0.475*44/12</f>
        <v>3.0432105163683933E-10</v>
      </c>
      <c r="DI105" s="22">
        <f t="shared" si="69"/>
        <v>3.4425310795598096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-4.0702161641092972E-13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260.20517190557814</v>
      </c>
      <c r="DU105" s="59">
        <f t="shared" si="98"/>
        <v>307.22009971147133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0.78406864929187092</v>
      </c>
      <c r="EB105" s="21">
        <f>EXP(-LN(2)/25)*EB104+(1-EXP(-LN(2)/25))/(LN(2)/25)*Calculateur!DW105*Calculateur!DY105*VLOOKUP('Données projet'!$B$14,Paramètres!$A$1:$I$89,3,0)*0.475*44/12</f>
        <v>2.7874209557776992</v>
      </c>
      <c r="EC105" s="21">
        <f>EXP(-LN(2)/2)*EC104+(1-EXP(-LN(2)/2))/(LN(2)/2)*DW105*DZ105*VLOOKUP('Données projet'!$B$14,Paramètres!$A$1:$I$89,3,0)*0.475*44/12</f>
        <v>3.4981398861793112E-10</v>
      </c>
      <c r="ED105" s="22">
        <f t="shared" si="72"/>
        <v>3.5714896054193841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1.1368683772161603E-13</v>
      </c>
      <c r="EK105" s="17">
        <f>EJ105*VLOOKUP('Données projet'!$B$15,Paramètres!$A$1:$I$89,3,0)*VLOOKUP('Données projet'!$B$15,Paramètres!$A$1:$I$89,5,0)</f>
        <v>6.7984728957526396E-14</v>
      </c>
      <c r="EL105" s="13">
        <f t="shared" si="99"/>
        <v>1.0682447123141398E-12</v>
      </c>
      <c r="EM105" s="20">
        <f t="shared" si="73"/>
        <v>1.978932943548152E-12</v>
      </c>
      <c r="EN105" s="59">
        <f t="shared" si="74"/>
        <v>293.3333333333353</v>
      </c>
      <c r="EO105" s="59">
        <f ca="1">AVERAGE(OFFSET($EN$3,0,0,'Données projet'!$E$15+1,1))-AVERAGE(OFFSET($H$3,0,0,'Données projet'!$E$15+1,1))</f>
        <v>259.30247982593914</v>
      </c>
      <c r="EP105" s="59">
        <f t="shared" si="100"/>
        <v>275.24740346220779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2.449637992282351</v>
      </c>
      <c r="EX105" s="21">
        <f>EXP(-LN(2)/2)*EX104+(1-EXP(-LN(2)/2))/(LN(2)/2)*ER105*EU105*VLOOKUP('Données projet'!$B$15,Paramètres!$A$1:$I$89,3,0)*0.475*44/12</f>
        <v>4.1735577079620324E-10</v>
      </c>
      <c r="EY105" s="22">
        <f t="shared" si="75"/>
        <v>2.4496379926997069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5.2</v>
      </c>
      <c r="FE105" s="12">
        <f>IF('Données projet'!$A$218&gt;35,FE104+FD105-FM104,IF(A105&lt;'Données projet'!$A$218,$FB$205^A105,IF(A105='Données projet'!$A$218,'Données projet'!$B$218,FE104+FD105-FM104)))</f>
        <v>316.39999999999975</v>
      </c>
      <c r="FF105" s="17">
        <f>FE105*VLOOKUP('Données projet'!$B$16,Paramètres!$A$1:$I$89,3,0)*VLOOKUP('Données projet'!$B$16,Paramètres!$A$1:$I$89,5,0)</f>
        <v>320.8295999999998</v>
      </c>
      <c r="FG105" s="13">
        <f t="shared" si="101"/>
        <v>75.525942057150615</v>
      </c>
      <c r="FH105" s="20">
        <f t="shared" si="76"/>
        <v>690.31923574953692</v>
      </c>
      <c r="FI105" s="59">
        <f t="shared" si="77"/>
        <v>983.65256908287029</v>
      </c>
      <c r="FJ105" s="59">
        <f ca="1">AVERAGE(OFFSET($FI$3,0,0,'Données projet'!$E$16+1,1))-AVERAGE(OFFSET($H$3,0,0,'Données projet'!$E$16+1,1))</f>
        <v>372.91317851957336</v>
      </c>
      <c r="FK105" s="59">
        <f t="shared" si="102"/>
        <v>269.69187715858413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0.64860432845602034</v>
      </c>
      <c r="FR105" s="21">
        <f>EXP(-LN(2)/25)*FR104+(1-EXP(-LN(2)/25))/(LN(2)/25)*Calculateur!FM105*Calculateur!FO105*VLOOKUP('Données projet'!$B$16,Paramètres!$A$1:$I$89,3,0)*0.475*44/12</f>
        <v>2.0636445431593939</v>
      </c>
      <c r="FS105" s="21">
        <f>EXP(-LN(2)/2)*FS104+(1-EXP(-LN(2)/2))/(LN(2)/2)*FM105*FP105*VLOOKUP('Données projet'!$B$16,Paramètres!$A$1:$I$89,3,0)*0.475*44/12</f>
        <v>3.5454122729329298E-10</v>
      </c>
      <c r="FT105" s="22">
        <f t="shared" si="78"/>
        <v>2.7122488719699556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-1.1368683772161603E-13</v>
      </c>
      <c r="GA105" s="17">
        <f>FZ105*VLOOKUP('Données projet'!$B$17,Paramètres!$A$1:$I$89,3,0)*VLOOKUP('Données projet'!$B$17,Paramètres!$A$1:$I$89,5,0)</f>
        <v>-5.3205440053716299E-14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215.23235148064941</v>
      </c>
      <c r="GF105" s="59">
        <f t="shared" si="104"/>
        <v>184.07239726900434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0.75321311754076214</v>
      </c>
      <c r="GM105" s="21">
        <f>EXP(-LN(2)/25)*GM104+(1-EXP(-LN(2)/25))/(LN(2)/25)*Calculateur!GH105*Calculateur!GJ105*VLOOKUP('Données projet'!$B$17,Paramètres!$A$1:$I$89,3,0)*0.475*44/12</f>
        <v>1.0671008718518975</v>
      </c>
      <c r="GN105" s="21">
        <f>EXP(-LN(2)/2)*GN104+(1-EXP(-LN(2)/2))/(LN(2)/2)*GH105*GK105*VLOOKUP('Données projet'!$B$17,Paramètres!$A$1:$I$89,3,0)*0.475*44/12</f>
        <v>1.4307699865160964E-10</v>
      </c>
      <c r="GO105" s="21">
        <f t="shared" si="81"/>
        <v>1.8203139895357368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-1.1368683772161603E-13</v>
      </c>
      <c r="GV105" s="17">
        <f>GU105*VLOOKUP('Données projet'!$B$18,Paramètres!$A$1:$I$89,3,0)*VLOOKUP('Données projet'!$B$18,Paramètres!$A$1:$I$89,5,0)</f>
        <v>-6.7984728957526396E-14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227.89848316900191</v>
      </c>
      <c r="HA105" s="59">
        <f t="shared" si="106"/>
        <v>239.85955661394541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1.9084050348586803</v>
      </c>
      <c r="HH105" s="21">
        <f>EXP(-LN(2)/25)*HH104+(1-EXP(-LN(2)/25))/(LN(2)/25)*Calculateur!HC105*Calculateur!HE105*VLOOKUP('Données projet'!$B$18,Paramètres!$A$1:$I$89,3,0)*0.475*44/12</f>
        <v>2.3288154314187239</v>
      </c>
      <c r="HI105" s="21">
        <f>EXP(-LN(2)/2)*HI104+(1-EXP(-LN(2)/2))/(LN(2)/2)*HC105*HF105*VLOOKUP('Données projet'!$B$18,Paramètres!$A$1:$I$89,3,0)*0.475*44/12</f>
        <v>9.7549791281820012E-11</v>
      </c>
      <c r="HJ105" s="22">
        <f t="shared" si="84"/>
        <v>4.2372204663749535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2.5420376914553347E-13</v>
      </c>
      <c r="P106" s="13">
        <f t="shared" si="87"/>
        <v>3.4258699088369875E-12</v>
      </c>
      <c r="Q106" s="20">
        <f t="shared" si="107"/>
        <v>6.4094616558195571E-12</v>
      </c>
      <c r="R106" s="59">
        <f t="shared" si="55"/>
        <v>293.33333333333974</v>
      </c>
      <c r="S106" s="59">
        <f ca="1">AVERAGE(OFFSET($R$3,0,0,'Données projet'!$E$9+1,1))-AVERAGE(OFFSET($H$3,0,0,'Données projet'!$E$9+1,1))</f>
        <v>370.69652285220093</v>
      </c>
      <c r="T106" s="59">
        <f t="shared" si="88"/>
        <v>376.53494965377718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2.4212566817412653</v>
      </c>
      <c r="AA106" s="21">
        <f>EXP(-LN(2)/25)*AA105+(1-EXP(-LN(2)/25))/(LN(2)/25)*Calculateur!V106*Calculateur!X106*VLOOKUP('Données projet'!$B$9,Paramètres!$A$1:$I$89,3,0)*0.475*44/12</f>
        <v>4.4137979798279918</v>
      </c>
      <c r="AB106" s="21">
        <f>EXP(-LN(2)/2)*AB105+(1-EXP(-LN(2)/2))/(LN(2)/2)*V106*Y106*VLOOKUP('Données projet'!$B$9,Paramètres!$A$1:$I$89,3,0)*0.475*44/12</f>
        <v>3.3678135447336537E-10</v>
      </c>
      <c r="AC106" s="22">
        <f t="shared" si="57"/>
        <v>6.8350546619060388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290.98367999999977</v>
      </c>
      <c r="AK106" s="13">
        <f t="shared" si="89"/>
        <v>69.282952690245352</v>
      </c>
      <c r="AL106" s="20">
        <f t="shared" si="58"/>
        <v>627.46438526884356</v>
      </c>
      <c r="AM106" s="59">
        <f t="shared" si="59"/>
        <v>920.79771860217693</v>
      </c>
      <c r="AN106" s="59">
        <f ca="1">AVERAGE(OFFSET($AM$3,0,0,'Données projet'!$E$10+1,1))-AVERAGE(OFFSET($H$3,0,0,'Données projet'!$E$10+1,1))</f>
        <v>321.03881567735544</v>
      </c>
      <c r="AO106" s="59">
        <f t="shared" si="90"/>
        <v>234.87694492493506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0.56740560622623604</v>
      </c>
      <c r="AV106" s="21">
        <f>EXP(-LN(2)/25)*AV105+(1-EXP(-LN(2)/25))/(LN(2)/25)*Calculateur!AQ106*Calculateur!AS106*VLOOKUP('Données projet'!$B$10,Paramètres!$A$1:$I$89,3,0)*0.475*44/12</f>
        <v>1.7910525588777275</v>
      </c>
      <c r="AW106" s="21">
        <f>EXP(-LN(2)/2)*AW105+(1-EXP(-LN(2)/2))/(LN(2)/2)*AQ106*AT106*VLOOKUP('Données projet'!$B$10,Paramètres!$A$1:$I$89,3,0)*0.475*44/12</f>
        <v>2.2370020537998071E-10</v>
      </c>
      <c r="AX106" s="21">
        <f t="shared" si="60"/>
        <v>2.3584581653276637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5.6843418860808015E-13</v>
      </c>
      <c r="BE106" s="13">
        <f>BD106*VLOOKUP('Données projet'!$B$11,Paramètres!$A$1:$I$89,3,0)*VLOOKUP('Données projet'!$B$11,Paramètres!$A$1:$I$89,5,0)</f>
        <v>3.1036506698001181E-13</v>
      </c>
      <c r="BF106" s="13">
        <f t="shared" si="91"/>
        <v>4.086682523110923E-12</v>
      </c>
      <c r="BG106" s="20">
        <f t="shared" si="61"/>
        <v>7.6581912194083782E-12</v>
      </c>
      <c r="BH106" s="59">
        <f t="shared" si="62"/>
        <v>293.33333333334099</v>
      </c>
      <c r="BI106" s="59">
        <f ca="1">AVERAGE(OFFSET($BH$3,0,0,'Données projet'!$E$11+1,1))-AVERAGE(OFFSET($H$3,0,0,'Données projet'!$E$11+1,1))</f>
        <v>248.1486444660062</v>
      </c>
      <c r="BJ106" s="59">
        <f t="shared" si="92"/>
        <v>293.34458072322127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2.0066228736629501</v>
      </c>
      <c r="BQ106" s="21">
        <f>EXP(-LN(2)/25)*BQ105+(1-EXP(-LN(2)/25))/(LN(2)/25)*Calculateur!BL106*Calculateur!BN106*VLOOKUP('Données projet'!$B$11,Paramètres!$A$1:$I$89,3,0)*0.475*44/12</f>
        <v>4.497313119533116</v>
      </c>
      <c r="BR106" s="21">
        <f>EXP(-LN(2)/2)*BR105+(1-EXP(-LN(2)/2))/(LN(2)/2)*BL106*BO106*VLOOKUP('Données projet'!$B$11,Paramètres!$A$1:$I$89,3,0)*0.475*44/12</f>
        <v>2.5912106899415276E-10</v>
      </c>
      <c r="BS106" s="22">
        <f t="shared" si="63"/>
        <v>6.5039359934551868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243.38048563215585</v>
      </c>
      <c r="CE106" s="59">
        <f t="shared" si="94"/>
        <v>372.1604147006675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1.721782529238234</v>
      </c>
      <c r="CL106" s="21">
        <f>EXP(-LN(2)/25)*CL105+(1-EXP(-LN(2)/25))/(LN(2)/25)*Calculateur!CG106*Calculateur!CI106*VLOOKUP('Données projet'!$B$12,Paramètres!$A$1:$I$89,3,0)*0.475*44/12</f>
        <v>2.5583045337421475</v>
      </c>
      <c r="CM106" s="21">
        <f>EXP(-LN(2)/2)*CM105+(1-EXP(-LN(2)/2))/(LN(2)/2)*CG106*CJ106*VLOOKUP('Données projet'!$B$12,Paramètres!$A$1:$I$89,3,0)*0.475*44/12</f>
        <v>3.0164362844804998E-10</v>
      </c>
      <c r="CN106" s="22">
        <f t="shared" si="66"/>
        <v>4.2800870632820258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7.9580786405131221E-13</v>
      </c>
      <c r="CU106" s="17">
        <f>CT106*VLOOKUP('Données projet'!$B$13,Paramètres!$A$1:$I$89,3,0)*VLOOKUP('Données projet'!$B$13,Paramètres!$A$1:$I$89,5,0)</f>
        <v>3.8278358260868117E-13</v>
      </c>
      <c r="CV106" s="13">
        <f t="shared" si="95"/>
        <v>4.9186917125089072E-12</v>
      </c>
      <c r="CW106" s="20">
        <f t="shared" si="67"/>
        <v>9.2334028056631319E-12</v>
      </c>
      <c r="CX106" s="59">
        <f t="shared" si="68"/>
        <v>293.33333333334252</v>
      </c>
      <c r="CY106" s="59">
        <f ca="1">AVERAGE(OFFSET($CX$3,0,0,'Données projet'!$E$13+1,1))-AVERAGE(OFFSET($H$3,0,0,'Données projet'!$E$13+1,1))</f>
        <v>297.21955661193238</v>
      </c>
      <c r="CZ106" s="59">
        <f t="shared" si="96"/>
        <v>273.69206144662144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1.5873576473874078</v>
      </c>
      <c r="DG106" s="21">
        <f>EXP(-LN(2)/25)*DG105+(1-EXP(-LN(2)/25))/(LN(2)/25)*Calculateur!DB106*Calculateur!DD106*VLOOKUP('Données projet'!$B$13,Paramètres!$A$1:$I$89,3,0)*0.475*44/12</f>
        <v>1.7735621065655327</v>
      </c>
      <c r="DH106" s="21">
        <f>EXP(-LN(2)/2)*DH105+(1-EXP(-LN(2)/2))/(LN(2)/2)*DB106*DE106*VLOOKUP('Données projet'!$B$13,Paramètres!$A$1:$I$89,3,0)*0.475*44/12</f>
        <v>2.1518747927023058E-10</v>
      </c>
      <c r="DI106" s="22">
        <f t="shared" si="69"/>
        <v>3.3609197541681279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-4.0702161641092972E-13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260.20517190557814</v>
      </c>
      <c r="DU106" s="59">
        <f t="shared" si="98"/>
        <v>307.22009971147133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0.76869354131391165</v>
      </c>
      <c r="EB106" s="21">
        <f>EXP(-LN(2)/25)*EB105+(1-EXP(-LN(2)/25))/(LN(2)/25)*Calculateur!DW106*Calculateur!DY106*VLOOKUP('Données projet'!$B$14,Paramètres!$A$1:$I$89,3,0)*0.475*44/12</f>
        <v>2.7111987831578608</v>
      </c>
      <c r="EC106" s="21">
        <f>EXP(-LN(2)/2)*EC105+(1-EXP(-LN(2)/2))/(LN(2)/2)*DW106*DZ106*VLOOKUP('Données projet'!$B$14,Paramètres!$A$1:$I$89,3,0)*0.475*44/12</f>
        <v>2.4735584350565284E-10</v>
      </c>
      <c r="ED106" s="22">
        <f t="shared" si="72"/>
        <v>3.4798923247191285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1.1368683772161603E-13</v>
      </c>
      <c r="EK106" s="17">
        <f>EJ106*VLOOKUP('Données projet'!$B$15,Paramètres!$A$1:$I$89,3,0)*VLOOKUP('Données projet'!$B$15,Paramètres!$A$1:$I$89,5,0)</f>
        <v>6.7984728957526396E-14</v>
      </c>
      <c r="EL106" s="13">
        <f t="shared" si="99"/>
        <v>1.0682447123141398E-12</v>
      </c>
      <c r="EM106" s="20">
        <f t="shared" si="73"/>
        <v>1.978932943548152E-12</v>
      </c>
      <c r="EN106" s="59">
        <f t="shared" si="74"/>
        <v>293.3333333333353</v>
      </c>
      <c r="EO106" s="59">
        <f ca="1">AVERAGE(OFFSET($EN$3,0,0,'Données projet'!$E$15+1,1))-AVERAGE(OFFSET($H$3,0,0,'Données projet'!$E$15+1,1))</f>
        <v>259.30247982593914</v>
      </c>
      <c r="EP106" s="59">
        <f t="shared" si="100"/>
        <v>275.24740346220779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2.3826525125625269</v>
      </c>
      <c r="EX106" s="21">
        <f>EXP(-LN(2)/2)*EX105+(1-EXP(-LN(2)/2))/(LN(2)/2)*ER106*EU106*VLOOKUP('Données projet'!$B$15,Paramètres!$A$1:$I$89,3,0)*0.475*44/12</f>
        <v>2.9511509569733376E-10</v>
      </c>
      <c r="EY106" s="22">
        <f t="shared" si="75"/>
        <v>2.3826525128576419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5.2</v>
      </c>
      <c r="FE106" s="12">
        <f>IF('Données projet'!$A$218&gt;35,FE105+FD106-FM105,IF(A106&lt;'Données projet'!$A$218,$FB$205^A106,IF(A106='Données projet'!$A$218,'Données projet'!$B$218,FE105+FD106-FM105)))</f>
        <v>321.59999999999974</v>
      </c>
      <c r="FF106" s="17">
        <f>FE106*VLOOKUP('Données projet'!$B$16,Paramètres!$A$1:$I$89,3,0)*VLOOKUP('Données projet'!$B$16,Paramètres!$A$1:$I$89,5,0)</f>
        <v>326.10239999999976</v>
      </c>
      <c r="FG106" s="13">
        <f t="shared" si="101"/>
        <v>76.621677329562218</v>
      </c>
      <c r="FH106" s="20">
        <f t="shared" si="76"/>
        <v>701.41110134898702</v>
      </c>
      <c r="FI106" s="59">
        <f t="shared" si="77"/>
        <v>994.74443468232039</v>
      </c>
      <c r="FJ106" s="59">
        <f ca="1">AVERAGE(OFFSET($FI$3,0,0,'Données projet'!$E$16+1,1))-AVERAGE(OFFSET($H$3,0,0,'Données projet'!$E$16+1,1))</f>
        <v>372.91317851957336</v>
      </c>
      <c r="FK106" s="59">
        <f t="shared" si="102"/>
        <v>269.69187715858413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0.63588559318457494</v>
      </c>
      <c r="FR106" s="21">
        <f>EXP(-LN(2)/25)*FR105+(1-EXP(-LN(2)/25))/(LN(2)/25)*Calculateur!FM106*Calculateur!FO106*VLOOKUP('Données projet'!$B$16,Paramètres!$A$1:$I$89,3,0)*0.475*44/12</f>
        <v>2.0072140746043505</v>
      </c>
      <c r="FS106" s="21">
        <f>EXP(-LN(2)/2)*FS105+(1-EXP(-LN(2)/2))/(LN(2)/2)*FM106*FP106*VLOOKUP('Données projet'!$B$16,Paramètres!$A$1:$I$89,3,0)*0.475*44/12</f>
        <v>2.5069850602928853E-10</v>
      </c>
      <c r="FT106" s="22">
        <f t="shared" si="78"/>
        <v>2.6430996680396239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-1.1368683772161603E-13</v>
      </c>
      <c r="GA106" s="17">
        <f>FZ106*VLOOKUP('Données projet'!$B$17,Paramètres!$A$1:$I$89,3,0)*VLOOKUP('Données projet'!$B$17,Paramètres!$A$1:$I$89,5,0)</f>
        <v>-5.3205440053716299E-14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215.23235148064941</v>
      </c>
      <c r="GF106" s="59">
        <f t="shared" si="104"/>
        <v>184.07239726900434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0.73844306772042612</v>
      </c>
      <c r="GM106" s="21">
        <f>EXP(-LN(2)/25)*GM105+(1-EXP(-LN(2)/25))/(LN(2)/25)*Calculateur!GH106*Calculateur!GJ106*VLOOKUP('Données projet'!$B$17,Paramètres!$A$1:$I$89,3,0)*0.475*44/12</f>
        <v>1.0379209423947113</v>
      </c>
      <c r="GN106" s="21">
        <f>EXP(-LN(2)/2)*GN105+(1-EXP(-LN(2)/2))/(LN(2)/2)*GH106*GK106*VLOOKUP('Données projet'!$B$17,Paramètres!$A$1:$I$89,3,0)*0.475*44/12</f>
        <v>1.0117071597837169E-10</v>
      </c>
      <c r="GO106" s="21">
        <f t="shared" si="81"/>
        <v>1.7763640102163081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-1.1368683772161603E-13</v>
      </c>
      <c r="GV106" s="17">
        <f>GU106*VLOOKUP('Données projet'!$B$18,Paramètres!$A$1:$I$89,3,0)*VLOOKUP('Données projet'!$B$18,Paramètres!$A$1:$I$89,5,0)</f>
        <v>-6.7984728957526396E-14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227.89848316900191</v>
      </c>
      <c r="HA106" s="59">
        <f t="shared" si="106"/>
        <v>239.85955661394541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1.8709823761372362</v>
      </c>
      <c r="HH106" s="21">
        <f>EXP(-LN(2)/25)*HH105+(1-EXP(-LN(2)/25))/(LN(2)/25)*Calculateur!HC106*Calculateur!HE106*VLOOKUP('Données projet'!$B$18,Paramètres!$A$1:$I$89,3,0)*0.475*44/12</f>
        <v>2.265133850979498</v>
      </c>
      <c r="HI106" s="21">
        <f>EXP(-LN(2)/2)*HI105+(1-EXP(-LN(2)/2))/(LN(2)/2)*HC106*HF106*VLOOKUP('Données projet'!$B$18,Paramètres!$A$1:$I$89,3,0)*0.475*44/12</f>
        <v>6.8978118918707284E-11</v>
      </c>
      <c r="HJ106" s="22">
        <f t="shared" si="84"/>
        <v>4.1361162271857115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2.5420376914553347E-13</v>
      </c>
      <c r="P107" s="13">
        <f t="shared" si="87"/>
        <v>3.4258699088369875E-12</v>
      </c>
      <c r="Q107" s="20">
        <f t="shared" si="107"/>
        <v>6.4094616558195571E-12</v>
      </c>
      <c r="R107" s="59">
        <f t="shared" si="55"/>
        <v>293.33333333333974</v>
      </c>
      <c r="S107" s="59">
        <f ca="1">AVERAGE(OFFSET($R$3,0,0,'Données projet'!$E$9+1,1))-AVERAGE(OFFSET($H$3,0,0,'Données projet'!$E$9+1,1))</f>
        <v>370.69652285220093</v>
      </c>
      <c r="T107" s="59">
        <f t="shared" si="88"/>
        <v>376.53494965377718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2.3737773150330712</v>
      </c>
      <c r="AA107" s="21">
        <f>EXP(-LN(2)/25)*AA106+(1-EXP(-LN(2)/25))/(LN(2)/25)*Calculateur!V107*Calculateur!X107*VLOOKUP('Données projet'!$B$9,Paramètres!$A$1:$I$89,3,0)*0.475*44/12</f>
        <v>4.2931024419580472</v>
      </c>
      <c r="AB107" s="21">
        <f>EXP(-LN(2)/2)*AB106+(1-EXP(-LN(2)/2))/(LN(2)/2)*V107*Y107*VLOOKUP('Données projet'!$B$9,Paramètres!$A$1:$I$89,3,0)*0.475*44/12</f>
        <v>2.3814037952530705E-10</v>
      </c>
      <c r="AC107" s="22">
        <f t="shared" si="57"/>
        <v>6.6668797572292586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295.68863999999974</v>
      </c>
      <c r="AK107" s="13">
        <f t="shared" si="89"/>
        <v>70.271876780519676</v>
      </c>
      <c r="AL107" s="20">
        <f t="shared" si="58"/>
        <v>637.38123339273795</v>
      </c>
      <c r="AM107" s="59">
        <f t="shared" si="59"/>
        <v>930.71456672607133</v>
      </c>
      <c r="AN107" s="59">
        <f ca="1">AVERAGE(OFFSET($AM$3,0,0,'Données projet'!$E$10+1,1))-AVERAGE(OFFSET($H$3,0,0,'Données projet'!$E$10+1,1))</f>
        <v>321.03881567735544</v>
      </c>
      <c r="AO107" s="59">
        <f t="shared" si="90"/>
        <v>234.87694492493506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0.55627912837138649</v>
      </c>
      <c r="AV107" s="21">
        <f>EXP(-LN(2)/25)*AV106+(1-EXP(-LN(2)/25))/(LN(2)/25)*Calculateur!AQ107*Calculateur!AS107*VLOOKUP('Données projet'!$B$10,Paramètres!$A$1:$I$89,3,0)*0.475*44/12</f>
        <v>1.7420761324678555</v>
      </c>
      <c r="AW107" s="21">
        <f>EXP(-LN(2)/2)*AW106+(1-EXP(-LN(2)/2))/(LN(2)/2)*AQ107*AT107*VLOOKUP('Données projet'!$B$10,Paramètres!$A$1:$I$89,3,0)*0.475*44/12</f>
        <v>1.5817993217700776E-10</v>
      </c>
      <c r="AX107" s="21">
        <f t="shared" si="60"/>
        <v>2.2983552609974223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5.6843418860808015E-13</v>
      </c>
      <c r="BE107" s="13">
        <f>BD107*VLOOKUP('Données projet'!$B$11,Paramètres!$A$1:$I$89,3,0)*VLOOKUP('Données projet'!$B$11,Paramètres!$A$1:$I$89,5,0)</f>
        <v>3.1036506698001181E-13</v>
      </c>
      <c r="BF107" s="13">
        <f t="shared" si="91"/>
        <v>4.086682523110923E-12</v>
      </c>
      <c r="BG107" s="20">
        <f t="shared" si="61"/>
        <v>7.6581912194083782E-12</v>
      </c>
      <c r="BH107" s="59">
        <f t="shared" si="62"/>
        <v>293.33333333334099</v>
      </c>
      <c r="BI107" s="59">
        <f ca="1">AVERAGE(OFFSET($BH$3,0,0,'Données projet'!$E$11+1,1))-AVERAGE(OFFSET($H$3,0,0,'Données projet'!$E$11+1,1))</f>
        <v>248.1486444660062</v>
      </c>
      <c r="BJ107" s="59">
        <f t="shared" si="92"/>
        <v>293.34458072322127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1.9672742230295206</v>
      </c>
      <c r="BQ107" s="21">
        <f>EXP(-LN(2)/25)*BQ106+(1-EXP(-LN(2)/25))/(LN(2)/25)*Calculateur!BL107*Calculateur!BN107*VLOOKUP('Données projet'!$B$11,Paramètres!$A$1:$I$89,3,0)*0.475*44/12</f>
        <v>4.3743338557760643</v>
      </c>
      <c r="BR107" s="21">
        <f>EXP(-LN(2)/2)*BR106+(1-EXP(-LN(2)/2))/(LN(2)/2)*BL107*BO107*VLOOKUP('Données projet'!$B$11,Paramètres!$A$1:$I$89,3,0)*0.475*44/12</f>
        <v>1.8322626503407266E-10</v>
      </c>
      <c r="BS107" s="22">
        <f t="shared" si="63"/>
        <v>6.341608078988811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243.38048563215585</v>
      </c>
      <c r="CE107" s="59">
        <f t="shared" si="94"/>
        <v>372.1604147006675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1.688019424023518</v>
      </c>
      <c r="CL107" s="21">
        <f>EXP(-LN(2)/25)*CL106+(1-EXP(-LN(2)/25))/(LN(2)/25)*Calculateur!CG107*Calculateur!CI107*VLOOKUP('Données projet'!$B$12,Paramètres!$A$1:$I$89,3,0)*0.475*44/12</f>
        <v>2.48834756173158</v>
      </c>
      <c r="CM107" s="21">
        <f>EXP(-LN(2)/2)*CM106+(1-EXP(-LN(2)/2))/(LN(2)/2)*CG107*CJ107*VLOOKUP('Données projet'!$B$12,Paramètres!$A$1:$I$89,3,0)*0.475*44/12</f>
        <v>2.1329425517733152E-10</v>
      </c>
      <c r="CN107" s="22">
        <f t="shared" si="66"/>
        <v>4.1763669859683921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7.9580786405131221E-13</v>
      </c>
      <c r="CU107" s="17">
        <f>CT107*VLOOKUP('Données projet'!$B$13,Paramètres!$A$1:$I$89,3,0)*VLOOKUP('Données projet'!$B$13,Paramètres!$A$1:$I$89,5,0)</f>
        <v>3.8278358260868117E-13</v>
      </c>
      <c r="CV107" s="13">
        <f t="shared" si="95"/>
        <v>4.9186917125089072E-12</v>
      </c>
      <c r="CW107" s="20">
        <f t="shared" si="67"/>
        <v>9.2334028056631319E-12</v>
      </c>
      <c r="CX107" s="59">
        <f t="shared" si="68"/>
        <v>293.33333333334252</v>
      </c>
      <c r="CY107" s="59">
        <f ca="1">AVERAGE(OFFSET($CX$3,0,0,'Données projet'!$E$13+1,1))-AVERAGE(OFFSET($H$3,0,0,'Données projet'!$E$13+1,1))</f>
        <v>297.21955661193238</v>
      </c>
      <c r="CZ107" s="59">
        <f t="shared" si="96"/>
        <v>273.69206144662144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1.5562305321147045</v>
      </c>
      <c r="DG107" s="21">
        <f>EXP(-LN(2)/25)*DG106+(1-EXP(-LN(2)/25))/(LN(2)/25)*Calculateur!DB107*Calculateur!DD107*VLOOKUP('Données projet'!$B$13,Paramètres!$A$1:$I$89,3,0)*0.475*44/12</f>
        <v>1.7250639574939206</v>
      </c>
      <c r="DH107" s="21">
        <f>EXP(-LN(2)/2)*DH106+(1-EXP(-LN(2)/2))/(LN(2)/2)*DB107*DE107*VLOOKUP('Données projet'!$B$13,Paramètres!$A$1:$I$89,3,0)*0.475*44/12</f>
        <v>1.5216052581841967E-10</v>
      </c>
      <c r="DI107" s="22">
        <f t="shared" si="69"/>
        <v>3.2812944897607856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-4.0702161641092972E-13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260.20517190557814</v>
      </c>
      <c r="DU107" s="59">
        <f t="shared" si="98"/>
        <v>307.22009971147133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0.75361992982551029</v>
      </c>
      <c r="EB107" s="21">
        <f>EXP(-LN(2)/25)*EB106+(1-EXP(-LN(2)/25))/(LN(2)/25)*Calculateur!DW107*Calculateur!DY107*VLOOKUP('Données projet'!$B$14,Paramètres!$A$1:$I$89,3,0)*0.475*44/12</f>
        <v>2.6370609098566615</v>
      </c>
      <c r="EC107" s="21">
        <f>EXP(-LN(2)/2)*EC106+(1-EXP(-LN(2)/2))/(LN(2)/2)*DW107*DZ107*VLOOKUP('Données projet'!$B$14,Paramètres!$A$1:$I$89,3,0)*0.475*44/12</f>
        <v>1.7490699430896556E-10</v>
      </c>
      <c r="ED107" s="22">
        <f t="shared" si="72"/>
        <v>3.3906808398570791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1.1368683772161603E-13</v>
      </c>
      <c r="EK107" s="17">
        <f>EJ107*VLOOKUP('Données projet'!$B$15,Paramètres!$A$1:$I$89,3,0)*VLOOKUP('Données projet'!$B$15,Paramètres!$A$1:$I$89,5,0)</f>
        <v>6.7984728957526396E-14</v>
      </c>
      <c r="EL107" s="13">
        <f t="shared" si="99"/>
        <v>1.0682447123141398E-12</v>
      </c>
      <c r="EM107" s="20">
        <f t="shared" si="73"/>
        <v>1.978932943548152E-12</v>
      </c>
      <c r="EN107" s="59">
        <f t="shared" si="74"/>
        <v>293.3333333333353</v>
      </c>
      <c r="EO107" s="59">
        <f ca="1">AVERAGE(OFFSET($EN$3,0,0,'Données projet'!$E$15+1,1))-AVERAGE(OFFSET($H$3,0,0,'Données projet'!$E$15+1,1))</f>
        <v>259.30247982593914</v>
      </c>
      <c r="EP107" s="59">
        <f t="shared" si="100"/>
        <v>275.24740346220779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2.3174987543082546</v>
      </c>
      <c r="EX107" s="21">
        <f>EXP(-LN(2)/2)*EX106+(1-EXP(-LN(2)/2))/(LN(2)/2)*ER107*EU107*VLOOKUP('Données projet'!$B$15,Paramètres!$A$1:$I$89,3,0)*0.475*44/12</f>
        <v>2.0867788539810162E-10</v>
      </c>
      <c r="EY107" s="22">
        <f t="shared" si="75"/>
        <v>2.3174987545169325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5.2</v>
      </c>
      <c r="FE107" s="12">
        <f>IF('Données projet'!$A$218&gt;35,FE106+FD107-FM106,IF(A107&lt;'Données projet'!$A$218,$FB$205^A107,IF(A107='Données projet'!$A$218,'Données projet'!$B$218,FE106+FD107-FM106)))</f>
        <v>326.79999999999973</v>
      </c>
      <c r="FF107" s="17">
        <f>FE107*VLOOKUP('Données projet'!$B$16,Paramètres!$A$1:$I$89,3,0)*VLOOKUP('Données projet'!$B$16,Paramètres!$A$1:$I$89,5,0)</f>
        <v>331.37519999999972</v>
      </c>
      <c r="FG107" s="13">
        <f t="shared" si="101"/>
        <v>77.715352174616825</v>
      </c>
      <c r="FH107" s="20">
        <f t="shared" si="76"/>
        <v>712.49937837079051</v>
      </c>
      <c r="FI107" s="59">
        <f t="shared" si="77"/>
        <v>1005.8327117041238</v>
      </c>
      <c r="FJ107" s="59">
        <f ca="1">AVERAGE(OFFSET($FI$3,0,0,'Données projet'!$E$16+1,1))-AVERAGE(OFFSET($H$3,0,0,'Données projet'!$E$16+1,1))</f>
        <v>372.91317851957336</v>
      </c>
      <c r="FK107" s="59">
        <f t="shared" si="102"/>
        <v>269.69187715858413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0.62341626455414012</v>
      </c>
      <c r="FR107" s="21">
        <f>EXP(-LN(2)/25)*FR106+(1-EXP(-LN(2)/25))/(LN(2)/25)*Calculateur!FM107*Calculateur!FO107*VLOOKUP('Données projet'!$B$16,Paramètres!$A$1:$I$89,3,0)*0.475*44/12</f>
        <v>1.9523267001794939</v>
      </c>
      <c r="FS107" s="21">
        <f>EXP(-LN(2)/2)*FS106+(1-EXP(-LN(2)/2))/(LN(2)/2)*FM107*FP107*VLOOKUP('Données projet'!$B$16,Paramètres!$A$1:$I$89,3,0)*0.475*44/12</f>
        <v>1.7727061364664649E-10</v>
      </c>
      <c r="FT107" s="22">
        <f t="shared" si="78"/>
        <v>2.5757429649109049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-1.1368683772161603E-13</v>
      </c>
      <c r="GA107" s="17">
        <f>FZ107*VLOOKUP('Données projet'!$B$17,Paramètres!$A$1:$I$89,3,0)*VLOOKUP('Données projet'!$B$17,Paramètres!$A$1:$I$89,5,0)</f>
        <v>-5.3205440053716299E-14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215.23235148064941</v>
      </c>
      <c r="GF107" s="59">
        <f t="shared" si="104"/>
        <v>184.07239726900434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0.72396264956822598</v>
      </c>
      <c r="GM107" s="21">
        <f>EXP(-LN(2)/25)*GM106+(1-EXP(-LN(2)/25))/(LN(2)/25)*Calculateur!GH107*Calculateur!GJ107*VLOOKUP('Données projet'!$B$17,Paramètres!$A$1:$I$89,3,0)*0.475*44/12</f>
        <v>1.0095389396430379</v>
      </c>
      <c r="GN107" s="21">
        <f>EXP(-LN(2)/2)*GN106+(1-EXP(-LN(2)/2))/(LN(2)/2)*GH107*GK107*VLOOKUP('Données projet'!$B$17,Paramètres!$A$1:$I$89,3,0)*0.475*44/12</f>
        <v>7.1538499325804819E-11</v>
      </c>
      <c r="GO107" s="21">
        <f t="shared" si="81"/>
        <v>1.7335015892828023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-1.1368683772161603E-13</v>
      </c>
      <c r="GV107" s="17">
        <f>GU107*VLOOKUP('Données projet'!$B$18,Paramètres!$A$1:$I$89,3,0)*VLOOKUP('Données projet'!$B$18,Paramètres!$A$1:$I$89,5,0)</f>
        <v>-6.7984728957526396E-14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227.89848316900191</v>
      </c>
      <c r="HA107" s="59">
        <f t="shared" si="106"/>
        <v>239.85955661394541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1.8342935529277515</v>
      </c>
      <c r="HH107" s="21">
        <f>EXP(-LN(2)/25)*HH106+(1-EXP(-LN(2)/25))/(LN(2)/25)*Calculateur!HC107*Calculateur!HE107*VLOOKUP('Données projet'!$B$18,Paramètres!$A$1:$I$89,3,0)*0.475*44/12</f>
        <v>2.2031936467062514</v>
      </c>
      <c r="HI107" s="21">
        <f>EXP(-LN(2)/2)*HI106+(1-EXP(-LN(2)/2))/(LN(2)/2)*HC107*HF107*VLOOKUP('Données projet'!$B$18,Paramètres!$A$1:$I$89,3,0)*0.475*44/12</f>
        <v>4.8774895640910006E-11</v>
      </c>
      <c r="HJ107" s="22">
        <f t="shared" si="84"/>
        <v>4.0374871996827784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2.5420376914553347E-13</v>
      </c>
      <c r="P108" s="13">
        <f t="shared" si="87"/>
        <v>3.4258699088369875E-12</v>
      </c>
      <c r="Q108" s="20">
        <f t="shared" si="107"/>
        <v>6.4094616558195571E-12</v>
      </c>
      <c r="R108" s="59">
        <f t="shared" si="55"/>
        <v>293.33333333333974</v>
      </c>
      <c r="S108" s="59">
        <f ca="1">AVERAGE(OFFSET($R$3,0,0,'Données projet'!$E$9+1,1))-AVERAGE(OFFSET($H$3,0,0,'Données projet'!$E$9+1,1))</f>
        <v>370.69652285220093</v>
      </c>
      <c r="T108" s="59">
        <f t="shared" si="88"/>
        <v>376.53494965377718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2.3272289897464704</v>
      </c>
      <c r="AA108" s="21">
        <f>EXP(-LN(2)/25)*AA107+(1-EXP(-LN(2)/25))/(LN(2)/25)*Calculateur!V108*Calculateur!X108*VLOOKUP('Données projet'!$B$9,Paramètres!$A$1:$I$89,3,0)*0.475*44/12</f>
        <v>4.175707329918259</v>
      </c>
      <c r="AB108" s="21">
        <f>EXP(-LN(2)/2)*AB107+(1-EXP(-LN(2)/2))/(LN(2)/2)*V108*Y108*VLOOKUP('Données projet'!$B$9,Paramètres!$A$1:$I$89,3,0)*0.475*44/12</f>
        <v>1.6839067723668268E-10</v>
      </c>
      <c r="AC108" s="22">
        <f t="shared" si="57"/>
        <v>6.50293631983312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300.39359999999976</v>
      </c>
      <c r="AK108" s="13">
        <f t="shared" si="89"/>
        <v>71.258970856492667</v>
      </c>
      <c r="AL108" s="20">
        <f t="shared" si="58"/>
        <v>647.29489424172436</v>
      </c>
      <c r="AM108" s="59">
        <f t="shared" si="59"/>
        <v>940.62822757505774</v>
      </c>
      <c r="AN108" s="59">
        <f ca="1">AVERAGE(OFFSET($AM$3,0,0,'Données projet'!$E$10+1,1))-AVERAGE(OFFSET($H$3,0,0,'Données projet'!$E$10+1,1))</f>
        <v>321.03881567735544</v>
      </c>
      <c r="AO108" s="59">
        <f t="shared" si="90"/>
        <v>234.87694492493506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0.54537083396078911</v>
      </c>
      <c r="AV108" s="21">
        <f>EXP(-LN(2)/25)*AV107+(1-EXP(-LN(2)/25))/(LN(2)/25)*Calculateur!AQ108*Calculateur!AS108*VLOOKUP('Données projet'!$B$10,Paramètres!$A$1:$I$89,3,0)*0.475*44/12</f>
        <v>1.6944389690137198</v>
      </c>
      <c r="AW108" s="21">
        <f>EXP(-LN(2)/2)*AW107+(1-EXP(-LN(2)/2))/(LN(2)/2)*AQ108*AT108*VLOOKUP('Données projet'!$B$10,Paramètres!$A$1:$I$89,3,0)*0.475*44/12</f>
        <v>1.1185010268999036E-10</v>
      </c>
      <c r="AX108" s="21">
        <f t="shared" si="60"/>
        <v>2.2398098030863589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5.6843418860808015E-13</v>
      </c>
      <c r="BE108" s="13">
        <f>BD108*VLOOKUP('Données projet'!$B$11,Paramètres!$A$1:$I$89,3,0)*VLOOKUP('Données projet'!$B$11,Paramètres!$A$1:$I$89,5,0)</f>
        <v>3.1036506698001181E-13</v>
      </c>
      <c r="BF108" s="13">
        <f t="shared" si="91"/>
        <v>4.086682523110923E-12</v>
      </c>
      <c r="BG108" s="20">
        <f t="shared" si="61"/>
        <v>7.6581912194083782E-12</v>
      </c>
      <c r="BH108" s="59">
        <f t="shared" si="62"/>
        <v>293.33333333334099</v>
      </c>
      <c r="BI108" s="59">
        <f ca="1">AVERAGE(OFFSET($BH$3,0,0,'Données projet'!$E$11+1,1))-AVERAGE(OFFSET($H$3,0,0,'Données projet'!$E$11+1,1))</f>
        <v>248.1486444660062</v>
      </c>
      <c r="BJ108" s="59">
        <f t="shared" si="92"/>
        <v>293.34458072322127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1.9286971754347055</v>
      </c>
      <c r="BQ108" s="21">
        <f>EXP(-LN(2)/25)*BQ107+(1-EXP(-LN(2)/25))/(LN(2)/25)*Calculateur!BL108*Calculateur!BN108*VLOOKUP('Données projet'!$B$11,Paramètres!$A$1:$I$89,3,0)*0.475*44/12</f>
        <v>4.2547174664536476</v>
      </c>
      <c r="BR108" s="21">
        <f>EXP(-LN(2)/2)*BR107+(1-EXP(-LN(2)/2))/(LN(2)/2)*BL108*BO108*VLOOKUP('Données projet'!$B$11,Paramètres!$A$1:$I$89,3,0)*0.475*44/12</f>
        <v>1.2956053449707638E-10</v>
      </c>
      <c r="BS108" s="22">
        <f t="shared" si="63"/>
        <v>6.1834146420179135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243.38048563215585</v>
      </c>
      <c r="CE108" s="59">
        <f t="shared" si="94"/>
        <v>372.1604147006675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1.654918392708602</v>
      </c>
      <c r="CL108" s="21">
        <f>EXP(-LN(2)/25)*CL107+(1-EXP(-LN(2)/25))/(LN(2)/25)*Calculateur!CG108*Calculateur!CI108*VLOOKUP('Données projet'!$B$12,Paramètres!$A$1:$I$89,3,0)*0.475*44/12</f>
        <v>2.420303566799519</v>
      </c>
      <c r="CM108" s="21">
        <f>EXP(-LN(2)/2)*CM107+(1-EXP(-LN(2)/2))/(LN(2)/2)*CG108*CJ108*VLOOKUP('Données projet'!$B$12,Paramètres!$A$1:$I$89,3,0)*0.475*44/12</f>
        <v>1.5082181422402499E-10</v>
      </c>
      <c r="CN108" s="22">
        <f t="shared" si="66"/>
        <v>4.0752219596589425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7.9580786405131221E-13</v>
      </c>
      <c r="CU108" s="17">
        <f>CT108*VLOOKUP('Données projet'!$B$13,Paramètres!$A$1:$I$89,3,0)*VLOOKUP('Données projet'!$B$13,Paramètres!$A$1:$I$89,5,0)</f>
        <v>3.8278358260868117E-13</v>
      </c>
      <c r="CV108" s="13">
        <f t="shared" si="95"/>
        <v>4.9186917125089072E-12</v>
      </c>
      <c r="CW108" s="20">
        <f t="shared" si="67"/>
        <v>9.2334028056631319E-12</v>
      </c>
      <c r="CX108" s="59">
        <f t="shared" si="68"/>
        <v>293.33333333334252</v>
      </c>
      <c r="CY108" s="59">
        <f ca="1">AVERAGE(OFFSET($CX$3,0,0,'Données projet'!$E$13+1,1))-AVERAGE(OFFSET($H$3,0,0,'Données projet'!$E$13+1,1))</f>
        <v>297.21955661193238</v>
      </c>
      <c r="CZ108" s="59">
        <f t="shared" si="96"/>
        <v>273.69206144662144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1.5257138005868334</v>
      </c>
      <c r="DG108" s="21">
        <f>EXP(-LN(2)/25)*DG107+(1-EXP(-LN(2)/25))/(LN(2)/25)*Calculateur!DB108*Calculateur!DD108*VLOOKUP('Données projet'!$B$13,Paramètres!$A$1:$I$89,3,0)*0.475*44/12</f>
        <v>1.6778919928590785</v>
      </c>
      <c r="DH108" s="21">
        <f>EXP(-LN(2)/2)*DH107+(1-EXP(-LN(2)/2))/(LN(2)/2)*DB108*DE108*VLOOKUP('Données projet'!$B$13,Paramètres!$A$1:$I$89,3,0)*0.475*44/12</f>
        <v>1.0759373963511529E-10</v>
      </c>
      <c r="DI108" s="22">
        <f t="shared" si="69"/>
        <v>3.2036057935535061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-4.0702161641092972E-13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260.20517190557814</v>
      </c>
      <c r="DU108" s="59">
        <f t="shared" si="98"/>
        <v>307.22009971147133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0.73884190266440131</v>
      </c>
      <c r="EB108" s="21">
        <f>EXP(-LN(2)/25)*EB107+(1-EXP(-LN(2)/25))/(LN(2)/25)*Calculateur!DW108*Calculateur!DY108*VLOOKUP('Données projet'!$B$14,Paramètres!$A$1:$I$89,3,0)*0.475*44/12</f>
        <v>2.564950340599625</v>
      </c>
      <c r="EC108" s="21">
        <f>EXP(-LN(2)/2)*EC107+(1-EXP(-LN(2)/2))/(LN(2)/2)*DW108*DZ108*VLOOKUP('Données projet'!$B$14,Paramètres!$A$1:$I$89,3,0)*0.475*44/12</f>
        <v>1.2367792175282642E-10</v>
      </c>
      <c r="ED108" s="22">
        <f t="shared" si="72"/>
        <v>3.3037922433877043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1.1368683772161603E-13</v>
      </c>
      <c r="EK108" s="17">
        <f>EJ108*VLOOKUP('Données projet'!$B$15,Paramètres!$A$1:$I$89,3,0)*VLOOKUP('Données projet'!$B$15,Paramètres!$A$1:$I$89,5,0)</f>
        <v>6.7984728957526396E-14</v>
      </c>
      <c r="EL108" s="13">
        <f t="shared" si="99"/>
        <v>1.0682447123141398E-12</v>
      </c>
      <c r="EM108" s="20">
        <f t="shared" si="73"/>
        <v>1.978932943548152E-12</v>
      </c>
      <c r="EN108" s="59">
        <f t="shared" si="74"/>
        <v>293.3333333333353</v>
      </c>
      <c r="EO108" s="59">
        <f ca="1">AVERAGE(OFFSET($EN$3,0,0,'Données projet'!$E$15+1,1))-AVERAGE(OFFSET($H$3,0,0,'Données projet'!$E$15+1,1))</f>
        <v>259.30247982593914</v>
      </c>
      <c r="EP108" s="59">
        <f t="shared" si="100"/>
        <v>275.24740346220779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2.2541266289997326</v>
      </c>
      <c r="EX108" s="21">
        <f>EXP(-LN(2)/2)*EX107+(1-EXP(-LN(2)/2))/(LN(2)/2)*ER108*EU108*VLOOKUP('Données projet'!$B$15,Paramètres!$A$1:$I$89,3,0)*0.475*44/12</f>
        <v>1.4755754784866688E-10</v>
      </c>
      <c r="EY108" s="22">
        <f t="shared" si="75"/>
        <v>2.2541266291472901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5.2</v>
      </c>
      <c r="FE108" s="12">
        <f>IF('Données projet'!$A$218&gt;35,FE107+FD108-FM107,IF(A108&lt;'Données projet'!$A$218,$FB$205^A108,IF(A108='Données projet'!$A$218,'Données projet'!$B$218,FE107+FD108-FM107)))</f>
        <v>331.99999999999972</v>
      </c>
      <c r="FF108" s="17">
        <f>FE108*VLOOKUP('Données projet'!$B$16,Paramètres!$A$1:$I$89,3,0)*VLOOKUP('Données projet'!$B$16,Paramètres!$A$1:$I$89,5,0)</f>
        <v>336.64799999999974</v>
      </c>
      <c r="FG108" s="13">
        <f t="shared" si="101"/>
        <v>78.807003163010307</v>
      </c>
      <c r="FH108" s="20">
        <f t="shared" si="76"/>
        <v>723.58413050890897</v>
      </c>
      <c r="FI108" s="59">
        <f t="shared" si="77"/>
        <v>1016.9174638422423</v>
      </c>
      <c r="FJ108" s="59">
        <f ca="1">AVERAGE(OFFSET($FI$3,0,0,'Données projet'!$E$16+1,1))-AVERAGE(OFFSET($H$3,0,0,'Données projet'!$E$16+1,1))</f>
        <v>372.91317851957336</v>
      </c>
      <c r="FK108" s="59">
        <f t="shared" si="102"/>
        <v>269.69187715858413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0.61119145185260859</v>
      </c>
      <c r="FR108" s="21">
        <f>EXP(-LN(2)/25)*FR107+(1-EXP(-LN(2)/25))/(LN(2)/25)*Calculateur!FM108*Calculateur!FO108*VLOOKUP('Données projet'!$B$16,Paramètres!$A$1:$I$89,3,0)*0.475*44/12</f>
        <v>1.8989402238946866</v>
      </c>
      <c r="FS108" s="21">
        <f>EXP(-LN(2)/2)*FS107+(1-EXP(-LN(2)/2))/(LN(2)/2)*FM108*FP108*VLOOKUP('Données projet'!$B$16,Paramètres!$A$1:$I$89,3,0)*0.475*44/12</f>
        <v>1.2534925301464426E-10</v>
      </c>
      <c r="FT108" s="22">
        <f t="shared" si="78"/>
        <v>2.5101316758726444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-1.1368683772161603E-13</v>
      </c>
      <c r="GA108" s="17">
        <f>FZ108*VLOOKUP('Données projet'!$B$17,Paramètres!$A$1:$I$89,3,0)*VLOOKUP('Données projet'!$B$17,Paramètres!$A$1:$I$89,5,0)</f>
        <v>-5.3205440053716299E-14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215.23235148064941</v>
      </c>
      <c r="GF108" s="59">
        <f t="shared" si="104"/>
        <v>184.07239726900434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0.7097661835838075</v>
      </c>
      <c r="GM108" s="21">
        <f>EXP(-LN(2)/25)*GM107+(1-EXP(-LN(2)/25))/(LN(2)/25)*Calculateur!GH108*Calculateur!GJ108*VLOOKUP('Données projet'!$B$17,Paramètres!$A$1:$I$89,3,0)*0.475*44/12</f>
        <v>0.98193304424915351</v>
      </c>
      <c r="GN108" s="21">
        <f>EXP(-LN(2)/2)*GN107+(1-EXP(-LN(2)/2))/(LN(2)/2)*GH108*GK108*VLOOKUP('Données projet'!$B$17,Paramètres!$A$1:$I$89,3,0)*0.475*44/12</f>
        <v>5.0585357989185847E-11</v>
      </c>
      <c r="GO108" s="21">
        <f t="shared" si="81"/>
        <v>1.6916992278835463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-1.1368683772161603E-13</v>
      </c>
      <c r="GV108" s="17">
        <f>GU108*VLOOKUP('Données projet'!$B$18,Paramètres!$A$1:$I$89,3,0)*VLOOKUP('Données projet'!$B$18,Paramètres!$A$1:$I$89,5,0)</f>
        <v>-6.7984728957526396E-14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227.89848316900191</v>
      </c>
      <c r="HA108" s="59">
        <f t="shared" si="106"/>
        <v>239.85955661394541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1.7983241751634325</v>
      </c>
      <c r="HH108" s="21">
        <f>EXP(-LN(2)/25)*HH107+(1-EXP(-LN(2)/25))/(LN(2)/25)*Calculateur!HC108*Calculateur!HE108*VLOOKUP('Données projet'!$B$18,Paramètres!$A$1:$I$89,3,0)*0.475*44/12</f>
        <v>2.1429472005761507</v>
      </c>
      <c r="HI108" s="21">
        <f>EXP(-LN(2)/2)*HI107+(1-EXP(-LN(2)/2))/(LN(2)/2)*HC108*HF108*VLOOKUP('Données projet'!$B$18,Paramètres!$A$1:$I$89,3,0)*0.475*44/12</f>
        <v>3.4489059459353642E-11</v>
      </c>
      <c r="HJ108" s="22">
        <f t="shared" si="84"/>
        <v>3.9412713757740718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2.5420376914553347E-13</v>
      </c>
      <c r="P109" s="13">
        <f t="shared" si="87"/>
        <v>3.4258699088369875E-12</v>
      </c>
      <c r="Q109" s="20">
        <f t="shared" si="107"/>
        <v>6.4094616558195571E-12</v>
      </c>
      <c r="R109" s="59">
        <f t="shared" si="55"/>
        <v>293.33333333333974</v>
      </c>
      <c r="S109" s="59">
        <f ca="1">AVERAGE(OFFSET($R$3,0,0,'Données projet'!$E$9+1,1))-AVERAGE(OFFSET($H$3,0,0,'Données projet'!$E$9+1,1))</f>
        <v>370.69652285220093</v>
      </c>
      <c r="T109" s="59">
        <f t="shared" si="88"/>
        <v>376.53494965377718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2.2815934487270648</v>
      </c>
      <c r="AA109" s="21">
        <f>EXP(-LN(2)/25)*AA108+(1-EXP(-LN(2)/25))/(LN(2)/25)*Calculateur!V109*Calculateur!X109*VLOOKUP('Données projet'!$B$9,Paramètres!$A$1:$I$89,3,0)*0.475*44/12</f>
        <v>4.0615223933907396</v>
      </c>
      <c r="AB109" s="21">
        <f>EXP(-LN(2)/2)*AB108+(1-EXP(-LN(2)/2))/(LN(2)/2)*V109*Y109*VLOOKUP('Données projet'!$B$9,Paramètres!$A$1:$I$89,3,0)*0.475*44/12</f>
        <v>1.1907018976265353E-10</v>
      </c>
      <c r="AC109" s="22">
        <f t="shared" si="57"/>
        <v>6.3431158422368741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305.09855999999974</v>
      </c>
      <c r="AK109" s="13">
        <f t="shared" si="89"/>
        <v>72.244266890878734</v>
      </c>
      <c r="AL109" s="20">
        <f t="shared" si="58"/>
        <v>657.20542350161338</v>
      </c>
      <c r="AM109" s="59">
        <f t="shared" si="59"/>
        <v>950.53875683494675</v>
      </c>
      <c r="AN109" s="59">
        <f ca="1">AVERAGE(OFFSET($AM$3,0,0,'Données projet'!$E$10+1,1))-AVERAGE(OFFSET($H$3,0,0,'Données projet'!$E$10+1,1))</f>
        <v>321.03881567735544</v>
      </c>
      <c r="AO109" s="59">
        <f t="shared" si="90"/>
        <v>234.87694492493506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0.53467644455018093</v>
      </c>
      <c r="AV109" s="21">
        <f>EXP(-LN(2)/25)*AV108+(1-EXP(-LN(2)/25))/(LN(2)/25)*Calculateur!AQ109*Calculateur!AS109*VLOOKUP('Données projet'!$B$10,Paramètres!$A$1:$I$89,3,0)*0.475*44/12</f>
        <v>1.648104446299367</v>
      </c>
      <c r="AW109" s="21">
        <f>EXP(-LN(2)/2)*AW108+(1-EXP(-LN(2)/2))/(LN(2)/2)*AQ109*AT109*VLOOKUP('Données projet'!$B$10,Paramètres!$A$1:$I$89,3,0)*0.475*44/12</f>
        <v>7.9089966088503881E-11</v>
      </c>
      <c r="AX109" s="21">
        <f t="shared" si="60"/>
        <v>2.1827808909286381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5.6843418860808015E-13</v>
      </c>
      <c r="BE109" s="13">
        <f>BD109*VLOOKUP('Données projet'!$B$11,Paramètres!$A$1:$I$89,3,0)*VLOOKUP('Données projet'!$B$11,Paramètres!$A$1:$I$89,5,0)</f>
        <v>3.1036506698001181E-13</v>
      </c>
      <c r="BF109" s="13">
        <f t="shared" si="91"/>
        <v>4.086682523110923E-12</v>
      </c>
      <c r="BG109" s="20">
        <f t="shared" si="61"/>
        <v>7.6581912194083782E-12</v>
      </c>
      <c r="BH109" s="59">
        <f t="shared" si="62"/>
        <v>293.33333333334099</v>
      </c>
      <c r="BI109" s="59">
        <f ca="1">AVERAGE(OFFSET($BH$3,0,0,'Données projet'!$E$11+1,1))-AVERAGE(OFFSET($H$3,0,0,'Données projet'!$E$11+1,1))</f>
        <v>248.1486444660062</v>
      </c>
      <c r="BJ109" s="59">
        <f t="shared" si="92"/>
        <v>293.34458072322127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1.8908766002135493</v>
      </c>
      <c r="BQ109" s="21">
        <f>EXP(-LN(2)/25)*BQ108+(1-EXP(-LN(2)/25))/(LN(2)/25)*Calculateur!BL109*Calculateur!BN109*VLOOKUP('Données projet'!$B$11,Paramètres!$A$1:$I$89,3,0)*0.475*44/12</f>
        <v>4.1383719935876053</v>
      </c>
      <c r="BR109" s="21">
        <f>EXP(-LN(2)/2)*BR108+(1-EXP(-LN(2)/2))/(LN(2)/2)*BL109*BO109*VLOOKUP('Données projet'!$B$11,Paramètres!$A$1:$I$89,3,0)*0.475*44/12</f>
        <v>9.161313251703633E-11</v>
      </c>
      <c r="BS109" s="22">
        <f t="shared" si="63"/>
        <v>6.0292485938927678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243.38048563215585</v>
      </c>
      <c r="CE109" s="59">
        <f t="shared" si="94"/>
        <v>372.1604147006675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1.6224664524281358</v>
      </c>
      <c r="CL109" s="21">
        <f>EXP(-LN(2)/25)*CL108+(1-EXP(-LN(2)/25))/(LN(2)/25)*Calculateur!CG109*Calculateur!CI109*VLOOKUP('Données projet'!$B$12,Paramètres!$A$1:$I$89,3,0)*0.475*44/12</f>
        <v>2.3541202384871531</v>
      </c>
      <c r="CM109" s="21">
        <f>EXP(-LN(2)/2)*CM108+(1-EXP(-LN(2)/2))/(LN(2)/2)*CG109*CJ109*VLOOKUP('Données projet'!$B$12,Paramètres!$A$1:$I$89,3,0)*0.475*44/12</f>
        <v>1.0664712758866576E-10</v>
      </c>
      <c r="CN109" s="22">
        <f t="shared" si="66"/>
        <v>3.9765866910219358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7.9580786405131221E-13</v>
      </c>
      <c r="CU109" s="17">
        <f>CT109*VLOOKUP('Données projet'!$B$13,Paramètres!$A$1:$I$89,3,0)*VLOOKUP('Données projet'!$B$13,Paramètres!$A$1:$I$89,5,0)</f>
        <v>3.8278358260868117E-13</v>
      </c>
      <c r="CV109" s="13">
        <f t="shared" si="95"/>
        <v>4.9186917125089072E-12</v>
      </c>
      <c r="CW109" s="20">
        <f t="shared" si="67"/>
        <v>9.2334028056631319E-12</v>
      </c>
      <c r="CX109" s="59">
        <f t="shared" si="68"/>
        <v>293.33333333334252</v>
      </c>
      <c r="CY109" s="59">
        <f ca="1">AVERAGE(OFFSET($CX$3,0,0,'Données projet'!$E$13+1,1))-AVERAGE(OFFSET($H$3,0,0,'Données projet'!$E$13+1,1))</f>
        <v>297.21955661193238</v>
      </c>
      <c r="CZ109" s="59">
        <f t="shared" si="96"/>
        <v>273.69206144662144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1.4957954835508553</v>
      </c>
      <c r="DG109" s="21">
        <f>EXP(-LN(2)/25)*DG108+(1-EXP(-LN(2)/25))/(LN(2)/25)*Calculateur!DB109*Calculateur!DD109*VLOOKUP('Données projet'!$B$13,Paramètres!$A$1:$I$89,3,0)*0.475*44/12</f>
        <v>1.6320099480778421</v>
      </c>
      <c r="DH109" s="21">
        <f>EXP(-LN(2)/2)*DH108+(1-EXP(-LN(2)/2))/(LN(2)/2)*DB109*DE109*VLOOKUP('Données projet'!$B$13,Paramètres!$A$1:$I$89,3,0)*0.475*44/12</f>
        <v>7.6080262909209833E-11</v>
      </c>
      <c r="DI109" s="22">
        <f t="shared" si="69"/>
        <v>3.1278054317047781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-4.0702161641092972E-13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260.20517190557814</v>
      </c>
      <c r="DU109" s="59">
        <f t="shared" si="98"/>
        <v>307.22009971147133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0.72435366360221509</v>
      </c>
      <c r="EB109" s="21">
        <f>EXP(-LN(2)/25)*EB108+(1-EXP(-LN(2)/25))/(LN(2)/25)*Calculateur!DW109*Calculateur!DY109*VLOOKUP('Données projet'!$B$14,Paramètres!$A$1:$I$89,3,0)*0.475*44/12</f>
        <v>2.4948116386510519</v>
      </c>
      <c r="EC109" s="21">
        <f>EXP(-LN(2)/2)*EC108+(1-EXP(-LN(2)/2))/(LN(2)/2)*DW109*DZ109*VLOOKUP('Données projet'!$B$14,Paramètres!$A$1:$I$89,3,0)*0.475*44/12</f>
        <v>8.7453497154482779E-11</v>
      </c>
      <c r="ED109" s="22">
        <f t="shared" si="72"/>
        <v>3.2191653023407207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1.1368683772161603E-13</v>
      </c>
      <c r="EK109" s="17">
        <f>EJ109*VLOOKUP('Données projet'!$B$15,Paramètres!$A$1:$I$89,3,0)*VLOOKUP('Données projet'!$B$15,Paramètres!$A$1:$I$89,5,0)</f>
        <v>6.7984728957526396E-14</v>
      </c>
      <c r="EL109" s="13">
        <f t="shared" si="99"/>
        <v>1.0682447123141398E-12</v>
      </c>
      <c r="EM109" s="20">
        <f t="shared" si="73"/>
        <v>1.978932943548152E-12</v>
      </c>
      <c r="EN109" s="59">
        <f t="shared" si="74"/>
        <v>293.3333333333353</v>
      </c>
      <c r="EO109" s="59">
        <f ca="1">AVERAGE(OFFSET($EN$3,0,0,'Données projet'!$E$15+1,1))-AVERAGE(OFFSET($H$3,0,0,'Données projet'!$E$15+1,1))</f>
        <v>259.30247982593914</v>
      </c>
      <c r="EP109" s="59">
        <f t="shared" si="100"/>
        <v>275.24740346220779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2.1924874177903675</v>
      </c>
      <c r="EX109" s="21">
        <f>EXP(-LN(2)/2)*EX108+(1-EXP(-LN(2)/2))/(LN(2)/2)*ER109*EU109*VLOOKUP('Données projet'!$B$15,Paramètres!$A$1:$I$89,3,0)*0.475*44/12</f>
        <v>1.0433894269905081E-10</v>
      </c>
      <c r="EY109" s="22">
        <f t="shared" si="75"/>
        <v>2.1924874178947062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5.2</v>
      </c>
      <c r="FE109" s="12">
        <f>IF('Données projet'!$A$218&gt;35,FE108+FD109-FM108,IF(A109&lt;'Données projet'!$A$218,$FB$205^A109,IF(A109='Données projet'!$A$218,'Données projet'!$B$218,FE108+FD109-FM108)))</f>
        <v>337.1999999999997</v>
      </c>
      <c r="FF109" s="17">
        <f>FE109*VLOOKUP('Données projet'!$B$16,Paramètres!$A$1:$I$89,3,0)*VLOOKUP('Données projet'!$B$16,Paramètres!$A$1:$I$89,5,0)</f>
        <v>341.9207999999997</v>
      </c>
      <c r="FG109" s="13">
        <f t="shared" si="101"/>
        <v>79.896665654133528</v>
      </c>
      <c r="FH109" s="20">
        <f t="shared" si="76"/>
        <v>734.66541934761528</v>
      </c>
      <c r="FI109" s="59">
        <f t="shared" si="77"/>
        <v>1027.9987526809487</v>
      </c>
      <c r="FJ109" s="59">
        <f ca="1">AVERAGE(OFFSET($FI$3,0,0,'Données projet'!$E$16+1,1))-AVERAGE(OFFSET($H$3,0,0,'Données projet'!$E$16+1,1))</f>
        <v>372.91317851957336</v>
      </c>
      <c r="FK109" s="59">
        <f t="shared" si="102"/>
        <v>269.69187715858413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0.59920636027175467</v>
      </c>
      <c r="FR109" s="21">
        <f>EXP(-LN(2)/25)*FR108+(1-EXP(-LN(2)/25))/(LN(2)/25)*Calculateur!FM109*Calculateur!FO109*VLOOKUP('Données projet'!$B$16,Paramètres!$A$1:$I$89,3,0)*0.475*44/12</f>
        <v>1.8470136036113602</v>
      </c>
      <c r="FS109" s="21">
        <f>EXP(-LN(2)/2)*FS108+(1-EXP(-LN(2)/2))/(LN(2)/2)*FM109*FP109*VLOOKUP('Données projet'!$B$16,Paramètres!$A$1:$I$89,3,0)*0.475*44/12</f>
        <v>8.8635306823323245E-11</v>
      </c>
      <c r="FT109" s="22">
        <f t="shared" si="78"/>
        <v>2.4462199639717501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-1.1368683772161603E-13</v>
      </c>
      <c r="GA109" s="17">
        <f>FZ109*VLOOKUP('Données projet'!$B$17,Paramètres!$A$1:$I$89,3,0)*VLOOKUP('Données projet'!$B$17,Paramètres!$A$1:$I$89,5,0)</f>
        <v>-5.3205440053716299E-14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215.23235148064941</v>
      </c>
      <c r="GF109" s="59">
        <f t="shared" si="104"/>
        <v>184.07239726900434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0.6958481016383542</v>
      </c>
      <c r="GM109" s="21">
        <f>EXP(-LN(2)/25)*GM108+(1-EXP(-LN(2)/25))/(LN(2)/25)*Calculateur!GH109*Calculateur!GJ109*VLOOKUP('Données projet'!$B$17,Paramètres!$A$1:$I$89,3,0)*0.475*44/12</f>
        <v>0.95508203351654586</v>
      </c>
      <c r="GN109" s="21">
        <f>EXP(-LN(2)/2)*GN108+(1-EXP(-LN(2)/2))/(LN(2)/2)*GH109*GK109*VLOOKUP('Données projet'!$B$17,Paramètres!$A$1:$I$89,3,0)*0.475*44/12</f>
        <v>3.576924966290241E-11</v>
      </c>
      <c r="GO109" s="21">
        <f t="shared" si="81"/>
        <v>1.6509301351906691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-1.1368683772161603E-13</v>
      </c>
      <c r="GV109" s="17">
        <f>GU109*VLOOKUP('Données projet'!$B$18,Paramètres!$A$1:$I$89,3,0)*VLOOKUP('Données projet'!$B$18,Paramètres!$A$1:$I$89,5,0)</f>
        <v>-6.7984728957526396E-14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227.89848316900191</v>
      </c>
      <c r="HA109" s="59">
        <f t="shared" si="106"/>
        <v>239.85955661394541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1.7630601349579176</v>
      </c>
      <c r="HH109" s="21">
        <f>EXP(-LN(2)/25)*HH108+(1-EXP(-LN(2)/25))/(LN(2)/25)*Calculateur!HC109*Calculateur!HE109*VLOOKUP('Données projet'!$B$18,Paramètres!$A$1:$I$89,3,0)*0.475*44/12</f>
        <v>2.0843481966837003</v>
      </c>
      <c r="HI109" s="21">
        <f>EXP(-LN(2)/2)*HI108+(1-EXP(-LN(2)/2))/(LN(2)/2)*HC109*HF109*VLOOKUP('Données projet'!$B$18,Paramètres!$A$1:$I$89,3,0)*0.475*44/12</f>
        <v>2.4387447820455003E-11</v>
      </c>
      <c r="HJ109" s="22">
        <f t="shared" si="84"/>
        <v>3.8474083316660055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2.5420376914553347E-13</v>
      </c>
      <c r="P110" s="13">
        <f t="shared" si="87"/>
        <v>3.4258699088369875E-12</v>
      </c>
      <c r="Q110" s="20">
        <f t="shared" si="107"/>
        <v>6.4094616558195571E-12</v>
      </c>
      <c r="R110" s="59">
        <f t="shared" si="55"/>
        <v>293.33333333333974</v>
      </c>
      <c r="S110" s="59">
        <f ca="1">AVERAGE(OFFSET($R$3,0,0,'Données projet'!$E$9+1,1))-AVERAGE(OFFSET($H$3,0,0,'Données projet'!$E$9+1,1))</f>
        <v>370.69652285220093</v>
      </c>
      <c r="T110" s="59">
        <f t="shared" si="88"/>
        <v>376.53494965377718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2.2368527928321185</v>
      </c>
      <c r="AA110" s="21">
        <f>EXP(-LN(2)/25)*AA109+(1-EXP(-LN(2)/25))/(LN(2)/25)*Calculateur!V110*Calculateur!X110*VLOOKUP('Données projet'!$B$9,Paramètres!$A$1:$I$89,3,0)*0.475*44/12</f>
        <v>3.9504598499572898</v>
      </c>
      <c r="AB110" s="21">
        <f>EXP(-LN(2)/2)*AB109+(1-EXP(-LN(2)/2))/(LN(2)/2)*V110*Y110*VLOOKUP('Données projet'!$B$9,Paramètres!$A$1:$I$89,3,0)*0.475*44/12</f>
        <v>8.4195338618341342E-11</v>
      </c>
      <c r="AC110" s="22">
        <f t="shared" si="57"/>
        <v>6.1873126428736036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309.80351999999971</v>
      </c>
      <c r="AK110" s="13">
        <f t="shared" si="89"/>
        <v>73.227795813703693</v>
      </c>
      <c r="AL110" s="20">
        <f t="shared" si="58"/>
        <v>667.11287504220002</v>
      </c>
      <c r="AM110" s="59">
        <f t="shared" si="59"/>
        <v>960.44620837553339</v>
      </c>
      <c r="AN110" s="59">
        <f ca="1">AVERAGE(OFFSET($AM$3,0,0,'Données projet'!$E$10+1,1))-AVERAGE(OFFSET($H$3,0,0,'Données projet'!$E$10+1,1))</f>
        <v>321.03881567735544</v>
      </c>
      <c r="AO110" s="59">
        <f t="shared" si="90"/>
        <v>234.87694492493506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0.52419176559298131</v>
      </c>
      <c r="AV110" s="21">
        <f>EXP(-LN(2)/25)*AV109+(1-EXP(-LN(2)/25))/(LN(2)/25)*Calculateur!AQ110*Calculateur!AS110*VLOOKUP('Données projet'!$B$10,Paramètres!$A$1:$I$89,3,0)*0.475*44/12</f>
        <v>1.6030369435452647</v>
      </c>
      <c r="AW110" s="21">
        <f>EXP(-LN(2)/2)*AW109+(1-EXP(-LN(2)/2))/(LN(2)/2)*AQ110*AT110*VLOOKUP('Données projet'!$B$10,Paramètres!$A$1:$I$89,3,0)*0.475*44/12</f>
        <v>5.5925051344995178E-11</v>
      </c>
      <c r="AX110" s="21">
        <f t="shared" si="60"/>
        <v>2.1272287091941711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5.6843418860808015E-13</v>
      </c>
      <c r="BE110" s="13">
        <f>BD110*VLOOKUP('Données projet'!$B$11,Paramètres!$A$1:$I$89,3,0)*VLOOKUP('Données projet'!$B$11,Paramètres!$A$1:$I$89,5,0)</f>
        <v>3.1036506698001181E-13</v>
      </c>
      <c r="BF110" s="13">
        <f t="shared" si="91"/>
        <v>4.086682523110923E-12</v>
      </c>
      <c r="BG110" s="20">
        <f t="shared" si="61"/>
        <v>7.6581912194083782E-12</v>
      </c>
      <c r="BH110" s="59">
        <f t="shared" si="62"/>
        <v>293.33333333334099</v>
      </c>
      <c r="BI110" s="59">
        <f ca="1">AVERAGE(OFFSET($BH$3,0,0,'Données projet'!$E$11+1,1))-AVERAGE(OFFSET($H$3,0,0,'Données projet'!$E$11+1,1))</f>
        <v>248.1486444660062</v>
      </c>
      <c r="BJ110" s="59">
        <f t="shared" si="92"/>
        <v>293.34458072322127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1.8537976634042068</v>
      </c>
      <c r="BQ110" s="21">
        <f>EXP(-LN(2)/25)*BQ109+(1-EXP(-LN(2)/25))/(LN(2)/25)*Calculateur!BL110*Calculateur!BN110*VLOOKUP('Données projet'!$B$11,Paramètres!$A$1:$I$89,3,0)*0.475*44/12</f>
        <v>4.0252079937954273</v>
      </c>
      <c r="BR110" s="21">
        <f>EXP(-LN(2)/2)*BR109+(1-EXP(-LN(2)/2))/(LN(2)/2)*BL110*BO110*VLOOKUP('Données projet'!$B$11,Paramètres!$A$1:$I$89,3,0)*0.475*44/12</f>
        <v>6.478026724853819E-11</v>
      </c>
      <c r="BS110" s="22">
        <f t="shared" si="63"/>
        <v>5.8790056572644147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243.38048563215585</v>
      </c>
      <c r="CE110" s="59">
        <f t="shared" si="94"/>
        <v>372.1604147006675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1.5906508749028405</v>
      </c>
      <c r="CL110" s="21">
        <f>EXP(-LN(2)/25)*CL109+(1-EXP(-LN(2)/25))/(LN(2)/25)*Calculateur!CG110*Calculateur!CI110*VLOOKUP('Données projet'!$B$12,Paramètres!$A$1:$I$89,3,0)*0.475*44/12</f>
        <v>2.289746696767919</v>
      </c>
      <c r="CM110" s="21">
        <f>EXP(-LN(2)/2)*CM109+(1-EXP(-LN(2)/2))/(LN(2)/2)*CG110*CJ110*VLOOKUP('Données projet'!$B$12,Paramètres!$A$1:$I$89,3,0)*0.475*44/12</f>
        <v>7.5410907112012496E-11</v>
      </c>
      <c r="CN110" s="22">
        <f t="shared" si="66"/>
        <v>3.8803975717461703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7.9580786405131221E-13</v>
      </c>
      <c r="CU110" s="17">
        <f>CT110*VLOOKUP('Données projet'!$B$13,Paramètres!$A$1:$I$89,3,0)*VLOOKUP('Données projet'!$B$13,Paramètres!$A$1:$I$89,5,0)</f>
        <v>3.8278358260868117E-13</v>
      </c>
      <c r="CV110" s="13">
        <f t="shared" si="95"/>
        <v>4.9186917125089072E-12</v>
      </c>
      <c r="CW110" s="20">
        <f t="shared" si="67"/>
        <v>9.2334028056631319E-12</v>
      </c>
      <c r="CX110" s="59">
        <f t="shared" si="68"/>
        <v>293.33333333334252</v>
      </c>
      <c r="CY110" s="59">
        <f ca="1">AVERAGE(OFFSET($CX$3,0,0,'Données projet'!$E$13+1,1))-AVERAGE(OFFSET($H$3,0,0,'Données projet'!$E$13+1,1))</f>
        <v>297.21955661193238</v>
      </c>
      <c r="CZ110" s="59">
        <f t="shared" si="96"/>
        <v>273.69206144662144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1.4664638464635815</v>
      </c>
      <c r="DG110" s="21">
        <f>EXP(-LN(2)/25)*DG109+(1-EXP(-LN(2)/25))/(LN(2)/25)*Calculateur!DB110*Calculateur!DD110*VLOOKUP('Données projet'!$B$13,Paramètres!$A$1:$I$89,3,0)*0.475*44/12</f>
        <v>1.5873825502239802</v>
      </c>
      <c r="DH110" s="21">
        <f>EXP(-LN(2)/2)*DH109+(1-EXP(-LN(2)/2))/(LN(2)/2)*DB110*DE110*VLOOKUP('Données projet'!$B$13,Paramètres!$A$1:$I$89,3,0)*0.475*44/12</f>
        <v>5.3796869817557645E-11</v>
      </c>
      <c r="DI110" s="22">
        <f t="shared" si="69"/>
        <v>3.0538463967413589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-4.0702161641092972E-13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260.20517190557814</v>
      </c>
      <c r="DU110" s="59">
        <f t="shared" si="98"/>
        <v>307.22009971147133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0.71014953007108517</v>
      </c>
      <c r="EB110" s="21">
        <f>EXP(-LN(2)/25)*EB109+(1-EXP(-LN(2)/25))/(LN(2)/25)*Calculateur!DW110*Calculateur!DY110*VLOOKUP('Données projet'!$B$14,Paramètres!$A$1:$I$89,3,0)*0.475*44/12</f>
        <v>2.4265908831956966</v>
      </c>
      <c r="EC110" s="21">
        <f>EXP(-LN(2)/2)*EC109+(1-EXP(-LN(2)/2))/(LN(2)/2)*DW110*DZ110*VLOOKUP('Données projet'!$B$14,Paramètres!$A$1:$I$89,3,0)*0.475*44/12</f>
        <v>6.1838960876413211E-11</v>
      </c>
      <c r="ED110" s="22">
        <f t="shared" si="72"/>
        <v>3.1367404133286207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1.1368683772161603E-13</v>
      </c>
      <c r="EK110" s="17">
        <f>EJ110*VLOOKUP('Données projet'!$B$15,Paramètres!$A$1:$I$89,3,0)*VLOOKUP('Données projet'!$B$15,Paramètres!$A$1:$I$89,5,0)</f>
        <v>6.7984728957526396E-14</v>
      </c>
      <c r="EL110" s="13">
        <f t="shared" si="99"/>
        <v>1.0682447123141398E-12</v>
      </c>
      <c r="EM110" s="20">
        <f t="shared" si="73"/>
        <v>1.978932943548152E-12</v>
      </c>
      <c r="EN110" s="59">
        <f t="shared" si="74"/>
        <v>293.3333333333353</v>
      </c>
      <c r="EO110" s="59">
        <f ca="1">AVERAGE(OFFSET($EN$3,0,0,'Données projet'!$E$15+1,1))-AVERAGE(OFFSET($H$3,0,0,'Données projet'!$E$15+1,1))</f>
        <v>259.30247982593914</v>
      </c>
      <c r="EP110" s="59">
        <f t="shared" si="100"/>
        <v>275.24740346220779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2.1325337340529877</v>
      </c>
      <c r="EX110" s="21">
        <f>EXP(-LN(2)/2)*EX109+(1-EXP(-LN(2)/2))/(LN(2)/2)*ER110*EU110*VLOOKUP('Données projet'!$B$15,Paramètres!$A$1:$I$89,3,0)*0.475*44/12</f>
        <v>7.377877392433344E-11</v>
      </c>
      <c r="EY110" s="22">
        <f t="shared" si="75"/>
        <v>2.1325337341267665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5.2</v>
      </c>
      <c r="FE110" s="12">
        <f>IF('Données projet'!$A$218&gt;35,FE109+FD110-FM109,IF(A110&lt;'Données projet'!$A$218,$FB$205^A110,IF(A110='Données projet'!$A$218,'Données projet'!$B$218,FE109+FD110-FM109)))</f>
        <v>342.39999999999969</v>
      </c>
      <c r="FF110" s="17">
        <f>FE110*VLOOKUP('Données projet'!$B$16,Paramètres!$A$1:$I$89,3,0)*VLOOKUP('Données projet'!$B$16,Paramètres!$A$1:$I$89,5,0)</f>
        <v>347.19359999999972</v>
      </c>
      <c r="FG110" s="13">
        <f t="shared" si="101"/>
        <v>80.984373854243287</v>
      </c>
      <c r="FH110" s="20">
        <f t="shared" si="76"/>
        <v>745.74330446280658</v>
      </c>
      <c r="FI110" s="59">
        <f t="shared" si="77"/>
        <v>1039.0766377961399</v>
      </c>
      <c r="FJ110" s="59">
        <f ca="1">AVERAGE(OFFSET($FI$3,0,0,'Données projet'!$E$16+1,1))-AVERAGE(OFFSET($H$3,0,0,'Données projet'!$E$16+1,1))</f>
        <v>372.91317851957336</v>
      </c>
      <c r="FK110" s="59">
        <f t="shared" si="102"/>
        <v>269.69187715858413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0.58745628902661717</v>
      </c>
      <c r="FR110" s="21">
        <f>EXP(-LN(2)/25)*FR109+(1-EXP(-LN(2)/25))/(LN(2)/25)*Calculateur!FM110*Calculateur!FO110*VLOOKUP('Données projet'!$B$16,Paramètres!$A$1:$I$89,3,0)*0.475*44/12</f>
        <v>1.7965069194903835</v>
      </c>
      <c r="FS110" s="21">
        <f>EXP(-LN(2)/2)*FS109+(1-EXP(-LN(2)/2))/(LN(2)/2)*FM110*FP110*VLOOKUP('Données projet'!$B$16,Paramètres!$A$1:$I$89,3,0)*0.475*44/12</f>
        <v>6.2674626507322132E-11</v>
      </c>
      <c r="FT110" s="22">
        <f t="shared" si="78"/>
        <v>2.3839632085796754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-1.1368683772161603E-13</v>
      </c>
      <c r="GA110" s="17">
        <f>FZ110*VLOOKUP('Données projet'!$B$17,Paramètres!$A$1:$I$89,3,0)*VLOOKUP('Données projet'!$B$17,Paramètres!$A$1:$I$89,5,0)</f>
        <v>-5.3205440053716299E-14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215.23235148064941</v>
      </c>
      <c r="GF110" s="59">
        <f t="shared" si="104"/>
        <v>184.07239726900434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0.68220294479065957</v>
      </c>
      <c r="GM110" s="21">
        <f>EXP(-LN(2)/25)*GM109+(1-EXP(-LN(2)/25))/(LN(2)/25)*Calculateur!GH110*Calculateur!GJ110*VLOOKUP('Données projet'!$B$17,Paramètres!$A$1:$I$89,3,0)*0.475*44/12</f>
        <v>0.92896526508445465</v>
      </c>
      <c r="GN110" s="21">
        <f>EXP(-LN(2)/2)*GN109+(1-EXP(-LN(2)/2))/(LN(2)/2)*GH110*GK110*VLOOKUP('Données projet'!$B$17,Paramètres!$A$1:$I$89,3,0)*0.475*44/12</f>
        <v>2.5292678994592923E-11</v>
      </c>
      <c r="GO110" s="21">
        <f t="shared" si="81"/>
        <v>1.611168209900407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-1.1368683772161603E-13</v>
      </c>
      <c r="GV110" s="17">
        <f>GU110*VLOOKUP('Données projet'!$B$18,Paramètres!$A$1:$I$89,3,0)*VLOOKUP('Données projet'!$B$18,Paramètres!$A$1:$I$89,5,0)</f>
        <v>-6.7984728957526396E-14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227.89848316900191</v>
      </c>
      <c r="HA110" s="59">
        <f t="shared" si="106"/>
        <v>239.85955661394541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1.7284876010718921</v>
      </c>
      <c r="HH110" s="21">
        <f>EXP(-LN(2)/25)*HH109+(1-EXP(-LN(2)/25))/(LN(2)/25)*Calculateur!HC110*Calculateur!HE110*VLOOKUP('Données projet'!$B$18,Paramètres!$A$1:$I$89,3,0)*0.475*44/12</f>
        <v>2.0273515856342765</v>
      </c>
      <c r="HI110" s="21">
        <f>EXP(-LN(2)/2)*HI109+(1-EXP(-LN(2)/2))/(LN(2)/2)*HC110*HF110*VLOOKUP('Données projet'!$B$18,Paramètres!$A$1:$I$89,3,0)*0.475*44/12</f>
        <v>1.7244529729676821E-11</v>
      </c>
      <c r="HJ110" s="22">
        <f t="shared" si="84"/>
        <v>3.7558391867234131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2.5420376914553347E-13</v>
      </c>
      <c r="P111" s="13">
        <f t="shared" si="87"/>
        <v>3.4258699088369875E-12</v>
      </c>
      <c r="Q111" s="20">
        <f t="shared" si="107"/>
        <v>6.4094616558195571E-12</v>
      </c>
      <c r="R111" s="59">
        <f t="shared" si="55"/>
        <v>293.33333333333974</v>
      </c>
      <c r="S111" s="59">
        <f ca="1">AVERAGE(OFFSET($R$3,0,0,'Données projet'!$E$9+1,1))-AVERAGE(OFFSET($H$3,0,0,'Données projet'!$E$9+1,1))</f>
        <v>370.69652285220093</v>
      </c>
      <c r="T111" s="59">
        <f t="shared" si="88"/>
        <v>376.53494965377718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2.1929894739101665</v>
      </c>
      <c r="AA111" s="21">
        <f>EXP(-LN(2)/25)*AA110+(1-EXP(-LN(2)/25))/(LN(2)/25)*Calculateur!V111*Calculateur!X111*VLOOKUP('Données projet'!$B$9,Paramètres!$A$1:$I$89,3,0)*0.475*44/12</f>
        <v>3.8424343176145532</v>
      </c>
      <c r="AB111" s="21">
        <f>EXP(-LN(2)/2)*AB110+(1-EXP(-LN(2)/2))/(LN(2)/2)*V111*Y111*VLOOKUP('Données projet'!$B$9,Paramètres!$A$1:$I$89,3,0)*0.475*44/12</f>
        <v>5.9535094881326764E-11</v>
      </c>
      <c r="AC111" s="22">
        <f t="shared" si="57"/>
        <v>6.0354237915842548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314.50847999999968</v>
      </c>
      <c r="AK111" s="13">
        <f t="shared" si="89"/>
        <v>74.209587561617383</v>
      </c>
      <c r="AL111" s="20">
        <f t="shared" si="58"/>
        <v>677.01730100314978</v>
      </c>
      <c r="AM111" s="59">
        <f t="shared" si="59"/>
        <v>970.35063433648315</v>
      </c>
      <c r="AN111" s="59">
        <f ca="1">AVERAGE(OFFSET($AM$3,0,0,'Données projet'!$E$10+1,1))-AVERAGE(OFFSET($H$3,0,0,'Données projet'!$E$10+1,1))</f>
        <v>321.03881567735544</v>
      </c>
      <c r="AO111" s="59">
        <f t="shared" si="90"/>
        <v>234.87694492493506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0.51391268479510965</v>
      </c>
      <c r="AV111" s="21">
        <f>EXP(-LN(2)/25)*AV110+(1-EXP(-LN(2)/25))/(LN(2)/25)*Calculateur!AQ111*Calculateur!AS111*VLOOKUP('Données projet'!$B$10,Paramètres!$A$1:$I$89,3,0)*0.475*44/12</f>
        <v>1.5592018140239703</v>
      </c>
      <c r="AW111" s="21">
        <f>EXP(-LN(2)/2)*AW110+(1-EXP(-LN(2)/2))/(LN(2)/2)*AQ111*AT111*VLOOKUP('Données projet'!$B$10,Paramètres!$A$1:$I$89,3,0)*0.475*44/12</f>
        <v>3.954498304425194E-11</v>
      </c>
      <c r="AX111" s="21">
        <f t="shared" si="60"/>
        <v>2.0731144988586245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5.6843418860808015E-13</v>
      </c>
      <c r="BE111" s="13">
        <f>BD111*VLOOKUP('Données projet'!$B$11,Paramètres!$A$1:$I$89,3,0)*VLOOKUP('Données projet'!$B$11,Paramètres!$A$1:$I$89,5,0)</f>
        <v>3.1036506698001181E-13</v>
      </c>
      <c r="BF111" s="13">
        <f t="shared" si="91"/>
        <v>4.086682523110923E-12</v>
      </c>
      <c r="BG111" s="20">
        <f t="shared" si="61"/>
        <v>7.6581912194083782E-12</v>
      </c>
      <c r="BH111" s="59">
        <f t="shared" si="62"/>
        <v>293.33333333334099</v>
      </c>
      <c r="BI111" s="59">
        <f ca="1">AVERAGE(OFFSET($BH$3,0,0,'Données projet'!$E$11+1,1))-AVERAGE(OFFSET($H$3,0,0,'Données projet'!$E$11+1,1))</f>
        <v>248.1486444660062</v>
      </c>
      <c r="BJ111" s="59">
        <f t="shared" si="92"/>
        <v>293.34458072322127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1.8174458219297771</v>
      </c>
      <c r="BQ111" s="21">
        <f>EXP(-LN(2)/25)*BQ110+(1-EXP(-LN(2)/25))/(LN(2)/25)*Calculateur!BL111*Calculateur!BN111*VLOOKUP('Données projet'!$B$11,Paramètres!$A$1:$I$89,3,0)*0.475*44/12</f>
        <v>3.9151384695286024</v>
      </c>
      <c r="BR111" s="21">
        <f>EXP(-LN(2)/2)*BR110+(1-EXP(-LN(2)/2))/(LN(2)/2)*BL111*BO111*VLOOKUP('Données projet'!$B$11,Paramètres!$A$1:$I$89,3,0)*0.475*44/12</f>
        <v>4.5806566258518165E-11</v>
      </c>
      <c r="BS111" s="22">
        <f t="shared" si="63"/>
        <v>5.7325842915041862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243.38048563215585</v>
      </c>
      <c r="CE111" s="59">
        <f t="shared" si="94"/>
        <v>372.1604147006675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1.5594591814472301</v>
      </c>
      <c r="CL111" s="21">
        <f>EXP(-LN(2)/25)*CL110+(1-EXP(-LN(2)/25))/(LN(2)/25)*Calculateur!CG111*Calculateur!CI111*VLOOKUP('Données projet'!$B$12,Paramètres!$A$1:$I$89,3,0)*0.475*44/12</f>
        <v>2.2271334529322546</v>
      </c>
      <c r="CM111" s="21">
        <f>EXP(-LN(2)/2)*CM110+(1-EXP(-LN(2)/2))/(LN(2)/2)*CG111*CJ111*VLOOKUP('Données projet'!$B$12,Paramètres!$A$1:$I$89,3,0)*0.475*44/12</f>
        <v>5.3323563794332881E-11</v>
      </c>
      <c r="CN111" s="22">
        <f t="shared" si="66"/>
        <v>3.7865926344328082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7.9580786405131221E-13</v>
      </c>
      <c r="CU111" s="17">
        <f>CT111*VLOOKUP('Données projet'!$B$13,Paramètres!$A$1:$I$89,3,0)*VLOOKUP('Données projet'!$B$13,Paramètres!$A$1:$I$89,5,0)</f>
        <v>3.8278358260868117E-13</v>
      </c>
      <c r="CV111" s="13">
        <f t="shared" si="95"/>
        <v>4.9186917125089072E-12</v>
      </c>
      <c r="CW111" s="20">
        <f t="shared" si="67"/>
        <v>9.2334028056631319E-12</v>
      </c>
      <c r="CX111" s="59">
        <f t="shared" si="68"/>
        <v>293.33333333334252</v>
      </c>
      <c r="CY111" s="59">
        <f ca="1">AVERAGE(OFFSET($CX$3,0,0,'Données projet'!$E$13+1,1))-AVERAGE(OFFSET($H$3,0,0,'Données projet'!$E$13+1,1))</f>
        <v>297.21955661193238</v>
      </c>
      <c r="CZ111" s="59">
        <f t="shared" si="96"/>
        <v>273.69206144662144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1.4377073848890569</v>
      </c>
      <c r="DG111" s="21">
        <f>EXP(-LN(2)/25)*DG110+(1-EXP(-LN(2)/25))/(LN(2)/25)*Calculateur!DB111*Calculateur!DD111*VLOOKUP('Données projet'!$B$13,Paramètres!$A$1:$I$89,3,0)*0.475*44/12</f>
        <v>1.5439754909112853</v>
      </c>
      <c r="DH111" s="21">
        <f>EXP(-LN(2)/2)*DH110+(1-EXP(-LN(2)/2))/(LN(2)/2)*DB111*DE111*VLOOKUP('Données projet'!$B$13,Paramètres!$A$1:$I$89,3,0)*0.475*44/12</f>
        <v>3.8040131454604916E-11</v>
      </c>
      <c r="DI111" s="22">
        <f t="shared" si="69"/>
        <v>2.9816828758383824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-4.0702161641092972E-13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260.20517190557814</v>
      </c>
      <c r="DU111" s="59">
        <f t="shared" si="98"/>
        <v>307.22009971147133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0.6962239309348347</v>
      </c>
      <c r="EB111" s="21">
        <f>EXP(-LN(2)/25)*EB110+(1-EXP(-LN(2)/25))/(LN(2)/25)*Calculateur!DW111*Calculateur!DY111*VLOOKUP('Données projet'!$B$14,Paramètres!$A$1:$I$89,3,0)*0.475*44/12</f>
        <v>2.3602356278858418</v>
      </c>
      <c r="EC111" s="21">
        <f>EXP(-LN(2)/2)*EC110+(1-EXP(-LN(2)/2))/(LN(2)/2)*DW111*DZ111*VLOOKUP('Données projet'!$B$14,Paramètres!$A$1:$I$89,3,0)*0.475*44/12</f>
        <v>4.372674857724139E-11</v>
      </c>
      <c r="ED111" s="22">
        <f t="shared" si="72"/>
        <v>3.0564595588644035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1.1368683772161603E-13</v>
      </c>
      <c r="EK111" s="17">
        <f>EJ111*VLOOKUP('Données projet'!$B$15,Paramètres!$A$1:$I$89,3,0)*VLOOKUP('Données projet'!$B$15,Paramètres!$A$1:$I$89,5,0)</f>
        <v>6.7984728957526396E-14</v>
      </c>
      <c r="EL111" s="13">
        <f t="shared" si="99"/>
        <v>1.0682447123141398E-12</v>
      </c>
      <c r="EM111" s="20">
        <f t="shared" si="73"/>
        <v>1.978932943548152E-12</v>
      </c>
      <c r="EN111" s="59">
        <f t="shared" si="74"/>
        <v>293.3333333333353</v>
      </c>
      <c r="EO111" s="59">
        <f ca="1">AVERAGE(OFFSET($EN$3,0,0,'Données projet'!$E$15+1,1))-AVERAGE(OFFSET($H$3,0,0,'Données projet'!$E$15+1,1))</f>
        <v>259.30247982593914</v>
      </c>
      <c r="EP111" s="59">
        <f t="shared" si="100"/>
        <v>275.24740346220779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2.0742194869502337</v>
      </c>
      <c r="EX111" s="21">
        <f>EXP(-LN(2)/2)*EX110+(1-EXP(-LN(2)/2))/(LN(2)/2)*ER111*EU111*VLOOKUP('Données projet'!$B$15,Paramètres!$A$1:$I$89,3,0)*0.475*44/12</f>
        <v>5.2169471349525405E-11</v>
      </c>
      <c r="EY111" s="22">
        <f t="shared" si="75"/>
        <v>2.0742194870024031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5.2</v>
      </c>
      <c r="FE111" s="12">
        <f>IF('Données projet'!$A$218&gt;35,FE110+FD111-FM110,IF(A111&lt;'Données projet'!$A$218,$FB$205^A111,IF(A111='Données projet'!$A$218,'Données projet'!$B$218,FE110+FD111-FM110)))</f>
        <v>347.59999999999968</v>
      </c>
      <c r="FF111" s="17">
        <f>FE111*VLOOKUP('Données projet'!$B$16,Paramètres!$A$1:$I$89,3,0)*VLOOKUP('Données projet'!$B$16,Paramètres!$A$1:$I$89,5,0)</f>
        <v>352.46639999999968</v>
      </c>
      <c r="FG111" s="13">
        <f t="shared" si="101"/>
        <v>82.070160870997427</v>
      </c>
      <c r="FH111" s="20">
        <f t="shared" si="76"/>
        <v>756.81784351698661</v>
      </c>
      <c r="FI111" s="59">
        <f t="shared" si="77"/>
        <v>1050.1511768503199</v>
      </c>
      <c r="FJ111" s="59">
        <f ca="1">AVERAGE(OFFSET($FI$3,0,0,'Données projet'!$E$16+1,1))-AVERAGE(OFFSET($H$3,0,0,'Données projet'!$E$16+1,1))</f>
        <v>372.91317851957336</v>
      </c>
      <c r="FK111" s="59">
        <f t="shared" si="102"/>
        <v>269.69187715858413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0.57593662951176106</v>
      </c>
      <c r="FR111" s="21">
        <f>EXP(-LN(2)/25)*FR110+(1-EXP(-LN(2)/25))/(LN(2)/25)*Calculateur!FM111*Calculateur!FO111*VLOOKUP('Données projet'!$B$16,Paramètres!$A$1:$I$89,3,0)*0.475*44/12</f>
        <v>1.7473813433027261</v>
      </c>
      <c r="FS111" s="21">
        <f>EXP(-LN(2)/2)*FS110+(1-EXP(-LN(2)/2))/(LN(2)/2)*FM111*FP111*VLOOKUP('Données projet'!$B$16,Paramètres!$A$1:$I$89,3,0)*0.475*44/12</f>
        <v>4.4317653411661622E-11</v>
      </c>
      <c r="FT111" s="22">
        <f t="shared" si="78"/>
        <v>2.3233179728588045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-1.1368683772161603E-13</v>
      </c>
      <c r="GA111" s="17">
        <f>FZ111*VLOOKUP('Données projet'!$B$17,Paramètres!$A$1:$I$89,3,0)*VLOOKUP('Données projet'!$B$17,Paramètres!$A$1:$I$89,5,0)</f>
        <v>-5.3205440053716299E-14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215.23235148064941</v>
      </c>
      <c r="GF111" s="59">
        <f t="shared" si="104"/>
        <v>184.07239726900434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0.66882536114602431</v>
      </c>
      <c r="GM111" s="21">
        <f>EXP(-LN(2)/25)*GM110+(1-EXP(-LN(2)/25))/(LN(2)/25)*Calculateur!GH111*Calculateur!GJ111*VLOOKUP('Données projet'!$B$17,Paramètres!$A$1:$I$89,3,0)*0.475*44/12</f>
        <v>0.90356266105856009</v>
      </c>
      <c r="GN111" s="21">
        <f>EXP(-LN(2)/2)*GN110+(1-EXP(-LN(2)/2))/(LN(2)/2)*GH111*GK111*VLOOKUP('Données projet'!$B$17,Paramètres!$A$1:$I$89,3,0)*0.475*44/12</f>
        <v>1.7884624831451205E-11</v>
      </c>
      <c r="GO111" s="21">
        <f t="shared" si="81"/>
        <v>1.5723880222224691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-1.1368683772161603E-13</v>
      </c>
      <c r="GV111" s="17">
        <f>GU111*VLOOKUP('Données projet'!$B$18,Paramètres!$A$1:$I$89,3,0)*VLOOKUP('Données projet'!$B$18,Paramètres!$A$1:$I$89,5,0)</f>
        <v>-6.7984728957526396E-14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227.89848316900191</v>
      </c>
      <c r="HA111" s="59">
        <f t="shared" si="106"/>
        <v>239.85955661394541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1.6945930134882081</v>
      </c>
      <c r="HH111" s="21">
        <f>EXP(-LN(2)/25)*HH110+(1-EXP(-LN(2)/25))/(LN(2)/25)*Calculateur!HC111*Calculateur!HE111*VLOOKUP('Données projet'!$B$18,Paramètres!$A$1:$I$89,3,0)*0.475*44/12</f>
        <v>1.971913549911321</v>
      </c>
      <c r="HI111" s="21">
        <f>EXP(-LN(2)/2)*HI110+(1-EXP(-LN(2)/2))/(LN(2)/2)*HC111*HF111*VLOOKUP('Données projet'!$B$18,Paramètres!$A$1:$I$89,3,0)*0.475*44/12</f>
        <v>1.2193723910227502E-11</v>
      </c>
      <c r="HJ111" s="22">
        <f t="shared" si="84"/>
        <v>3.6665065634117227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2.5420376914553347E-13</v>
      </c>
      <c r="P112" s="13">
        <f t="shared" si="87"/>
        <v>3.4258699088369875E-12</v>
      </c>
      <c r="Q112" s="20">
        <f t="shared" si="107"/>
        <v>6.4094616558195571E-12</v>
      </c>
      <c r="R112" s="59">
        <f t="shared" si="55"/>
        <v>293.33333333333974</v>
      </c>
      <c r="S112" s="59">
        <f ca="1">AVERAGE(OFFSET($R$3,0,0,'Données projet'!$E$9+1,1))-AVERAGE(OFFSET($H$3,0,0,'Données projet'!$E$9+1,1))</f>
        <v>370.69652285220093</v>
      </c>
      <c r="T112" s="59">
        <f t="shared" si="88"/>
        <v>376.53494965377718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2.1499862879182912</v>
      </c>
      <c r="AA112" s="21">
        <f>EXP(-LN(2)/25)*AA111+(1-EXP(-LN(2)/25))/(LN(2)/25)*Calculateur!V112*Calculateur!X112*VLOOKUP('Données projet'!$B$9,Paramètres!$A$1:$I$89,3,0)*0.475*44/12</f>
        <v>3.7373627491345447</v>
      </c>
      <c r="AB112" s="21">
        <f>EXP(-LN(2)/2)*AB111+(1-EXP(-LN(2)/2))/(LN(2)/2)*V112*Y112*VLOOKUP('Données projet'!$B$9,Paramètres!$A$1:$I$89,3,0)*0.475*44/12</f>
        <v>4.2097669309170671E-11</v>
      </c>
      <c r="AC112" s="22">
        <f t="shared" si="57"/>
        <v>5.8873490370949337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319.21343999999971</v>
      </c>
      <c r="AK112" s="13">
        <f t="shared" si="89"/>
        <v>75.189671124171639</v>
      </c>
      <c r="AL112" s="20">
        <f t="shared" si="58"/>
        <v>686.91875187459846</v>
      </c>
      <c r="AM112" s="59">
        <f t="shared" si="59"/>
        <v>980.25208520793171</v>
      </c>
      <c r="AN112" s="59">
        <f ca="1">AVERAGE(OFFSET($AM$3,0,0,'Données projet'!$E$10+1,1))-AVERAGE(OFFSET($H$3,0,0,'Données projet'!$E$10+1,1))</f>
        <v>321.03881567735544</v>
      </c>
      <c r="AO112" s="59">
        <f t="shared" si="90"/>
        <v>234.87694492493506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0.50383517050206406</v>
      </c>
      <c r="AV112" s="21">
        <f>EXP(-LN(2)/25)*AV111+(1-EXP(-LN(2)/25))/(LN(2)/25)*Calculateur!AQ112*Calculateur!AS112*VLOOKUP('Données projet'!$B$10,Paramètres!$A$1:$I$89,3,0)*0.475*44/12</f>
        <v>1.516565358424625</v>
      </c>
      <c r="AW112" s="21">
        <f>EXP(-LN(2)/2)*AW111+(1-EXP(-LN(2)/2))/(LN(2)/2)*AQ112*AT112*VLOOKUP('Données projet'!$B$10,Paramètres!$A$1:$I$89,3,0)*0.475*44/12</f>
        <v>2.7962525672497589E-11</v>
      </c>
      <c r="AX112" s="21">
        <f t="shared" si="60"/>
        <v>2.0204005289546516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5.6843418860808015E-13</v>
      </c>
      <c r="BE112" s="13">
        <f>BD112*VLOOKUP('Données projet'!$B$11,Paramètres!$A$1:$I$89,3,0)*VLOOKUP('Données projet'!$B$11,Paramètres!$A$1:$I$89,5,0)</f>
        <v>3.1036506698001181E-13</v>
      </c>
      <c r="BF112" s="13">
        <f t="shared" si="91"/>
        <v>4.086682523110923E-12</v>
      </c>
      <c r="BG112" s="20">
        <f t="shared" si="61"/>
        <v>7.6581912194083782E-12</v>
      </c>
      <c r="BH112" s="59">
        <f t="shared" si="62"/>
        <v>293.33333333334099</v>
      </c>
      <c r="BI112" s="59">
        <f ca="1">AVERAGE(OFFSET($BH$3,0,0,'Données projet'!$E$11+1,1))-AVERAGE(OFFSET($H$3,0,0,'Données projet'!$E$11+1,1))</f>
        <v>248.1486444660062</v>
      </c>
      <c r="BJ112" s="59">
        <f t="shared" si="92"/>
        <v>293.34458072322127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1.781806817894227</v>
      </c>
      <c r="BQ112" s="21">
        <f>EXP(-LN(2)/25)*BQ111+(1-EXP(-LN(2)/25))/(LN(2)/25)*Calculateur!BL112*Calculateur!BN112*VLOOKUP('Données projet'!$B$11,Paramètres!$A$1:$I$89,3,0)*0.475*44/12</f>
        <v>3.8080788021911589</v>
      </c>
      <c r="BR112" s="21">
        <f>EXP(-LN(2)/2)*BR111+(1-EXP(-LN(2)/2))/(LN(2)/2)*BL112*BO112*VLOOKUP('Données projet'!$B$11,Paramètres!$A$1:$I$89,3,0)*0.475*44/12</f>
        <v>3.2390133624269095E-11</v>
      </c>
      <c r="BS112" s="22">
        <f t="shared" si="63"/>
        <v>5.5898856201177765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243.38048563215585</v>
      </c>
      <c r="CE112" s="59">
        <f t="shared" si="94"/>
        <v>372.1604147006675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1.5288791380752298</v>
      </c>
      <c r="CL112" s="21">
        <f>EXP(-LN(2)/25)*CL111+(1-EXP(-LN(2)/25))/(LN(2)/25)*Calculateur!CG112*Calculateur!CI112*VLOOKUP('Données projet'!$B$12,Paramètres!$A$1:$I$89,3,0)*0.475*44/12</f>
        <v>2.1662323715419638</v>
      </c>
      <c r="CM112" s="21">
        <f>EXP(-LN(2)/2)*CM111+(1-EXP(-LN(2)/2))/(LN(2)/2)*CG112*CJ112*VLOOKUP('Données projet'!$B$12,Paramètres!$A$1:$I$89,3,0)*0.475*44/12</f>
        <v>3.7705453556006248E-11</v>
      </c>
      <c r="CN112" s="22">
        <f t="shared" si="66"/>
        <v>3.695111509654899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7.9580786405131221E-13</v>
      </c>
      <c r="CU112" s="17">
        <f>CT112*VLOOKUP('Données projet'!$B$13,Paramètres!$A$1:$I$89,3,0)*VLOOKUP('Données projet'!$B$13,Paramètres!$A$1:$I$89,5,0)</f>
        <v>3.8278358260868117E-13</v>
      </c>
      <c r="CV112" s="13">
        <f t="shared" si="95"/>
        <v>4.9186917125089072E-12</v>
      </c>
      <c r="CW112" s="20">
        <f t="shared" si="67"/>
        <v>9.2334028056631319E-12</v>
      </c>
      <c r="CX112" s="59">
        <f t="shared" si="68"/>
        <v>293.33333333334252</v>
      </c>
      <c r="CY112" s="59">
        <f ca="1">AVERAGE(OFFSET($CX$3,0,0,'Données projet'!$E$13+1,1))-AVERAGE(OFFSET($H$3,0,0,'Données projet'!$E$13+1,1))</f>
        <v>297.21955661193238</v>
      </c>
      <c r="CZ112" s="59">
        <f t="shared" si="96"/>
        <v>273.69206144662144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1.4095148199862992</v>
      </c>
      <c r="DG112" s="21">
        <f>EXP(-LN(2)/25)*DG111+(1-EXP(-LN(2)/25))/(LN(2)/25)*Calculateur!DB112*Calculateur!DD112*VLOOKUP('Données projet'!$B$13,Paramètres!$A$1:$I$89,3,0)*0.475*44/12</f>
        <v>1.5017553999181739</v>
      </c>
      <c r="DH112" s="21">
        <f>EXP(-LN(2)/2)*DH111+(1-EXP(-LN(2)/2))/(LN(2)/2)*DB112*DE112*VLOOKUP('Données projet'!$B$13,Paramètres!$A$1:$I$89,3,0)*0.475*44/12</f>
        <v>2.6898434908778823E-11</v>
      </c>
      <c r="DI112" s="22">
        <f t="shared" si="69"/>
        <v>2.9112702199313718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-4.0702161641092972E-13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260.20517190557814</v>
      </c>
      <c r="DU112" s="59">
        <f t="shared" si="98"/>
        <v>307.22009971147133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0.68257140430386931</v>
      </c>
      <c r="EB112" s="21">
        <f>EXP(-LN(2)/25)*EB111+(1-EXP(-LN(2)/25))/(LN(2)/25)*Calculateur!DW112*Calculateur!DY112*VLOOKUP('Données projet'!$B$14,Paramètres!$A$1:$I$89,3,0)*0.475*44/12</f>
        <v>2.2956948605219063</v>
      </c>
      <c r="EC112" s="21">
        <f>EXP(-LN(2)/2)*EC111+(1-EXP(-LN(2)/2))/(LN(2)/2)*DW112*DZ112*VLOOKUP('Données projet'!$B$14,Paramètres!$A$1:$I$89,3,0)*0.475*44/12</f>
        <v>3.0919480438206605E-11</v>
      </c>
      <c r="ED112" s="22">
        <f t="shared" si="72"/>
        <v>2.9782662648566949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1.1368683772161603E-13</v>
      </c>
      <c r="EK112" s="17">
        <f>EJ112*VLOOKUP('Données projet'!$B$15,Paramètres!$A$1:$I$89,3,0)*VLOOKUP('Données projet'!$B$15,Paramètres!$A$1:$I$89,5,0)</f>
        <v>6.7984728957526396E-14</v>
      </c>
      <c r="EL112" s="13">
        <f t="shared" si="99"/>
        <v>1.0682447123141398E-12</v>
      </c>
      <c r="EM112" s="20">
        <f t="shared" si="73"/>
        <v>1.978932943548152E-12</v>
      </c>
      <c r="EN112" s="59">
        <f t="shared" si="74"/>
        <v>293.3333333333353</v>
      </c>
      <c r="EO112" s="59">
        <f ca="1">AVERAGE(OFFSET($EN$3,0,0,'Données projet'!$E$15+1,1))-AVERAGE(OFFSET($H$3,0,0,'Données projet'!$E$15+1,1))</f>
        <v>259.30247982593914</v>
      </c>
      <c r="EP112" s="59">
        <f t="shared" si="100"/>
        <v>275.24740346220779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2.0174998460011175</v>
      </c>
      <c r="EX112" s="21">
        <f>EXP(-LN(2)/2)*EX111+(1-EXP(-LN(2)/2))/(LN(2)/2)*ER112*EU112*VLOOKUP('Données projet'!$B$15,Paramètres!$A$1:$I$89,3,0)*0.475*44/12</f>
        <v>3.688938696216672E-11</v>
      </c>
      <c r="EY112" s="22">
        <f t="shared" si="75"/>
        <v>2.0174998460380071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5.2</v>
      </c>
      <c r="FE112" s="12">
        <f>IF('Données projet'!$A$218&gt;35,FE111+FD112-FM111,IF(A112&lt;'Données projet'!$A$218,$FB$205^A112,IF(A112='Données projet'!$A$218,'Données projet'!$B$218,FE111+FD112-FM111)))</f>
        <v>352.79999999999967</v>
      </c>
      <c r="FF112" s="17">
        <f>FE112*VLOOKUP('Données projet'!$B$16,Paramètres!$A$1:$I$89,3,0)*VLOOKUP('Données projet'!$B$16,Paramètres!$A$1:$I$89,5,0)</f>
        <v>357.7391999999997</v>
      </c>
      <c r="FG112" s="13">
        <f t="shared" si="101"/>
        <v>83.154058764636318</v>
      </c>
      <c r="FH112" s="20">
        <f t="shared" si="76"/>
        <v>767.88909234840776</v>
      </c>
      <c r="FI112" s="59">
        <f t="shared" si="77"/>
        <v>1061.222425681741</v>
      </c>
      <c r="FJ112" s="59">
        <f ca="1">AVERAGE(OFFSET($FI$3,0,0,'Données projet'!$E$16+1,1))-AVERAGE(OFFSET($H$3,0,0,'Données projet'!$E$16+1,1))</f>
        <v>372.91317851957336</v>
      </c>
      <c r="FK112" s="59">
        <f t="shared" si="102"/>
        <v>269.69187715858413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0.56464286349369275</v>
      </c>
      <c r="FR112" s="21">
        <f>EXP(-LN(2)/25)*FR111+(1-EXP(-LN(2)/25))/(LN(2)/25)*Calculateur!FM112*Calculateur!FO112*VLOOKUP('Données projet'!$B$16,Paramètres!$A$1:$I$89,3,0)*0.475*44/12</f>
        <v>1.6995991085793218</v>
      </c>
      <c r="FS112" s="21">
        <f>EXP(-LN(2)/2)*FS111+(1-EXP(-LN(2)/2))/(LN(2)/2)*FM112*FP112*VLOOKUP('Données projet'!$B$16,Paramètres!$A$1:$I$89,3,0)*0.475*44/12</f>
        <v>3.1337313253661066E-11</v>
      </c>
      <c r="FT112" s="22">
        <f t="shared" si="78"/>
        <v>2.2642419721043519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-1.1368683772161603E-13</v>
      </c>
      <c r="GA112" s="17">
        <f>FZ112*VLOOKUP('Données projet'!$B$17,Paramètres!$A$1:$I$89,3,0)*VLOOKUP('Données projet'!$B$17,Paramètres!$A$1:$I$89,5,0)</f>
        <v>-5.3205440053716299E-14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215.23235148064941</v>
      </c>
      <c r="GF112" s="59">
        <f t="shared" si="104"/>
        <v>184.07239726900434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0.65571010375714001</v>
      </c>
      <c r="GM112" s="21">
        <f>EXP(-LN(2)/25)*GM111+(1-EXP(-LN(2)/25))/(LN(2)/25)*Calculateur!GH112*Calculateur!GJ112*VLOOKUP('Données projet'!$B$17,Paramètres!$A$1:$I$89,3,0)*0.475*44/12</f>
        <v>0.87885469257561855</v>
      </c>
      <c r="GN112" s="21">
        <f>EXP(-LN(2)/2)*GN111+(1-EXP(-LN(2)/2))/(LN(2)/2)*GH112*GK112*VLOOKUP('Données projet'!$B$17,Paramètres!$A$1:$I$89,3,0)*0.475*44/12</f>
        <v>1.2646339497296462E-11</v>
      </c>
      <c r="GO112" s="21">
        <f t="shared" si="81"/>
        <v>1.5345647963454048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-1.1368683772161603E-13</v>
      </c>
      <c r="GV112" s="17">
        <f>GU112*VLOOKUP('Données projet'!$B$18,Paramètres!$A$1:$I$89,3,0)*VLOOKUP('Données projet'!$B$18,Paramètres!$A$1:$I$89,5,0)</f>
        <v>-6.7984728957526396E-14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227.89848316900191</v>
      </c>
      <c r="HA112" s="59">
        <f t="shared" si="106"/>
        <v>239.85955661394541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1.661363078093383</v>
      </c>
      <c r="HH112" s="21">
        <f>EXP(-LN(2)/25)*HH111+(1-EXP(-LN(2)/25))/(LN(2)/25)*Calculateur!HC112*Calculateur!HE112*VLOOKUP('Données projet'!$B$18,Paramètres!$A$1:$I$89,3,0)*0.475*44/12</f>
        <v>1.9179914701905691</v>
      </c>
      <c r="HI112" s="21">
        <f>EXP(-LN(2)/2)*HI111+(1-EXP(-LN(2)/2))/(LN(2)/2)*HC112*HF112*VLOOKUP('Données projet'!$B$18,Paramètres!$A$1:$I$89,3,0)*0.475*44/12</f>
        <v>8.6222648648384105E-12</v>
      </c>
      <c r="HJ112" s="22">
        <f t="shared" si="84"/>
        <v>3.5793545482925744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2.5420376914553347E-13</v>
      </c>
      <c r="P113" s="13">
        <f t="shared" si="87"/>
        <v>3.4258699088369875E-12</v>
      </c>
      <c r="Q113" s="20">
        <f t="shared" si="107"/>
        <v>6.4094616558195571E-12</v>
      </c>
      <c r="R113" s="59">
        <f t="shared" si="55"/>
        <v>293.33333333333974</v>
      </c>
      <c r="S113" s="59">
        <f ca="1">AVERAGE(OFFSET($R$3,0,0,'Données projet'!$E$9+1,1))-AVERAGE(OFFSET($H$3,0,0,'Données projet'!$E$9+1,1))</f>
        <v>370.69652285220093</v>
      </c>
      <c r="T113" s="59">
        <f t="shared" si="88"/>
        <v>376.53494965377718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2.1078263681743628</v>
      </c>
      <c r="AA113" s="21">
        <f>EXP(-LN(2)/25)*AA112+(1-EXP(-LN(2)/25))/(LN(2)/25)*Calculateur!V113*Calculateur!X113*VLOOKUP('Données projet'!$B$9,Paramètres!$A$1:$I$89,3,0)*0.475*44/12</f>
        <v>3.6351643682200954</v>
      </c>
      <c r="AB113" s="21">
        <f>EXP(-LN(2)/2)*AB112+(1-EXP(-LN(2)/2))/(LN(2)/2)*V113*Y113*VLOOKUP('Données projet'!$B$9,Paramètres!$A$1:$I$89,3,0)*0.475*44/12</f>
        <v>2.9767547440663382E-11</v>
      </c>
      <c r="AC113" s="22">
        <f t="shared" si="57"/>
        <v>5.7429907364242254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323.91839999999968</v>
      </c>
      <c r="AK113" s="13">
        <f t="shared" si="89"/>
        <v>76.168074587293034</v>
      </c>
      <c r="AL113" s="20">
        <f t="shared" si="58"/>
        <v>696.8172765728682</v>
      </c>
      <c r="AM113" s="59">
        <f t="shared" si="59"/>
        <v>990.15060990620145</v>
      </c>
      <c r="AN113" s="59">
        <f ca="1">AVERAGE(OFFSET($AM$3,0,0,'Données projet'!$E$10+1,1))-AVERAGE(OFFSET($H$3,0,0,'Données projet'!$E$10+1,1))</f>
        <v>321.03881567735544</v>
      </c>
      <c r="AO113" s="59">
        <f t="shared" si="90"/>
        <v>234.87694492493506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0.49395527011762835</v>
      </c>
      <c r="AV113" s="21">
        <f>EXP(-LN(2)/25)*AV112+(1-EXP(-LN(2)/25))/(LN(2)/25)*Calculateur!AQ113*Calculateur!AS113*VLOOKUP('Données projet'!$B$10,Paramètres!$A$1:$I$89,3,0)*0.475*44/12</f>
        <v>1.4750947989457976</v>
      </c>
      <c r="AW113" s="21">
        <f>EXP(-LN(2)/2)*AW112+(1-EXP(-LN(2)/2))/(LN(2)/2)*AQ113*AT113*VLOOKUP('Données projet'!$B$10,Paramètres!$A$1:$I$89,3,0)*0.475*44/12</f>
        <v>1.977249152212597E-11</v>
      </c>
      <c r="AX113" s="21">
        <f t="shared" si="60"/>
        <v>1.9690500690831985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5.6843418860808015E-13</v>
      </c>
      <c r="BE113" s="13">
        <f>BD113*VLOOKUP('Données projet'!$B$11,Paramètres!$A$1:$I$89,3,0)*VLOOKUP('Données projet'!$B$11,Paramètres!$A$1:$I$89,5,0)</f>
        <v>3.1036506698001181E-13</v>
      </c>
      <c r="BF113" s="13">
        <f t="shared" si="91"/>
        <v>4.086682523110923E-12</v>
      </c>
      <c r="BG113" s="20">
        <f t="shared" si="61"/>
        <v>7.6581912194083782E-12</v>
      </c>
      <c r="BH113" s="59">
        <f t="shared" si="62"/>
        <v>293.33333333334099</v>
      </c>
      <c r="BI113" s="59">
        <f ca="1">AVERAGE(OFFSET($BH$3,0,0,'Données projet'!$E$11+1,1))-AVERAGE(OFFSET($H$3,0,0,'Données projet'!$E$11+1,1))</f>
        <v>248.1486444660062</v>
      </c>
      <c r="BJ113" s="59">
        <f t="shared" si="92"/>
        <v>293.34458072322127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1.7468666729901681</v>
      </c>
      <c r="BQ113" s="21">
        <f>EXP(-LN(2)/25)*BQ112+(1-EXP(-LN(2)/25))/(LN(2)/25)*Calculateur!BL113*Calculateur!BN113*VLOOKUP('Données projet'!$B$11,Paramètres!$A$1:$I$89,3,0)*0.475*44/12</f>
        <v>3.7039466870870807</v>
      </c>
      <c r="BR113" s="21">
        <f>EXP(-LN(2)/2)*BR112+(1-EXP(-LN(2)/2))/(LN(2)/2)*BL113*BO113*VLOOKUP('Données projet'!$B$11,Paramètres!$A$1:$I$89,3,0)*0.475*44/12</f>
        <v>2.2903283129259083E-11</v>
      </c>
      <c r="BS113" s="22">
        <f t="shared" si="63"/>
        <v>5.4508133601001525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243.38048563215585</v>
      </c>
      <c r="CE113" s="59">
        <f t="shared" si="94"/>
        <v>372.1604147006675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1.4988987507017697</v>
      </c>
      <c r="CL113" s="21">
        <f>EXP(-LN(2)/25)*CL112+(1-EXP(-LN(2)/25))/(LN(2)/25)*Calculateur!CG113*Calculateur!CI113*VLOOKUP('Données projet'!$B$12,Paramètres!$A$1:$I$89,3,0)*0.475*44/12</f>
        <v>2.1069966334249393</v>
      </c>
      <c r="CM113" s="21">
        <f>EXP(-LN(2)/2)*CM112+(1-EXP(-LN(2)/2))/(LN(2)/2)*CG113*CJ113*VLOOKUP('Données projet'!$B$12,Paramètres!$A$1:$I$89,3,0)*0.475*44/12</f>
        <v>2.6661781897166441E-11</v>
      </c>
      <c r="CN113" s="22">
        <f t="shared" si="66"/>
        <v>3.6058953841533707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7.9580786405131221E-13</v>
      </c>
      <c r="CU113" s="17">
        <f>CT113*VLOOKUP('Données projet'!$B$13,Paramètres!$A$1:$I$89,3,0)*VLOOKUP('Données projet'!$B$13,Paramètres!$A$1:$I$89,5,0)</f>
        <v>3.8278358260868117E-13</v>
      </c>
      <c r="CV113" s="13">
        <f t="shared" si="95"/>
        <v>4.9186917125089072E-12</v>
      </c>
      <c r="CW113" s="20">
        <f t="shared" si="67"/>
        <v>9.2334028056631319E-12</v>
      </c>
      <c r="CX113" s="59">
        <f t="shared" si="68"/>
        <v>293.33333333334252</v>
      </c>
      <c r="CY113" s="59">
        <f ca="1">AVERAGE(OFFSET($CX$3,0,0,'Données projet'!$E$13+1,1))-AVERAGE(OFFSET($H$3,0,0,'Données projet'!$E$13+1,1))</f>
        <v>297.21955661193238</v>
      </c>
      <c r="CZ113" s="59">
        <f t="shared" si="96"/>
        <v>273.69206144662144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1.3818750940855178</v>
      </c>
      <c r="DG113" s="21">
        <f>EXP(-LN(2)/25)*DG112+(1-EXP(-LN(2)/25))/(LN(2)/25)*Calculateur!DB113*Calculateur!DD113*VLOOKUP('Données projet'!$B$13,Paramètres!$A$1:$I$89,3,0)*0.475*44/12</f>
        <v>1.4606898195335272</v>
      </c>
      <c r="DH113" s="21">
        <f>EXP(-LN(2)/2)*DH112+(1-EXP(-LN(2)/2))/(LN(2)/2)*DB113*DE113*VLOOKUP('Données projet'!$B$13,Paramètres!$A$1:$I$89,3,0)*0.475*44/12</f>
        <v>1.9020065727302458E-11</v>
      </c>
      <c r="DI113" s="22">
        <f t="shared" si="69"/>
        <v>2.8425649136380646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-4.0702161641092972E-13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260.20517190557814</v>
      </c>
      <c r="DU113" s="59">
        <f t="shared" si="98"/>
        <v>307.22009971147133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0.66918659539291814</v>
      </c>
      <c r="EB113" s="21">
        <f>EXP(-LN(2)/25)*EB112+(1-EXP(-LN(2)/25))/(LN(2)/25)*Calculateur!DW113*Calculateur!DY113*VLOOKUP('Données projet'!$B$14,Paramètres!$A$1:$I$89,3,0)*0.475*44/12</f>
        <v>2.2329189638355889</v>
      </c>
      <c r="EC113" s="21">
        <f>EXP(-LN(2)/2)*EC112+(1-EXP(-LN(2)/2))/(LN(2)/2)*DW113*DZ113*VLOOKUP('Données projet'!$B$14,Paramètres!$A$1:$I$89,3,0)*0.475*44/12</f>
        <v>2.1863374288620695E-11</v>
      </c>
      <c r="ED113" s="22">
        <f t="shared" si="72"/>
        <v>2.9021055592503702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1.1368683772161603E-13</v>
      </c>
      <c r="EK113" s="17">
        <f>EJ113*VLOOKUP('Données projet'!$B$15,Paramètres!$A$1:$I$89,3,0)*VLOOKUP('Données projet'!$B$15,Paramètres!$A$1:$I$89,5,0)</f>
        <v>6.7984728957526396E-14</v>
      </c>
      <c r="EL113" s="13">
        <f t="shared" si="99"/>
        <v>1.0682447123141398E-12</v>
      </c>
      <c r="EM113" s="20">
        <f t="shared" si="73"/>
        <v>1.978932943548152E-12</v>
      </c>
      <c r="EN113" s="59">
        <f t="shared" si="74"/>
        <v>293.3333333333353</v>
      </c>
      <c r="EO113" s="59">
        <f ca="1">AVERAGE(OFFSET($EN$3,0,0,'Données projet'!$E$15+1,1))-AVERAGE(OFFSET($H$3,0,0,'Données projet'!$E$15+1,1))</f>
        <v>259.30247982593914</v>
      </c>
      <c r="EP113" s="59">
        <f t="shared" si="100"/>
        <v>275.24740346220779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1.9623312066165111</v>
      </c>
      <c r="EX113" s="21">
        <f>EXP(-LN(2)/2)*EX112+(1-EXP(-LN(2)/2))/(LN(2)/2)*ER113*EU113*VLOOKUP('Données projet'!$B$15,Paramètres!$A$1:$I$89,3,0)*0.475*44/12</f>
        <v>2.6084735674762702E-11</v>
      </c>
      <c r="EY113" s="22">
        <f t="shared" si="75"/>
        <v>1.9623312066425957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358</v>
      </c>
      <c r="FC113" s="12">
        <f>VLOOKUP(A113,'Données projet'!$A$217:$I$237,9,0)</f>
        <v>5.2</v>
      </c>
      <c r="FD113" s="12">
        <f t="array" ref="FD113">INDEX(FC:FC,MIN(IF(ISNUMBER(FC113:FC309),ROW(FC113:FC309),"")))</f>
        <v>5.2</v>
      </c>
      <c r="FE113" s="12">
        <f>IF('Données projet'!$A$218&gt;35,FE112+FD113-FM112,IF(A113&lt;'Données projet'!$A$218,$FB$205^A113,IF(A113='Données projet'!$A$218,'Données projet'!$B$218,FE112+FD113-FM112)))</f>
        <v>357.99999999999966</v>
      </c>
      <c r="FF113" s="17">
        <f>FE113*VLOOKUP('Données projet'!$B$16,Paramètres!$A$1:$I$89,3,0)*VLOOKUP('Données projet'!$B$16,Paramètres!$A$1:$I$89,5,0)</f>
        <v>363.01199999999966</v>
      </c>
      <c r="FG113" s="13">
        <f t="shared" si="101"/>
        <v>84.236098596059009</v>
      </c>
      <c r="FH113" s="20">
        <f t="shared" si="76"/>
        <v>778.95710505480213</v>
      </c>
      <c r="FI113" s="59">
        <f t="shared" si="77"/>
        <v>1072.2904383881355</v>
      </c>
      <c r="FJ113" s="59">
        <f ca="1">AVERAGE(OFFSET($FI$3,0,0,'Données projet'!$E$16+1,1))-AVERAGE(OFFSET($H$3,0,0,'Données projet'!$E$16+1,1))</f>
        <v>372.91317851957336</v>
      </c>
      <c r="FK113" s="59">
        <f t="shared" si="102"/>
        <v>269.69187715858413</v>
      </c>
      <c r="FL113" s="15">
        <f>IF(ISNA(VLOOKUP(A113,'Données projet'!$A$217:$I$237,3,0)),0,VLOOKUP(A113,'Données projet'!$A$217:$I$237,3,0))</f>
        <v>10</v>
      </c>
      <c r="FM113" s="15">
        <f>IF(ISNA(VLOOKUP(A113,'Données projet'!$A$217:$I$237,4,0)),0,VLOOKUP(A113,'Données projet'!$A$217:$I$237,4,0))</f>
        <v>51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0.55357056133872162</v>
      </c>
      <c r="FR113" s="21">
        <f>EXP(-LN(2)/25)*FR112+(1-EXP(-LN(2)/25))/(LN(2)/25)*Calculateur!FM113*Calculateur!FO113*VLOOKUP('Données projet'!$B$16,Paramètres!$A$1:$I$89,3,0)*0.475*44/12</f>
        <v>1.6531234815771876</v>
      </c>
      <c r="FS113" s="21">
        <f>EXP(-LN(2)/2)*FS112+(1-EXP(-LN(2)/2))/(LN(2)/2)*FM113*FP113*VLOOKUP('Données projet'!$B$16,Paramètres!$A$1:$I$89,3,0)*0.475*44/12</f>
        <v>2.2158826705830811E-11</v>
      </c>
      <c r="FT113" s="22">
        <f t="shared" si="78"/>
        <v>2.2066940429380679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-1.1368683772161603E-13</v>
      </c>
      <c r="GA113" s="17">
        <f>FZ113*VLOOKUP('Données projet'!$B$17,Paramètres!$A$1:$I$89,3,0)*VLOOKUP('Données projet'!$B$17,Paramètres!$A$1:$I$89,5,0)</f>
        <v>-5.3205440053716299E-14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215.23235148064941</v>
      </c>
      <c r="GF113" s="59">
        <f t="shared" si="104"/>
        <v>184.07239726900434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0.64285202856613466</v>
      </c>
      <c r="GM113" s="21">
        <f>EXP(-LN(2)/25)*GM112+(1-EXP(-LN(2)/25))/(LN(2)/25)*Calculateur!GH113*Calculateur!GJ113*VLOOKUP('Données projet'!$B$17,Paramètres!$A$1:$I$89,3,0)*0.475*44/12</f>
        <v>0.85482236479017859</v>
      </c>
      <c r="GN113" s="21">
        <f>EXP(-LN(2)/2)*GN112+(1-EXP(-LN(2)/2))/(LN(2)/2)*GH113*GK113*VLOOKUP('Données projet'!$B$17,Paramètres!$A$1:$I$89,3,0)*0.475*44/12</f>
        <v>8.9423124157256024E-12</v>
      </c>
      <c r="GO113" s="21">
        <f t="shared" si="81"/>
        <v>1.4976743933652557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-1.1368683772161603E-13</v>
      </c>
      <c r="GV113" s="17">
        <f>GU113*VLOOKUP('Données projet'!$B$18,Paramètres!$A$1:$I$89,3,0)*VLOOKUP('Données projet'!$B$18,Paramètres!$A$1:$I$89,5,0)</f>
        <v>-6.7984728957526396E-14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227.89848316900191</v>
      </c>
      <c r="HA113" s="59">
        <f t="shared" si="106"/>
        <v>239.85955661394541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1.6287847614633912</v>
      </c>
      <c r="HH113" s="21">
        <f>EXP(-LN(2)/25)*HH112+(1-EXP(-LN(2)/25))/(LN(2)/25)*Calculateur!HC113*Calculateur!HE113*VLOOKUP('Données projet'!$B$18,Paramètres!$A$1:$I$89,3,0)*0.475*44/12</f>
        <v>1.8655438925754202</v>
      </c>
      <c r="HI113" s="21">
        <f>EXP(-LN(2)/2)*HI112+(1-EXP(-LN(2)/2))/(LN(2)/2)*HC113*HF113*VLOOKUP('Données projet'!$B$18,Paramètres!$A$1:$I$89,3,0)*0.475*44/12</f>
        <v>6.0968619551137508E-12</v>
      </c>
      <c r="HJ113" s="22">
        <f t="shared" si="84"/>
        <v>3.4943286540449083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2.5420376914553347E-13</v>
      </c>
      <c r="P114" s="13">
        <f t="shared" si="87"/>
        <v>3.4258699088369875E-12</v>
      </c>
      <c r="Q114" s="20">
        <f t="shared" si="107"/>
        <v>6.4094616558195571E-12</v>
      </c>
      <c r="R114" s="59">
        <f t="shared" si="55"/>
        <v>293.33333333333974</v>
      </c>
      <c r="S114" s="59">
        <f ca="1">AVERAGE(OFFSET($R$3,0,0,'Données projet'!$E$9+1,1))-AVERAGE(OFFSET($H$3,0,0,'Données projet'!$E$9+1,1))</f>
        <v>370.69652285220093</v>
      </c>
      <c r="T114" s="59">
        <f t="shared" si="88"/>
        <v>376.53494965377718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2.066493178741601</v>
      </c>
      <c r="AA114" s="21">
        <f>EXP(-LN(2)/25)*AA113+(1-EXP(-LN(2)/25))/(LN(2)/25)*Calculateur!V114*Calculateur!X114*VLOOKUP('Données projet'!$B$9,Paramètres!$A$1:$I$89,3,0)*0.475*44/12</f>
        <v>3.535760607406131</v>
      </c>
      <c r="AB114" s="21">
        <f>EXP(-LN(2)/2)*AB113+(1-EXP(-LN(2)/2))/(LN(2)/2)*V114*Y114*VLOOKUP('Données projet'!$B$9,Paramètres!$A$1:$I$89,3,0)*0.475*44/12</f>
        <v>2.1048834654585336E-11</v>
      </c>
      <c r="AC114" s="22">
        <f t="shared" si="57"/>
        <v>5.6022537861687809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5.4</v>
      </c>
      <c r="AI114" s="13">
        <f>IF('Données projet'!$A$62&gt;35,AI113+AH114-AQ113,IF(A114&lt;'Données projet'!$A$62,$AF$205^A114,IF(A114='Données projet'!$A$62,'Données projet'!$B$62,AI113+AH114-AQ113)))</f>
        <v>312.39999999999964</v>
      </c>
      <c r="AJ114" s="13">
        <f>AI114*VLOOKUP('Données projet'!$B$10,Paramètres!$A$1:$I$89,3,0)*VLOOKUP('Données projet'!$B$10,Paramètres!$A$1:$I$89,5,0)</f>
        <v>282.65951999999965</v>
      </c>
      <c r="AK114" s="13">
        <f t="shared" si="89"/>
        <v>67.528732309967268</v>
      </c>
      <c r="AL114" s="20">
        <f t="shared" si="58"/>
        <v>609.91120610652558</v>
      </c>
      <c r="AM114" s="59">
        <f t="shared" si="59"/>
        <v>903.24453943985895</v>
      </c>
      <c r="AN114" s="59">
        <f ca="1">AVERAGE(OFFSET($AM$3,0,0,'Données projet'!$E$10+1,1))-AVERAGE(OFFSET($H$3,0,0,'Données projet'!$E$10+1,1))</f>
        <v>321.03881567735544</v>
      </c>
      <c r="AO114" s="59">
        <f t="shared" si="90"/>
        <v>234.87694492493506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0.48426910855358724</v>
      </c>
      <c r="AV114" s="21">
        <f>EXP(-LN(2)/25)*AV113+(1-EXP(-LN(2)/25))/(LN(2)/25)*Calculateur!AQ114*Calculateur!AS114*VLOOKUP('Données projet'!$B$10,Paramètres!$A$1:$I$89,3,0)*0.475*44/12</f>
        <v>1.4347582540967607</v>
      </c>
      <c r="AW114" s="21">
        <f>EXP(-LN(2)/2)*AW113+(1-EXP(-LN(2)/2))/(LN(2)/2)*AQ114*AT114*VLOOKUP('Données projet'!$B$10,Paramètres!$A$1:$I$89,3,0)*0.475*44/12</f>
        <v>1.3981262836248795E-11</v>
      </c>
      <c r="AX114" s="21">
        <f t="shared" si="60"/>
        <v>1.9190273626643293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5.6843418860808015E-13</v>
      </c>
      <c r="BE114" s="13">
        <f>BD114*VLOOKUP('Données projet'!$B$11,Paramètres!$A$1:$I$89,3,0)*VLOOKUP('Données projet'!$B$11,Paramètres!$A$1:$I$89,5,0)</f>
        <v>3.1036506698001181E-13</v>
      </c>
      <c r="BF114" s="13">
        <f t="shared" si="91"/>
        <v>4.086682523110923E-12</v>
      </c>
      <c r="BG114" s="20">
        <f t="shared" si="61"/>
        <v>7.6581912194083782E-12</v>
      </c>
      <c r="BH114" s="59">
        <f t="shared" si="62"/>
        <v>293.33333333334099</v>
      </c>
      <c r="BI114" s="59">
        <f ca="1">AVERAGE(OFFSET($BH$3,0,0,'Données projet'!$E$11+1,1))-AVERAGE(OFFSET($H$3,0,0,'Données projet'!$E$11+1,1))</f>
        <v>248.1486444660062</v>
      </c>
      <c r="BJ114" s="59">
        <f t="shared" si="92"/>
        <v>293.34458072322127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1.7126116830162936</v>
      </c>
      <c r="BQ114" s="21">
        <f>EXP(-LN(2)/25)*BQ113+(1-EXP(-LN(2)/25))/(LN(2)/25)*Calculateur!BL114*Calculateur!BN114*VLOOKUP('Données projet'!$B$11,Paramètres!$A$1:$I$89,3,0)*0.475*44/12</f>
        <v>3.6026620701465939</v>
      </c>
      <c r="BR114" s="21">
        <f>EXP(-LN(2)/2)*BR113+(1-EXP(-LN(2)/2))/(LN(2)/2)*BL114*BO114*VLOOKUP('Données projet'!$B$11,Paramètres!$A$1:$I$89,3,0)*0.475*44/12</f>
        <v>1.6195066812134547E-11</v>
      </c>
      <c r="BS114" s="22">
        <f t="shared" si="63"/>
        <v>5.315273753179083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243.38048563215585</v>
      </c>
      <c r="CE114" s="59">
        <f t="shared" si="94"/>
        <v>372.1604147006675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1.4695062604384723</v>
      </c>
      <c r="CL114" s="21">
        <f>EXP(-LN(2)/25)*CL113+(1-EXP(-LN(2)/25))/(LN(2)/25)*Calculateur!CG114*Calculateur!CI114*VLOOKUP('Données projet'!$B$12,Paramètres!$A$1:$I$89,3,0)*0.475*44/12</f>
        <v>2.0493806996817971</v>
      </c>
      <c r="CM114" s="21">
        <f>EXP(-LN(2)/2)*CM113+(1-EXP(-LN(2)/2))/(LN(2)/2)*CG114*CJ114*VLOOKUP('Données projet'!$B$12,Paramètres!$A$1:$I$89,3,0)*0.475*44/12</f>
        <v>1.8852726778003124E-11</v>
      </c>
      <c r="CN114" s="22">
        <f t="shared" si="66"/>
        <v>3.5188869601391226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7.9580786405131221E-13</v>
      </c>
      <c r="CU114" s="17">
        <f>CT114*VLOOKUP('Données projet'!$B$13,Paramètres!$A$1:$I$89,3,0)*VLOOKUP('Données projet'!$B$13,Paramètres!$A$1:$I$89,5,0)</f>
        <v>3.8278358260868117E-13</v>
      </c>
      <c r="CV114" s="13">
        <f t="shared" si="95"/>
        <v>4.9186917125089072E-12</v>
      </c>
      <c r="CW114" s="20">
        <f t="shared" si="67"/>
        <v>9.2334028056631319E-12</v>
      </c>
      <c r="CX114" s="59">
        <f t="shared" si="68"/>
        <v>293.33333333334252</v>
      </c>
      <c r="CY114" s="59">
        <f ca="1">AVERAGE(OFFSET($CX$3,0,0,'Données projet'!$E$13+1,1))-AVERAGE(OFFSET($H$3,0,0,'Données projet'!$E$13+1,1))</f>
        <v>297.21955661193238</v>
      </c>
      <c r="CZ114" s="59">
        <f t="shared" si="96"/>
        <v>273.69206144662144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1.3547773663510827</v>
      </c>
      <c r="DG114" s="21">
        <f>EXP(-LN(2)/25)*DG113+(1-EXP(-LN(2)/25))/(LN(2)/25)*Calculateur!DB114*Calculateur!DD114*VLOOKUP('Données projet'!$B$13,Paramètres!$A$1:$I$89,3,0)*0.475*44/12</f>
        <v>1.4207471796040436</v>
      </c>
      <c r="DH114" s="21">
        <f>EXP(-LN(2)/2)*DH113+(1-EXP(-LN(2)/2))/(LN(2)/2)*DB114*DE114*VLOOKUP('Données projet'!$B$13,Paramètres!$A$1:$I$89,3,0)*0.475*44/12</f>
        <v>1.3449217454389411E-11</v>
      </c>
      <c r="DI114" s="22">
        <f t="shared" si="69"/>
        <v>2.7755245459685756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-4.0702161641092972E-13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260.20517190557814</v>
      </c>
      <c r="DU114" s="59">
        <f t="shared" si="98"/>
        <v>307.22009971147133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0.65606425442078342</v>
      </c>
      <c r="EB114" s="21">
        <f>EXP(-LN(2)/25)*EB113+(1-EXP(-LN(2)/25))/(LN(2)/25)*Calculateur!DW114*Calculateur!DY114*VLOOKUP('Données projet'!$B$14,Paramètres!$A$1:$I$89,3,0)*0.475*44/12</f>
        <v>2.1718596773453998</v>
      </c>
      <c r="EC114" s="21">
        <f>EXP(-LN(2)/2)*EC113+(1-EXP(-LN(2)/2))/(LN(2)/2)*DW114*DZ114*VLOOKUP('Données projet'!$B$14,Paramètres!$A$1:$I$89,3,0)*0.475*44/12</f>
        <v>1.5459740219103303E-11</v>
      </c>
      <c r="ED114" s="22">
        <f t="shared" si="72"/>
        <v>2.8279239317816427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1.1368683772161603E-13</v>
      </c>
      <c r="EK114" s="17">
        <f>EJ114*VLOOKUP('Données projet'!$B$15,Paramètres!$A$1:$I$89,3,0)*VLOOKUP('Données projet'!$B$15,Paramètres!$A$1:$I$89,5,0)</f>
        <v>6.7984728957526396E-14</v>
      </c>
      <c r="EL114" s="13">
        <f t="shared" si="99"/>
        <v>1.0682447123141398E-12</v>
      </c>
      <c r="EM114" s="20">
        <f t="shared" si="73"/>
        <v>1.978932943548152E-12</v>
      </c>
      <c r="EN114" s="59">
        <f t="shared" si="74"/>
        <v>293.3333333333353</v>
      </c>
      <c r="EO114" s="59">
        <f ca="1">AVERAGE(OFFSET($EN$3,0,0,'Données projet'!$E$15+1,1))-AVERAGE(OFFSET($H$3,0,0,'Données projet'!$E$15+1,1))</f>
        <v>259.30247982593914</v>
      </c>
      <c r="EP114" s="59">
        <f t="shared" si="100"/>
        <v>275.24740346220779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1.9086711565770693</v>
      </c>
      <c r="EX114" s="21">
        <f>EXP(-LN(2)/2)*EX113+(1-EXP(-LN(2)/2))/(LN(2)/2)*ER114*EU114*VLOOKUP('Données projet'!$B$15,Paramètres!$A$1:$I$89,3,0)*0.475*44/12</f>
        <v>1.844469348108336E-11</v>
      </c>
      <c r="EY114" s="22">
        <f t="shared" si="75"/>
        <v>1.9086711565955141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5.4</v>
      </c>
      <c r="FE114" s="12">
        <f>IF('Données projet'!$A$218&gt;35,FE113+FD114-FM113,IF(A114&lt;'Données projet'!$A$218,$FB$205^A114,IF(A114='Données projet'!$A$218,'Données projet'!$B$218,FE113+FD114-FM113)))</f>
        <v>312.39999999999964</v>
      </c>
      <c r="FF114" s="17">
        <f>FE114*VLOOKUP('Données projet'!$B$16,Paramètres!$A$1:$I$89,3,0)*VLOOKUP('Données projet'!$B$16,Paramètres!$A$1:$I$89,5,0)</f>
        <v>316.77359999999965</v>
      </c>
      <c r="FG114" s="13">
        <f t="shared" si="101"/>
        <v>74.681642981667935</v>
      </c>
      <c r="FH114" s="20">
        <f t="shared" si="76"/>
        <v>681.78454819307092</v>
      </c>
      <c r="FI114" s="59">
        <f t="shared" si="77"/>
        <v>975.11788152640429</v>
      </c>
      <c r="FJ114" s="59">
        <f ca="1">AVERAGE(OFFSET($FI$3,0,0,'Données projet'!$E$16+1,1))-AVERAGE(OFFSET($H$3,0,0,'Données projet'!$E$16+1,1))</f>
        <v>372.91317851957336</v>
      </c>
      <c r="FK114" s="59">
        <f t="shared" si="102"/>
        <v>269.69187715858413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0.54271538027557209</v>
      </c>
      <c r="FR114" s="21">
        <f>EXP(-LN(2)/25)*FR113+(1-EXP(-LN(2)/25))/(LN(2)/25)*Calculateur!FM114*Calculateur!FO114*VLOOKUP('Données projet'!$B$16,Paramètres!$A$1:$I$89,3,0)*0.475*44/12</f>
        <v>1.6079187330394737</v>
      </c>
      <c r="FS114" s="21">
        <f>EXP(-LN(2)/2)*FS113+(1-EXP(-LN(2)/2))/(LN(2)/2)*FM114*FP114*VLOOKUP('Données projet'!$B$16,Paramètres!$A$1:$I$89,3,0)*0.475*44/12</f>
        <v>1.5668656626830533E-11</v>
      </c>
      <c r="FT114" s="22">
        <f t="shared" si="78"/>
        <v>2.1506341133307147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-1.1368683772161603E-13</v>
      </c>
      <c r="GA114" s="17">
        <f>FZ114*VLOOKUP('Données projet'!$B$17,Paramètres!$A$1:$I$89,3,0)*VLOOKUP('Données projet'!$B$17,Paramètres!$A$1:$I$89,5,0)</f>
        <v>-5.3205440053716299E-14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215.23235148064941</v>
      </c>
      <c r="GF114" s="59">
        <f t="shared" si="104"/>
        <v>184.07239726900434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0.63024609238697338</v>
      </c>
      <c r="GM114" s="21">
        <f>EXP(-LN(2)/25)*GM113+(1-EXP(-LN(2)/25))/(LN(2)/25)*Calculateur!GH114*Calculateur!GJ114*VLOOKUP('Données projet'!$B$17,Paramètres!$A$1:$I$89,3,0)*0.475*44/12</f>
        <v>0.83144720227183666</v>
      </c>
      <c r="GN114" s="21">
        <f>EXP(-LN(2)/2)*GN113+(1-EXP(-LN(2)/2))/(LN(2)/2)*GH114*GK114*VLOOKUP('Données projet'!$B$17,Paramètres!$A$1:$I$89,3,0)*0.475*44/12</f>
        <v>6.3231697486482308E-12</v>
      </c>
      <c r="GO114" s="21">
        <f t="shared" si="81"/>
        <v>1.4616932946651333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-1.1368683772161603E-13</v>
      </c>
      <c r="GV114" s="17">
        <f>GU114*VLOOKUP('Données projet'!$B$18,Paramètres!$A$1:$I$89,3,0)*VLOOKUP('Données projet'!$B$18,Paramètres!$A$1:$I$89,5,0)</f>
        <v>-6.7984728957526396E-14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227.89848316900191</v>
      </c>
      <c r="HA114" s="59">
        <f t="shared" si="106"/>
        <v>239.85955661394541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1.5968452857517026</v>
      </c>
      <c r="HH114" s="21">
        <f>EXP(-LN(2)/25)*HH113+(1-EXP(-LN(2)/25))/(LN(2)/25)*Calculateur!HC114*Calculateur!HE114*VLOOKUP('Données projet'!$B$18,Paramètres!$A$1:$I$89,3,0)*0.475*44/12</f>
        <v>1.8145304967282558</v>
      </c>
      <c r="HI114" s="21">
        <f>EXP(-LN(2)/2)*HI113+(1-EXP(-LN(2)/2))/(LN(2)/2)*HC114*HF114*VLOOKUP('Données projet'!$B$18,Paramètres!$A$1:$I$89,3,0)*0.475*44/12</f>
        <v>4.3111324324192053E-12</v>
      </c>
      <c r="HJ114" s="22">
        <f t="shared" si="84"/>
        <v>3.4113757824842699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2.5420376914553347E-13</v>
      </c>
      <c r="P115" s="13">
        <f t="shared" si="87"/>
        <v>3.4258699088369875E-12</v>
      </c>
      <c r="Q115" s="20">
        <f t="shared" si="107"/>
        <v>6.4094616558195571E-12</v>
      </c>
      <c r="R115" s="59">
        <f t="shared" si="55"/>
        <v>293.33333333333974</v>
      </c>
      <c r="S115" s="59">
        <f ca="1">AVERAGE(OFFSET($R$3,0,0,'Données projet'!$E$9+1,1))-AVERAGE(OFFSET($H$3,0,0,'Données projet'!$E$9+1,1))</f>
        <v>370.69652285220093</v>
      </c>
      <c r="T115" s="59">
        <f t="shared" si="88"/>
        <v>376.53494965377718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2.0259705079428594</v>
      </c>
      <c r="AA115" s="21">
        <f>EXP(-LN(2)/25)*AA114+(1-EXP(-LN(2)/25))/(LN(2)/25)*Calculateur!V115*Calculateur!X115*VLOOKUP('Données projet'!$B$9,Paramètres!$A$1:$I$89,3,0)*0.475*44/12</f>
        <v>3.439075047659041</v>
      </c>
      <c r="AB115" s="21">
        <f>EXP(-LN(2)/2)*AB114+(1-EXP(-LN(2)/2))/(LN(2)/2)*V115*Y115*VLOOKUP('Données projet'!$B$9,Paramètres!$A$1:$I$89,3,0)*0.475*44/12</f>
        <v>1.4883773720331691E-11</v>
      </c>
      <c r="AC115" s="22">
        <f t="shared" si="57"/>
        <v>5.4650455556167845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5.4</v>
      </c>
      <c r="AI115" s="13">
        <f>IF('Données projet'!$A$62&gt;35,AI114+AH115-AQ114,IF(A115&lt;'Données projet'!$A$62,$AF$205^A115,IF(A115='Données projet'!$A$62,'Données projet'!$B$62,AI114+AH115-AQ114)))</f>
        <v>317.79999999999961</v>
      </c>
      <c r="AJ115" s="13">
        <f>AI115*VLOOKUP('Données projet'!$B$10,Paramètres!$A$1:$I$89,3,0)*VLOOKUP('Données projet'!$B$10,Paramètres!$A$1:$I$89,5,0)</f>
        <v>287.54543999999964</v>
      </c>
      <c r="AK115" s="13">
        <f t="shared" si="89"/>
        <v>68.559101107635655</v>
      </c>
      <c r="AL115" s="20">
        <f t="shared" si="58"/>
        <v>620.21540909579812</v>
      </c>
      <c r="AM115" s="59">
        <f t="shared" si="59"/>
        <v>913.54874242913138</v>
      </c>
      <c r="AN115" s="59">
        <f ca="1">AVERAGE(OFFSET($AM$3,0,0,'Données projet'!$E$10+1,1))-AVERAGE(OFFSET($H$3,0,0,'Données projet'!$E$10+1,1))</f>
        <v>321.03881567735544</v>
      </c>
      <c r="AO115" s="59">
        <f t="shared" si="90"/>
        <v>234.87694492493506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0.47477288670984175</v>
      </c>
      <c r="AV115" s="21">
        <f>EXP(-LN(2)/25)*AV114+(1-EXP(-LN(2)/25))/(LN(2)/25)*Calculateur!AQ115*Calculateur!AS115*VLOOKUP('Données projet'!$B$10,Paramètres!$A$1:$I$89,3,0)*0.475*44/12</f>
        <v>1.3955247141878273</v>
      </c>
      <c r="AW115" s="21">
        <f>EXP(-LN(2)/2)*AW114+(1-EXP(-LN(2)/2))/(LN(2)/2)*AQ115*AT115*VLOOKUP('Données projet'!$B$10,Paramètres!$A$1:$I$89,3,0)*0.475*44/12</f>
        <v>9.8862457610629851E-12</v>
      </c>
      <c r="AX115" s="21">
        <f t="shared" si="60"/>
        <v>1.8702976009075554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5.6843418860808015E-13</v>
      </c>
      <c r="BE115" s="13">
        <f>BD115*VLOOKUP('Données projet'!$B$11,Paramètres!$A$1:$I$89,3,0)*VLOOKUP('Données projet'!$B$11,Paramètres!$A$1:$I$89,5,0)</f>
        <v>3.1036506698001181E-13</v>
      </c>
      <c r="BF115" s="13">
        <f t="shared" si="91"/>
        <v>4.086682523110923E-12</v>
      </c>
      <c r="BG115" s="20">
        <f t="shared" si="61"/>
        <v>7.6581912194083782E-12</v>
      </c>
      <c r="BH115" s="59">
        <f t="shared" si="62"/>
        <v>293.33333333334099</v>
      </c>
      <c r="BI115" s="59">
        <f ca="1">AVERAGE(OFFSET($BH$3,0,0,'Données projet'!$E$11+1,1))-AVERAGE(OFFSET($H$3,0,0,'Données projet'!$E$11+1,1))</f>
        <v>248.1486444660062</v>
      </c>
      <c r="BJ115" s="59">
        <f t="shared" si="92"/>
        <v>293.34458072322127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1.679028412502326</v>
      </c>
      <c r="BQ115" s="21">
        <f>EXP(-LN(2)/25)*BQ114+(1-EXP(-LN(2)/25))/(LN(2)/25)*Calculateur!BL115*Calculateur!BN115*VLOOKUP('Données projet'!$B$11,Paramètres!$A$1:$I$89,3,0)*0.475*44/12</f>
        <v>3.5041470863826709</v>
      </c>
      <c r="BR115" s="21">
        <f>EXP(-LN(2)/2)*BR114+(1-EXP(-LN(2)/2))/(LN(2)/2)*BL115*BO115*VLOOKUP('Données projet'!$B$11,Paramètres!$A$1:$I$89,3,0)*0.475*44/12</f>
        <v>1.1451641564629541E-11</v>
      </c>
      <c r="BS115" s="22">
        <f t="shared" si="63"/>
        <v>5.183175498896448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243.38048563215585</v>
      </c>
      <c r="CE115" s="59">
        <f t="shared" si="94"/>
        <v>372.1604147006675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1.4406901389815894</v>
      </c>
      <c r="CL115" s="21">
        <f>EXP(-LN(2)/25)*CL114+(1-EXP(-LN(2)/25))/(LN(2)/25)*Calculateur!CG115*Calculateur!CI115*VLOOKUP('Données projet'!$B$12,Paramètres!$A$1:$I$89,3,0)*0.475*44/12</f>
        <v>1.9933402766767514</v>
      </c>
      <c r="CM115" s="21">
        <f>EXP(-LN(2)/2)*CM114+(1-EXP(-LN(2)/2))/(LN(2)/2)*CG115*CJ115*VLOOKUP('Données projet'!$B$12,Paramètres!$A$1:$I$89,3,0)*0.475*44/12</f>
        <v>1.333089094858322E-11</v>
      </c>
      <c r="CN115" s="22">
        <f t="shared" si="66"/>
        <v>3.4340304156716712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7.9580786405131221E-13</v>
      </c>
      <c r="CU115" s="17">
        <f>CT115*VLOOKUP('Données projet'!$B$13,Paramètres!$A$1:$I$89,3,0)*VLOOKUP('Données projet'!$B$13,Paramètres!$A$1:$I$89,5,0)</f>
        <v>3.8278358260868117E-13</v>
      </c>
      <c r="CV115" s="13">
        <f t="shared" si="95"/>
        <v>4.9186917125089072E-12</v>
      </c>
      <c r="CW115" s="20">
        <f t="shared" si="67"/>
        <v>9.2334028056631319E-12</v>
      </c>
      <c r="CX115" s="59">
        <f t="shared" si="68"/>
        <v>293.33333333334252</v>
      </c>
      <c r="CY115" s="59">
        <f ca="1">AVERAGE(OFFSET($CX$3,0,0,'Données projet'!$E$13+1,1))-AVERAGE(OFFSET($H$3,0,0,'Données projet'!$E$13+1,1))</f>
        <v>297.21955661193238</v>
      </c>
      <c r="CZ115" s="59">
        <f t="shared" si="96"/>
        <v>273.69206144662144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1.3282110085295378</v>
      </c>
      <c r="DG115" s="21">
        <f>EXP(-LN(2)/25)*DG114+(1-EXP(-LN(2)/25))/(LN(2)/25)*Calculateur!DB115*Calculateur!DD115*VLOOKUP('Données projet'!$B$13,Paramètres!$A$1:$I$89,3,0)*0.475*44/12</f>
        <v>1.381896773263924</v>
      </c>
      <c r="DH115" s="21">
        <f>EXP(-LN(2)/2)*DH114+(1-EXP(-LN(2)/2))/(LN(2)/2)*DB115*DE115*VLOOKUP('Données projet'!$B$13,Paramètres!$A$1:$I$89,3,0)*0.475*44/12</f>
        <v>9.5100328636512291E-12</v>
      </c>
      <c r="DI115" s="22">
        <f t="shared" si="69"/>
        <v>2.710107781802972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-4.0702161641092972E-13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260.20517190557814</v>
      </c>
      <c r="DU115" s="59">
        <f t="shared" si="98"/>
        <v>307.22009971147133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0.64319923455127459</v>
      </c>
      <c r="EB115" s="21">
        <f>EXP(-LN(2)/25)*EB114+(1-EXP(-LN(2)/25))/(LN(2)/25)*Calculateur!DW115*Calculateur!DY115*VLOOKUP('Données projet'!$B$14,Paramètres!$A$1:$I$89,3,0)*0.475*44/12</f>
        <v>2.1124700602552533</v>
      </c>
      <c r="EC115" s="21">
        <f>EXP(-LN(2)/2)*EC114+(1-EXP(-LN(2)/2))/(LN(2)/2)*DW115*DZ115*VLOOKUP('Données projet'!$B$14,Paramètres!$A$1:$I$89,3,0)*0.475*44/12</f>
        <v>1.0931687144310347E-11</v>
      </c>
      <c r="ED115" s="22">
        <f t="shared" si="72"/>
        <v>2.7556692948174595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1.1368683772161603E-13</v>
      </c>
      <c r="EK115" s="17">
        <f>EJ115*VLOOKUP('Données projet'!$B$15,Paramètres!$A$1:$I$89,3,0)*VLOOKUP('Données projet'!$B$15,Paramètres!$A$1:$I$89,5,0)</f>
        <v>6.7984728957526396E-14</v>
      </c>
      <c r="EL115" s="13">
        <f t="shared" si="99"/>
        <v>1.0682447123141398E-12</v>
      </c>
      <c r="EM115" s="20">
        <f t="shared" si="73"/>
        <v>1.978932943548152E-12</v>
      </c>
      <c r="EN115" s="59">
        <f t="shared" si="74"/>
        <v>293.3333333333353</v>
      </c>
      <c r="EO115" s="59">
        <f ca="1">AVERAGE(OFFSET($EN$3,0,0,'Données projet'!$E$15+1,1))-AVERAGE(OFFSET($H$3,0,0,'Données projet'!$E$15+1,1))</f>
        <v>259.30247982593914</v>
      </c>
      <c r="EP115" s="59">
        <f t="shared" si="100"/>
        <v>275.24740346220779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1.8564784434278156</v>
      </c>
      <c r="EX115" s="21">
        <f>EXP(-LN(2)/2)*EX114+(1-EXP(-LN(2)/2))/(LN(2)/2)*ER115*EU115*VLOOKUP('Données projet'!$B$15,Paramètres!$A$1:$I$89,3,0)*0.475*44/12</f>
        <v>1.3042367837381351E-11</v>
      </c>
      <c r="EY115" s="22">
        <f t="shared" si="75"/>
        <v>1.8564784434408581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5.4</v>
      </c>
      <c r="FE115" s="12">
        <f>IF('Données projet'!$A$218&gt;35,FE114+FD115-FM114,IF(A115&lt;'Données projet'!$A$218,$FB$205^A115,IF(A115='Données projet'!$A$218,'Données projet'!$B$218,FE114+FD115-FM114)))</f>
        <v>317.79999999999961</v>
      </c>
      <c r="FF115" s="17">
        <f>FE115*VLOOKUP('Données projet'!$B$16,Paramètres!$A$1:$I$89,3,0)*VLOOKUP('Données projet'!$B$16,Paramètres!$A$1:$I$89,5,0)</f>
        <v>322.24919999999963</v>
      </c>
      <c r="FG115" s="13">
        <f t="shared" si="101"/>
        <v>75.821152521602968</v>
      </c>
      <c r="FH115" s="20">
        <f t="shared" si="76"/>
        <v>693.30586397512445</v>
      </c>
      <c r="FI115" s="59">
        <f t="shared" si="77"/>
        <v>986.63919730845782</v>
      </c>
      <c r="FJ115" s="59">
        <f ca="1">AVERAGE(OFFSET($FI$3,0,0,'Données projet'!$E$16+1,1))-AVERAGE(OFFSET($H$3,0,0,'Données projet'!$E$16+1,1))</f>
        <v>372.91317851957336</v>
      </c>
      <c r="FK115" s="59">
        <f t="shared" si="102"/>
        <v>269.69187715858413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0.53207306269206422</v>
      </c>
      <c r="FR115" s="21">
        <f>EXP(-LN(2)/25)*FR114+(1-EXP(-LN(2)/25))/(LN(2)/25)*Calculateur!FM115*Calculateur!FO115*VLOOKUP('Données projet'!$B$16,Paramètres!$A$1:$I$89,3,0)*0.475*44/12</f>
        <v>1.563950110727738</v>
      </c>
      <c r="FS115" s="21">
        <f>EXP(-LN(2)/2)*FS114+(1-EXP(-LN(2)/2))/(LN(2)/2)*FM115*FP115*VLOOKUP('Données projet'!$B$16,Paramètres!$A$1:$I$89,3,0)*0.475*44/12</f>
        <v>1.1079413352915406E-11</v>
      </c>
      <c r="FT115" s="22">
        <f t="shared" si="78"/>
        <v>2.0960231734308818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-1.1368683772161603E-13</v>
      </c>
      <c r="GA115" s="17">
        <f>FZ115*VLOOKUP('Données projet'!$B$17,Paramètres!$A$1:$I$89,3,0)*VLOOKUP('Données projet'!$B$17,Paramètres!$A$1:$I$89,5,0)</f>
        <v>-5.3205440053716299E-14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215.23235148064941</v>
      </c>
      <c r="GF115" s="59">
        <f t="shared" si="104"/>
        <v>184.07239726900434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0.61788735092742364</v>
      </c>
      <c r="GM115" s="21">
        <f>EXP(-LN(2)/25)*GM114+(1-EXP(-LN(2)/25))/(LN(2)/25)*Calculateur!GH115*Calculateur!GJ115*VLOOKUP('Données projet'!$B$17,Paramètres!$A$1:$I$89,3,0)*0.475*44/12</f>
        <v>0.80871123480180518</v>
      </c>
      <c r="GN115" s="21">
        <f>EXP(-LN(2)/2)*GN114+(1-EXP(-LN(2)/2))/(LN(2)/2)*GH115*GK115*VLOOKUP('Données projet'!$B$17,Paramètres!$A$1:$I$89,3,0)*0.475*44/12</f>
        <v>4.4711562078628012E-12</v>
      </c>
      <c r="GO115" s="21">
        <f t="shared" si="81"/>
        <v>1.4265985857337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-1.1368683772161603E-13</v>
      </c>
      <c r="GV115" s="17">
        <f>GU115*VLOOKUP('Données projet'!$B$18,Paramètres!$A$1:$I$89,3,0)*VLOOKUP('Données projet'!$B$18,Paramètres!$A$1:$I$89,5,0)</f>
        <v>-6.7984728957526396E-14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227.89848316900191</v>
      </c>
      <c r="HA115" s="59">
        <f t="shared" si="106"/>
        <v>239.85955661394541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1.5655321236775634</v>
      </c>
      <c r="HH115" s="21">
        <f>EXP(-LN(2)/25)*HH114+(1-EXP(-LN(2)/25))/(LN(2)/25)*Calculateur!HC115*Calculateur!HE115*VLOOKUP('Données projet'!$B$18,Paramètres!$A$1:$I$89,3,0)*0.475*44/12</f>
        <v>1.76491206487321</v>
      </c>
      <c r="HI115" s="21">
        <f>EXP(-LN(2)/2)*HI114+(1-EXP(-LN(2)/2))/(LN(2)/2)*HC115*HF115*VLOOKUP('Données projet'!$B$18,Paramètres!$A$1:$I$89,3,0)*0.475*44/12</f>
        <v>3.0484309775568754E-12</v>
      </c>
      <c r="HJ115" s="22">
        <f t="shared" si="84"/>
        <v>3.3304441885538214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2.5420376914553347E-13</v>
      </c>
      <c r="P116" s="13">
        <f t="shared" si="87"/>
        <v>3.4258699088369875E-12</v>
      </c>
      <c r="Q116" s="20">
        <f t="shared" si="107"/>
        <v>6.4094616558195571E-12</v>
      </c>
      <c r="R116" s="59">
        <f t="shared" si="55"/>
        <v>293.33333333333974</v>
      </c>
      <c r="S116" s="59">
        <f ca="1">AVERAGE(OFFSET($R$3,0,0,'Données projet'!$E$9+1,1))-AVERAGE(OFFSET($H$3,0,0,'Données projet'!$E$9+1,1))</f>
        <v>370.69652285220093</v>
      </c>
      <c r="T116" s="59">
        <f t="shared" si="88"/>
        <v>376.53494965377718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1.9862424620020926</v>
      </c>
      <c r="AA116" s="21">
        <f>EXP(-LN(2)/25)*AA115+(1-EXP(-LN(2)/25))/(LN(2)/25)*Calculateur!V116*Calculateur!X116*VLOOKUP('Données projet'!$B$9,Paramètres!$A$1:$I$89,3,0)*0.475*44/12</f>
        <v>3.345033359627708</v>
      </c>
      <c r="AB116" s="21">
        <f>EXP(-LN(2)/2)*AB115+(1-EXP(-LN(2)/2))/(LN(2)/2)*V116*Y116*VLOOKUP('Données projet'!$B$9,Paramètres!$A$1:$I$89,3,0)*0.475*44/12</f>
        <v>1.0524417327292668E-11</v>
      </c>
      <c r="AC116" s="22">
        <f t="shared" si="57"/>
        <v>5.3312758216403244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5.4</v>
      </c>
      <c r="AI116" s="13">
        <f>IF('Données projet'!$A$62&gt;35,AI115+AH116-AQ115,IF(A116&lt;'Données projet'!$A$62,$AF$205^A116,IF(A116='Données projet'!$A$62,'Données projet'!$B$62,AI115+AH116-AQ115)))</f>
        <v>323.19999999999959</v>
      </c>
      <c r="AJ116" s="13">
        <f>AI116*VLOOKUP('Données projet'!$B$10,Paramètres!$A$1:$I$89,3,0)*VLOOKUP('Données projet'!$B$10,Paramètres!$A$1:$I$89,5,0)</f>
        <v>292.43135999999964</v>
      </c>
      <c r="AK116" s="13">
        <f t="shared" si="89"/>
        <v>69.587433903176873</v>
      </c>
      <c r="AL116" s="20">
        <f t="shared" si="58"/>
        <v>630.51606604803237</v>
      </c>
      <c r="AM116" s="59">
        <f t="shared" si="59"/>
        <v>923.84939938136563</v>
      </c>
      <c r="AN116" s="59">
        <f ca="1">AVERAGE(OFFSET($AM$3,0,0,'Données projet'!$E$10+1,1))-AVERAGE(OFFSET($H$3,0,0,'Données projet'!$E$10+1,1))</f>
        <v>321.03881567735544</v>
      </c>
      <c r="AO116" s="59">
        <f t="shared" si="90"/>
        <v>234.87694492493506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0.46546287998432873</v>
      </c>
      <c r="AV116" s="21">
        <f>EXP(-LN(2)/25)*AV115+(1-EXP(-LN(2)/25))/(LN(2)/25)*Calculateur!AQ116*Calculateur!AS116*VLOOKUP('Données projet'!$B$10,Paramètres!$A$1:$I$89,3,0)*0.475*44/12</f>
        <v>1.3573640174909061</v>
      </c>
      <c r="AW116" s="21">
        <f>EXP(-LN(2)/2)*AW115+(1-EXP(-LN(2)/2))/(LN(2)/2)*AQ116*AT116*VLOOKUP('Données projet'!$B$10,Paramètres!$A$1:$I$89,3,0)*0.475*44/12</f>
        <v>6.9906314181243973E-12</v>
      </c>
      <c r="AX116" s="21">
        <f t="shared" si="60"/>
        <v>1.8228268974822255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5.6843418860808015E-13</v>
      </c>
      <c r="BE116" s="13">
        <f>BD116*VLOOKUP('Données projet'!$B$11,Paramètres!$A$1:$I$89,3,0)*VLOOKUP('Données projet'!$B$11,Paramètres!$A$1:$I$89,5,0)</f>
        <v>3.1036506698001181E-13</v>
      </c>
      <c r="BF116" s="13">
        <f t="shared" si="91"/>
        <v>4.086682523110923E-12</v>
      </c>
      <c r="BG116" s="20">
        <f t="shared" si="61"/>
        <v>7.6581912194083782E-12</v>
      </c>
      <c r="BH116" s="59">
        <f t="shared" si="62"/>
        <v>293.33333333334099</v>
      </c>
      <c r="BI116" s="59">
        <f ca="1">AVERAGE(OFFSET($BH$3,0,0,'Données projet'!$E$11+1,1))-AVERAGE(OFFSET($H$3,0,0,'Données projet'!$E$11+1,1))</f>
        <v>248.1486444660062</v>
      </c>
      <c r="BJ116" s="59">
        <f t="shared" si="92"/>
        <v>293.34458072322127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1.646103689439365</v>
      </c>
      <c r="BQ116" s="21">
        <f>EXP(-LN(2)/25)*BQ115+(1-EXP(-LN(2)/25))/(LN(2)/25)*Calculateur!BL116*Calculateur!BN116*VLOOKUP('Données projet'!$B$11,Paramètres!$A$1:$I$89,3,0)*0.475*44/12</f>
        <v>3.4083260000304505</v>
      </c>
      <c r="BR116" s="21">
        <f>EXP(-LN(2)/2)*BR115+(1-EXP(-LN(2)/2))/(LN(2)/2)*BL116*BO116*VLOOKUP('Données projet'!$B$11,Paramètres!$A$1:$I$89,3,0)*0.475*44/12</f>
        <v>8.0975334060672737E-12</v>
      </c>
      <c r="BS116" s="22">
        <f t="shared" si="63"/>
        <v>5.0544296894779128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243.38048563215585</v>
      </c>
      <c r="CE116" s="59">
        <f t="shared" si="94"/>
        <v>372.1604147006675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1.4124390840903773</v>
      </c>
      <c r="CL116" s="21">
        <f>EXP(-LN(2)/25)*CL115+(1-EXP(-LN(2)/25))/(LN(2)/25)*Calculateur!CG116*Calculateur!CI116*VLOOKUP('Données projet'!$B$12,Paramètres!$A$1:$I$89,3,0)*0.475*44/12</f>
        <v>1.9388322819858164</v>
      </c>
      <c r="CM116" s="21">
        <f>EXP(-LN(2)/2)*CM115+(1-EXP(-LN(2)/2))/(LN(2)/2)*CG116*CJ116*VLOOKUP('Données projet'!$B$12,Paramètres!$A$1:$I$89,3,0)*0.475*44/12</f>
        <v>9.426363389001562E-12</v>
      </c>
      <c r="CN116" s="22">
        <f t="shared" si="66"/>
        <v>3.3512713660856202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7.9580786405131221E-13</v>
      </c>
      <c r="CU116" s="17">
        <f>CT116*VLOOKUP('Données projet'!$B$13,Paramètres!$A$1:$I$89,3,0)*VLOOKUP('Données projet'!$B$13,Paramètres!$A$1:$I$89,5,0)</f>
        <v>3.8278358260868117E-13</v>
      </c>
      <c r="CV116" s="13">
        <f t="shared" si="95"/>
        <v>4.9186917125089072E-12</v>
      </c>
      <c r="CW116" s="20">
        <f t="shared" si="67"/>
        <v>9.2334028056631319E-12</v>
      </c>
      <c r="CX116" s="59">
        <f t="shared" si="68"/>
        <v>293.33333333334252</v>
      </c>
      <c r="CY116" s="59">
        <f ca="1">AVERAGE(OFFSET($CX$3,0,0,'Données projet'!$E$13+1,1))-AVERAGE(OFFSET($H$3,0,0,'Données projet'!$E$13+1,1))</f>
        <v>297.21955661193238</v>
      </c>
      <c r="CZ116" s="59">
        <f t="shared" si="96"/>
        <v>273.69206144662144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1.3021656007809952</v>
      </c>
      <c r="DG116" s="21">
        <f>EXP(-LN(2)/25)*DG115+(1-EXP(-LN(2)/25))/(LN(2)/25)*Calculateur!DB116*Calculateur!DD116*VLOOKUP('Données projet'!$B$13,Paramètres!$A$1:$I$89,3,0)*0.475*44/12</f>
        <v>1.3441087333282291</v>
      </c>
      <c r="DH116" s="21">
        <f>EXP(-LN(2)/2)*DH115+(1-EXP(-LN(2)/2))/(LN(2)/2)*DB116*DE116*VLOOKUP('Données projet'!$B$13,Paramètres!$A$1:$I$89,3,0)*0.475*44/12</f>
        <v>6.7246087271947057E-12</v>
      </c>
      <c r="DI116" s="22">
        <f t="shared" si="69"/>
        <v>2.6462743341159487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-4.0702161641092972E-13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260.20517190557814</v>
      </c>
      <c r="DU116" s="59">
        <f t="shared" si="98"/>
        <v>307.22009971147133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0.63058648987451948</v>
      </c>
      <c r="EB116" s="21">
        <f>EXP(-LN(2)/25)*EB115+(1-EXP(-LN(2)/25))/(LN(2)/25)*Calculateur!DW116*Calculateur!DY116*VLOOKUP('Données projet'!$B$14,Paramètres!$A$1:$I$89,3,0)*0.475*44/12</f>
        <v>2.054704455367601</v>
      </c>
      <c r="EC116" s="21">
        <f>EXP(-LN(2)/2)*EC115+(1-EXP(-LN(2)/2))/(LN(2)/2)*DW116*DZ116*VLOOKUP('Données projet'!$B$14,Paramètres!$A$1:$I$89,3,0)*0.475*44/12</f>
        <v>7.7298701095516513E-12</v>
      </c>
      <c r="ED116" s="22">
        <f t="shared" si="72"/>
        <v>2.6852909452498501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1.1368683772161603E-13</v>
      </c>
      <c r="EK116" s="17">
        <f>EJ116*VLOOKUP('Données projet'!$B$15,Paramètres!$A$1:$I$89,3,0)*VLOOKUP('Données projet'!$B$15,Paramètres!$A$1:$I$89,5,0)</f>
        <v>6.7984728957526396E-14</v>
      </c>
      <c r="EL116" s="13">
        <f t="shared" si="99"/>
        <v>1.0682447123141398E-12</v>
      </c>
      <c r="EM116" s="20">
        <f t="shared" si="73"/>
        <v>1.978932943548152E-12</v>
      </c>
      <c r="EN116" s="59">
        <f t="shared" si="74"/>
        <v>293.3333333333353</v>
      </c>
      <c r="EO116" s="59">
        <f ca="1">AVERAGE(OFFSET($EN$3,0,0,'Données projet'!$E$15+1,1))-AVERAGE(OFFSET($H$3,0,0,'Données projet'!$E$15+1,1))</f>
        <v>259.30247982593914</v>
      </c>
      <c r="EP116" s="59">
        <f t="shared" si="100"/>
        <v>275.24740346220779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1.8057129427643237</v>
      </c>
      <c r="EX116" s="21">
        <f>EXP(-LN(2)/2)*EX115+(1-EXP(-LN(2)/2))/(LN(2)/2)*ER116*EU116*VLOOKUP('Données projet'!$B$15,Paramètres!$A$1:$I$89,3,0)*0.475*44/12</f>
        <v>9.2223467405416799E-12</v>
      </c>
      <c r="EY116" s="22">
        <f t="shared" si="75"/>
        <v>1.8057129427735461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5.4</v>
      </c>
      <c r="FE116" s="12">
        <f>IF('Données projet'!$A$218&gt;35,FE115+FD116-FM115,IF(A116&lt;'Données projet'!$A$218,$FB$205^A116,IF(A116='Données projet'!$A$218,'Données projet'!$B$218,FE115+FD116-FM115)))</f>
        <v>323.19999999999959</v>
      </c>
      <c r="FF116" s="17">
        <f>FE116*VLOOKUP('Données projet'!$B$16,Paramètres!$A$1:$I$89,3,0)*VLOOKUP('Données projet'!$B$16,Paramètres!$A$1:$I$89,5,0)</f>
        <v>327.72479999999956</v>
      </c>
      <c r="FG116" s="13">
        <f t="shared" si="101"/>
        <v>76.958410398004844</v>
      </c>
      <c r="FH116" s="20">
        <f t="shared" si="76"/>
        <v>704.82325810985765</v>
      </c>
      <c r="FI116" s="59">
        <f t="shared" si="77"/>
        <v>998.15659144319102</v>
      </c>
      <c r="FJ116" s="59">
        <f ca="1">AVERAGE(OFFSET($FI$3,0,0,'Données projet'!$E$16+1,1))-AVERAGE(OFFSET($H$3,0,0,'Données projet'!$E$16+1,1))</f>
        <v>372.91317851957336</v>
      </c>
      <c r="FK116" s="59">
        <f t="shared" si="102"/>
        <v>269.69187715858413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0.52163943446519612</v>
      </c>
      <c r="FR116" s="21">
        <f>EXP(-LN(2)/25)*FR115+(1-EXP(-LN(2)/25))/(LN(2)/25)*Calculateur!FM116*Calculateur!FO116*VLOOKUP('Données projet'!$B$16,Paramètres!$A$1:$I$89,3,0)*0.475*44/12</f>
        <v>1.5211838127053261</v>
      </c>
      <c r="FS116" s="21">
        <f>EXP(-LN(2)/2)*FS115+(1-EXP(-LN(2)/2))/(LN(2)/2)*FM116*FP116*VLOOKUP('Données projet'!$B$16,Paramètres!$A$1:$I$89,3,0)*0.475*44/12</f>
        <v>7.8343283134152665E-12</v>
      </c>
      <c r="FT116" s="22">
        <f t="shared" si="78"/>
        <v>2.0428232471783563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-1.1368683772161603E-13</v>
      </c>
      <c r="GA116" s="17">
        <f>FZ116*VLOOKUP('Données projet'!$B$17,Paramètres!$A$1:$I$89,3,0)*VLOOKUP('Données projet'!$B$17,Paramètres!$A$1:$I$89,5,0)</f>
        <v>-5.3205440053716299E-14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215.23235148064941</v>
      </c>
      <c r="GF116" s="59">
        <f t="shared" si="104"/>
        <v>184.07239726900434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0.60577095684980775</v>
      </c>
      <c r="GM116" s="21">
        <f>EXP(-LN(2)/25)*GM115+(1-EXP(-LN(2)/25))/(LN(2)/25)*Calculateur!GH116*Calculateur!GJ116*VLOOKUP('Données projet'!$B$17,Paramètres!$A$1:$I$89,3,0)*0.475*44/12</f>
        <v>0.78659698355787433</v>
      </c>
      <c r="GN116" s="21">
        <f>EXP(-LN(2)/2)*GN115+(1-EXP(-LN(2)/2))/(LN(2)/2)*GH116*GK116*VLOOKUP('Données projet'!$B$17,Paramètres!$A$1:$I$89,3,0)*0.475*44/12</f>
        <v>3.1615848743241154E-12</v>
      </c>
      <c r="GO116" s="21">
        <f t="shared" si="81"/>
        <v>1.3923679404108438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-1.1368683772161603E-13</v>
      </c>
      <c r="GV116" s="17">
        <f>GU116*VLOOKUP('Données projet'!$B$18,Paramètres!$A$1:$I$89,3,0)*VLOOKUP('Données projet'!$B$18,Paramètres!$A$1:$I$89,5,0)</f>
        <v>-6.7984728957526396E-14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227.89848316900191</v>
      </c>
      <c r="HA116" s="59">
        <f t="shared" si="106"/>
        <v>239.85955661394541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1.5348329936125553</v>
      </c>
      <c r="HH116" s="21">
        <f>EXP(-LN(2)/25)*HH115+(1-EXP(-LN(2)/25))/(LN(2)/25)*Calculateur!HC116*Calculateur!HE116*VLOOKUP('Données projet'!$B$18,Paramètres!$A$1:$I$89,3,0)*0.475*44/12</f>
        <v>1.7166504516465604</v>
      </c>
      <c r="HI116" s="21">
        <f>EXP(-LN(2)/2)*HI115+(1-EXP(-LN(2)/2))/(LN(2)/2)*HC116*HF116*VLOOKUP('Données projet'!$B$18,Paramètres!$A$1:$I$89,3,0)*0.475*44/12</f>
        <v>2.1555662162096026E-12</v>
      </c>
      <c r="HJ116" s="22">
        <f t="shared" si="84"/>
        <v>3.2514834452612713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2.5420376914553347E-13</v>
      </c>
      <c r="P117" s="13">
        <f t="shared" si="87"/>
        <v>3.4258699088369875E-12</v>
      </c>
      <c r="Q117" s="20">
        <f t="shared" si="107"/>
        <v>6.4094616558195571E-12</v>
      </c>
      <c r="R117" s="59">
        <f t="shared" si="55"/>
        <v>293.33333333333974</v>
      </c>
      <c r="S117" s="59">
        <f ca="1">AVERAGE(OFFSET($R$3,0,0,'Données projet'!$E$9+1,1))-AVERAGE(OFFSET($H$3,0,0,'Données projet'!$E$9+1,1))</f>
        <v>370.69652285220093</v>
      </c>
      <c r="T117" s="59">
        <f t="shared" si="88"/>
        <v>376.53494965377718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1.9472934588105089</v>
      </c>
      <c r="AA117" s="21">
        <f>EXP(-LN(2)/25)*AA116+(1-EXP(-LN(2)/25))/(LN(2)/25)*Calculateur!V117*Calculateur!X117*VLOOKUP('Données projet'!$B$9,Paramètres!$A$1:$I$89,3,0)*0.475*44/12</f>
        <v>3.2535632465010291</v>
      </c>
      <c r="AB117" s="21">
        <f>EXP(-LN(2)/2)*AB116+(1-EXP(-LN(2)/2))/(LN(2)/2)*V117*Y117*VLOOKUP('Données projet'!$B$9,Paramètres!$A$1:$I$89,3,0)*0.475*44/12</f>
        <v>7.4418868601658455E-12</v>
      </c>
      <c r="AC117" s="22">
        <f t="shared" si="57"/>
        <v>5.20085670531898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5.4</v>
      </c>
      <c r="AI117" s="13">
        <f>IF('Données projet'!$A$62&gt;35,AI116+AH117-AQ116,IF(A117&lt;'Données projet'!$A$62,$AF$205^A117,IF(A117='Données projet'!$A$62,'Données projet'!$B$62,AI116+AH117-AQ116)))</f>
        <v>328.59999999999957</v>
      </c>
      <c r="AJ117" s="13">
        <f>AI117*VLOOKUP('Données projet'!$B$10,Paramètres!$A$1:$I$89,3,0)*VLOOKUP('Données projet'!$B$10,Paramètres!$A$1:$I$89,5,0)</f>
        <v>297.31727999999958</v>
      </c>
      <c r="AK117" s="13">
        <f t="shared" si="89"/>
        <v>70.613768640226624</v>
      </c>
      <c r="AL117" s="20">
        <f t="shared" si="58"/>
        <v>640.81324304839393</v>
      </c>
      <c r="AM117" s="59">
        <f t="shared" si="59"/>
        <v>934.1465763817273</v>
      </c>
      <c r="AN117" s="59">
        <f ca="1">AVERAGE(OFFSET($AM$3,0,0,'Données projet'!$E$10+1,1))-AVERAGE(OFFSET($H$3,0,0,'Données projet'!$E$10+1,1))</f>
        <v>321.03881567735544</v>
      </c>
      <c r="AO117" s="59">
        <f t="shared" si="90"/>
        <v>234.87694492493506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0.4563354368121596</v>
      </c>
      <c r="AV117" s="21">
        <f>EXP(-LN(2)/25)*AV116+(1-EXP(-LN(2)/25))/(LN(2)/25)*Calculateur!AQ117*Calculateur!AS117*VLOOKUP('Données projet'!$B$10,Paramètres!$A$1:$I$89,3,0)*0.475*44/12</f>
        <v>1.3202468270519458</v>
      </c>
      <c r="AW117" s="21">
        <f>EXP(-LN(2)/2)*AW116+(1-EXP(-LN(2)/2))/(LN(2)/2)*AQ117*AT117*VLOOKUP('Données projet'!$B$10,Paramètres!$A$1:$I$89,3,0)*0.475*44/12</f>
        <v>4.9431228805314926E-12</v>
      </c>
      <c r="AX117" s="21">
        <f t="shared" si="60"/>
        <v>1.7765822638690487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5.6843418860808015E-13</v>
      </c>
      <c r="BE117" s="13">
        <f>BD117*VLOOKUP('Données projet'!$B$11,Paramètres!$A$1:$I$89,3,0)*VLOOKUP('Données projet'!$B$11,Paramètres!$A$1:$I$89,5,0)</f>
        <v>3.1036506698001181E-13</v>
      </c>
      <c r="BF117" s="13">
        <f t="shared" si="91"/>
        <v>4.086682523110923E-12</v>
      </c>
      <c r="BG117" s="20">
        <f t="shared" si="61"/>
        <v>7.6581912194083782E-12</v>
      </c>
      <c r="BH117" s="59">
        <f t="shared" si="62"/>
        <v>293.33333333334099</v>
      </c>
      <c r="BI117" s="59">
        <f ca="1">AVERAGE(OFFSET($BH$3,0,0,'Données projet'!$E$11+1,1))-AVERAGE(OFFSET($H$3,0,0,'Données projet'!$E$11+1,1))</f>
        <v>248.1486444660062</v>
      </c>
      <c r="BJ117" s="59">
        <f t="shared" si="92"/>
        <v>293.34458072322127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1.6138246001135705</v>
      </c>
      <c r="BQ117" s="21">
        <f>EXP(-LN(2)/25)*BQ116+(1-EXP(-LN(2)/25))/(LN(2)/25)*Calculateur!BL117*Calculateur!BN117*VLOOKUP('Données projet'!$B$11,Paramètres!$A$1:$I$89,3,0)*0.475*44/12</f>
        <v>3.3151251463235432</v>
      </c>
      <c r="BR117" s="21">
        <f>EXP(-LN(2)/2)*BR116+(1-EXP(-LN(2)/2))/(LN(2)/2)*BL117*BO117*VLOOKUP('Données projet'!$B$11,Paramètres!$A$1:$I$89,3,0)*0.475*44/12</f>
        <v>5.7258207823147707E-12</v>
      </c>
      <c r="BS117" s="22">
        <f t="shared" si="63"/>
        <v>4.9289497464428402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243.38048563215585</v>
      </c>
      <c r="CE117" s="59">
        <f t="shared" si="94"/>
        <v>372.1604147006675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1.3847420151541401</v>
      </c>
      <c r="CL117" s="21">
        <f>EXP(-LN(2)/25)*CL116+(1-EXP(-LN(2)/25))/(LN(2)/25)*Calculateur!CG117*Calculateur!CI117*VLOOKUP('Données projet'!$B$12,Paramètres!$A$1:$I$89,3,0)*0.475*44/12</f>
        <v>1.8858148112761557</v>
      </c>
      <c r="CM117" s="21">
        <f>EXP(-LN(2)/2)*CM116+(1-EXP(-LN(2)/2))/(LN(2)/2)*CG117*CJ117*VLOOKUP('Données projet'!$B$12,Paramètres!$A$1:$I$89,3,0)*0.475*44/12</f>
        <v>6.6654454742916101E-12</v>
      </c>
      <c r="CN117" s="22">
        <f t="shared" si="66"/>
        <v>3.2705568264369611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7.9580786405131221E-13</v>
      </c>
      <c r="CU117" s="17">
        <f>CT117*VLOOKUP('Données projet'!$B$13,Paramètres!$A$1:$I$89,3,0)*VLOOKUP('Données projet'!$B$13,Paramètres!$A$1:$I$89,5,0)</f>
        <v>3.8278358260868117E-13</v>
      </c>
      <c r="CV117" s="13">
        <f t="shared" si="95"/>
        <v>4.9186917125089072E-12</v>
      </c>
      <c r="CW117" s="20">
        <f t="shared" si="67"/>
        <v>9.2334028056631319E-12</v>
      </c>
      <c r="CX117" s="59">
        <f t="shared" si="68"/>
        <v>293.33333333334252</v>
      </c>
      <c r="CY117" s="59">
        <f ca="1">AVERAGE(OFFSET($CX$3,0,0,'Données projet'!$E$13+1,1))-AVERAGE(OFFSET($H$3,0,0,'Données projet'!$E$13+1,1))</f>
        <v>297.21955661193238</v>
      </c>
      <c r="CZ117" s="59">
        <f t="shared" si="96"/>
        <v>273.69206144662144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1.2766309275922714</v>
      </c>
      <c r="DG117" s="21">
        <f>EXP(-LN(2)/25)*DG116+(1-EXP(-LN(2)/25))/(LN(2)/25)*Calculateur!DB117*Calculateur!DD117*VLOOKUP('Données projet'!$B$13,Paramètres!$A$1:$I$89,3,0)*0.475*44/12</f>
        <v>1.3073540093317624</v>
      </c>
      <c r="DH117" s="21">
        <f>EXP(-LN(2)/2)*DH116+(1-EXP(-LN(2)/2))/(LN(2)/2)*DB117*DE117*VLOOKUP('Données projet'!$B$13,Paramètres!$A$1:$I$89,3,0)*0.475*44/12</f>
        <v>4.7550164318256145E-12</v>
      </c>
      <c r="DI117" s="22">
        <f t="shared" si="69"/>
        <v>2.5839849369287884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-4.0702161641092972E-13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260.20517190557814</v>
      </c>
      <c r="DU117" s="59">
        <f t="shared" si="98"/>
        <v>307.22009971147133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0.61822107342786092</v>
      </c>
      <c r="EB117" s="21">
        <f>EXP(-LN(2)/25)*EB116+(1-EXP(-LN(2)/25))/(LN(2)/25)*Calculateur!DW117*Calculateur!DY117*VLOOKUP('Données projet'!$B$14,Paramètres!$A$1:$I$89,3,0)*0.475*44/12</f>
        <v>1.9985184539833627</v>
      </c>
      <c r="EC117" s="21">
        <f>EXP(-LN(2)/2)*EC116+(1-EXP(-LN(2)/2))/(LN(2)/2)*DW117*DZ117*VLOOKUP('Données projet'!$B$14,Paramètres!$A$1:$I$89,3,0)*0.475*44/12</f>
        <v>5.4658435721551737E-12</v>
      </c>
      <c r="ED117" s="22">
        <f t="shared" si="72"/>
        <v>2.6167395274166894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1.1368683772161603E-13</v>
      </c>
      <c r="EK117" s="17">
        <f>EJ117*VLOOKUP('Données projet'!$B$15,Paramètres!$A$1:$I$89,3,0)*VLOOKUP('Données projet'!$B$15,Paramètres!$A$1:$I$89,5,0)</f>
        <v>6.7984728957526396E-14</v>
      </c>
      <c r="EL117" s="13">
        <f t="shared" si="99"/>
        <v>1.0682447123141398E-12</v>
      </c>
      <c r="EM117" s="20">
        <f t="shared" si="73"/>
        <v>1.978932943548152E-12</v>
      </c>
      <c r="EN117" s="59">
        <f t="shared" si="74"/>
        <v>293.3333333333353</v>
      </c>
      <c r="EO117" s="59">
        <f ca="1">AVERAGE(OFFSET($EN$3,0,0,'Données projet'!$E$15+1,1))-AVERAGE(OFFSET($H$3,0,0,'Données projet'!$E$15+1,1))</f>
        <v>259.30247982593914</v>
      </c>
      <c r="EP117" s="59">
        <f t="shared" si="100"/>
        <v>275.24740346220779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1.7563356273861166</v>
      </c>
      <c r="EX117" s="21">
        <f>EXP(-LN(2)/2)*EX116+(1-EXP(-LN(2)/2))/(LN(2)/2)*ER117*EU117*VLOOKUP('Données projet'!$B$15,Paramètres!$A$1:$I$89,3,0)*0.475*44/12</f>
        <v>6.5211839186906756E-12</v>
      </c>
      <c r="EY117" s="22">
        <f t="shared" si="75"/>
        <v>1.7563356273926378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5.4</v>
      </c>
      <c r="FE117" s="12">
        <f>IF('Données projet'!$A$218&gt;35,FE116+FD117-FM116,IF(A117&lt;'Données projet'!$A$218,$FB$205^A117,IF(A117='Données projet'!$A$218,'Données projet'!$B$218,FE116+FD117-FM116)))</f>
        <v>328.59999999999957</v>
      </c>
      <c r="FF117" s="17">
        <f>FE117*VLOOKUP('Données projet'!$B$16,Paramètres!$A$1:$I$89,3,0)*VLOOKUP('Données projet'!$B$16,Paramètres!$A$1:$I$89,5,0)</f>
        <v>333.20039999999955</v>
      </c>
      <c r="FG117" s="13">
        <f t="shared" si="101"/>
        <v>78.093458573649642</v>
      </c>
      <c r="FH117" s="20">
        <f t="shared" si="76"/>
        <v>716.33680368243904</v>
      </c>
      <c r="FI117" s="59">
        <f t="shared" si="77"/>
        <v>1009.6701370157723</v>
      </c>
      <c r="FJ117" s="59">
        <f ca="1">AVERAGE(OFFSET($FI$3,0,0,'Données projet'!$E$16+1,1))-AVERAGE(OFFSET($H$3,0,0,'Données projet'!$E$16+1,1))</f>
        <v>372.91317851957336</v>
      </c>
      <c r="FK117" s="59">
        <f t="shared" si="102"/>
        <v>269.69187715858413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0.51141040332397214</v>
      </c>
      <c r="FR117" s="21">
        <f>EXP(-LN(2)/25)*FR116+(1-EXP(-LN(2)/25))/(LN(2)/25)*Calculateur!FM117*Calculateur!FO117*VLOOKUP('Données projet'!$B$16,Paramètres!$A$1:$I$89,3,0)*0.475*44/12</f>
        <v>1.4795869613513191</v>
      </c>
      <c r="FS117" s="21">
        <f>EXP(-LN(2)/2)*FS116+(1-EXP(-LN(2)/2))/(LN(2)/2)*FM117*FP117*VLOOKUP('Données projet'!$B$16,Paramètres!$A$1:$I$89,3,0)*0.475*44/12</f>
        <v>5.5397066764577028E-12</v>
      </c>
      <c r="FT117" s="22">
        <f t="shared" si="78"/>
        <v>1.990997364680831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-1.1368683772161603E-13</v>
      </c>
      <c r="GA117" s="17">
        <f>FZ117*VLOOKUP('Données projet'!$B$17,Paramètres!$A$1:$I$89,3,0)*VLOOKUP('Données projet'!$B$17,Paramètres!$A$1:$I$89,5,0)</f>
        <v>-5.3205440053716299E-14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215.23235148064941</v>
      </c>
      <c r="GF117" s="59">
        <f t="shared" si="104"/>
        <v>184.07239726900434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0.59389215786978322</v>
      </c>
      <c r="GM117" s="21">
        <f>EXP(-LN(2)/25)*GM116+(1-EXP(-LN(2)/25))/(LN(2)/25)*Calculateur!GH117*Calculateur!GJ117*VLOOKUP('Données projet'!$B$17,Paramètres!$A$1:$I$89,3,0)*0.475*44/12</f>
        <v>0.76508744767714665</v>
      </c>
      <c r="GN117" s="21">
        <f>EXP(-LN(2)/2)*GN116+(1-EXP(-LN(2)/2))/(LN(2)/2)*GH117*GK117*VLOOKUP('Données projet'!$B$17,Paramètres!$A$1:$I$89,3,0)*0.475*44/12</f>
        <v>2.2355781039314006E-12</v>
      </c>
      <c r="GO117" s="21">
        <f t="shared" si="81"/>
        <v>1.3589796055491654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-1.1368683772161603E-13</v>
      </c>
      <c r="GV117" s="17">
        <f>GU117*VLOOKUP('Données projet'!$B$18,Paramètres!$A$1:$I$89,3,0)*VLOOKUP('Données projet'!$B$18,Paramètres!$A$1:$I$89,5,0)</f>
        <v>-6.7984728957526396E-14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227.89848316900191</v>
      </c>
      <c r="HA117" s="59">
        <f t="shared" si="106"/>
        <v>239.85955661394541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1.5047358547635015</v>
      </c>
      <c r="HH117" s="21">
        <f>EXP(-LN(2)/25)*HH116+(1-EXP(-LN(2)/25))/(LN(2)/25)*Calculateur!HC117*Calculateur!HE117*VLOOKUP('Données projet'!$B$18,Paramètres!$A$1:$I$89,3,0)*0.475*44/12</f>
        <v>1.6697085547715613</v>
      </c>
      <c r="HI117" s="21">
        <f>EXP(-LN(2)/2)*HI116+(1-EXP(-LN(2)/2))/(LN(2)/2)*HC117*HF117*VLOOKUP('Données projet'!$B$18,Paramètres!$A$1:$I$89,3,0)*0.475*44/12</f>
        <v>1.5242154887784377E-12</v>
      </c>
      <c r="HJ117" s="22">
        <f t="shared" si="84"/>
        <v>3.1744444095365871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2.5420376914553347E-13</v>
      </c>
      <c r="P118" s="13">
        <f t="shared" si="87"/>
        <v>3.4258699088369875E-12</v>
      </c>
      <c r="Q118" s="20">
        <f t="shared" si="107"/>
        <v>6.4094616558195571E-12</v>
      </c>
      <c r="R118" s="59">
        <f t="shared" si="55"/>
        <v>293.33333333333974</v>
      </c>
      <c r="S118" s="59">
        <f ca="1">AVERAGE(OFFSET($R$3,0,0,'Données projet'!$E$9+1,1))-AVERAGE(OFFSET($H$3,0,0,'Données projet'!$E$9+1,1))</f>
        <v>370.69652285220093</v>
      </c>
      <c r="T118" s="59">
        <f t="shared" si="88"/>
        <v>376.53494965377718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1.909108221814966</v>
      </c>
      <c r="AA118" s="21">
        <f>EXP(-LN(2)/25)*AA117+(1-EXP(-LN(2)/25))/(LN(2)/25)*Calculateur!V118*Calculateur!X118*VLOOKUP('Données projet'!$B$9,Paramètres!$A$1:$I$89,3,0)*0.475*44/12</f>
        <v>3.1645943884280037</v>
      </c>
      <c r="AB118" s="21">
        <f>EXP(-LN(2)/2)*AB117+(1-EXP(-LN(2)/2))/(LN(2)/2)*V118*Y118*VLOOKUP('Données projet'!$B$9,Paramètres!$A$1:$I$89,3,0)*0.475*44/12</f>
        <v>5.2622086636463339E-12</v>
      </c>
      <c r="AC118" s="22">
        <f t="shared" si="57"/>
        <v>5.0737026102482323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5.4</v>
      </c>
      <c r="AI118" s="13">
        <f>IF('Données projet'!$A$62&gt;35,AI117+AH118-AQ117,IF(A118&lt;'Données projet'!$A$62,$AF$205^A118,IF(A118='Données projet'!$A$62,'Données projet'!$B$62,AI117+AH118-AQ117)))</f>
        <v>333.99999999999955</v>
      </c>
      <c r="AJ118" s="13">
        <f>AI118*VLOOKUP('Données projet'!$B$10,Paramètres!$A$1:$I$89,3,0)*VLOOKUP('Données projet'!$B$10,Paramètres!$A$1:$I$89,5,0)</f>
        <v>302.20319999999958</v>
      </c>
      <c r="AK118" s="13">
        <f t="shared" si="89"/>
        <v>71.638141943842172</v>
      </c>
      <c r="AL118" s="20">
        <f t="shared" si="58"/>
        <v>651.10700388552448</v>
      </c>
      <c r="AM118" s="59">
        <f t="shared" si="59"/>
        <v>944.44033721885785</v>
      </c>
      <c r="AN118" s="59">
        <f ca="1">AVERAGE(OFFSET($AM$3,0,0,'Données projet'!$E$10+1,1))-AVERAGE(OFFSET($H$3,0,0,'Données projet'!$E$10+1,1))</f>
        <v>321.03881567735544</v>
      </c>
      <c r="AO118" s="59">
        <f t="shared" si="90"/>
        <v>234.87694492493506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0.44738697723340609</v>
      </c>
      <c r="AV118" s="21">
        <f>EXP(-LN(2)/25)*AV117+(1-EXP(-LN(2)/25))/(LN(2)/25)*Calculateur!AQ118*Calculateur!AS118*VLOOKUP('Données projet'!$B$10,Paramètres!$A$1:$I$89,3,0)*0.475*44/12</f>
        <v>1.2841446081374472</v>
      </c>
      <c r="AW118" s="21">
        <f>EXP(-LN(2)/2)*AW117+(1-EXP(-LN(2)/2))/(LN(2)/2)*AQ118*AT118*VLOOKUP('Données projet'!$B$10,Paramètres!$A$1:$I$89,3,0)*0.475*44/12</f>
        <v>3.4953157090621986E-12</v>
      </c>
      <c r="AX118" s="21">
        <f t="shared" si="60"/>
        <v>1.7315315853743487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5.6843418860808015E-13</v>
      </c>
      <c r="BE118" s="13">
        <f>BD118*VLOOKUP('Données projet'!$B$11,Paramètres!$A$1:$I$89,3,0)*VLOOKUP('Données projet'!$B$11,Paramètres!$A$1:$I$89,5,0)</f>
        <v>3.1036506698001181E-13</v>
      </c>
      <c r="BF118" s="13">
        <f t="shared" si="91"/>
        <v>4.086682523110923E-12</v>
      </c>
      <c r="BG118" s="20">
        <f t="shared" si="61"/>
        <v>7.6581912194083782E-12</v>
      </c>
      <c r="BH118" s="59">
        <f t="shared" si="62"/>
        <v>293.33333333334099</v>
      </c>
      <c r="BI118" s="59">
        <f ca="1">AVERAGE(OFFSET($BH$3,0,0,'Données projet'!$E$11+1,1))-AVERAGE(OFFSET($H$3,0,0,'Données projet'!$E$11+1,1))</f>
        <v>248.1486444660062</v>
      </c>
      <c r="BJ118" s="59">
        <f t="shared" si="92"/>
        <v>293.34458072322127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1.5821784840411544</v>
      </c>
      <c r="BQ118" s="21">
        <f>EXP(-LN(2)/25)*BQ117+(1-EXP(-LN(2)/25))/(LN(2)/25)*Calculateur!BL118*Calculateur!BN118*VLOOKUP('Données projet'!$B$11,Paramètres!$A$1:$I$89,3,0)*0.475*44/12</f>
        <v>3.2244728748624714</v>
      </c>
      <c r="BR118" s="21">
        <f>EXP(-LN(2)/2)*BR117+(1-EXP(-LN(2)/2))/(LN(2)/2)*BL118*BO118*VLOOKUP('Données projet'!$B$11,Paramètres!$A$1:$I$89,3,0)*0.475*44/12</f>
        <v>4.0487667030336369E-12</v>
      </c>
      <c r="BS118" s="22">
        <f t="shared" si="63"/>
        <v>4.8066513589076747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243.38048563215585</v>
      </c>
      <c r="CE118" s="59">
        <f t="shared" si="94"/>
        <v>372.1604147006675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1.3575880688461983</v>
      </c>
      <c r="CL118" s="21">
        <f>EXP(-LN(2)/25)*CL117+(1-EXP(-LN(2)/25))/(LN(2)/25)*Calculateur!CG118*Calculateur!CI118*VLOOKUP('Données projet'!$B$12,Paramètres!$A$1:$I$89,3,0)*0.475*44/12</f>
        <v>1.8342471060911183</v>
      </c>
      <c r="CM118" s="21">
        <f>EXP(-LN(2)/2)*CM117+(1-EXP(-LN(2)/2))/(LN(2)/2)*CG118*CJ118*VLOOKUP('Données projet'!$B$12,Paramètres!$A$1:$I$89,3,0)*0.475*44/12</f>
        <v>4.713181694500781E-12</v>
      </c>
      <c r="CN118" s="22">
        <f t="shared" si="66"/>
        <v>3.1918351749420295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7.9580786405131221E-13</v>
      </c>
      <c r="CU118" s="17">
        <f>CT118*VLOOKUP('Données projet'!$B$13,Paramètres!$A$1:$I$89,3,0)*VLOOKUP('Données projet'!$B$13,Paramètres!$A$1:$I$89,5,0)</f>
        <v>3.8278358260868117E-13</v>
      </c>
      <c r="CV118" s="13">
        <f t="shared" si="95"/>
        <v>4.9186917125089072E-12</v>
      </c>
      <c r="CW118" s="20">
        <f t="shared" si="67"/>
        <v>9.2334028056631319E-12</v>
      </c>
      <c r="CX118" s="59">
        <f t="shared" si="68"/>
        <v>293.33333333334252</v>
      </c>
      <c r="CY118" s="59">
        <f ca="1">AVERAGE(OFFSET($CX$3,0,0,'Données projet'!$E$13+1,1))-AVERAGE(OFFSET($H$3,0,0,'Données projet'!$E$13+1,1))</f>
        <v>297.21955661193238</v>
      </c>
      <c r="CZ118" s="59">
        <f t="shared" si="96"/>
        <v>273.69206144662144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1.2515969737701658</v>
      </c>
      <c r="DG118" s="21">
        <f>EXP(-LN(2)/25)*DG117+(1-EXP(-LN(2)/25))/(LN(2)/25)*Calculateur!DB118*Calculateur!DD118*VLOOKUP('Données projet'!$B$13,Paramètres!$A$1:$I$89,3,0)*0.475*44/12</f>
        <v>1.2716043451958259</v>
      </c>
      <c r="DH118" s="21">
        <f>EXP(-LN(2)/2)*DH117+(1-EXP(-LN(2)/2))/(LN(2)/2)*DB118*DE118*VLOOKUP('Données projet'!$B$13,Paramètres!$A$1:$I$89,3,0)*0.475*44/12</f>
        <v>3.3623043635973528E-12</v>
      </c>
      <c r="DI118" s="22">
        <f t="shared" si="69"/>
        <v>2.5232013189693538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-4.0702161641092972E-13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260.20517190557814</v>
      </c>
      <c r="DU118" s="59">
        <f t="shared" si="98"/>
        <v>307.22009971147133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0.606098135255562</v>
      </c>
      <c r="EB118" s="21">
        <f>EXP(-LN(2)/25)*EB117+(1-EXP(-LN(2)/25))/(LN(2)/25)*Calculateur!DW118*Calculateur!DY118*VLOOKUP('Données projet'!$B$14,Paramètres!$A$1:$I$89,3,0)*0.475*44/12</f>
        <v>1.9438688617616697</v>
      </c>
      <c r="EC118" s="21">
        <f>EXP(-LN(2)/2)*EC117+(1-EXP(-LN(2)/2))/(LN(2)/2)*DW118*DZ118*VLOOKUP('Données projet'!$B$14,Paramètres!$A$1:$I$89,3,0)*0.475*44/12</f>
        <v>3.8649350547758257E-12</v>
      </c>
      <c r="ED118" s="22">
        <f t="shared" si="72"/>
        <v>2.5499669970210967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1.1368683772161603E-13</v>
      </c>
      <c r="EK118" s="17">
        <f>EJ118*VLOOKUP('Données projet'!$B$15,Paramètres!$A$1:$I$89,3,0)*VLOOKUP('Données projet'!$B$15,Paramètres!$A$1:$I$89,5,0)</f>
        <v>6.7984728957526396E-14</v>
      </c>
      <c r="EL118" s="13">
        <f t="shared" si="99"/>
        <v>1.0682447123141398E-12</v>
      </c>
      <c r="EM118" s="20">
        <f t="shared" si="73"/>
        <v>1.978932943548152E-12</v>
      </c>
      <c r="EN118" s="59">
        <f t="shared" si="74"/>
        <v>293.3333333333353</v>
      </c>
      <c r="EO118" s="59">
        <f ca="1">AVERAGE(OFFSET($EN$3,0,0,'Données projet'!$E$15+1,1))-AVERAGE(OFFSET($H$3,0,0,'Données projet'!$E$15+1,1))</f>
        <v>259.30247982593914</v>
      </c>
      <c r="EP118" s="59">
        <f t="shared" si="100"/>
        <v>275.24740346220779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1.7083085372935667</v>
      </c>
      <c r="EX118" s="21">
        <f>EXP(-LN(2)/2)*EX117+(1-EXP(-LN(2)/2))/(LN(2)/2)*ER118*EU118*VLOOKUP('Données projet'!$B$15,Paramètres!$A$1:$I$89,3,0)*0.475*44/12</f>
        <v>4.61117337027084E-12</v>
      </c>
      <c r="EY118" s="22">
        <f t="shared" si="75"/>
        <v>1.7083085372981779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5.4</v>
      </c>
      <c r="FE118" s="12">
        <f>IF('Données projet'!$A$218&gt;35,FE117+FD118-FM117,IF(A118&lt;'Données projet'!$A$218,$FB$205^A118,IF(A118='Données projet'!$A$218,'Données projet'!$B$218,FE117+FD118-FM117)))</f>
        <v>333.99999999999955</v>
      </c>
      <c r="FF118" s="17">
        <f>FE118*VLOOKUP('Données projet'!$B$16,Paramètres!$A$1:$I$89,3,0)*VLOOKUP('Données projet'!$B$16,Paramètres!$A$1:$I$89,5,0)</f>
        <v>338.67599999999953</v>
      </c>
      <c r="FG118" s="13">
        <f t="shared" si="101"/>
        <v>79.226337553065576</v>
      </c>
      <c r="FH118" s="20">
        <f t="shared" si="76"/>
        <v>727.84657123825502</v>
      </c>
      <c r="FI118" s="59">
        <f t="shared" si="77"/>
        <v>1021.1799045715884</v>
      </c>
      <c r="FJ118" s="59">
        <f ca="1">AVERAGE(OFFSET($FI$3,0,0,'Données projet'!$E$16+1,1))-AVERAGE(OFFSET($H$3,0,0,'Données projet'!$E$16+1,1))</f>
        <v>372.91317851957336</v>
      </c>
      <c r="FK118" s="59">
        <f t="shared" si="102"/>
        <v>269.69187715858413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0.50138195724433454</v>
      </c>
      <c r="FR118" s="21">
        <f>EXP(-LN(2)/25)*FR117+(1-EXP(-LN(2)/25))/(LN(2)/25)*Calculateur!FM118*Calculateur!FO118*VLOOKUP('Données projet'!$B$16,Paramètres!$A$1:$I$89,3,0)*0.475*44/12</f>
        <v>1.4391275780850705</v>
      </c>
      <c r="FS118" s="21">
        <f>EXP(-LN(2)/2)*FS117+(1-EXP(-LN(2)/2))/(LN(2)/2)*FM118*FP118*VLOOKUP('Données projet'!$B$16,Paramètres!$A$1:$I$89,3,0)*0.475*44/12</f>
        <v>3.9171641567076332E-12</v>
      </c>
      <c r="FT118" s="22">
        <f t="shared" si="78"/>
        <v>1.9405095353333222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-1.1368683772161603E-13</v>
      </c>
      <c r="GA118" s="17">
        <f>FZ118*VLOOKUP('Données projet'!$B$17,Paramètres!$A$1:$I$89,3,0)*VLOOKUP('Données projet'!$B$17,Paramètres!$A$1:$I$89,5,0)</f>
        <v>-5.3205440053716299E-14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215.23235148064941</v>
      </c>
      <c r="GF118" s="59">
        <f t="shared" si="104"/>
        <v>184.07239726900434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0.58224629489240498</v>
      </c>
      <c r="GM118" s="21">
        <f>EXP(-LN(2)/25)*GM117+(1-EXP(-LN(2)/25))/(LN(2)/25)*Calculateur!GH118*Calculateur!GJ118*VLOOKUP('Données projet'!$B$17,Paramètres!$A$1:$I$89,3,0)*0.475*44/12</f>
        <v>0.7441660911862148</v>
      </c>
      <c r="GN118" s="21">
        <f>EXP(-LN(2)/2)*GN117+(1-EXP(-LN(2)/2))/(LN(2)/2)*GH118*GK118*VLOOKUP('Données projet'!$B$17,Paramètres!$A$1:$I$89,3,0)*0.475*44/12</f>
        <v>1.5807924371620577E-12</v>
      </c>
      <c r="GO118" s="21">
        <f t="shared" si="81"/>
        <v>1.3264123860802004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-1.1368683772161603E-13</v>
      </c>
      <c r="GV118" s="17">
        <f>GU118*VLOOKUP('Données projet'!$B$18,Paramètres!$A$1:$I$89,3,0)*VLOOKUP('Données projet'!$B$18,Paramètres!$A$1:$I$89,5,0)</f>
        <v>-6.7984728957526396E-14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227.89848316900191</v>
      </c>
      <c r="HA118" s="59">
        <f t="shared" si="106"/>
        <v>239.85955661394541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1.4752289024498355</v>
      </c>
      <c r="HH118" s="21">
        <f>EXP(-LN(2)/25)*HH117+(1-EXP(-LN(2)/25))/(LN(2)/25)*Calculateur!HC118*Calculateur!HE118*VLOOKUP('Données projet'!$B$18,Paramètres!$A$1:$I$89,3,0)*0.475*44/12</f>
        <v>1.6240502865351762</v>
      </c>
      <c r="HI118" s="21">
        <f>EXP(-LN(2)/2)*HI117+(1-EXP(-LN(2)/2))/(LN(2)/2)*HC118*HF118*VLOOKUP('Données projet'!$B$18,Paramètres!$A$1:$I$89,3,0)*0.475*44/12</f>
        <v>1.0777831081048013E-12</v>
      </c>
      <c r="HJ118" s="22">
        <f t="shared" si="84"/>
        <v>3.0992791889860896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2.5420376914553347E-13</v>
      </c>
      <c r="P119" s="13">
        <f t="shared" si="87"/>
        <v>3.4258699088369875E-12</v>
      </c>
      <c r="Q119" s="20">
        <f t="shared" si="107"/>
        <v>6.4094616558195571E-12</v>
      </c>
      <c r="R119" s="59">
        <f t="shared" si="55"/>
        <v>293.33333333333974</v>
      </c>
      <c r="S119" s="59">
        <f ca="1">AVERAGE(OFFSET($R$3,0,0,'Données projet'!$E$9+1,1))-AVERAGE(OFFSET($H$3,0,0,'Données projet'!$E$9+1,1))</f>
        <v>370.69652285220093</v>
      </c>
      <c r="T119" s="59">
        <f t="shared" si="88"/>
        <v>376.53494965377718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1.8716717740262108</v>
      </c>
      <c r="AA119" s="21">
        <f>EXP(-LN(2)/25)*AA118+(1-EXP(-LN(2)/25))/(LN(2)/25)*Calculateur!V119*Calculateur!X119*VLOOKUP('Données projet'!$B$9,Paramètres!$A$1:$I$89,3,0)*0.475*44/12</f>
        <v>3.078058388457654</v>
      </c>
      <c r="AB119" s="21">
        <f>EXP(-LN(2)/2)*AB118+(1-EXP(-LN(2)/2))/(LN(2)/2)*V119*Y119*VLOOKUP('Données projet'!$B$9,Paramètres!$A$1:$I$89,3,0)*0.475*44/12</f>
        <v>3.7209434300829227E-12</v>
      </c>
      <c r="AC119" s="22">
        <f t="shared" si="57"/>
        <v>4.9497301624875858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5.4</v>
      </c>
      <c r="AI119" s="13">
        <f>IF('Données projet'!$A$62&gt;35,AI118+AH119-AQ118,IF(A119&lt;'Données projet'!$A$62,$AF$205^A119,IF(A119='Données projet'!$A$62,'Données projet'!$B$62,AI118+AH119-AQ118)))</f>
        <v>339.39999999999952</v>
      </c>
      <c r="AJ119" s="13">
        <f>AI119*VLOOKUP('Données projet'!$B$10,Paramètres!$A$1:$I$89,3,0)*VLOOKUP('Données projet'!$B$10,Paramètres!$A$1:$I$89,5,0)</f>
        <v>307.08911999999958</v>
      </c>
      <c r="AK119" s="13">
        <f t="shared" si="89"/>
        <v>72.660589186887549</v>
      </c>
      <c r="AL119" s="20">
        <f t="shared" si="58"/>
        <v>661.39741016716164</v>
      </c>
      <c r="AM119" s="59">
        <f t="shared" si="59"/>
        <v>954.73074350049501</v>
      </c>
      <c r="AN119" s="59">
        <f ca="1">AVERAGE(OFFSET($AM$3,0,0,'Données projet'!$E$10+1,1))-AVERAGE(OFFSET($H$3,0,0,'Données projet'!$E$10+1,1))</f>
        <v>321.03881567735544</v>
      </c>
      <c r="AO119" s="59">
        <f t="shared" si="90"/>
        <v>234.87694492493506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0.43861399148897051</v>
      </c>
      <c r="AV119" s="21">
        <f>EXP(-LN(2)/25)*AV118+(1-EXP(-LN(2)/25))/(LN(2)/25)*Calculateur!AQ119*Calculateur!AS119*VLOOKUP('Données projet'!$B$10,Paramètres!$A$1:$I$89,3,0)*0.475*44/12</f>
        <v>1.2490296062976987</v>
      </c>
      <c r="AW119" s="21">
        <f>EXP(-LN(2)/2)*AW118+(1-EXP(-LN(2)/2))/(LN(2)/2)*AQ119*AT119*VLOOKUP('Données projet'!$B$10,Paramètres!$A$1:$I$89,3,0)*0.475*44/12</f>
        <v>2.4715614402657463E-12</v>
      </c>
      <c r="AX119" s="21">
        <f t="shared" si="60"/>
        <v>1.6876435977891406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5.6843418860808015E-13</v>
      </c>
      <c r="BE119" s="13">
        <f>BD119*VLOOKUP('Données projet'!$B$11,Paramètres!$A$1:$I$89,3,0)*VLOOKUP('Données projet'!$B$11,Paramètres!$A$1:$I$89,5,0)</f>
        <v>3.1036506698001181E-13</v>
      </c>
      <c r="BF119" s="13">
        <f t="shared" si="91"/>
        <v>4.086682523110923E-12</v>
      </c>
      <c r="BG119" s="20">
        <f t="shared" si="61"/>
        <v>7.6581912194083782E-12</v>
      </c>
      <c r="BH119" s="59">
        <f t="shared" si="62"/>
        <v>293.33333333334099</v>
      </c>
      <c r="BI119" s="59">
        <f ca="1">AVERAGE(OFFSET($BH$3,0,0,'Données projet'!$E$11+1,1))-AVERAGE(OFFSET($H$3,0,0,'Données projet'!$E$11+1,1))</f>
        <v>248.1486444660062</v>
      </c>
      <c r="BJ119" s="59">
        <f t="shared" si="92"/>
        <v>293.34458072322127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1.5511529290026935</v>
      </c>
      <c r="BQ119" s="21">
        <f>EXP(-LN(2)/25)*BQ118+(1-EXP(-LN(2)/25))/(LN(2)/25)*Calculateur!BL119*Calculateur!BN119*VLOOKUP('Données projet'!$B$11,Paramètres!$A$1:$I$89,3,0)*0.475*44/12</f>
        <v>3.1362994945316984</v>
      </c>
      <c r="BR119" s="21">
        <f>EXP(-LN(2)/2)*BR118+(1-EXP(-LN(2)/2))/(LN(2)/2)*BL119*BO119*VLOOKUP('Données projet'!$B$11,Paramètres!$A$1:$I$89,3,0)*0.475*44/12</f>
        <v>2.8629103911573853E-12</v>
      </c>
      <c r="BS119" s="22">
        <f t="shared" si="63"/>
        <v>4.6874524235372546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243.38048563215585</v>
      </c>
      <c r="CE119" s="59">
        <f t="shared" si="94"/>
        <v>372.1604147006675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1.3309665948630836</v>
      </c>
      <c r="CL119" s="21">
        <f>EXP(-LN(2)/25)*CL118+(1-EXP(-LN(2)/25))/(LN(2)/25)*Calculateur!CG119*Calculateur!CI119*VLOOKUP('Données projet'!$B$12,Paramètres!$A$1:$I$89,3,0)*0.475*44/12</f>
        <v>1.7840895225161937</v>
      </c>
      <c r="CM119" s="21">
        <f>EXP(-LN(2)/2)*CM118+(1-EXP(-LN(2)/2))/(LN(2)/2)*CG119*CJ119*VLOOKUP('Données projet'!$B$12,Paramètres!$A$1:$I$89,3,0)*0.475*44/12</f>
        <v>3.3327227371458051E-12</v>
      </c>
      <c r="CN119" s="22">
        <f t="shared" si="66"/>
        <v>3.1150561173826099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7.9580786405131221E-13</v>
      </c>
      <c r="CU119" s="17">
        <f>CT119*VLOOKUP('Données projet'!$B$13,Paramètres!$A$1:$I$89,3,0)*VLOOKUP('Données projet'!$B$13,Paramètres!$A$1:$I$89,5,0)</f>
        <v>3.8278358260868117E-13</v>
      </c>
      <c r="CV119" s="13">
        <f t="shared" si="95"/>
        <v>4.9186917125089072E-12</v>
      </c>
      <c r="CW119" s="20">
        <f t="shared" si="67"/>
        <v>9.2334028056631319E-12</v>
      </c>
      <c r="CX119" s="59">
        <f t="shared" si="68"/>
        <v>293.33333333334252</v>
      </c>
      <c r="CY119" s="59">
        <f ca="1">AVERAGE(OFFSET($CX$3,0,0,'Données projet'!$E$13+1,1))-AVERAGE(OFFSET($H$3,0,0,'Données projet'!$E$13+1,1))</f>
        <v>297.21955661193238</v>
      </c>
      <c r="CZ119" s="59">
        <f t="shared" si="96"/>
        <v>273.69206144662144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1.2270539205133075</v>
      </c>
      <c r="DG119" s="21">
        <f>EXP(-LN(2)/25)*DG118+(1-EXP(-LN(2)/25))/(LN(2)/25)*Calculateur!DB119*Calculateur!DD119*VLOOKUP('Données projet'!$B$13,Paramètres!$A$1:$I$89,3,0)*0.475*44/12</f>
        <v>1.2368322575056798</v>
      </c>
      <c r="DH119" s="21">
        <f>EXP(-LN(2)/2)*DH118+(1-EXP(-LN(2)/2))/(LN(2)/2)*DB119*DE119*VLOOKUP('Données projet'!$B$13,Paramètres!$A$1:$I$89,3,0)*0.475*44/12</f>
        <v>2.3775082159128073E-12</v>
      </c>
      <c r="DI119" s="22">
        <f t="shared" si="69"/>
        <v>2.4638861780213652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-4.0702161641092972E-13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260.20517190557814</v>
      </c>
      <c r="DU119" s="59">
        <f t="shared" si="98"/>
        <v>307.22009971147133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0.59421292050655972</v>
      </c>
      <c r="EB119" s="21">
        <f>EXP(-LN(2)/25)*EB118+(1-EXP(-LN(2)/25))/(LN(2)/25)*Calculateur!DW119*Calculateur!DY119*VLOOKUP('Données projet'!$B$14,Paramètres!$A$1:$I$89,3,0)*0.475*44/12</f>
        <v>1.8907136655131762</v>
      </c>
      <c r="EC119" s="21">
        <f>EXP(-LN(2)/2)*EC118+(1-EXP(-LN(2)/2))/(LN(2)/2)*DW119*DZ119*VLOOKUP('Données projet'!$B$14,Paramètres!$A$1:$I$89,3,0)*0.475*44/12</f>
        <v>2.7329217860775869E-12</v>
      </c>
      <c r="ED119" s="22">
        <f t="shared" si="72"/>
        <v>2.484926586022469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1.1368683772161603E-13</v>
      </c>
      <c r="EK119" s="17">
        <f>EJ119*VLOOKUP('Données projet'!$B$15,Paramètres!$A$1:$I$89,3,0)*VLOOKUP('Données projet'!$B$15,Paramètres!$A$1:$I$89,5,0)</f>
        <v>6.7984728957526396E-14</v>
      </c>
      <c r="EL119" s="13">
        <f t="shared" si="99"/>
        <v>1.0682447123141398E-12</v>
      </c>
      <c r="EM119" s="20">
        <f t="shared" si="73"/>
        <v>1.978932943548152E-12</v>
      </c>
      <c r="EN119" s="59">
        <f t="shared" si="74"/>
        <v>293.3333333333353</v>
      </c>
      <c r="EO119" s="59">
        <f ca="1">AVERAGE(OFFSET($EN$3,0,0,'Données projet'!$E$15+1,1))-AVERAGE(OFFSET($H$3,0,0,'Données projet'!$E$15+1,1))</f>
        <v>259.30247982593914</v>
      </c>
      <c r="EP119" s="59">
        <f t="shared" si="100"/>
        <v>275.24740346220779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1.6615947505052324</v>
      </c>
      <c r="EX119" s="21">
        <f>EXP(-LN(2)/2)*EX118+(1-EXP(-LN(2)/2))/(LN(2)/2)*ER119*EU119*VLOOKUP('Données projet'!$B$15,Paramètres!$A$1:$I$89,3,0)*0.475*44/12</f>
        <v>3.2605919593453378E-12</v>
      </c>
      <c r="EY119" s="22">
        <f t="shared" si="75"/>
        <v>1.6615947505084929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5.4</v>
      </c>
      <c r="FE119" s="12">
        <f>IF('Données projet'!$A$218&gt;35,FE118+FD119-FM118,IF(A119&lt;'Données projet'!$A$218,$FB$205^A119,IF(A119='Données projet'!$A$218,'Données projet'!$B$218,FE118+FD119-FM118)))</f>
        <v>339.39999999999952</v>
      </c>
      <c r="FF119" s="17">
        <f>FE119*VLOOKUP('Données projet'!$B$16,Paramètres!$A$1:$I$89,3,0)*VLOOKUP('Données projet'!$B$16,Paramètres!$A$1:$I$89,5,0)</f>
        <v>344.15159999999952</v>
      </c>
      <c r="FG119" s="13">
        <f t="shared" si="101"/>
        <v>80.357086455950579</v>
      </c>
      <c r="FH119" s="20">
        <f t="shared" si="76"/>
        <v>739.3526289107798</v>
      </c>
      <c r="FI119" s="59">
        <f t="shared" si="77"/>
        <v>1032.6859622441132</v>
      </c>
      <c r="FJ119" s="59">
        <f ca="1">AVERAGE(OFFSET($FI$3,0,0,'Données projet'!$E$16+1,1))-AVERAGE(OFFSET($H$3,0,0,'Données projet'!$E$16+1,1))</f>
        <v>372.91317851957336</v>
      </c>
      <c r="FK119" s="59">
        <f t="shared" si="102"/>
        <v>269.69187715858413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0.49155016287557057</v>
      </c>
      <c r="FR119" s="21">
        <f>EXP(-LN(2)/25)*FR118+(1-EXP(-LN(2)/25))/(LN(2)/25)*Calculateur!FM119*Calculateur!FO119*VLOOKUP('Données projet'!$B$16,Paramètres!$A$1:$I$89,3,0)*0.475*44/12</f>
        <v>1.3997745587819042</v>
      </c>
      <c r="FS119" s="21">
        <f>EXP(-LN(2)/2)*FS118+(1-EXP(-LN(2)/2))/(LN(2)/2)*FM119*FP119*VLOOKUP('Données projet'!$B$16,Paramètres!$A$1:$I$89,3,0)*0.475*44/12</f>
        <v>2.7698533382288514E-12</v>
      </c>
      <c r="FT119" s="22">
        <f t="shared" si="78"/>
        <v>1.8913247216602445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-1.1368683772161603E-13</v>
      </c>
      <c r="GA119" s="17">
        <f>FZ119*VLOOKUP('Données projet'!$B$17,Paramètres!$A$1:$I$89,3,0)*VLOOKUP('Données projet'!$B$17,Paramètres!$A$1:$I$89,5,0)</f>
        <v>-5.3205440053716299E-14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215.23235148064941</v>
      </c>
      <c r="GF119" s="59">
        <f t="shared" si="104"/>
        <v>184.07239726900434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0.57082880018473814</v>
      </c>
      <c r="GM119" s="21">
        <f>EXP(-LN(2)/25)*GM118+(1-EXP(-LN(2)/25))/(LN(2)/25)*Calculateur!GH119*Calculateur!GJ119*VLOOKUP('Données projet'!$B$17,Paramètres!$A$1:$I$89,3,0)*0.475*44/12</f>
        <v>0.72381683028873378</v>
      </c>
      <c r="GN119" s="21">
        <f>EXP(-LN(2)/2)*GN118+(1-EXP(-LN(2)/2))/(LN(2)/2)*GH119*GK119*VLOOKUP('Données projet'!$B$17,Paramètres!$A$1:$I$89,3,0)*0.475*44/12</f>
        <v>1.1177890519657003E-12</v>
      </c>
      <c r="GO119" s="21">
        <f t="shared" si="81"/>
        <v>1.2946456304745897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-1.1368683772161603E-13</v>
      </c>
      <c r="GV119" s="17">
        <f>GU119*VLOOKUP('Données projet'!$B$18,Paramètres!$A$1:$I$89,3,0)*VLOOKUP('Données projet'!$B$18,Paramètres!$A$1:$I$89,5,0)</f>
        <v>-6.7984728957526396E-14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227.89848316900191</v>
      </c>
      <c r="HA119" s="59">
        <f t="shared" si="106"/>
        <v>239.85955661394541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1.4463005634735768</v>
      </c>
      <c r="HH119" s="21">
        <f>EXP(-LN(2)/25)*HH118+(1-EXP(-LN(2)/25))/(LN(2)/25)*Calculateur!HC119*Calculateur!HE119*VLOOKUP('Données projet'!$B$18,Paramètres!$A$1:$I$89,3,0)*0.475*44/12</f>
        <v>1.5796405460447791</v>
      </c>
      <c r="HI119" s="21">
        <f>EXP(-LN(2)/2)*HI118+(1-EXP(-LN(2)/2))/(LN(2)/2)*HC119*HF119*VLOOKUP('Données projet'!$B$18,Paramètres!$A$1:$I$89,3,0)*0.475*44/12</f>
        <v>7.6210774438921884E-13</v>
      </c>
      <c r="HJ119" s="22">
        <f t="shared" si="84"/>
        <v>3.0259411095191178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2.5420376914553347E-13</v>
      </c>
      <c r="P120" s="13">
        <f t="shared" si="87"/>
        <v>3.4258699088369875E-12</v>
      </c>
      <c r="Q120" s="20">
        <f t="shared" si="107"/>
        <v>6.4094616558195571E-12</v>
      </c>
      <c r="R120" s="59">
        <f t="shared" si="55"/>
        <v>293.33333333333974</v>
      </c>
      <c r="S120" s="59">
        <f ca="1">AVERAGE(OFFSET($R$3,0,0,'Données projet'!$E$9+1,1))-AVERAGE(OFFSET($H$3,0,0,'Données projet'!$E$9+1,1))</f>
        <v>370.69652285220093</v>
      </c>
      <c r="T120" s="59">
        <f t="shared" si="88"/>
        <v>376.53494965377718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1.8349694321446146</v>
      </c>
      <c r="AA120" s="21">
        <f>EXP(-LN(2)/25)*AA119+(1-EXP(-LN(2)/25))/(LN(2)/25)*Calculateur!V120*Calculateur!X120*VLOOKUP('Données projet'!$B$9,Paramètres!$A$1:$I$89,3,0)*0.475*44/12</f>
        <v>2.9938887199572237</v>
      </c>
      <c r="AB120" s="21">
        <f>EXP(-LN(2)/2)*AB119+(1-EXP(-LN(2)/2))/(LN(2)/2)*V120*Y120*VLOOKUP('Données projet'!$B$9,Paramètres!$A$1:$I$89,3,0)*0.475*44/12</f>
        <v>2.6311043318231669E-12</v>
      </c>
      <c r="AC120" s="22">
        <f t="shared" si="57"/>
        <v>4.8288581521044689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5.4</v>
      </c>
      <c r="AI120" s="13">
        <f>IF('Données projet'!$A$62&gt;35,AI119+AH120-AQ119,IF(A120&lt;'Données projet'!$A$62,$AF$205^A120,IF(A120='Données projet'!$A$62,'Données projet'!$B$62,AI119+AH120-AQ119)))</f>
        <v>344.7999999999995</v>
      </c>
      <c r="AJ120" s="13">
        <f>AI120*VLOOKUP('Données projet'!$B$10,Paramètres!$A$1:$I$89,3,0)*VLOOKUP('Données projet'!$B$10,Paramètres!$A$1:$I$89,5,0)</f>
        <v>311.97503999999952</v>
      </c>
      <c r="AK120" s="13">
        <f t="shared" si="89"/>
        <v>73.681144552074542</v>
      </c>
      <c r="AL120" s="20">
        <f t="shared" si="58"/>
        <v>671.68452142819569</v>
      </c>
      <c r="AM120" s="59">
        <f t="shared" si="59"/>
        <v>965.01785476152895</v>
      </c>
      <c r="AN120" s="59">
        <f ca="1">AVERAGE(OFFSET($AM$3,0,0,'Données projet'!$E$10+1,1))-AVERAGE(OFFSET($H$3,0,0,'Données projet'!$E$10+1,1))</f>
        <v>321.03881567735544</v>
      </c>
      <c r="AO120" s="59">
        <f t="shared" si="90"/>
        <v>234.87694492493506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0.43001303864399038</v>
      </c>
      <c r="AV120" s="21">
        <f>EXP(-LN(2)/25)*AV119+(1-EXP(-LN(2)/25))/(LN(2)/25)*Calculateur!AQ120*Calculateur!AS120*VLOOKUP('Données projet'!$B$10,Paramètres!$A$1:$I$89,3,0)*0.475*44/12</f>
        <v>1.2148748260298758</v>
      </c>
      <c r="AW120" s="21">
        <f>EXP(-LN(2)/2)*AW119+(1-EXP(-LN(2)/2))/(LN(2)/2)*AQ120*AT120*VLOOKUP('Données projet'!$B$10,Paramètres!$A$1:$I$89,3,0)*0.475*44/12</f>
        <v>1.7476578545310993E-12</v>
      </c>
      <c r="AX120" s="21">
        <f t="shared" si="60"/>
        <v>1.644887864675614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5.6843418860808015E-13</v>
      </c>
      <c r="BE120" s="13">
        <f>BD120*VLOOKUP('Données projet'!$B$11,Paramètres!$A$1:$I$89,3,0)*VLOOKUP('Données projet'!$B$11,Paramètres!$A$1:$I$89,5,0)</f>
        <v>3.1036506698001181E-13</v>
      </c>
      <c r="BF120" s="13">
        <f t="shared" si="91"/>
        <v>4.086682523110923E-12</v>
      </c>
      <c r="BG120" s="20">
        <f t="shared" si="61"/>
        <v>7.6581912194083782E-12</v>
      </c>
      <c r="BH120" s="59">
        <f t="shared" si="62"/>
        <v>293.33333333334099</v>
      </c>
      <c r="BI120" s="59">
        <f ca="1">AVERAGE(OFFSET($BH$3,0,0,'Données projet'!$E$11+1,1))-AVERAGE(OFFSET($H$3,0,0,'Données projet'!$E$11+1,1))</f>
        <v>248.1486444660062</v>
      </c>
      <c r="BJ120" s="59">
        <f t="shared" si="92"/>
        <v>293.34458072322127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1.5207357661748169</v>
      </c>
      <c r="BQ120" s="21">
        <f>EXP(-LN(2)/25)*BQ119+(1-EXP(-LN(2)/25))/(LN(2)/25)*Calculateur!BL120*Calculateur!BN120*VLOOKUP('Données projet'!$B$11,Paramètres!$A$1:$I$89,3,0)*0.475*44/12</f>
        <v>3.0505372199229068</v>
      </c>
      <c r="BR120" s="21">
        <f>EXP(-LN(2)/2)*BR119+(1-EXP(-LN(2)/2))/(LN(2)/2)*BL120*BO120*VLOOKUP('Données projet'!$B$11,Paramètres!$A$1:$I$89,3,0)*0.475*44/12</f>
        <v>2.0243833515168184E-12</v>
      </c>
      <c r="BS120" s="22">
        <f t="shared" si="63"/>
        <v>4.5712729860997481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243.38048563215585</v>
      </c>
      <c r="CE120" s="59">
        <f t="shared" si="94"/>
        <v>372.1604147006675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1.3048671517472819</v>
      </c>
      <c r="CL120" s="21">
        <f>EXP(-LN(2)/25)*CL119+(1-EXP(-LN(2)/25))/(LN(2)/25)*Calculateur!CG120*Calculateur!CI120*VLOOKUP('Données projet'!$B$12,Paramètres!$A$1:$I$89,3,0)*0.475*44/12</f>
        <v>1.7353035007017981</v>
      </c>
      <c r="CM120" s="21">
        <f>EXP(-LN(2)/2)*CM119+(1-EXP(-LN(2)/2))/(LN(2)/2)*CG120*CJ120*VLOOKUP('Données projet'!$B$12,Paramètres!$A$1:$I$89,3,0)*0.475*44/12</f>
        <v>2.3565908472503905E-12</v>
      </c>
      <c r="CN120" s="22">
        <f t="shared" si="66"/>
        <v>3.0401706524514367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7.9580786405131221E-13</v>
      </c>
      <c r="CU120" s="17">
        <f>CT120*VLOOKUP('Données projet'!$B$13,Paramètres!$A$1:$I$89,3,0)*VLOOKUP('Données projet'!$B$13,Paramètres!$A$1:$I$89,5,0)</f>
        <v>3.8278358260868117E-13</v>
      </c>
      <c r="CV120" s="13">
        <f t="shared" si="95"/>
        <v>4.9186917125089072E-12</v>
      </c>
      <c r="CW120" s="20">
        <f t="shared" si="67"/>
        <v>9.2334028056631319E-12</v>
      </c>
      <c r="CX120" s="59">
        <f t="shared" si="68"/>
        <v>293.33333333334252</v>
      </c>
      <c r="CY120" s="59">
        <f ca="1">AVERAGE(OFFSET($CX$3,0,0,'Données projet'!$E$13+1,1))-AVERAGE(OFFSET($H$3,0,0,'Données projet'!$E$13+1,1))</f>
        <v>297.21955661193238</v>
      </c>
      <c r="CZ120" s="59">
        <f t="shared" si="96"/>
        <v>273.69206144662144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1.2029921415610318</v>
      </c>
      <c r="DG120" s="21">
        <f>EXP(-LN(2)/25)*DG119+(1-EXP(-LN(2)/25))/(LN(2)/25)*Calculateur!DB120*Calculateur!DD120*VLOOKUP('Données projet'!$B$13,Paramètres!$A$1:$I$89,3,0)*0.475*44/12</f>
        <v>1.2030110143820054</v>
      </c>
      <c r="DH120" s="21">
        <f>EXP(-LN(2)/2)*DH119+(1-EXP(-LN(2)/2))/(LN(2)/2)*DB120*DE120*VLOOKUP('Données projet'!$B$13,Paramètres!$A$1:$I$89,3,0)*0.475*44/12</f>
        <v>1.6811521817986764E-12</v>
      </c>
      <c r="DI120" s="22">
        <f t="shared" si="69"/>
        <v>2.4060031559447186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-4.0702161641092972E-13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260.20517190557814</v>
      </c>
      <c r="DU120" s="59">
        <f t="shared" si="98"/>
        <v>307.22009971147133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0.58256076756952024</v>
      </c>
      <c r="EB120" s="21">
        <f>EXP(-LN(2)/25)*EB119+(1-EXP(-LN(2)/25))/(LN(2)/25)*Calculateur!DW120*Calculateur!DY120*VLOOKUP('Données projet'!$B$14,Paramètres!$A$1:$I$89,3,0)*0.475*44/12</f>
        <v>1.8390120009014079</v>
      </c>
      <c r="EC120" s="21">
        <f>EXP(-LN(2)/2)*EC119+(1-EXP(-LN(2)/2))/(LN(2)/2)*DW120*DZ120*VLOOKUP('Données projet'!$B$14,Paramètres!$A$1:$I$89,3,0)*0.475*44/12</f>
        <v>1.9324675273879128E-12</v>
      </c>
      <c r="ED120" s="22">
        <f t="shared" si="72"/>
        <v>2.4215727684728607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1.1368683772161603E-13</v>
      </c>
      <c r="EK120" s="17">
        <f>EJ120*VLOOKUP('Données projet'!$B$15,Paramètres!$A$1:$I$89,3,0)*VLOOKUP('Données projet'!$B$15,Paramètres!$A$1:$I$89,5,0)</f>
        <v>6.7984728957526396E-14</v>
      </c>
      <c r="EL120" s="13">
        <f t="shared" si="99"/>
        <v>1.0682447123141398E-12</v>
      </c>
      <c r="EM120" s="20">
        <f t="shared" si="73"/>
        <v>1.978932943548152E-12</v>
      </c>
      <c r="EN120" s="59">
        <f t="shared" si="74"/>
        <v>293.3333333333353</v>
      </c>
      <c r="EO120" s="59">
        <f ca="1">AVERAGE(OFFSET($EN$3,0,0,'Données projet'!$E$15+1,1))-AVERAGE(OFFSET($H$3,0,0,'Données projet'!$E$15+1,1))</f>
        <v>259.30247982593914</v>
      </c>
      <c r="EP120" s="59">
        <f t="shared" si="100"/>
        <v>275.24740346220779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1.6161583546731966</v>
      </c>
      <c r="EX120" s="21">
        <f>EXP(-LN(2)/2)*EX119+(1-EXP(-LN(2)/2))/(LN(2)/2)*ER120*EU120*VLOOKUP('Données projet'!$B$15,Paramètres!$A$1:$I$89,3,0)*0.475*44/12</f>
        <v>2.30558668513542E-12</v>
      </c>
      <c r="EY120" s="22">
        <f t="shared" si="75"/>
        <v>1.6161583546755021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5.4</v>
      </c>
      <c r="FE120" s="12">
        <f>IF('Données projet'!$A$218&gt;35,FE119+FD120-FM119,IF(A120&lt;'Données projet'!$A$218,$FB$205^A120,IF(A120='Données projet'!$A$218,'Données projet'!$B$218,FE119+FD120-FM119)))</f>
        <v>344.7999999999995</v>
      </c>
      <c r="FF120" s="17">
        <f>FE120*VLOOKUP('Données projet'!$B$16,Paramètres!$A$1:$I$89,3,0)*VLOOKUP('Données projet'!$B$16,Paramètres!$A$1:$I$89,5,0)</f>
        <v>349.6271999999995</v>
      </c>
      <c r="FG120" s="13">
        <f t="shared" si="101"/>
        <v>81.485743085784364</v>
      </c>
      <c r="FH120" s="20">
        <f t="shared" si="76"/>
        <v>750.85504254107354</v>
      </c>
      <c r="FI120" s="59">
        <f t="shared" si="77"/>
        <v>1044.1883758744068</v>
      </c>
      <c r="FJ120" s="59">
        <f ca="1">AVERAGE(OFFSET($FI$3,0,0,'Données projet'!$E$16+1,1))-AVERAGE(OFFSET($H$3,0,0,'Données projet'!$E$16+1,1))</f>
        <v>372.91317851957336</v>
      </c>
      <c r="FK120" s="59">
        <f t="shared" si="102"/>
        <v>269.69187715858413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0.48191116399757561</v>
      </c>
      <c r="FR120" s="21">
        <f>EXP(-LN(2)/25)*FR119+(1-EXP(-LN(2)/25))/(LN(2)/25)*Calculateur!FM120*Calculateur!FO120*VLOOKUP('Données projet'!$B$16,Paramètres!$A$1:$I$89,3,0)*0.475*44/12</f>
        <v>1.3614976498610682</v>
      </c>
      <c r="FS120" s="21">
        <f>EXP(-LN(2)/2)*FS119+(1-EXP(-LN(2)/2))/(LN(2)/2)*FM120*FP120*VLOOKUP('Données projet'!$B$16,Paramètres!$A$1:$I$89,3,0)*0.475*44/12</f>
        <v>1.9585820783538166E-12</v>
      </c>
      <c r="FT120" s="22">
        <f t="shared" si="78"/>
        <v>1.8434088138606024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-1.1368683772161603E-13</v>
      </c>
      <c r="GA120" s="17">
        <f>FZ120*VLOOKUP('Données projet'!$B$17,Paramètres!$A$1:$I$89,3,0)*VLOOKUP('Données projet'!$B$17,Paramètres!$A$1:$I$89,5,0)</f>
        <v>-5.3205440053716299E-14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215.23235148064941</v>
      </c>
      <c r="GF120" s="59">
        <f t="shared" si="104"/>
        <v>184.07239726900434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0.55963519558430452</v>
      </c>
      <c r="GM120" s="21">
        <f>EXP(-LN(2)/25)*GM119+(1-EXP(-LN(2)/25))/(LN(2)/25)*Calculateur!GH120*Calculateur!GJ120*VLOOKUP('Données projet'!$B$17,Paramètres!$A$1:$I$89,3,0)*0.475*44/12</f>
        <v>0.70402402100061556</v>
      </c>
      <c r="GN120" s="21">
        <f>EXP(-LN(2)/2)*GN119+(1-EXP(-LN(2)/2))/(LN(2)/2)*GH120*GK120*VLOOKUP('Données projet'!$B$17,Paramètres!$A$1:$I$89,3,0)*0.475*44/12</f>
        <v>7.9039621858102885E-13</v>
      </c>
      <c r="GO120" s="21">
        <f t="shared" si="81"/>
        <v>1.2636592165857106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-1.1368683772161603E-13</v>
      </c>
      <c r="GV120" s="17">
        <f>GU120*VLOOKUP('Données projet'!$B$18,Paramètres!$A$1:$I$89,3,0)*VLOOKUP('Données projet'!$B$18,Paramètres!$A$1:$I$89,5,0)</f>
        <v>-6.7984728957526396E-14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227.89848316900191</v>
      </c>
      <c r="HA120" s="59">
        <f t="shared" si="106"/>
        <v>239.85955661394541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1.417939491580098</v>
      </c>
      <c r="HH120" s="21">
        <f>EXP(-LN(2)/25)*HH119+(1-EXP(-LN(2)/25))/(LN(2)/25)*Calculateur!HC120*Calculateur!HE120*VLOOKUP('Données projet'!$B$18,Paramètres!$A$1:$I$89,3,0)*0.475*44/12</f>
        <v>1.5364451922434985</v>
      </c>
      <c r="HI120" s="21">
        <f>EXP(-LN(2)/2)*HI119+(1-EXP(-LN(2)/2))/(LN(2)/2)*HC120*HF120*VLOOKUP('Données projet'!$B$18,Paramètres!$A$1:$I$89,3,0)*0.475*44/12</f>
        <v>5.3889155405240066E-13</v>
      </c>
      <c r="HJ120" s="22">
        <f t="shared" si="84"/>
        <v>2.9543846838241352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2.5420376914553347E-13</v>
      </c>
      <c r="P121" s="13">
        <f t="shared" si="87"/>
        <v>3.4258699088369875E-12</v>
      </c>
      <c r="Q121" s="20">
        <f t="shared" si="107"/>
        <v>6.4094616558195571E-12</v>
      </c>
      <c r="R121" s="59">
        <f t="shared" si="55"/>
        <v>293.33333333333974</v>
      </c>
      <c r="S121" s="59">
        <f ca="1">AVERAGE(OFFSET($R$3,0,0,'Données projet'!$E$9+1,1))-AVERAGE(OFFSET($H$3,0,0,'Données projet'!$E$9+1,1))</f>
        <v>370.69652285220093</v>
      </c>
      <c r="T121" s="59">
        <f t="shared" si="88"/>
        <v>376.53494965377718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1.7989868008010985</v>
      </c>
      <c r="AA121" s="21">
        <f>EXP(-LN(2)/25)*AA120+(1-EXP(-LN(2)/25))/(LN(2)/25)*Calculateur!V121*Calculateur!X121*VLOOKUP('Données projet'!$B$9,Paramètres!$A$1:$I$89,3,0)*0.475*44/12</f>
        <v>2.9120206754682281</v>
      </c>
      <c r="AB121" s="21">
        <f>EXP(-LN(2)/2)*AB120+(1-EXP(-LN(2)/2))/(LN(2)/2)*V121*Y121*VLOOKUP('Données projet'!$B$9,Paramètres!$A$1:$I$89,3,0)*0.475*44/12</f>
        <v>1.8604717150414614E-12</v>
      </c>
      <c r="AC121" s="22">
        <f t="shared" si="57"/>
        <v>4.7110074762711873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5.4</v>
      </c>
      <c r="AI121" s="13">
        <f>IF('Données projet'!$A$62&gt;35,AI120+AH121-AQ120,IF(A121&lt;'Données projet'!$A$62,$AF$205^A121,IF(A121='Données projet'!$A$62,'Données projet'!$B$62,AI120+AH121-AQ120)))</f>
        <v>350.19999999999948</v>
      </c>
      <c r="AJ121" s="13">
        <f>AI121*VLOOKUP('Données projet'!$B$10,Paramètres!$A$1:$I$89,3,0)*VLOOKUP('Données projet'!$B$10,Paramètres!$A$1:$I$89,5,0)</f>
        <v>316.86095999999952</v>
      </c>
      <c r="AK121" s="13">
        <f t="shared" si="89"/>
        <v>74.699841090006444</v>
      </c>
      <c r="AL121" s="20">
        <f t="shared" si="58"/>
        <v>681.96839523176038</v>
      </c>
      <c r="AM121" s="59">
        <f t="shared" si="59"/>
        <v>975.30172856509375</v>
      </c>
      <c r="AN121" s="59">
        <f ca="1">AVERAGE(OFFSET($AM$3,0,0,'Données projet'!$E$10+1,1))-AVERAGE(OFFSET($H$3,0,0,'Données projet'!$E$10+1,1))</f>
        <v>321.03881567735544</v>
      </c>
      <c r="AO121" s="59">
        <f t="shared" si="90"/>
        <v>234.87694492493506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0.42158074523823708</v>
      </c>
      <c r="AV121" s="21">
        <f>EXP(-LN(2)/25)*AV120+(1-EXP(-LN(2)/25))/(LN(2)/25)*Calculateur!AQ121*Calculateur!AS121*VLOOKUP('Données projet'!$B$10,Paramètres!$A$1:$I$89,3,0)*0.475*44/12</f>
        <v>1.1816540100245985</v>
      </c>
      <c r="AW121" s="21">
        <f>EXP(-LN(2)/2)*AW120+(1-EXP(-LN(2)/2))/(LN(2)/2)*AQ121*AT121*VLOOKUP('Données projet'!$B$10,Paramètres!$A$1:$I$89,3,0)*0.475*44/12</f>
        <v>1.2357807201328731E-12</v>
      </c>
      <c r="AX121" s="21">
        <f t="shared" si="60"/>
        <v>1.6032347552640711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5.6843418860808015E-13</v>
      </c>
      <c r="BE121" s="13">
        <f>BD121*VLOOKUP('Données projet'!$B$11,Paramètres!$A$1:$I$89,3,0)*VLOOKUP('Données projet'!$B$11,Paramètres!$A$1:$I$89,5,0)</f>
        <v>3.1036506698001181E-13</v>
      </c>
      <c r="BF121" s="13">
        <f t="shared" si="91"/>
        <v>4.086682523110923E-12</v>
      </c>
      <c r="BG121" s="20">
        <f t="shared" si="61"/>
        <v>7.6581912194083782E-12</v>
      </c>
      <c r="BH121" s="59">
        <f t="shared" si="62"/>
        <v>293.33333333334099</v>
      </c>
      <c r="BI121" s="59">
        <f ca="1">AVERAGE(OFFSET($BH$3,0,0,'Données projet'!$E$11+1,1))-AVERAGE(OFFSET($H$3,0,0,'Données projet'!$E$11+1,1))</f>
        <v>248.1486444660062</v>
      </c>
      <c r="BJ121" s="59">
        <f t="shared" si="92"/>
        <v>293.34458072322127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1.4909150653573575</v>
      </c>
      <c r="BQ121" s="21">
        <f>EXP(-LN(2)/25)*BQ120+(1-EXP(-LN(2)/25))/(LN(2)/25)*Calculateur!BL121*Calculateur!BN121*VLOOKUP('Données projet'!$B$11,Paramètres!$A$1:$I$89,3,0)*0.475*44/12</f>
        <v>2.9671201192233347</v>
      </c>
      <c r="BR121" s="21">
        <f>EXP(-LN(2)/2)*BR120+(1-EXP(-LN(2)/2))/(LN(2)/2)*BL121*BO121*VLOOKUP('Données projet'!$B$11,Paramètres!$A$1:$I$89,3,0)*0.475*44/12</f>
        <v>1.4314551955786927E-12</v>
      </c>
      <c r="BS121" s="22">
        <f t="shared" si="63"/>
        <v>4.4580351845821244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243.38048563215585</v>
      </c>
      <c r="CE121" s="59">
        <f t="shared" si="94"/>
        <v>372.1604147006675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1.2792795027918926</v>
      </c>
      <c r="CL121" s="21">
        <f>EXP(-LN(2)/25)*CL120+(1-EXP(-LN(2)/25))/(LN(2)/25)*Calculateur!CG121*Calculateur!CI121*VLOOKUP('Données projet'!$B$12,Paramètres!$A$1:$I$89,3,0)*0.475*44/12</f>
        <v>1.6878515352194623</v>
      </c>
      <c r="CM121" s="21">
        <f>EXP(-LN(2)/2)*CM120+(1-EXP(-LN(2)/2))/(LN(2)/2)*CG121*CJ121*VLOOKUP('Données projet'!$B$12,Paramètres!$A$1:$I$89,3,0)*0.475*44/12</f>
        <v>1.6663613685729025E-12</v>
      </c>
      <c r="CN121" s="22">
        <f t="shared" si="66"/>
        <v>2.9671310380130214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7.9580786405131221E-13</v>
      </c>
      <c r="CU121" s="17">
        <f>CT121*VLOOKUP('Données projet'!$B$13,Paramètres!$A$1:$I$89,3,0)*VLOOKUP('Données projet'!$B$13,Paramètres!$A$1:$I$89,5,0)</f>
        <v>3.8278358260868117E-13</v>
      </c>
      <c r="CV121" s="13">
        <f t="shared" si="95"/>
        <v>4.9186917125089072E-12</v>
      </c>
      <c r="CW121" s="20">
        <f t="shared" si="67"/>
        <v>9.2334028056631319E-12</v>
      </c>
      <c r="CX121" s="59">
        <f t="shared" si="68"/>
        <v>293.33333333334252</v>
      </c>
      <c r="CY121" s="59">
        <f ca="1">AVERAGE(OFFSET($CX$3,0,0,'Données projet'!$E$13+1,1))-AVERAGE(OFFSET($H$3,0,0,'Données projet'!$E$13+1,1))</f>
        <v>297.21955661193238</v>
      </c>
      <c r="CZ121" s="59">
        <f t="shared" si="96"/>
        <v>273.69206144662144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1.1794021994177744</v>
      </c>
      <c r="DG121" s="21">
        <f>EXP(-LN(2)/25)*DG120+(1-EXP(-LN(2)/25))/(LN(2)/25)*Calculateur!DB121*Calculateur!DD121*VLOOKUP('Données projet'!$B$13,Paramètres!$A$1:$I$89,3,0)*0.475*44/12</f>
        <v>1.1701146149301298</v>
      </c>
      <c r="DH121" s="21">
        <f>EXP(-LN(2)/2)*DH120+(1-EXP(-LN(2)/2))/(LN(2)/2)*DB121*DE121*VLOOKUP('Données projet'!$B$13,Paramètres!$A$1:$I$89,3,0)*0.475*44/12</f>
        <v>1.1887541079564036E-12</v>
      </c>
      <c r="DI121" s="22">
        <f t="shared" si="69"/>
        <v>2.349516814349093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-4.0702161641092972E-13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260.20517190557814</v>
      </c>
      <c r="DU121" s="59">
        <f t="shared" si="98"/>
        <v>307.22009971147133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0.57113710624446457</v>
      </c>
      <c r="EB121" s="21">
        <f>EXP(-LN(2)/25)*EB120+(1-EXP(-LN(2)/25))/(LN(2)/25)*Calculateur!DW121*Calculateur!DY121*VLOOKUP('Données projet'!$B$14,Paramètres!$A$1:$I$89,3,0)*0.475*44/12</f>
        <v>1.7887241210273208</v>
      </c>
      <c r="EC121" s="21">
        <f>EXP(-LN(2)/2)*EC120+(1-EXP(-LN(2)/2))/(LN(2)/2)*DW121*DZ121*VLOOKUP('Données projet'!$B$14,Paramètres!$A$1:$I$89,3,0)*0.475*44/12</f>
        <v>1.3664608930387934E-12</v>
      </c>
      <c r="ED121" s="22">
        <f t="shared" si="72"/>
        <v>2.3598612272731518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1.1368683772161603E-13</v>
      </c>
      <c r="EK121" s="17">
        <f>EJ121*VLOOKUP('Données projet'!$B$15,Paramètres!$A$1:$I$89,3,0)*VLOOKUP('Données projet'!$B$15,Paramètres!$A$1:$I$89,5,0)</f>
        <v>6.7984728957526396E-14</v>
      </c>
      <c r="EL121" s="13">
        <f t="shared" si="99"/>
        <v>1.0682447123141398E-12</v>
      </c>
      <c r="EM121" s="20">
        <f t="shared" si="73"/>
        <v>1.978932943548152E-12</v>
      </c>
      <c r="EN121" s="59">
        <f t="shared" si="74"/>
        <v>293.3333333333353</v>
      </c>
      <c r="EO121" s="59">
        <f ca="1">AVERAGE(OFFSET($EN$3,0,0,'Données projet'!$E$15+1,1))-AVERAGE(OFFSET($H$3,0,0,'Données projet'!$E$15+1,1))</f>
        <v>259.30247982593914</v>
      </c>
      <c r="EP121" s="59">
        <f t="shared" si="100"/>
        <v>275.24740346220779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1.5719644194745839</v>
      </c>
      <c r="EX121" s="21">
        <f>EXP(-LN(2)/2)*EX120+(1-EXP(-LN(2)/2))/(LN(2)/2)*ER121*EU121*VLOOKUP('Données projet'!$B$15,Paramètres!$A$1:$I$89,3,0)*0.475*44/12</f>
        <v>1.6302959796726689E-12</v>
      </c>
      <c r="EY121" s="22">
        <f t="shared" si="75"/>
        <v>1.5719644194762141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5.4</v>
      </c>
      <c r="FE121" s="12">
        <f>IF('Données projet'!$A$218&gt;35,FE120+FD121-FM120,IF(A121&lt;'Données projet'!$A$218,$FB$205^A121,IF(A121='Données projet'!$A$218,'Données projet'!$B$218,FE120+FD121-FM120)))</f>
        <v>350.19999999999948</v>
      </c>
      <c r="FF121" s="17">
        <f>FE121*VLOOKUP('Données projet'!$B$16,Paramètres!$A$1:$I$89,3,0)*VLOOKUP('Données projet'!$B$16,Paramètres!$A$1:$I$89,5,0)</f>
        <v>355.10279999999949</v>
      </c>
      <c r="FG121" s="13">
        <f t="shared" si="101"/>
        <v>82.612343994021288</v>
      </c>
      <c r="FH121" s="20">
        <f t="shared" si="76"/>
        <v>762.35387578958614</v>
      </c>
      <c r="FI121" s="59">
        <f t="shared" si="77"/>
        <v>1055.6872091229195</v>
      </c>
      <c r="FJ121" s="59">
        <f ca="1">AVERAGE(OFFSET($FI$3,0,0,'Données projet'!$E$16+1,1))-AVERAGE(OFFSET($H$3,0,0,'Données projet'!$E$16+1,1))</f>
        <v>372.91317851957336</v>
      </c>
      <c r="FK121" s="59">
        <f t="shared" si="102"/>
        <v>269.69187715858413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0.47246118000836934</v>
      </c>
      <c r="FR121" s="21">
        <f>EXP(-LN(2)/25)*FR120+(1-EXP(-LN(2)/25))/(LN(2)/25)*Calculateur!FM121*Calculateur!FO121*VLOOKUP('Données projet'!$B$16,Paramètres!$A$1:$I$89,3,0)*0.475*44/12</f>
        <v>1.3242674250275677</v>
      </c>
      <c r="FS121" s="21">
        <f>EXP(-LN(2)/2)*FS120+(1-EXP(-LN(2)/2))/(LN(2)/2)*FM121*FP121*VLOOKUP('Données projet'!$B$16,Paramètres!$A$1:$I$89,3,0)*0.475*44/12</f>
        <v>1.3849266691144257E-12</v>
      </c>
      <c r="FT121" s="22">
        <f t="shared" si="78"/>
        <v>1.7967286050373219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-1.1368683772161603E-13</v>
      </c>
      <c r="GA121" s="17">
        <f>FZ121*VLOOKUP('Données projet'!$B$17,Paramètres!$A$1:$I$89,3,0)*VLOOKUP('Données projet'!$B$17,Paramètres!$A$1:$I$89,5,0)</f>
        <v>-5.3205440053716299E-14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215.23235148064941</v>
      </c>
      <c r="GF121" s="59">
        <f t="shared" si="104"/>
        <v>184.07239726900434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0.54866109074266067</v>
      </c>
      <c r="GM121" s="21">
        <f>EXP(-LN(2)/25)*GM120+(1-EXP(-LN(2)/25))/(LN(2)/25)*Calculateur!GH121*Calculateur!GJ121*VLOOKUP('Données projet'!$B$17,Paramètres!$A$1:$I$89,3,0)*0.475*44/12</f>
        <v>0.68477244712333951</v>
      </c>
      <c r="GN121" s="21">
        <f>EXP(-LN(2)/2)*GN120+(1-EXP(-LN(2)/2))/(LN(2)/2)*GH121*GK121*VLOOKUP('Données projet'!$B$17,Paramètres!$A$1:$I$89,3,0)*0.475*44/12</f>
        <v>5.5889452598285015E-13</v>
      </c>
      <c r="GO121" s="21">
        <f t="shared" si="81"/>
        <v>1.2334335378665591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-1.1368683772161603E-13</v>
      </c>
      <c r="GV121" s="17">
        <f>GU121*VLOOKUP('Données projet'!$B$18,Paramètres!$A$1:$I$89,3,0)*VLOOKUP('Données projet'!$B$18,Paramètres!$A$1:$I$89,5,0)</f>
        <v>-6.7984728957526396E-14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227.89848316900191</v>
      </c>
      <c r="HA121" s="59">
        <f t="shared" si="106"/>
        <v>239.85955661394541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1.3901345630079045</v>
      </c>
      <c r="HH121" s="21">
        <f>EXP(-LN(2)/25)*HH120+(1-EXP(-LN(2)/25))/(LN(2)/25)*Calculateur!HC121*Calculateur!HE121*VLOOKUP('Données projet'!$B$18,Paramètres!$A$1:$I$89,3,0)*0.475*44/12</f>
        <v>1.494431017663459</v>
      </c>
      <c r="HI121" s="21">
        <f>EXP(-LN(2)/2)*HI120+(1-EXP(-LN(2)/2))/(LN(2)/2)*HC121*HF121*VLOOKUP('Données projet'!$B$18,Paramètres!$A$1:$I$89,3,0)*0.475*44/12</f>
        <v>3.8105387219460942E-13</v>
      </c>
      <c r="HJ121" s="22">
        <f t="shared" si="84"/>
        <v>2.8845655806717447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2.5420376914553347E-13</v>
      </c>
      <c r="P122" s="13">
        <f t="shared" si="87"/>
        <v>3.4258699088369875E-12</v>
      </c>
      <c r="Q122" s="20">
        <f t="shared" si="107"/>
        <v>6.4094616558195571E-12</v>
      </c>
      <c r="R122" s="59">
        <f t="shared" si="55"/>
        <v>293.33333333333974</v>
      </c>
      <c r="S122" s="59">
        <f ca="1">AVERAGE(OFFSET($R$3,0,0,'Données projet'!$E$9+1,1))-AVERAGE(OFFSET($H$3,0,0,'Données projet'!$E$9+1,1))</f>
        <v>370.69652285220093</v>
      </c>
      <c r="T122" s="59">
        <f t="shared" si="88"/>
        <v>376.53494965377718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1.7637097669109907</v>
      </c>
      <c r="AA122" s="21">
        <f>EXP(-LN(2)/25)*AA121+(1-EXP(-LN(2)/25))/(LN(2)/25)*Calculateur!V122*Calculateur!X122*VLOOKUP('Données projet'!$B$9,Paramètres!$A$1:$I$89,3,0)*0.475*44/12</f>
        <v>2.8323913169610377</v>
      </c>
      <c r="AB122" s="21">
        <f>EXP(-LN(2)/2)*AB121+(1-EXP(-LN(2)/2))/(LN(2)/2)*V122*Y122*VLOOKUP('Données projet'!$B$9,Paramètres!$A$1:$I$89,3,0)*0.475*44/12</f>
        <v>1.3155521659115835E-12</v>
      </c>
      <c r="AC122" s="22">
        <f t="shared" si="57"/>
        <v>4.5961010838733438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5.4</v>
      </c>
      <c r="AI122" s="13">
        <f>IF('Données projet'!$A$62&gt;35,AI121+AH122-AQ121,IF(A122&lt;'Données projet'!$A$62,$AF$205^A122,IF(A122='Données projet'!$A$62,'Données projet'!$B$62,AI121+AH122-AQ121)))</f>
        <v>355.59999999999945</v>
      </c>
      <c r="AJ122" s="13">
        <f>AI122*VLOOKUP('Données projet'!$B$10,Paramètres!$A$1:$I$89,3,0)*VLOOKUP('Données projet'!$B$10,Paramètres!$A$1:$I$89,5,0)</f>
        <v>321.74687999999952</v>
      </c>
      <c r="AK122" s="13">
        <f t="shared" si="89"/>
        <v>75.716710773540626</v>
      </c>
      <c r="AL122" s="20">
        <f t="shared" si="58"/>
        <v>692.24908726391561</v>
      </c>
      <c r="AM122" s="59">
        <f t="shared" si="59"/>
        <v>985.58242059724898</v>
      </c>
      <c r="AN122" s="59">
        <f ca="1">AVERAGE(OFFSET($AM$3,0,0,'Données projet'!$E$10+1,1))-AVERAGE(OFFSET($H$3,0,0,'Données projet'!$E$10+1,1))</f>
        <v>321.03881567735544</v>
      </c>
      <c r="AO122" s="59">
        <f t="shared" si="90"/>
        <v>234.87694492493506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0.41331380396297951</v>
      </c>
      <c r="AV122" s="21">
        <f>EXP(-LN(2)/25)*AV121+(1-EXP(-LN(2)/25))/(LN(2)/25)*Calculateur!AQ122*Calculateur!AS122*VLOOKUP('Données projet'!$B$10,Paramètres!$A$1:$I$89,3,0)*0.475*44/12</f>
        <v>1.1493416189799921</v>
      </c>
      <c r="AW122" s="21">
        <f>EXP(-LN(2)/2)*AW121+(1-EXP(-LN(2)/2))/(LN(2)/2)*AQ122*AT122*VLOOKUP('Données projet'!$B$10,Paramètres!$A$1:$I$89,3,0)*0.475*44/12</f>
        <v>8.7382892726554966E-13</v>
      </c>
      <c r="AX122" s="21">
        <f t="shared" si="60"/>
        <v>1.5626554229438454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5.6843418860808015E-13</v>
      </c>
      <c r="BE122" s="13">
        <f>BD122*VLOOKUP('Données projet'!$B$11,Paramètres!$A$1:$I$89,3,0)*VLOOKUP('Données projet'!$B$11,Paramètres!$A$1:$I$89,5,0)</f>
        <v>3.1036506698001181E-13</v>
      </c>
      <c r="BF122" s="13">
        <f t="shared" si="91"/>
        <v>4.086682523110923E-12</v>
      </c>
      <c r="BG122" s="20">
        <f t="shared" si="61"/>
        <v>7.6581912194083782E-12</v>
      </c>
      <c r="BH122" s="59">
        <f t="shared" si="62"/>
        <v>293.33333333334099</v>
      </c>
      <c r="BI122" s="59">
        <f ca="1">AVERAGE(OFFSET($BH$3,0,0,'Données projet'!$E$11+1,1))-AVERAGE(OFFSET($H$3,0,0,'Données projet'!$E$11+1,1))</f>
        <v>248.1486444660062</v>
      </c>
      <c r="BJ122" s="59">
        <f t="shared" si="92"/>
        <v>293.34458072322127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1.461679130294097</v>
      </c>
      <c r="BQ122" s="21">
        <f>EXP(-LN(2)/25)*BQ121+(1-EXP(-LN(2)/25))/(LN(2)/25)*Calculateur!BL122*Calculateur!BN122*VLOOKUP('Données projet'!$B$11,Paramètres!$A$1:$I$89,3,0)*0.475*44/12</f>
        <v>2.885984063529107</v>
      </c>
      <c r="BR122" s="21">
        <f>EXP(-LN(2)/2)*BR121+(1-EXP(-LN(2)/2))/(LN(2)/2)*BL122*BO122*VLOOKUP('Données projet'!$B$11,Paramètres!$A$1:$I$89,3,0)*0.475*44/12</f>
        <v>1.0121916757584092E-12</v>
      </c>
      <c r="BS122" s="22">
        <f t="shared" si="63"/>
        <v>4.3476631938242161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243.38048563215585</v>
      </c>
      <c r="CE122" s="59">
        <f t="shared" si="94"/>
        <v>372.1604147006675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1.2541936120255937</v>
      </c>
      <c r="CL122" s="21">
        <f>EXP(-LN(2)/25)*CL121+(1-EXP(-LN(2)/25))/(LN(2)/25)*Calculateur!CG122*Calculateur!CI122*VLOOKUP('Données projet'!$B$12,Paramètres!$A$1:$I$89,3,0)*0.475*44/12</f>
        <v>1.6416971462286316</v>
      </c>
      <c r="CM122" s="21">
        <f>EXP(-LN(2)/2)*CM121+(1-EXP(-LN(2)/2))/(LN(2)/2)*CG122*CJ122*VLOOKUP('Données projet'!$B$12,Paramètres!$A$1:$I$89,3,0)*0.475*44/12</f>
        <v>1.1782954236251952E-12</v>
      </c>
      <c r="CN122" s="22">
        <f t="shared" si="66"/>
        <v>2.8958907582554034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7.9580786405131221E-13</v>
      </c>
      <c r="CU122" s="17">
        <f>CT122*VLOOKUP('Données projet'!$B$13,Paramètres!$A$1:$I$89,3,0)*VLOOKUP('Données projet'!$B$13,Paramètres!$A$1:$I$89,5,0)</f>
        <v>3.8278358260868117E-13</v>
      </c>
      <c r="CV122" s="13">
        <f t="shared" si="95"/>
        <v>4.9186917125089072E-12</v>
      </c>
      <c r="CW122" s="20">
        <f t="shared" si="67"/>
        <v>9.2334028056631319E-12</v>
      </c>
      <c r="CX122" s="59">
        <f t="shared" si="68"/>
        <v>293.33333333334252</v>
      </c>
      <c r="CY122" s="59">
        <f ca="1">AVERAGE(OFFSET($CX$3,0,0,'Données projet'!$E$13+1,1))-AVERAGE(OFFSET($H$3,0,0,'Données projet'!$E$13+1,1))</f>
        <v>297.21955661193238</v>
      </c>
      <c r="CZ122" s="59">
        <f t="shared" si="96"/>
        <v>273.69206144662144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1.1562748416515021</v>
      </c>
      <c r="DG122" s="21">
        <f>EXP(-LN(2)/25)*DG121+(1-EXP(-LN(2)/25))/(LN(2)/25)*Calculateur!DB122*Calculateur!DD122*VLOOKUP('Données projet'!$B$13,Paramètres!$A$1:$I$89,3,0)*0.475*44/12</f>
        <v>1.1381177692512121</v>
      </c>
      <c r="DH122" s="21">
        <f>EXP(-LN(2)/2)*DH121+(1-EXP(-LN(2)/2))/(LN(2)/2)*DB122*DE122*VLOOKUP('Données projet'!$B$13,Paramètres!$A$1:$I$89,3,0)*0.475*44/12</f>
        <v>8.4057609089933821E-13</v>
      </c>
      <c r="DI122" s="22">
        <f t="shared" si="69"/>
        <v>2.2943926109035551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-4.0702161641092972E-13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260.20517190557814</v>
      </c>
      <c r="DU122" s="59">
        <f t="shared" si="98"/>
        <v>307.22009971147133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0.5599374559502478</v>
      </c>
      <c r="EB122" s="21">
        <f>EXP(-LN(2)/25)*EB121+(1-EXP(-LN(2)/25))/(LN(2)/25)*Calculateur!DW122*Calculateur!DY122*VLOOKUP('Données projet'!$B$14,Paramètres!$A$1:$I$89,3,0)*0.475*44/12</f>
        <v>1.7398113658729153</v>
      </c>
      <c r="EC122" s="21">
        <f>EXP(-LN(2)/2)*EC121+(1-EXP(-LN(2)/2))/(LN(2)/2)*DW122*DZ122*VLOOKUP('Données projet'!$B$14,Paramètres!$A$1:$I$89,3,0)*0.475*44/12</f>
        <v>9.6623376369395642E-13</v>
      </c>
      <c r="ED122" s="22">
        <f t="shared" si="72"/>
        <v>2.2997488218241293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1.1368683772161603E-13</v>
      </c>
      <c r="EK122" s="17">
        <f>EJ122*VLOOKUP('Données projet'!$B$15,Paramètres!$A$1:$I$89,3,0)*VLOOKUP('Données projet'!$B$15,Paramètres!$A$1:$I$89,5,0)</f>
        <v>6.7984728957526396E-14</v>
      </c>
      <c r="EL122" s="13">
        <f t="shared" si="99"/>
        <v>1.0682447123141398E-12</v>
      </c>
      <c r="EM122" s="20">
        <f t="shared" si="73"/>
        <v>1.978932943548152E-12</v>
      </c>
      <c r="EN122" s="59">
        <f t="shared" si="74"/>
        <v>293.3333333333353</v>
      </c>
      <c r="EO122" s="59">
        <f ca="1">AVERAGE(OFFSET($EN$3,0,0,'Données projet'!$E$15+1,1))-AVERAGE(OFFSET($H$3,0,0,'Données projet'!$E$15+1,1))</f>
        <v>259.30247982593914</v>
      </c>
      <c r="EP122" s="59">
        <f t="shared" si="100"/>
        <v>275.24740346220779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1.5289789697580354</v>
      </c>
      <c r="EX122" s="21">
        <f>EXP(-LN(2)/2)*EX121+(1-EXP(-LN(2)/2))/(LN(2)/2)*ER122*EU122*VLOOKUP('Données projet'!$B$15,Paramètres!$A$1:$I$89,3,0)*0.475*44/12</f>
        <v>1.15279334256771E-12</v>
      </c>
      <c r="EY122" s="22">
        <f t="shared" si="75"/>
        <v>1.5289789697591882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5.4</v>
      </c>
      <c r="FE122" s="12">
        <f>IF('Données projet'!$A$218&gt;35,FE121+FD122-FM121,IF(A122&lt;'Données projet'!$A$218,$FB$205^A122,IF(A122='Données projet'!$A$218,'Données projet'!$B$218,FE121+FD122-FM121)))</f>
        <v>355.59999999999945</v>
      </c>
      <c r="FF122" s="17">
        <f>FE122*VLOOKUP('Données projet'!$B$16,Paramètres!$A$1:$I$89,3,0)*VLOOKUP('Données projet'!$B$16,Paramètres!$A$1:$I$89,5,0)</f>
        <v>360.57839999999948</v>
      </c>
      <c r="FG122" s="13">
        <f t="shared" si="101"/>
        <v>83.736924540210097</v>
      </c>
      <c r="FH122" s="20">
        <f t="shared" si="76"/>
        <v>773.84919024086503</v>
      </c>
      <c r="FI122" s="59">
        <f t="shared" si="77"/>
        <v>1067.1825235741983</v>
      </c>
      <c r="FJ122" s="59">
        <f ca="1">AVERAGE(OFFSET($FI$3,0,0,'Données projet'!$E$16+1,1))-AVERAGE(OFFSET($H$3,0,0,'Données projet'!$E$16+1,1))</f>
        <v>372.91317851957336</v>
      </c>
      <c r="FK122" s="59">
        <f t="shared" si="102"/>
        <v>269.69187715858413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0.46319650444127031</v>
      </c>
      <c r="FR122" s="21">
        <f>EXP(-LN(2)/25)*FR121+(1-EXP(-LN(2)/25))/(LN(2)/25)*Calculateur!FM122*Calculateur!FO122*VLOOKUP('Données projet'!$B$16,Paramètres!$A$1:$I$89,3,0)*0.475*44/12</f>
        <v>1.2880552626499917</v>
      </c>
      <c r="FS122" s="21">
        <f>EXP(-LN(2)/2)*FS121+(1-EXP(-LN(2)/2))/(LN(2)/2)*FM122*FP122*VLOOKUP('Données projet'!$B$16,Paramètres!$A$1:$I$89,3,0)*0.475*44/12</f>
        <v>9.7929103917690831E-13</v>
      </c>
      <c r="FT122" s="22">
        <f t="shared" si="78"/>
        <v>1.7512517670922412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-1.1368683772161603E-13</v>
      </c>
      <c r="GA122" s="17">
        <f>FZ122*VLOOKUP('Données projet'!$B$17,Paramètres!$A$1:$I$89,3,0)*VLOOKUP('Données projet'!$B$17,Paramètres!$A$1:$I$89,5,0)</f>
        <v>-5.3205440053716299E-14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215.23235148064941</v>
      </c>
      <c r="GF122" s="59">
        <f t="shared" si="104"/>
        <v>184.07239726900434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0.5379021814034185</v>
      </c>
      <c r="GM122" s="21">
        <f>EXP(-LN(2)/25)*GM121+(1-EXP(-LN(2)/25))/(LN(2)/25)*Calculateur!GH122*Calculateur!GJ122*VLOOKUP('Données projet'!$B$17,Paramètres!$A$1:$I$89,3,0)*0.475*44/12</f>
        <v>0.66604730854613392</v>
      </c>
      <c r="GN122" s="21">
        <f>EXP(-LN(2)/2)*GN121+(1-EXP(-LN(2)/2))/(LN(2)/2)*GH122*GK122*VLOOKUP('Données projet'!$B$17,Paramètres!$A$1:$I$89,3,0)*0.475*44/12</f>
        <v>3.9519810929051443E-13</v>
      </c>
      <c r="GO122" s="21">
        <f t="shared" si="81"/>
        <v>1.2039494899499477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-1.1368683772161603E-13</v>
      </c>
      <c r="GV122" s="17">
        <f>GU122*VLOOKUP('Données projet'!$B$18,Paramètres!$A$1:$I$89,3,0)*VLOOKUP('Données projet'!$B$18,Paramètres!$A$1:$I$89,5,0)</f>
        <v>-6.7984728957526396E-14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227.89848316900191</v>
      </c>
      <c r="HA122" s="59">
        <f t="shared" si="106"/>
        <v>239.85955661394541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1.3628748721256798</v>
      </c>
      <c r="HH122" s="21">
        <f>EXP(-LN(2)/25)*HH121+(1-EXP(-LN(2)/25))/(LN(2)/25)*Calculateur!HC122*Calculateur!HE122*VLOOKUP('Données projet'!$B$18,Paramètres!$A$1:$I$89,3,0)*0.475*44/12</f>
        <v>1.45356572289674</v>
      </c>
      <c r="HI122" s="21">
        <f>EXP(-LN(2)/2)*HI121+(1-EXP(-LN(2)/2))/(LN(2)/2)*HC122*HF122*VLOOKUP('Données projet'!$B$18,Paramètres!$A$1:$I$89,3,0)*0.475*44/12</f>
        <v>2.6944577702620033E-13</v>
      </c>
      <c r="HJ122" s="22">
        <f t="shared" si="84"/>
        <v>2.8164405950226894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2.5420376914553347E-13</v>
      </c>
      <c r="P123" s="13">
        <f t="shared" si="87"/>
        <v>3.4258699088369875E-12</v>
      </c>
      <c r="Q123" s="20">
        <f t="shared" si="107"/>
        <v>6.4094616558195571E-12</v>
      </c>
      <c r="R123" s="59">
        <f t="shared" si="55"/>
        <v>293.33333333333974</v>
      </c>
      <c r="S123" s="59">
        <f ca="1">AVERAGE(OFFSET($R$3,0,0,'Données projet'!$E$9+1,1))-AVERAGE(OFFSET($H$3,0,0,'Données projet'!$E$9+1,1))</f>
        <v>370.69652285220093</v>
      </c>
      <c r="T123" s="59">
        <f t="shared" si="88"/>
        <v>376.53494965377718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1.7291244941386019</v>
      </c>
      <c r="AA123" s="21">
        <f>EXP(-LN(2)/25)*AA122+(1-EXP(-LN(2)/25))/(LN(2)/25)*Calculateur!V123*Calculateur!X123*VLOOKUP('Données projet'!$B$9,Paramètres!$A$1:$I$89,3,0)*0.475*44/12</f>
        <v>2.7549394274497523</v>
      </c>
      <c r="AB123" s="21">
        <f>EXP(-LN(2)/2)*AB122+(1-EXP(-LN(2)/2))/(LN(2)/2)*V123*Y123*VLOOKUP('Données projet'!$B$9,Paramètres!$A$1:$I$89,3,0)*0.475*44/12</f>
        <v>9.3023585752073068E-13</v>
      </c>
      <c r="AC123" s="22">
        <f t="shared" si="57"/>
        <v>4.4840639215892839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361</v>
      </c>
      <c r="AG123" s="12">
        <f>VLOOKUP(A123,'Données projet'!$A$61:$I$81,9,0)</f>
        <v>5.4</v>
      </c>
      <c r="AH123" s="12">
        <f t="array" ref="AH123">INDEX(AG:AG,MIN(IF(ISNUMBER(AG123:AG319),ROW(AG123:AG319),"")))</f>
        <v>5.4</v>
      </c>
      <c r="AI123" s="13">
        <f>IF('Données projet'!$A$62&gt;35,AI122+AH123-AQ122,IF(A123&lt;'Données projet'!$A$62,$AF$205^A123,IF(A123='Données projet'!$A$62,'Données projet'!$B$62,AI122+AH123-AQ122)))</f>
        <v>360.99999999999943</v>
      </c>
      <c r="AJ123" s="13">
        <f>AI123*VLOOKUP('Données projet'!$B$10,Paramètres!$A$1:$I$89,3,0)*VLOOKUP('Données projet'!$B$10,Paramètres!$A$1:$I$89,5,0)</f>
        <v>326.63279999999946</v>
      </c>
      <c r="AK123" s="13">
        <f t="shared" si="89"/>
        <v>76.731784548754774</v>
      </c>
      <c r="AL123" s="20">
        <f t="shared" si="58"/>
        <v>702.52665142241358</v>
      </c>
      <c r="AM123" s="59">
        <f t="shared" si="59"/>
        <v>995.85998475574684</v>
      </c>
      <c r="AN123" s="59">
        <f ca="1">AVERAGE(OFFSET($AM$3,0,0,'Données projet'!$E$10+1,1))-AVERAGE(OFFSET($H$3,0,0,'Données projet'!$E$10+1,1))</f>
        <v>321.03881567735544</v>
      </c>
      <c r="AO123" s="59">
        <f t="shared" si="90"/>
        <v>234.87694492493506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361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0.40520897236379344</v>
      </c>
      <c r="AV123" s="21">
        <f>EXP(-LN(2)/25)*AV122+(1-EXP(-LN(2)/25))/(LN(2)/25)*Calculateur!AQ123*Calculateur!AS123*VLOOKUP('Données projet'!$B$10,Paramètres!$A$1:$I$89,3,0)*0.475*44/12</f>
        <v>1.1179128119677353</v>
      </c>
      <c r="AW123" s="21">
        <f>EXP(-LN(2)/2)*AW122+(1-EXP(-LN(2)/2))/(LN(2)/2)*AQ123*AT123*VLOOKUP('Données projet'!$B$10,Paramètres!$A$1:$I$89,3,0)*0.475*44/12</f>
        <v>6.1789036006643657E-13</v>
      </c>
      <c r="AX123" s="21">
        <f t="shared" si="60"/>
        <v>1.5231217843321467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5.6843418860808015E-13</v>
      </c>
      <c r="BE123" s="13">
        <f>BD123*VLOOKUP('Données projet'!$B$11,Paramètres!$A$1:$I$89,3,0)*VLOOKUP('Données projet'!$B$11,Paramètres!$A$1:$I$89,5,0)</f>
        <v>3.1036506698001181E-13</v>
      </c>
      <c r="BF123" s="13">
        <f t="shared" si="91"/>
        <v>4.086682523110923E-12</v>
      </c>
      <c r="BG123" s="20">
        <f t="shared" si="61"/>
        <v>7.6581912194083782E-12</v>
      </c>
      <c r="BH123" s="59">
        <f t="shared" si="62"/>
        <v>293.33333333334099</v>
      </c>
      <c r="BI123" s="59">
        <f ca="1">AVERAGE(OFFSET($BH$3,0,0,'Données projet'!$E$11+1,1))-AVERAGE(OFFSET($H$3,0,0,'Données projet'!$E$11+1,1))</f>
        <v>248.1486444660062</v>
      </c>
      <c r="BJ123" s="59">
        <f t="shared" si="92"/>
        <v>293.34458072322127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1.4330164940852674</v>
      </c>
      <c r="BQ123" s="21">
        <f>EXP(-LN(2)/25)*BQ122+(1-EXP(-LN(2)/25))/(LN(2)/25)*Calculateur!BL123*Calculateur!BN123*VLOOKUP('Données projet'!$B$11,Paramètres!$A$1:$I$89,3,0)*0.475*44/12</f>
        <v>2.8070666775445976</v>
      </c>
      <c r="BR123" s="21">
        <f>EXP(-LN(2)/2)*BR122+(1-EXP(-LN(2)/2))/(LN(2)/2)*BL123*BO123*VLOOKUP('Données projet'!$B$11,Paramètres!$A$1:$I$89,3,0)*0.475*44/12</f>
        <v>7.1572759778934633E-13</v>
      </c>
      <c r="BS123" s="22">
        <f t="shared" si="63"/>
        <v>4.2400831716305811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243.38048563215585</v>
      </c>
      <c r="CE123" s="59">
        <f t="shared" si="94"/>
        <v>372.1604147006675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1.2295996402763394</v>
      </c>
      <c r="CL123" s="21">
        <f>EXP(-LN(2)/25)*CL122+(1-EXP(-LN(2)/25))/(LN(2)/25)*Calculateur!CG123*Calculateur!CI123*VLOOKUP('Données projet'!$B$12,Paramètres!$A$1:$I$89,3,0)*0.475*44/12</f>
        <v>1.5968048514319089</v>
      </c>
      <c r="CM123" s="21">
        <f>EXP(-LN(2)/2)*CM122+(1-EXP(-LN(2)/2))/(LN(2)/2)*CG123*CJ123*VLOOKUP('Données projet'!$B$12,Paramètres!$A$1:$I$89,3,0)*0.475*44/12</f>
        <v>8.3318068428645127E-13</v>
      </c>
      <c r="CN123" s="22">
        <f t="shared" si="66"/>
        <v>2.8264044917090816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7.9580786405131221E-13</v>
      </c>
      <c r="CU123" s="17">
        <f>CT123*VLOOKUP('Données projet'!$B$13,Paramètres!$A$1:$I$89,3,0)*VLOOKUP('Données projet'!$B$13,Paramètres!$A$1:$I$89,5,0)</f>
        <v>3.8278358260868117E-13</v>
      </c>
      <c r="CV123" s="13">
        <f t="shared" si="95"/>
        <v>4.9186917125089072E-12</v>
      </c>
      <c r="CW123" s="20">
        <f t="shared" si="67"/>
        <v>9.2334028056631319E-12</v>
      </c>
      <c r="CX123" s="59">
        <f t="shared" si="68"/>
        <v>293.33333333334252</v>
      </c>
      <c r="CY123" s="59">
        <f ca="1">AVERAGE(OFFSET($CX$3,0,0,'Données projet'!$E$13+1,1))-AVERAGE(OFFSET($H$3,0,0,'Données projet'!$E$13+1,1))</f>
        <v>297.21955661193238</v>
      </c>
      <c r="CZ123" s="59">
        <f t="shared" si="96"/>
        <v>273.69206144662144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1.1336009972647312</v>
      </c>
      <c r="DG123" s="21">
        <f>EXP(-LN(2)/25)*DG122+(1-EXP(-LN(2)/25))/(LN(2)/25)*Calculateur!DB123*Calculateur!DD123*VLOOKUP('Données projet'!$B$13,Paramètres!$A$1:$I$89,3,0)*0.475*44/12</f>
        <v>1.1069958790000254</v>
      </c>
      <c r="DH123" s="21">
        <f>EXP(-LN(2)/2)*DH122+(1-EXP(-LN(2)/2))/(LN(2)/2)*DB123*DE123*VLOOKUP('Données projet'!$B$13,Paramètres!$A$1:$I$89,3,0)*0.475*44/12</f>
        <v>5.9437705397820182E-13</v>
      </c>
      <c r="DI123" s="22">
        <f t="shared" si="69"/>
        <v>2.240596876265351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-4.0702161641092972E-13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260.20517190557814</v>
      </c>
      <c r="DU123" s="59">
        <f t="shared" si="98"/>
        <v>307.22009971147133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0.5489574239671885</v>
      </c>
      <c r="EB123" s="21">
        <f>EXP(-LN(2)/25)*EB122+(1-EXP(-LN(2)/25))/(LN(2)/25)*Calculateur!DW123*Calculateur!DY123*VLOOKUP('Données projet'!$B$14,Paramètres!$A$1:$I$89,3,0)*0.475*44/12</f>
        <v>1.6922361325804172</v>
      </c>
      <c r="EC123" s="21">
        <f>EXP(-LN(2)/2)*EC122+(1-EXP(-LN(2)/2))/(LN(2)/2)*DW123*DZ123*VLOOKUP('Données projet'!$B$14,Paramètres!$A$1:$I$89,3,0)*0.475*44/12</f>
        <v>6.8323044651939671E-13</v>
      </c>
      <c r="ED123" s="22">
        <f t="shared" si="72"/>
        <v>2.2411935565482888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1.1368683772161603E-13</v>
      </c>
      <c r="EK123" s="17">
        <f>EJ123*VLOOKUP('Données projet'!$B$15,Paramètres!$A$1:$I$89,3,0)*VLOOKUP('Données projet'!$B$15,Paramètres!$A$1:$I$89,5,0)</f>
        <v>6.7984728957526396E-14</v>
      </c>
      <c r="EL123" s="13">
        <f t="shared" si="99"/>
        <v>1.0682447123141398E-12</v>
      </c>
      <c r="EM123" s="20">
        <f t="shared" si="73"/>
        <v>1.978932943548152E-12</v>
      </c>
      <c r="EN123" s="59">
        <f t="shared" si="74"/>
        <v>293.3333333333353</v>
      </c>
      <c r="EO123" s="59">
        <f ca="1">AVERAGE(OFFSET($EN$3,0,0,'Données projet'!$E$15+1,1))-AVERAGE(OFFSET($H$3,0,0,'Données projet'!$E$15+1,1))</f>
        <v>259.30247982593914</v>
      </c>
      <c r="EP123" s="59">
        <f t="shared" si="100"/>
        <v>275.24740346220779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1.4871689594244923</v>
      </c>
      <c r="EX123" s="21">
        <f>EXP(-LN(2)/2)*EX122+(1-EXP(-LN(2)/2))/(LN(2)/2)*ER123*EU123*VLOOKUP('Données projet'!$B$15,Paramètres!$A$1:$I$89,3,0)*0.475*44/12</f>
        <v>8.1514798983633445E-13</v>
      </c>
      <c r="EY123" s="22">
        <f t="shared" si="75"/>
        <v>1.4871689594253075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361</v>
      </c>
      <c r="FC123" s="12">
        <f>VLOOKUP(A123,'Données projet'!$A$217:$I$237,9,0)</f>
        <v>5.4</v>
      </c>
      <c r="FD123" s="12">
        <f t="array" ref="FD123">INDEX(FC:FC,MIN(IF(ISNUMBER(FC123:FC319),ROW(FC123:FC319),"")))</f>
        <v>5.4</v>
      </c>
      <c r="FE123" s="12">
        <f>IF('Données projet'!$A$218&gt;35,FE122+FD123-FM122,IF(A123&lt;'Données projet'!$A$218,$FB$205^A123,IF(A123='Données projet'!$A$218,'Données projet'!$B$218,FE122+FD123-FM122)))</f>
        <v>360.99999999999943</v>
      </c>
      <c r="FF123" s="17">
        <f>FE123*VLOOKUP('Données projet'!$B$16,Paramètres!$A$1:$I$89,3,0)*VLOOKUP('Données projet'!$B$16,Paramètres!$A$1:$I$89,5,0)</f>
        <v>366.05399999999946</v>
      </c>
      <c r="FG123" s="13">
        <f t="shared" si="101"/>
        <v>84.859518948359579</v>
      </c>
      <c r="FH123" s="20">
        <f t="shared" si="76"/>
        <v>785.34104550172526</v>
      </c>
      <c r="FI123" s="59">
        <f t="shared" si="77"/>
        <v>1078.6743788350586</v>
      </c>
      <c r="FJ123" s="59">
        <f ca="1">AVERAGE(OFFSET($FI$3,0,0,'Données projet'!$E$16+1,1))-AVERAGE(OFFSET($H$3,0,0,'Données projet'!$E$16+1,1))</f>
        <v>372.91317851957336</v>
      </c>
      <c r="FK123" s="59">
        <f t="shared" si="102"/>
        <v>269.69187715858413</v>
      </c>
      <c r="FL123" s="15">
        <f>IF(ISNA(VLOOKUP(A123,'Données projet'!$A$217:$I$237,3,0)),0,VLOOKUP(A123,'Données projet'!$A$217:$I$237,3,0))</f>
        <v>11</v>
      </c>
      <c r="FM123" s="15">
        <f>IF(ISNA(VLOOKUP(A123,'Données projet'!$A$217:$I$237,4,0)),0,VLOOKUP(A123,'Données projet'!$A$217:$I$237,4,0))</f>
        <v>361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0.45411350351114799</v>
      </c>
      <c r="FR123" s="21">
        <f>EXP(-LN(2)/25)*FR122+(1-EXP(-LN(2)/25))/(LN(2)/25)*Calculateur!FM123*Calculateur!FO123*VLOOKUP('Données projet'!$B$16,Paramètres!$A$1:$I$89,3,0)*0.475*44/12</f>
        <v>1.2528333237569453</v>
      </c>
      <c r="FS123" s="21">
        <f>EXP(-LN(2)/2)*FS122+(1-EXP(-LN(2)/2))/(LN(2)/2)*FM123*FP123*VLOOKUP('Données projet'!$B$16,Paramètres!$A$1:$I$89,3,0)*0.475*44/12</f>
        <v>6.9246333455721285E-13</v>
      </c>
      <c r="FT123" s="22">
        <f t="shared" si="78"/>
        <v>1.706946827268786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-1.1368683772161603E-13</v>
      </c>
      <c r="GA123" s="17">
        <f>FZ123*VLOOKUP('Données projet'!$B$17,Paramètres!$A$1:$I$89,3,0)*VLOOKUP('Données projet'!$B$17,Paramètres!$A$1:$I$89,5,0)</f>
        <v>-5.3205440053716299E-14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215.23235148064941</v>
      </c>
      <c r="GF123" s="59">
        <f t="shared" si="104"/>
        <v>184.07239726900434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0.52735424771403216</v>
      </c>
      <c r="GM123" s="21">
        <f>EXP(-LN(2)/25)*GM122+(1-EXP(-LN(2)/25))/(LN(2)/25)*Calculateur!GH123*Calculateur!GJ123*VLOOKUP('Données projet'!$B$17,Paramètres!$A$1:$I$89,3,0)*0.475*44/12</f>
        <v>0.64783420986803419</v>
      </c>
      <c r="GN123" s="21">
        <f>EXP(-LN(2)/2)*GN122+(1-EXP(-LN(2)/2))/(LN(2)/2)*GH123*GK123*VLOOKUP('Données projet'!$B$17,Paramètres!$A$1:$I$89,3,0)*0.475*44/12</f>
        <v>2.7944726299142507E-13</v>
      </c>
      <c r="GO123" s="21">
        <f t="shared" si="81"/>
        <v>1.1751884575823459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-1.1368683772161603E-13</v>
      </c>
      <c r="GV123" s="17">
        <f>GU123*VLOOKUP('Données projet'!$B$18,Paramètres!$A$1:$I$89,3,0)*VLOOKUP('Données projet'!$B$18,Paramètres!$A$1:$I$89,5,0)</f>
        <v>-6.7984728957526396E-14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227.89848316900191</v>
      </c>
      <c r="HA123" s="59">
        <f t="shared" si="106"/>
        <v>239.85955661394541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1.3361497271548859</v>
      </c>
      <c r="HH123" s="21">
        <f>EXP(-LN(2)/25)*HH122+(1-EXP(-LN(2)/25))/(LN(2)/25)*Calculateur!HC123*Calculateur!HE123*VLOOKUP('Données projet'!$B$18,Paramètres!$A$1:$I$89,3,0)*0.475*44/12</f>
        <v>1.4138178917644295</v>
      </c>
      <c r="HI123" s="21">
        <f>EXP(-LN(2)/2)*HI122+(1-EXP(-LN(2)/2))/(LN(2)/2)*HC123*HF123*VLOOKUP('Données projet'!$B$18,Paramètres!$A$1:$I$89,3,0)*0.475*44/12</f>
        <v>1.9052693609730471E-13</v>
      </c>
      <c r="HJ123" s="22">
        <f t="shared" si="84"/>
        <v>2.7499676189195061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2.5420376914553347E-13</v>
      </c>
      <c r="P124" s="13">
        <f t="shared" si="87"/>
        <v>3.4258699088369875E-12</v>
      </c>
      <c r="Q124" s="20">
        <f t="shared" si="107"/>
        <v>6.4094616558195571E-12</v>
      </c>
      <c r="R124" s="59">
        <f t="shared" si="55"/>
        <v>293.33333333333974</v>
      </c>
      <c r="S124" s="59">
        <f ca="1">AVERAGE(OFFSET($R$3,0,0,'Données projet'!$E$9+1,1))-AVERAGE(OFFSET($H$3,0,0,'Données projet'!$E$9+1,1))</f>
        <v>370.69652285220093</v>
      </c>
      <c r="T124" s="59">
        <f t="shared" si="88"/>
        <v>376.53494965377718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1.6952174174703463</v>
      </c>
      <c r="AA124" s="21">
        <f>EXP(-LN(2)/25)*AA123+(1-EXP(-LN(2)/25))/(LN(2)/25)*Calculateur!V124*Calculateur!X124*VLOOKUP('Données projet'!$B$9,Paramètres!$A$1:$I$89,3,0)*0.475*44/12</f>
        <v>2.6796054639301707</v>
      </c>
      <c r="AB124" s="21">
        <f>EXP(-LN(2)/2)*AB123+(1-EXP(-LN(2)/2))/(LN(2)/2)*V124*Y124*VLOOKUP('Données projet'!$B$9,Paramètres!$A$1:$I$89,3,0)*0.475*44/12</f>
        <v>6.5777608295579173E-13</v>
      </c>
      <c r="AC124" s="22">
        <f t="shared" si="57"/>
        <v>4.3748228814011751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-5.6843418860808015E-13</v>
      </c>
      <c r="AJ124" s="13">
        <f>AI124*VLOOKUP('Données projet'!$B$10,Paramètres!$A$1:$I$89,3,0)*VLOOKUP('Données projet'!$B$10,Paramètres!$A$1:$I$89,5,0)</f>
        <v>-5.1431925385259092E-13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321.03881567735544</v>
      </c>
      <c r="AO124" s="59">
        <f t="shared" si="90"/>
        <v>234.87694492493506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0.39726307156880825</v>
      </c>
      <c r="AV124" s="21">
        <f>EXP(-LN(2)/25)*AV123+(1-EXP(-LN(2)/25))/(LN(2)/25)*Calculateur!AQ124*Calculateur!AS124*VLOOKUP('Données projet'!$B$10,Paramètres!$A$1:$I$89,3,0)*0.475*44/12</f>
        <v>1.0873434273359979</v>
      </c>
      <c r="AW124" s="21">
        <f>EXP(-LN(2)/2)*AW123+(1-EXP(-LN(2)/2))/(LN(2)/2)*AQ124*AT124*VLOOKUP('Données projet'!$B$10,Paramètres!$A$1:$I$89,3,0)*0.475*44/12</f>
        <v>4.3691446363277483E-13</v>
      </c>
      <c r="AX124" s="21">
        <f t="shared" si="60"/>
        <v>1.4846064989052432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5.6843418860808015E-13</v>
      </c>
      <c r="BE124" s="13">
        <f>BD124*VLOOKUP('Données projet'!$B$11,Paramètres!$A$1:$I$89,3,0)*VLOOKUP('Données projet'!$B$11,Paramètres!$A$1:$I$89,5,0)</f>
        <v>3.1036506698001181E-13</v>
      </c>
      <c r="BF124" s="13">
        <f t="shared" si="91"/>
        <v>4.086682523110923E-12</v>
      </c>
      <c r="BG124" s="20">
        <f t="shared" si="61"/>
        <v>7.6581912194083782E-12</v>
      </c>
      <c r="BH124" s="59">
        <f t="shared" si="62"/>
        <v>293.33333333334099</v>
      </c>
      <c r="BI124" s="59">
        <f ca="1">AVERAGE(OFFSET($BH$3,0,0,'Données projet'!$E$11+1,1))-AVERAGE(OFFSET($H$3,0,0,'Données projet'!$E$11+1,1))</f>
        <v>248.1486444660062</v>
      </c>
      <c r="BJ124" s="59">
        <f t="shared" si="92"/>
        <v>293.34458072322127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1.404915914690011</v>
      </c>
      <c r="BQ124" s="21">
        <f>EXP(-LN(2)/25)*BQ123+(1-EXP(-LN(2)/25))/(LN(2)/25)*Calculateur!BL124*Calculateur!BN124*VLOOKUP('Données projet'!$B$11,Paramètres!$A$1:$I$89,3,0)*0.475*44/12</f>
        <v>2.7303072916299196</v>
      </c>
      <c r="BR124" s="21">
        <f>EXP(-LN(2)/2)*BR123+(1-EXP(-LN(2)/2))/(LN(2)/2)*BL124*BO124*VLOOKUP('Données projet'!$B$11,Paramètres!$A$1:$I$89,3,0)*0.475*44/12</f>
        <v>5.0609583787920461E-13</v>
      </c>
      <c r="BS124" s="22">
        <f t="shared" si="63"/>
        <v>4.1352232063204371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243.38048563215585</v>
      </c>
      <c r="CE124" s="59">
        <f t="shared" si="94"/>
        <v>372.1604147006675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1.2054879413122463</v>
      </c>
      <c r="CL124" s="21">
        <f>EXP(-LN(2)/25)*CL123+(1-EXP(-LN(2)/25))/(LN(2)/25)*Calculateur!CG124*Calculateur!CI124*VLOOKUP('Données projet'!$B$12,Paramètres!$A$1:$I$89,3,0)*0.475*44/12</f>
        <v>1.5531401387971857</v>
      </c>
      <c r="CM124" s="21">
        <f>EXP(-LN(2)/2)*CM123+(1-EXP(-LN(2)/2))/(LN(2)/2)*CG124*CJ124*VLOOKUP('Données projet'!$B$12,Paramètres!$A$1:$I$89,3,0)*0.475*44/12</f>
        <v>5.8914771181259762E-13</v>
      </c>
      <c r="CN124" s="22">
        <f t="shared" si="66"/>
        <v>2.7586280801100211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7.9580786405131221E-13</v>
      </c>
      <c r="CU124" s="17">
        <f>CT124*VLOOKUP('Données projet'!$B$13,Paramètres!$A$1:$I$89,3,0)*VLOOKUP('Données projet'!$B$13,Paramètres!$A$1:$I$89,5,0)</f>
        <v>3.8278358260868117E-13</v>
      </c>
      <c r="CV124" s="13">
        <f t="shared" si="95"/>
        <v>4.9186917125089072E-12</v>
      </c>
      <c r="CW124" s="20">
        <f t="shared" si="67"/>
        <v>9.2334028056631319E-12</v>
      </c>
      <c r="CX124" s="59">
        <f t="shared" si="68"/>
        <v>293.33333333334252</v>
      </c>
      <c r="CY124" s="59">
        <f ca="1">AVERAGE(OFFSET($CX$3,0,0,'Données projet'!$E$13+1,1))-AVERAGE(OFFSET($H$3,0,0,'Données projet'!$E$13+1,1))</f>
        <v>297.21955661193238</v>
      </c>
      <c r="CZ124" s="59">
        <f t="shared" si="96"/>
        <v>273.69206144662144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1.1113717731367052</v>
      </c>
      <c r="DG124" s="21">
        <f>EXP(-LN(2)/25)*DG123+(1-EXP(-LN(2)/25))/(LN(2)/25)*Calculateur!DB124*Calculateur!DD124*VLOOKUP('Données projet'!$B$13,Paramètres!$A$1:$I$89,3,0)*0.475*44/12</f>
        <v>1.0767250184743864</v>
      </c>
      <c r="DH124" s="21">
        <f>EXP(-LN(2)/2)*DH123+(1-EXP(-LN(2)/2))/(LN(2)/2)*DB124*DE124*VLOOKUP('Données projet'!$B$13,Paramètres!$A$1:$I$89,3,0)*0.475*44/12</f>
        <v>4.2028804544966911E-13</v>
      </c>
      <c r="DI124" s="22">
        <f t="shared" si="69"/>
        <v>2.1880967916115117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-4.0702161641092972E-13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260.20517190557814</v>
      </c>
      <c r="DU124" s="59">
        <f t="shared" si="98"/>
        <v>307.22009971147133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0.53819270371415873</v>
      </c>
      <c r="EB124" s="21">
        <f>EXP(-LN(2)/25)*EB123+(1-EXP(-LN(2)/25))/(LN(2)/25)*Calculateur!DW124*Calculateur!DY124*VLOOKUP('Données projet'!$B$14,Paramètres!$A$1:$I$89,3,0)*0.475*44/12</f>
        <v>1.6459618465441752</v>
      </c>
      <c r="EC124" s="21">
        <f>EXP(-LN(2)/2)*EC123+(1-EXP(-LN(2)/2))/(LN(2)/2)*DW124*DZ124*VLOOKUP('Données projet'!$B$14,Paramètres!$A$1:$I$89,3,0)*0.475*44/12</f>
        <v>4.8311688184697821E-13</v>
      </c>
      <c r="ED124" s="22">
        <f t="shared" si="72"/>
        <v>2.1841545502588171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1.1368683772161603E-13</v>
      </c>
      <c r="EK124" s="17">
        <f>EJ124*VLOOKUP('Données projet'!$B$15,Paramètres!$A$1:$I$89,3,0)*VLOOKUP('Données projet'!$B$15,Paramètres!$A$1:$I$89,5,0)</f>
        <v>6.7984728957526396E-14</v>
      </c>
      <c r="EL124" s="13">
        <f t="shared" si="99"/>
        <v>1.0682447123141398E-12</v>
      </c>
      <c r="EM124" s="20">
        <f t="shared" si="73"/>
        <v>1.978932943548152E-12</v>
      </c>
      <c r="EN124" s="59">
        <f t="shared" si="74"/>
        <v>293.3333333333353</v>
      </c>
      <c r="EO124" s="59">
        <f ca="1">AVERAGE(OFFSET($EN$3,0,0,'Données projet'!$E$15+1,1))-AVERAGE(OFFSET($H$3,0,0,'Données projet'!$E$15+1,1))</f>
        <v>259.30247982593914</v>
      </c>
      <c r="EP124" s="59">
        <f t="shared" si="100"/>
        <v>275.24740346220779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1.446502246022213</v>
      </c>
      <c r="EX124" s="21">
        <f>EXP(-LN(2)/2)*EX123+(1-EXP(-LN(2)/2))/(LN(2)/2)*ER124*EU124*VLOOKUP('Données projet'!$B$15,Paramètres!$A$1:$I$89,3,0)*0.475*44/12</f>
        <v>5.76396671283855E-13</v>
      </c>
      <c r="EY124" s="22">
        <f t="shared" si="75"/>
        <v>1.4465022460227894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-5.6843418860808015E-13</v>
      </c>
      <c r="FF124" s="17">
        <f>FE124*VLOOKUP('Données projet'!$B$16,Paramètres!$A$1:$I$89,3,0)*VLOOKUP('Données projet'!$B$16,Paramètres!$A$1:$I$89,5,0)</f>
        <v>-5.763922672485933E-13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372.91317851957336</v>
      </c>
      <c r="FK124" s="59">
        <f t="shared" si="102"/>
        <v>269.69187715858413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0.44520861468918183</v>
      </c>
      <c r="FR124" s="21">
        <f>EXP(-LN(2)/25)*FR123+(1-EXP(-LN(2)/25))/(LN(2)/25)*Calculateur!FM124*Calculateur!FO124*VLOOKUP('Données projet'!$B$16,Paramètres!$A$1:$I$89,3,0)*0.475*44/12</f>
        <v>1.2185745306351705</v>
      </c>
      <c r="FS124" s="21">
        <f>EXP(-LN(2)/2)*FS123+(1-EXP(-LN(2)/2))/(LN(2)/2)*FM124*FP124*VLOOKUP('Données projet'!$B$16,Paramètres!$A$1:$I$89,3,0)*0.475*44/12</f>
        <v>4.8964551958845416E-13</v>
      </c>
      <c r="FT124" s="22">
        <f t="shared" si="78"/>
        <v>1.6637831453248419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-1.1368683772161603E-13</v>
      </c>
      <c r="GA124" s="17">
        <f>FZ124*VLOOKUP('Données projet'!$B$17,Paramètres!$A$1:$I$89,3,0)*VLOOKUP('Données projet'!$B$17,Paramètres!$A$1:$I$89,5,0)</f>
        <v>-5.3205440053716299E-14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215.23235148064941</v>
      </c>
      <c r="GF124" s="59">
        <f t="shared" si="104"/>
        <v>184.07239726900434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0.51701315257069036</v>
      </c>
      <c r="GM124" s="21">
        <f>EXP(-LN(2)/25)*GM123+(1-EXP(-LN(2)/25))/(LN(2)/25)*Calculateur!GH124*Calculateur!GJ124*VLOOKUP('Données projet'!$B$17,Paramètres!$A$1:$I$89,3,0)*0.475*44/12</f>
        <v>0.63011914933107238</v>
      </c>
      <c r="GN124" s="21">
        <f>EXP(-LN(2)/2)*GN123+(1-EXP(-LN(2)/2))/(LN(2)/2)*GH124*GK124*VLOOKUP('Données projet'!$B$17,Paramètres!$A$1:$I$89,3,0)*0.475*44/12</f>
        <v>1.9759905464525721E-13</v>
      </c>
      <c r="GO124" s="21">
        <f t="shared" si="81"/>
        <v>1.1471323019019604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-1.1368683772161603E-13</v>
      </c>
      <c r="GV124" s="17">
        <f>GU124*VLOOKUP('Données projet'!$B$18,Paramètres!$A$1:$I$89,3,0)*VLOOKUP('Données projet'!$B$18,Paramètres!$A$1:$I$89,5,0)</f>
        <v>-6.7984728957526396E-14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227.89848316900191</v>
      </c>
      <c r="HA124" s="59">
        <f t="shared" si="106"/>
        <v>239.85955661394541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1.3099486459762404</v>
      </c>
      <c r="HH124" s="21">
        <f>EXP(-LN(2)/25)*HH123+(1-EXP(-LN(2)/25))/(LN(2)/25)*Calculateur!HC124*Calculateur!HE124*VLOOKUP('Données projet'!$B$18,Paramètres!$A$1:$I$89,3,0)*0.475*44/12</f>
        <v>1.3751569671646795</v>
      </c>
      <c r="HI124" s="21">
        <f>EXP(-LN(2)/2)*HI123+(1-EXP(-LN(2)/2))/(LN(2)/2)*HC124*HF124*VLOOKUP('Données projet'!$B$18,Paramètres!$A$1:$I$89,3,0)*0.475*44/12</f>
        <v>1.3472288851310016E-13</v>
      </c>
      <c r="HJ124" s="22">
        <f t="shared" si="84"/>
        <v>2.6851056131410544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2.5420376914553347E-13</v>
      </c>
      <c r="P125" s="13">
        <f t="shared" si="87"/>
        <v>3.4258699088369875E-12</v>
      </c>
      <c r="Q125" s="20">
        <f t="shared" si="107"/>
        <v>6.4094616558195571E-12</v>
      </c>
      <c r="R125" s="59">
        <f t="shared" si="55"/>
        <v>293.33333333333974</v>
      </c>
      <c r="S125" s="59">
        <f ca="1">AVERAGE(OFFSET($R$3,0,0,'Données projet'!$E$9+1,1))-AVERAGE(OFFSET($H$3,0,0,'Données projet'!$E$9+1,1))</f>
        <v>370.69652285220093</v>
      </c>
      <c r="T125" s="59">
        <f t="shared" si="88"/>
        <v>376.53494965377718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1.6619752378942803</v>
      </c>
      <c r="AA125" s="21">
        <f>EXP(-LN(2)/25)*AA124+(1-EXP(-LN(2)/25))/(LN(2)/25)*Calculateur!V125*Calculateur!X125*VLOOKUP('Données projet'!$B$9,Paramètres!$A$1:$I$89,3,0)*0.475*44/12</f>
        <v>2.6063315116046732</v>
      </c>
      <c r="AB125" s="21">
        <f>EXP(-LN(2)/2)*AB124+(1-EXP(-LN(2)/2))/(LN(2)/2)*V125*Y125*VLOOKUP('Données projet'!$B$9,Paramètres!$A$1:$I$89,3,0)*0.475*44/12</f>
        <v>4.6511792876036534E-13</v>
      </c>
      <c r="AC125" s="22">
        <f t="shared" si="57"/>
        <v>4.2683067494994189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-5.6843418860808015E-13</v>
      </c>
      <c r="AJ125" s="13">
        <f>AI125*VLOOKUP('Données projet'!$B$10,Paramètres!$A$1:$I$89,3,0)*VLOOKUP('Données projet'!$B$10,Paramètres!$A$1:$I$89,5,0)</f>
        <v>-5.1431925385259092E-13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321.03881567735544</v>
      </c>
      <c r="AO125" s="59">
        <f t="shared" si="90"/>
        <v>234.87694492493506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0.38947298504189176</v>
      </c>
      <c r="AV125" s="21">
        <f>EXP(-LN(2)/25)*AV124+(1-EXP(-LN(2)/25))/(LN(2)/25)*Calculateur!AQ125*Calculateur!AS125*VLOOKUP('Données projet'!$B$10,Paramètres!$A$1:$I$89,3,0)*0.475*44/12</f>
        <v>1.0576099641345893</v>
      </c>
      <c r="AW125" s="21">
        <f>EXP(-LN(2)/2)*AW124+(1-EXP(-LN(2)/2))/(LN(2)/2)*AQ125*AT125*VLOOKUP('Données projet'!$B$10,Paramètres!$A$1:$I$89,3,0)*0.475*44/12</f>
        <v>3.0894518003321828E-13</v>
      </c>
      <c r="AX125" s="21">
        <f t="shared" si="60"/>
        <v>1.4470829491767898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5.6843418860808015E-13</v>
      </c>
      <c r="BE125" s="13">
        <f>BD125*VLOOKUP('Données projet'!$B$11,Paramètres!$A$1:$I$89,3,0)*VLOOKUP('Données projet'!$B$11,Paramètres!$A$1:$I$89,5,0)</f>
        <v>3.1036506698001181E-13</v>
      </c>
      <c r="BF125" s="13">
        <f t="shared" si="91"/>
        <v>4.086682523110923E-12</v>
      </c>
      <c r="BG125" s="20">
        <f t="shared" si="61"/>
        <v>7.6581912194083782E-12</v>
      </c>
      <c r="BH125" s="59">
        <f t="shared" si="62"/>
        <v>293.33333333334099</v>
      </c>
      <c r="BI125" s="59">
        <f ca="1">AVERAGE(OFFSET($BH$3,0,0,'Données projet'!$E$11+1,1))-AVERAGE(OFFSET($H$3,0,0,'Données projet'!$E$11+1,1))</f>
        <v>248.1486444660062</v>
      </c>
      <c r="BJ125" s="59">
        <f t="shared" si="92"/>
        <v>293.34458072322127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1.3773663705170345</v>
      </c>
      <c r="BQ125" s="21">
        <f>EXP(-LN(2)/25)*BQ124+(1-EXP(-LN(2)/25))/(LN(2)/25)*Calculateur!BL125*Calculateur!BN125*VLOOKUP('Données projet'!$B$11,Paramètres!$A$1:$I$89,3,0)*0.475*44/12</f>
        <v>2.6556468951596792</v>
      </c>
      <c r="BR125" s="21">
        <f>EXP(-LN(2)/2)*BR124+(1-EXP(-LN(2)/2))/(LN(2)/2)*BL125*BO125*VLOOKUP('Données projet'!$B$11,Paramètres!$A$1:$I$89,3,0)*0.475*44/12</f>
        <v>3.5786379889467317E-13</v>
      </c>
      <c r="BS125" s="22">
        <f t="shared" si="63"/>
        <v>4.0330132656770719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243.38048563215585</v>
      </c>
      <c r="CE125" s="59">
        <f t="shared" si="94"/>
        <v>372.1604147006675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1.1818490580581551</v>
      </c>
      <c r="CL125" s="21">
        <f>EXP(-LN(2)/25)*CL124+(1-EXP(-LN(2)/25))/(LN(2)/25)*Calculateur!CG125*Calculateur!CI125*VLOOKUP('Données projet'!$B$12,Paramètres!$A$1:$I$89,3,0)*0.475*44/12</f>
        <v>1.5106694400256866</v>
      </c>
      <c r="CM125" s="21">
        <f>EXP(-LN(2)/2)*CM124+(1-EXP(-LN(2)/2))/(LN(2)/2)*CG125*CJ125*VLOOKUP('Données projet'!$B$12,Paramètres!$A$1:$I$89,3,0)*0.475*44/12</f>
        <v>4.1659034214322563E-13</v>
      </c>
      <c r="CN125" s="22">
        <f t="shared" si="66"/>
        <v>2.692518498084258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7.9580786405131221E-13</v>
      </c>
      <c r="CU125" s="17">
        <f>CT125*VLOOKUP('Données projet'!$B$13,Paramètres!$A$1:$I$89,3,0)*VLOOKUP('Données projet'!$B$13,Paramètres!$A$1:$I$89,5,0)</f>
        <v>3.8278358260868117E-13</v>
      </c>
      <c r="CV125" s="13">
        <f t="shared" si="95"/>
        <v>4.9186917125089072E-12</v>
      </c>
      <c r="CW125" s="20">
        <f t="shared" si="67"/>
        <v>9.2334028056631319E-12</v>
      </c>
      <c r="CX125" s="59">
        <f t="shared" si="68"/>
        <v>293.33333333334252</v>
      </c>
      <c r="CY125" s="59">
        <f ca="1">AVERAGE(OFFSET($CX$3,0,0,'Données projet'!$E$13+1,1))-AVERAGE(OFFSET($H$3,0,0,'Données projet'!$E$13+1,1))</f>
        <v>297.21955661193238</v>
      </c>
      <c r="CZ125" s="59">
        <f t="shared" si="96"/>
        <v>273.69206144662144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1.0895784505353419</v>
      </c>
      <c r="DG125" s="21">
        <f>EXP(-LN(2)/25)*DG124+(1-EXP(-LN(2)/25))/(LN(2)/25)*Calculateur!DB125*Calculateur!DD125*VLOOKUP('Données projet'!$B$13,Paramètres!$A$1:$I$89,3,0)*0.475*44/12</f>
        <v>1.0472819162216964</v>
      </c>
      <c r="DH125" s="21">
        <f>EXP(-LN(2)/2)*DH124+(1-EXP(-LN(2)/2))/(LN(2)/2)*DB125*DE125*VLOOKUP('Données projet'!$B$13,Paramètres!$A$1:$I$89,3,0)*0.475*44/12</f>
        <v>2.9718852698910091E-13</v>
      </c>
      <c r="DI125" s="22">
        <f t="shared" si="69"/>
        <v>2.1368603667573356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-4.0702161641092972E-13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260.20517190557814</v>
      </c>
      <c r="DU125" s="59">
        <f t="shared" si="98"/>
        <v>307.22009971147133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0.5276390730594599</v>
      </c>
      <c r="EB125" s="21">
        <f>EXP(-LN(2)/25)*EB124+(1-EXP(-LN(2)/25))/(LN(2)/25)*Calculateur!DW125*Calculateur!DY125*VLOOKUP('Données projet'!$B$14,Paramètres!$A$1:$I$89,3,0)*0.475*44/12</f>
        <v>1.6009529332930532</v>
      </c>
      <c r="EC125" s="21">
        <f>EXP(-LN(2)/2)*EC124+(1-EXP(-LN(2)/2))/(LN(2)/2)*DW125*DZ125*VLOOKUP('Données projet'!$B$14,Paramètres!$A$1:$I$89,3,0)*0.475*44/12</f>
        <v>3.4161522325969836E-13</v>
      </c>
      <c r="ED125" s="22">
        <f t="shared" si="72"/>
        <v>2.1285920063528545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1.1368683772161603E-13</v>
      </c>
      <c r="EK125" s="17">
        <f>EJ125*VLOOKUP('Données projet'!$B$15,Paramètres!$A$1:$I$89,3,0)*VLOOKUP('Données projet'!$B$15,Paramètres!$A$1:$I$89,5,0)</f>
        <v>6.7984728957526396E-14</v>
      </c>
      <c r="EL125" s="13">
        <f t="shared" si="99"/>
        <v>1.0682447123141398E-12</v>
      </c>
      <c r="EM125" s="20">
        <f t="shared" si="73"/>
        <v>1.978932943548152E-12</v>
      </c>
      <c r="EN125" s="59">
        <f t="shared" si="74"/>
        <v>293.3333333333353</v>
      </c>
      <c r="EO125" s="59">
        <f ca="1">AVERAGE(OFFSET($EN$3,0,0,'Données projet'!$E$15+1,1))-AVERAGE(OFFSET($H$3,0,0,'Données projet'!$E$15+1,1))</f>
        <v>259.30247982593914</v>
      </c>
      <c r="EP125" s="59">
        <f t="shared" si="100"/>
        <v>275.24740346220779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1.4069475660364885</v>
      </c>
      <c r="EX125" s="21">
        <f>EXP(-LN(2)/2)*EX124+(1-EXP(-LN(2)/2))/(LN(2)/2)*ER125*EU125*VLOOKUP('Données projet'!$B$15,Paramètres!$A$1:$I$89,3,0)*0.475*44/12</f>
        <v>4.0757399491816722E-13</v>
      </c>
      <c r="EY125" s="22">
        <f t="shared" si="75"/>
        <v>1.4069475660368962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-5.6843418860808015E-13</v>
      </c>
      <c r="FF125" s="17">
        <f>FE125*VLOOKUP('Données projet'!$B$16,Paramètres!$A$1:$I$89,3,0)*VLOOKUP('Données projet'!$B$16,Paramètres!$A$1:$I$89,5,0)</f>
        <v>-5.763922672485933E-13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372.91317851957336</v>
      </c>
      <c r="FK125" s="59">
        <f t="shared" si="102"/>
        <v>269.69187715858413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0.43647834530556856</v>
      </c>
      <c r="FR125" s="21">
        <f>EXP(-LN(2)/25)*FR124+(1-EXP(-LN(2)/25))/(LN(2)/25)*Calculateur!FM125*Calculateur!FO125*VLOOKUP('Données projet'!$B$16,Paramètres!$A$1:$I$89,3,0)*0.475*44/12</f>
        <v>1.1852525460129022</v>
      </c>
      <c r="FS125" s="21">
        <f>EXP(-LN(2)/2)*FS124+(1-EXP(-LN(2)/2))/(LN(2)/2)*FM125*FP125*VLOOKUP('Données projet'!$B$16,Paramètres!$A$1:$I$89,3,0)*0.475*44/12</f>
        <v>3.4623166727860642E-13</v>
      </c>
      <c r="FT125" s="22">
        <f t="shared" si="78"/>
        <v>1.6217308913188169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-1.1368683772161603E-13</v>
      </c>
      <c r="GA125" s="17">
        <f>FZ125*VLOOKUP('Données projet'!$B$17,Paramètres!$A$1:$I$89,3,0)*VLOOKUP('Données projet'!$B$17,Paramètres!$A$1:$I$89,5,0)</f>
        <v>-5.3205440053716299E-14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215.23235148064941</v>
      </c>
      <c r="GF125" s="59">
        <f t="shared" si="104"/>
        <v>184.07239726900434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0.50687483999566429</v>
      </c>
      <c r="GM125" s="21">
        <f>EXP(-LN(2)/25)*GM124+(1-EXP(-LN(2)/25))/(LN(2)/25)*Calculateur!GH125*Calculateur!GJ125*VLOOKUP('Données projet'!$B$17,Paramètres!$A$1:$I$89,3,0)*0.475*44/12</f>
        <v>0.6128885080560883</v>
      </c>
      <c r="GN125" s="21">
        <f>EXP(-LN(2)/2)*GN124+(1-EXP(-LN(2)/2))/(LN(2)/2)*GH125*GK125*VLOOKUP('Données projet'!$B$17,Paramètres!$A$1:$I$89,3,0)*0.475*44/12</f>
        <v>1.3972363149571254E-13</v>
      </c>
      <c r="GO125" s="21">
        <f t="shared" si="81"/>
        <v>1.1197633480518923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-1.1368683772161603E-13</v>
      </c>
      <c r="GV125" s="17">
        <f>GU125*VLOOKUP('Données projet'!$B$18,Paramètres!$A$1:$I$89,3,0)*VLOOKUP('Données projet'!$B$18,Paramètres!$A$1:$I$89,5,0)</f>
        <v>-6.7984728957526396E-14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227.89848316900191</v>
      </c>
      <c r="HA125" s="59">
        <f t="shared" si="106"/>
        <v>239.85955661394541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1.2842613520184267</v>
      </c>
      <c r="HH125" s="21">
        <f>EXP(-LN(2)/25)*HH124+(1-EXP(-LN(2)/25))/(LN(2)/25)*Calculateur!HC125*Calculateur!HE125*VLOOKUP('Données projet'!$B$18,Paramètres!$A$1:$I$89,3,0)*0.475*44/12</f>
        <v>1.3375532275811994</v>
      </c>
      <c r="HI125" s="21">
        <f>EXP(-LN(2)/2)*HI124+(1-EXP(-LN(2)/2))/(LN(2)/2)*HC125*HF125*VLOOKUP('Données projet'!$B$18,Paramètres!$A$1:$I$89,3,0)*0.475*44/12</f>
        <v>9.5263468048652356E-14</v>
      </c>
      <c r="HJ125" s="22">
        <f t="shared" si="84"/>
        <v>2.6218145795997216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2.5420376914553347E-13</v>
      </c>
      <c r="P126" s="13">
        <f t="shared" si="87"/>
        <v>3.4258699088369875E-12</v>
      </c>
      <c r="Q126" s="20">
        <f t="shared" si="107"/>
        <v>6.4094616558195571E-12</v>
      </c>
      <c r="R126" s="59">
        <f t="shared" si="55"/>
        <v>293.33333333333974</v>
      </c>
      <c r="S126" s="59">
        <f ca="1">AVERAGE(OFFSET($R$3,0,0,'Données projet'!$E$9+1,1))-AVERAGE(OFFSET($H$3,0,0,'Données projet'!$E$9+1,1))</f>
        <v>370.69652285220093</v>
      </c>
      <c r="T126" s="59">
        <f t="shared" si="88"/>
        <v>376.53494965377718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1.6293849171839736</v>
      </c>
      <c r="AA126" s="21">
        <f>EXP(-LN(2)/25)*AA125+(1-EXP(-LN(2)/25))/(LN(2)/25)*Calculateur!V126*Calculateur!X126*VLOOKUP('Données projet'!$B$9,Paramètres!$A$1:$I$89,3,0)*0.475*44/12</f>
        <v>2.5350612393588263</v>
      </c>
      <c r="AB126" s="21">
        <f>EXP(-LN(2)/2)*AB125+(1-EXP(-LN(2)/2))/(LN(2)/2)*V126*Y126*VLOOKUP('Données projet'!$B$9,Paramètres!$A$1:$I$89,3,0)*0.475*44/12</f>
        <v>3.2888804147789587E-13</v>
      </c>
      <c r="AC126" s="22">
        <f t="shared" si="57"/>
        <v>4.1644461565431286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-5.6843418860808015E-13</v>
      </c>
      <c r="AJ126" s="13">
        <f>AI126*VLOOKUP('Données projet'!$B$10,Paramètres!$A$1:$I$89,3,0)*VLOOKUP('Données projet'!$B$10,Paramètres!$A$1:$I$89,5,0)</f>
        <v>-5.1431925385259092E-13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321.03881567735544</v>
      </c>
      <c r="AO126" s="59">
        <f t="shared" si="90"/>
        <v>234.87694492493506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0.38183565736028452</v>
      </c>
      <c r="AV126" s="21">
        <f>EXP(-LN(2)/25)*AV125+(1-EXP(-LN(2)/25))/(LN(2)/25)*Calculateur!AQ126*Calculateur!AS126*VLOOKUP('Données projet'!$B$10,Paramètres!$A$1:$I$89,3,0)*0.475*44/12</f>
        <v>1.0286895640480382</v>
      </c>
      <c r="AW126" s="21">
        <f>EXP(-LN(2)/2)*AW125+(1-EXP(-LN(2)/2))/(LN(2)/2)*AQ126*AT126*VLOOKUP('Données projet'!$B$10,Paramètres!$A$1:$I$89,3,0)*0.475*44/12</f>
        <v>2.1845723181638742E-13</v>
      </c>
      <c r="AX126" s="21">
        <f t="shared" si="60"/>
        <v>1.4105252214085413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5.6843418860808015E-13</v>
      </c>
      <c r="BE126" s="13">
        <f>BD126*VLOOKUP('Données projet'!$B$11,Paramètres!$A$1:$I$89,3,0)*VLOOKUP('Données projet'!$B$11,Paramètres!$A$1:$I$89,5,0)</f>
        <v>3.1036506698001181E-13</v>
      </c>
      <c r="BF126" s="13">
        <f t="shared" si="91"/>
        <v>4.086682523110923E-12</v>
      </c>
      <c r="BG126" s="20">
        <f t="shared" si="61"/>
        <v>7.6581912194083782E-12</v>
      </c>
      <c r="BH126" s="59">
        <f t="shared" si="62"/>
        <v>293.33333333334099</v>
      </c>
      <c r="BI126" s="59">
        <f ca="1">AVERAGE(OFFSET($BH$3,0,0,'Données projet'!$E$11+1,1))-AVERAGE(OFFSET($H$3,0,0,'Données projet'!$E$11+1,1))</f>
        <v>248.1486444660062</v>
      </c>
      <c r="BJ126" s="59">
        <f t="shared" si="92"/>
        <v>293.34458072322127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1.3503570561017275</v>
      </c>
      <c r="BQ126" s="21">
        <f>EXP(-LN(2)/25)*BQ125+(1-EXP(-LN(2)/25))/(LN(2)/25)*Calculateur!BL126*Calculateur!BN126*VLOOKUP('Données projet'!$B$11,Paramètres!$A$1:$I$89,3,0)*0.475*44/12</f>
        <v>2.5830280911571371</v>
      </c>
      <c r="BR126" s="21">
        <f>EXP(-LN(2)/2)*BR125+(1-EXP(-LN(2)/2))/(LN(2)/2)*BL126*BO126*VLOOKUP('Données projet'!$B$11,Paramètres!$A$1:$I$89,3,0)*0.475*44/12</f>
        <v>2.530479189396023E-13</v>
      </c>
      <c r="BS126" s="22">
        <f t="shared" si="63"/>
        <v>3.9333851472591177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243.38048563215585</v>
      </c>
      <c r="CE126" s="59">
        <f t="shared" si="94"/>
        <v>372.1604147006675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1.1586737188863814</v>
      </c>
      <c r="CL126" s="21">
        <f>EXP(-LN(2)/25)*CL125+(1-EXP(-LN(2)/25))/(LN(2)/25)*Calculateur!CG126*Calculateur!CI126*VLOOKUP('Données projet'!$B$12,Paramètres!$A$1:$I$89,3,0)*0.475*44/12</f>
        <v>1.4693601047455309</v>
      </c>
      <c r="CM126" s="21">
        <f>EXP(-LN(2)/2)*CM125+(1-EXP(-LN(2)/2))/(LN(2)/2)*CG126*CJ126*VLOOKUP('Données projet'!$B$12,Paramètres!$A$1:$I$89,3,0)*0.475*44/12</f>
        <v>2.9457385590629881E-13</v>
      </c>
      <c r="CN126" s="22">
        <f t="shared" si="66"/>
        <v>2.6280338236322067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7.9580786405131221E-13</v>
      </c>
      <c r="CU126" s="17">
        <f>CT126*VLOOKUP('Données projet'!$B$13,Paramètres!$A$1:$I$89,3,0)*VLOOKUP('Données projet'!$B$13,Paramètres!$A$1:$I$89,5,0)</f>
        <v>3.8278358260868117E-13</v>
      </c>
      <c r="CV126" s="13">
        <f t="shared" si="95"/>
        <v>4.9186917125089072E-12</v>
      </c>
      <c r="CW126" s="20">
        <f t="shared" si="67"/>
        <v>9.2334028056631319E-12</v>
      </c>
      <c r="CX126" s="59">
        <f t="shared" si="68"/>
        <v>293.33333333334252</v>
      </c>
      <c r="CY126" s="59">
        <f ca="1">AVERAGE(OFFSET($CX$3,0,0,'Données projet'!$E$13+1,1))-AVERAGE(OFFSET($H$3,0,0,'Données projet'!$E$13+1,1))</f>
        <v>297.21955661193238</v>
      </c>
      <c r="CZ126" s="59">
        <f t="shared" si="96"/>
        <v>273.69206144662144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1.0682124816975771</v>
      </c>
      <c r="DG126" s="21">
        <f>EXP(-LN(2)/25)*DG125+(1-EXP(-LN(2)/25))/(LN(2)/25)*Calculateur!DB126*Calculateur!DD126*VLOOKUP('Données projet'!$B$13,Paramètres!$A$1:$I$89,3,0)*0.475*44/12</f>
        <v>1.0186439371484517</v>
      </c>
      <c r="DH126" s="21">
        <f>EXP(-LN(2)/2)*DH125+(1-EXP(-LN(2)/2))/(LN(2)/2)*DB126*DE126*VLOOKUP('Données projet'!$B$13,Paramètres!$A$1:$I$89,3,0)*0.475*44/12</f>
        <v>2.1014402272483455E-13</v>
      </c>
      <c r="DI126" s="22">
        <f t="shared" si="69"/>
        <v>2.0868564188462391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-4.0702161641092972E-13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260.20517190557814</v>
      </c>
      <c r="DU126" s="59">
        <f t="shared" si="98"/>
        <v>307.22009971147133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0.51729239266482052</v>
      </c>
      <c r="EB126" s="21">
        <f>EXP(-LN(2)/25)*EB125+(1-EXP(-LN(2)/25))/(LN(2)/25)*Calculateur!DW126*Calculateur!DY126*VLOOKUP('Données projet'!$B$14,Paramètres!$A$1:$I$89,3,0)*0.475*44/12</f>
        <v>1.5571747911416989</v>
      </c>
      <c r="EC126" s="21">
        <f>EXP(-LN(2)/2)*EC125+(1-EXP(-LN(2)/2))/(LN(2)/2)*DW126*DZ126*VLOOKUP('Données projet'!$B$14,Paramètres!$A$1:$I$89,3,0)*0.475*44/12</f>
        <v>2.415584409234891E-13</v>
      </c>
      <c r="ED126" s="22">
        <f t="shared" si="72"/>
        <v>2.0744671838067612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1.1368683772161603E-13</v>
      </c>
      <c r="EK126" s="17">
        <f>EJ126*VLOOKUP('Données projet'!$B$15,Paramètres!$A$1:$I$89,3,0)*VLOOKUP('Données projet'!$B$15,Paramètres!$A$1:$I$89,5,0)</f>
        <v>6.7984728957526396E-14</v>
      </c>
      <c r="EL126" s="13">
        <f t="shared" si="99"/>
        <v>1.0682447123141398E-12</v>
      </c>
      <c r="EM126" s="20">
        <f t="shared" si="73"/>
        <v>1.978932943548152E-12</v>
      </c>
      <c r="EN126" s="59">
        <f t="shared" si="74"/>
        <v>293.3333333333353</v>
      </c>
      <c r="EO126" s="59">
        <f ca="1">AVERAGE(OFFSET($EN$3,0,0,'Données projet'!$E$15+1,1))-AVERAGE(OFFSET($H$3,0,0,'Données projet'!$E$15+1,1))</f>
        <v>259.30247982593914</v>
      </c>
      <c r="EP126" s="59">
        <f t="shared" si="100"/>
        <v>275.24740346220779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1.3684745108550638</v>
      </c>
      <c r="EX126" s="21">
        <f>EXP(-LN(2)/2)*EX125+(1-EXP(-LN(2)/2))/(LN(2)/2)*ER126*EU126*VLOOKUP('Données projet'!$B$15,Paramètres!$A$1:$I$89,3,0)*0.475*44/12</f>
        <v>2.881983356419275E-13</v>
      </c>
      <c r="EY126" s="22">
        <f t="shared" si="75"/>
        <v>1.368474510855352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-5.6843418860808015E-13</v>
      </c>
      <c r="FF126" s="17">
        <f>FE126*VLOOKUP('Données projet'!$B$16,Paramètres!$A$1:$I$89,3,0)*VLOOKUP('Données projet'!$B$16,Paramètres!$A$1:$I$89,5,0)</f>
        <v>-5.763922672485933E-13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372.91317851957336</v>
      </c>
      <c r="FK126" s="59">
        <f t="shared" si="102"/>
        <v>269.69187715858413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0.42791927117962941</v>
      </c>
      <c r="FR126" s="21">
        <f>EXP(-LN(2)/25)*FR125+(1-EXP(-LN(2)/25))/(LN(2)/25)*Calculateur!FM126*Calculateur!FO126*VLOOKUP('Données projet'!$B$16,Paramètres!$A$1:$I$89,3,0)*0.475*44/12</f>
        <v>1.1528417528124568</v>
      </c>
      <c r="FS126" s="21">
        <f>EXP(-LN(2)/2)*FS125+(1-EXP(-LN(2)/2))/(LN(2)/2)*FM126*FP126*VLOOKUP('Données projet'!$B$16,Paramètres!$A$1:$I$89,3,0)*0.475*44/12</f>
        <v>2.4482275979422708E-13</v>
      </c>
      <c r="FT126" s="22">
        <f t="shared" si="78"/>
        <v>1.5807610239923311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-1.1368683772161603E-13</v>
      </c>
      <c r="GA126" s="17">
        <f>FZ126*VLOOKUP('Données projet'!$B$17,Paramètres!$A$1:$I$89,3,0)*VLOOKUP('Données projet'!$B$17,Paramètres!$A$1:$I$89,5,0)</f>
        <v>-5.3205440053716299E-14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215.23235148064941</v>
      </c>
      <c r="GF126" s="59">
        <f t="shared" si="104"/>
        <v>184.07239726900434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0.4969353335464744</v>
      </c>
      <c r="GM126" s="21">
        <f>EXP(-LN(2)/25)*GM125+(1-EXP(-LN(2)/25))/(LN(2)/25)*Calculateur!GH126*Calculateur!GJ126*VLOOKUP('Données projet'!$B$17,Paramètres!$A$1:$I$89,3,0)*0.475*44/12</f>
        <v>0.59612903957288865</v>
      </c>
      <c r="GN126" s="21">
        <f>EXP(-LN(2)/2)*GN125+(1-EXP(-LN(2)/2))/(LN(2)/2)*GH126*GK126*VLOOKUP('Données projet'!$B$17,Paramètres!$A$1:$I$89,3,0)*0.475*44/12</f>
        <v>9.8799527322628607E-14</v>
      </c>
      <c r="GO126" s="21">
        <f t="shared" si="81"/>
        <v>1.0930643731194618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-1.1368683772161603E-13</v>
      </c>
      <c r="GV126" s="17">
        <f>GU126*VLOOKUP('Données projet'!$B$18,Paramètres!$A$1:$I$89,3,0)*VLOOKUP('Données projet'!$B$18,Paramètres!$A$1:$I$89,5,0)</f>
        <v>-6.7984728957526396E-14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227.89848316900191</v>
      </c>
      <c r="HA126" s="59">
        <f t="shared" si="106"/>
        <v>239.85955661394541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1.2590777702274234</v>
      </c>
      <c r="HH126" s="21">
        <f>EXP(-LN(2)/25)*HH125+(1-EXP(-LN(2)/25))/(LN(2)/25)*Calculateur!HC126*Calculateur!HE126*VLOOKUP('Données projet'!$B$18,Paramètres!$A$1:$I$89,3,0)*0.475*44/12</f>
        <v>1.3009777642341243</v>
      </c>
      <c r="HI126" s="21">
        <f>EXP(-LN(2)/2)*HI125+(1-EXP(-LN(2)/2))/(LN(2)/2)*HC126*HF126*VLOOKUP('Données projet'!$B$18,Paramètres!$A$1:$I$89,3,0)*0.475*44/12</f>
        <v>6.7361444256550082E-14</v>
      </c>
      <c r="HJ126" s="22">
        <f t="shared" si="84"/>
        <v>2.5600555344616152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2.5420376914553347E-13</v>
      </c>
      <c r="P127" s="13">
        <f t="shared" si="87"/>
        <v>3.4258699088369875E-12</v>
      </c>
      <c r="Q127" s="20">
        <f t="shared" si="107"/>
        <v>6.4094616558195571E-12</v>
      </c>
      <c r="R127" s="59">
        <f t="shared" si="55"/>
        <v>293.33333333333974</v>
      </c>
      <c r="S127" s="59">
        <f ca="1">AVERAGE(OFFSET($R$3,0,0,'Données projet'!$E$9+1,1))-AVERAGE(OFFSET($H$3,0,0,'Données projet'!$E$9+1,1))</f>
        <v>370.69652285220093</v>
      </c>
      <c r="T127" s="59">
        <f t="shared" si="88"/>
        <v>376.53494965377718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1.5974336727846632</v>
      </c>
      <c r="AA127" s="21">
        <f>EXP(-LN(2)/25)*AA126+(1-EXP(-LN(2)/25))/(LN(2)/25)*Calculateur!V127*Calculateur!X127*VLOOKUP('Données projet'!$B$9,Paramètres!$A$1:$I$89,3,0)*0.475*44/12</f>
        <v>2.4657398564554827</v>
      </c>
      <c r="AB127" s="21">
        <f>EXP(-LN(2)/2)*AB126+(1-EXP(-LN(2)/2))/(LN(2)/2)*V127*Y127*VLOOKUP('Données projet'!$B$9,Paramètres!$A$1:$I$89,3,0)*0.475*44/12</f>
        <v>2.3255896438018267E-13</v>
      </c>
      <c r="AC127" s="22">
        <f t="shared" si="57"/>
        <v>4.0631735292403786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-5.6843418860808015E-13</v>
      </c>
      <c r="AJ127" s="13">
        <f>AI127*VLOOKUP('Données projet'!$B$10,Paramètres!$A$1:$I$89,3,0)*VLOOKUP('Données projet'!$B$10,Paramètres!$A$1:$I$89,5,0)</f>
        <v>-5.1431925385259092E-13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321.03881567735544</v>
      </c>
      <c r="AO127" s="59">
        <f t="shared" si="90"/>
        <v>234.87694492493506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0.3743480930162037</v>
      </c>
      <c r="AV127" s="21">
        <f>EXP(-LN(2)/25)*AV126+(1-EXP(-LN(2)/25))/(LN(2)/25)*Calculateur!AQ127*Calculateur!AS127*VLOOKUP('Données projet'!$B$10,Paramètres!$A$1:$I$89,3,0)*0.475*44/12</f>
        <v>1.0005599938227117</v>
      </c>
      <c r="AW127" s="21">
        <f>EXP(-LN(2)/2)*AW126+(1-EXP(-LN(2)/2))/(LN(2)/2)*AQ127*AT127*VLOOKUP('Données projet'!$B$10,Paramètres!$A$1:$I$89,3,0)*0.475*44/12</f>
        <v>1.5447259001660914E-13</v>
      </c>
      <c r="AX127" s="21">
        <f t="shared" si="60"/>
        <v>1.37490808683907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5.6843418860808015E-13</v>
      </c>
      <c r="BE127" s="13">
        <f>BD127*VLOOKUP('Données projet'!$B$11,Paramètres!$A$1:$I$89,3,0)*VLOOKUP('Données projet'!$B$11,Paramètres!$A$1:$I$89,5,0)</f>
        <v>3.1036506698001181E-13</v>
      </c>
      <c r="BF127" s="13">
        <f t="shared" si="91"/>
        <v>4.086682523110923E-12</v>
      </c>
      <c r="BG127" s="20">
        <f t="shared" si="61"/>
        <v>7.6581912194083782E-12</v>
      </c>
      <c r="BH127" s="59">
        <f t="shared" si="62"/>
        <v>293.33333333334099</v>
      </c>
      <c r="BI127" s="59">
        <f ca="1">AVERAGE(OFFSET($BH$3,0,0,'Données projet'!$E$11+1,1))-AVERAGE(OFFSET($H$3,0,0,'Données projet'!$E$11+1,1))</f>
        <v>248.1486444660062</v>
      </c>
      <c r="BJ127" s="59">
        <f t="shared" si="92"/>
        <v>293.34458072322127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1.3238773778680495</v>
      </c>
      <c r="BQ127" s="21">
        <f>EXP(-LN(2)/25)*BQ126+(1-EXP(-LN(2)/25))/(LN(2)/25)*Calculateur!BL127*Calculateur!BN127*VLOOKUP('Données projet'!$B$11,Paramètres!$A$1:$I$89,3,0)*0.475*44/12</f>
        <v>2.5123950521689014</v>
      </c>
      <c r="BR127" s="21">
        <f>EXP(-LN(2)/2)*BR126+(1-EXP(-LN(2)/2))/(LN(2)/2)*BL127*BO127*VLOOKUP('Données projet'!$B$11,Paramètres!$A$1:$I$89,3,0)*0.475*44/12</f>
        <v>1.7893189944733658E-13</v>
      </c>
      <c r="BS127" s="22">
        <f t="shared" si="63"/>
        <v>3.83627243003713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243.38048563215585</v>
      </c>
      <c r="CE127" s="59">
        <f t="shared" si="94"/>
        <v>372.1604147006675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1.135952833980205</v>
      </c>
      <c r="CL127" s="21">
        <f>EXP(-LN(2)/25)*CL126+(1-EXP(-LN(2)/25))/(LN(2)/25)*Calculateur!CG127*Calculateur!CI127*VLOOKUP('Données projet'!$B$12,Paramètres!$A$1:$I$89,3,0)*0.475*44/12</f>
        <v>1.4291803754109746</v>
      </c>
      <c r="CM127" s="21">
        <f>EXP(-LN(2)/2)*CM126+(1-EXP(-LN(2)/2))/(LN(2)/2)*CG127*CJ127*VLOOKUP('Données projet'!$B$12,Paramètres!$A$1:$I$89,3,0)*0.475*44/12</f>
        <v>2.0829517107161282E-13</v>
      </c>
      <c r="CN127" s="22">
        <f t="shared" si="66"/>
        <v>2.5651332093913877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7.9580786405131221E-13</v>
      </c>
      <c r="CU127" s="17">
        <f>CT127*VLOOKUP('Données projet'!$B$13,Paramètres!$A$1:$I$89,3,0)*VLOOKUP('Données projet'!$B$13,Paramètres!$A$1:$I$89,5,0)</f>
        <v>3.8278358260868117E-13</v>
      </c>
      <c r="CV127" s="13">
        <f t="shared" si="95"/>
        <v>4.9186917125089072E-12</v>
      </c>
      <c r="CW127" s="20">
        <f t="shared" si="67"/>
        <v>9.2334028056631319E-12</v>
      </c>
      <c r="CX127" s="59">
        <f t="shared" si="68"/>
        <v>293.33333333334252</v>
      </c>
      <c r="CY127" s="59">
        <f ca="1">AVERAGE(OFFSET($CX$3,0,0,'Données projet'!$E$13+1,1))-AVERAGE(OFFSET($H$3,0,0,'Données projet'!$E$13+1,1))</f>
        <v>297.21955661193238</v>
      </c>
      <c r="CZ127" s="59">
        <f t="shared" si="96"/>
        <v>273.69206144662144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1.0472654864767668</v>
      </c>
      <c r="DG127" s="21">
        <f>EXP(-LN(2)/25)*DG126+(1-EXP(-LN(2)/25))/(LN(2)/25)*Calculateur!DB127*Calculateur!DD127*VLOOKUP('Données projet'!$B$13,Paramètres!$A$1:$I$89,3,0)*0.475*44/12</f>
        <v>0.9907890651189708</v>
      </c>
      <c r="DH127" s="21">
        <f>EXP(-LN(2)/2)*DH126+(1-EXP(-LN(2)/2))/(LN(2)/2)*DB127*DE127*VLOOKUP('Données projet'!$B$13,Paramètres!$A$1:$I$89,3,0)*0.475*44/12</f>
        <v>1.4859426349455045E-13</v>
      </c>
      <c r="DI127" s="22">
        <f t="shared" si="69"/>
        <v>2.0380545515958866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-4.0702161641092972E-13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260.20517190557814</v>
      </c>
      <c r="DU127" s="59">
        <f t="shared" si="98"/>
        <v>307.22009971147133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0.50714860436186815</v>
      </c>
      <c r="EB127" s="21">
        <f>EXP(-LN(2)/25)*EB126+(1-EXP(-LN(2)/25))/(LN(2)/25)*Calculateur!DW127*Calculateur!DY127*VLOOKUP('Données projet'!$B$14,Paramètres!$A$1:$I$89,3,0)*0.475*44/12</f>
        <v>1.5145937645896659</v>
      </c>
      <c r="EC127" s="21">
        <f>EXP(-LN(2)/2)*EC126+(1-EXP(-LN(2)/2))/(LN(2)/2)*DW127*DZ127*VLOOKUP('Données projet'!$B$14,Paramètres!$A$1:$I$89,3,0)*0.475*44/12</f>
        <v>1.7080761162984918E-13</v>
      </c>
      <c r="ED127" s="22">
        <f t="shared" si="72"/>
        <v>2.0217423689517049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1.1368683772161603E-13</v>
      </c>
      <c r="EK127" s="17">
        <f>EJ127*VLOOKUP('Données projet'!$B$15,Paramètres!$A$1:$I$89,3,0)*VLOOKUP('Données projet'!$B$15,Paramètres!$A$1:$I$89,5,0)</f>
        <v>6.7984728957526396E-14</v>
      </c>
      <c r="EL127" s="13">
        <f t="shared" si="99"/>
        <v>1.0682447123141398E-12</v>
      </c>
      <c r="EM127" s="20">
        <f t="shared" si="73"/>
        <v>1.978932943548152E-12</v>
      </c>
      <c r="EN127" s="59">
        <f t="shared" si="74"/>
        <v>293.3333333333353</v>
      </c>
      <c r="EO127" s="59">
        <f ca="1">AVERAGE(OFFSET($EN$3,0,0,'Données projet'!$E$15+1,1))-AVERAGE(OFFSET($H$3,0,0,'Données projet'!$E$15+1,1))</f>
        <v>259.30247982593914</v>
      </c>
      <c r="EP127" s="59">
        <f t="shared" si="100"/>
        <v>275.24740346220779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1.3310535033907853</v>
      </c>
      <c r="EX127" s="21">
        <f>EXP(-LN(2)/2)*EX126+(1-EXP(-LN(2)/2))/(LN(2)/2)*ER127*EU127*VLOOKUP('Données projet'!$B$15,Paramètres!$A$1:$I$89,3,0)*0.475*44/12</f>
        <v>2.0378699745908361E-13</v>
      </c>
      <c r="EY127" s="22">
        <f t="shared" si="75"/>
        <v>1.3310535033909892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-5.6843418860808015E-13</v>
      </c>
      <c r="FF127" s="17">
        <f>FE127*VLOOKUP('Données projet'!$B$16,Paramètres!$A$1:$I$89,3,0)*VLOOKUP('Données projet'!$B$16,Paramètres!$A$1:$I$89,5,0)</f>
        <v>-5.763922672485933E-13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372.91317851957336</v>
      </c>
      <c r="FK127" s="59">
        <f t="shared" si="102"/>
        <v>269.69187715858413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0.41952803527678018</v>
      </c>
      <c r="FR127" s="21">
        <f>EXP(-LN(2)/25)*FR126+(1-EXP(-LN(2)/25))/(LN(2)/25)*Calculateur!FM127*Calculateur!FO127*VLOOKUP('Données projet'!$B$16,Paramètres!$A$1:$I$89,3,0)*0.475*44/12</f>
        <v>1.1213172344564872</v>
      </c>
      <c r="FS127" s="21">
        <f>EXP(-LN(2)/2)*FS126+(1-EXP(-LN(2)/2))/(LN(2)/2)*FM127*FP127*VLOOKUP('Données projet'!$B$16,Paramètres!$A$1:$I$89,3,0)*0.475*44/12</f>
        <v>1.7311583363930321E-13</v>
      </c>
      <c r="FT127" s="22">
        <f t="shared" si="78"/>
        <v>1.5408452697334405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-1.1368683772161603E-13</v>
      </c>
      <c r="GA127" s="17">
        <f>FZ127*VLOOKUP('Données projet'!$B$17,Paramètres!$A$1:$I$89,3,0)*VLOOKUP('Données projet'!$B$17,Paramètres!$A$1:$I$89,5,0)</f>
        <v>-5.3205440053716299E-14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215.23235148064941</v>
      </c>
      <c r="GF127" s="59">
        <f t="shared" si="104"/>
        <v>184.07239726900434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0.4871907347562528</v>
      </c>
      <c r="GM127" s="21">
        <f>EXP(-LN(2)/25)*GM126+(1-EXP(-LN(2)/25))/(LN(2)/25)*Calculateur!GH127*Calculateur!GJ127*VLOOKUP('Données projet'!$B$17,Paramètres!$A$1:$I$89,3,0)*0.475*44/12</f>
        <v>0.57982785963670425</v>
      </c>
      <c r="GN127" s="21">
        <f>EXP(-LN(2)/2)*GN126+(1-EXP(-LN(2)/2))/(LN(2)/2)*GH127*GK127*VLOOKUP('Données projet'!$B$17,Paramètres!$A$1:$I$89,3,0)*0.475*44/12</f>
        <v>6.9861815747856269E-14</v>
      </c>
      <c r="GO127" s="21">
        <f t="shared" si="81"/>
        <v>1.067018594393027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-1.1368683772161603E-13</v>
      </c>
      <c r="GV127" s="17">
        <f>GU127*VLOOKUP('Données projet'!$B$18,Paramètres!$A$1:$I$89,3,0)*VLOOKUP('Données projet'!$B$18,Paramètres!$A$1:$I$89,5,0)</f>
        <v>-6.7984728957526396E-14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227.89848316900191</v>
      </c>
      <c r="HA127" s="59">
        <f t="shared" si="106"/>
        <v>239.85955661394541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1.2343880231148736</v>
      </c>
      <c r="HH127" s="21">
        <f>EXP(-LN(2)/25)*HH126+(1-EXP(-LN(2)/25))/(LN(2)/25)*Calculateur!HC127*Calculateur!HE127*VLOOKUP('Données projet'!$B$18,Paramètres!$A$1:$I$89,3,0)*0.475*44/12</f>
        <v>1.2654024588556949</v>
      </c>
      <c r="HI127" s="21">
        <f>EXP(-LN(2)/2)*HI126+(1-EXP(-LN(2)/2))/(LN(2)/2)*HC127*HF127*VLOOKUP('Données projet'!$B$18,Paramètres!$A$1:$I$89,3,0)*0.475*44/12</f>
        <v>4.7631734024326178E-14</v>
      </c>
      <c r="HJ127" s="22">
        <f t="shared" si="84"/>
        <v>2.4997904819706158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2.5420376914553347E-13</v>
      </c>
      <c r="P128" s="13">
        <f t="shared" si="87"/>
        <v>3.4258699088369875E-12</v>
      </c>
      <c r="Q128" s="20">
        <f t="shared" si="107"/>
        <v>6.4094616558195571E-12</v>
      </c>
      <c r="R128" s="59">
        <f t="shared" si="55"/>
        <v>293.33333333333974</v>
      </c>
      <c r="S128" s="59">
        <f ca="1">AVERAGE(OFFSET($R$3,0,0,'Données projet'!$E$9+1,1))-AVERAGE(OFFSET($H$3,0,0,'Données projet'!$E$9+1,1))</f>
        <v>370.69652285220093</v>
      </c>
      <c r="T128" s="59">
        <f t="shared" si="88"/>
        <v>376.53494965377718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1.5661089727996884</v>
      </c>
      <c r="AA128" s="21">
        <f>EXP(-LN(2)/25)*AA127+(1-EXP(-LN(2)/25))/(LN(2)/25)*Calculateur!V128*Calculateur!X128*VLOOKUP('Données projet'!$B$9,Paramètres!$A$1:$I$89,3,0)*0.475*44/12</f>
        <v>2.3983140704130839</v>
      </c>
      <c r="AB128" s="21">
        <f>EXP(-LN(2)/2)*AB127+(1-EXP(-LN(2)/2))/(LN(2)/2)*V128*Y128*VLOOKUP('Données projet'!$B$9,Paramètres!$A$1:$I$89,3,0)*0.475*44/12</f>
        <v>1.6444402073894793E-13</v>
      </c>
      <c r="AC128" s="22">
        <f t="shared" si="57"/>
        <v>3.9644230432129364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-5.6843418860808015E-13</v>
      </c>
      <c r="AJ128" s="13">
        <f>AI128*VLOOKUP('Données projet'!$B$10,Paramètres!$A$1:$I$89,3,0)*VLOOKUP('Données projet'!$B$10,Paramètres!$A$1:$I$89,5,0)</f>
        <v>-5.1431925385259092E-13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321.03881567735544</v>
      </c>
      <c r="AO128" s="59">
        <f t="shared" si="90"/>
        <v>234.87694492493506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0.367007355241947</v>
      </c>
      <c r="AV128" s="21">
        <f>EXP(-LN(2)/25)*AV127+(1-EXP(-LN(2)/25))/(LN(2)/25)*Calculateur!AQ128*Calculateur!AS128*VLOOKUP('Données projet'!$B$10,Paramètres!$A$1:$I$89,3,0)*0.475*44/12</f>
        <v>0.97319962817446637</v>
      </c>
      <c r="AW128" s="21">
        <f>EXP(-LN(2)/2)*AW127+(1-EXP(-LN(2)/2))/(LN(2)/2)*AQ128*AT128*VLOOKUP('Données projet'!$B$10,Paramètres!$A$1:$I$89,3,0)*0.475*44/12</f>
        <v>1.0922861590819371E-13</v>
      </c>
      <c r="AX128" s="21">
        <f t="shared" si="60"/>
        <v>1.3402069834165227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5.6843418860808015E-13</v>
      </c>
      <c r="BE128" s="13">
        <f>BD128*VLOOKUP('Données projet'!$B$11,Paramètres!$A$1:$I$89,3,0)*VLOOKUP('Données projet'!$B$11,Paramètres!$A$1:$I$89,5,0)</f>
        <v>3.1036506698001181E-13</v>
      </c>
      <c r="BF128" s="13">
        <f t="shared" si="91"/>
        <v>4.086682523110923E-12</v>
      </c>
      <c r="BG128" s="20">
        <f t="shared" si="61"/>
        <v>7.6581912194083782E-12</v>
      </c>
      <c r="BH128" s="59">
        <f t="shared" si="62"/>
        <v>293.33333333334099</v>
      </c>
      <c r="BI128" s="59">
        <f ca="1">AVERAGE(OFFSET($BH$3,0,0,'Données projet'!$E$11+1,1))-AVERAGE(OFFSET($H$3,0,0,'Données projet'!$E$11+1,1))</f>
        <v>248.1486444660062</v>
      </c>
      <c r="BJ128" s="59">
        <f t="shared" si="92"/>
        <v>293.34458072322127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1.297916949973525</v>
      </c>
      <c r="BQ128" s="21">
        <f>EXP(-LN(2)/25)*BQ127+(1-EXP(-LN(2)/25))/(LN(2)/25)*Calculateur!BL128*Calculateur!BN128*VLOOKUP('Données projet'!$B$11,Paramètres!$A$1:$I$89,3,0)*0.475*44/12</f>
        <v>2.4436934773462293</v>
      </c>
      <c r="BR128" s="21">
        <f>EXP(-LN(2)/2)*BR127+(1-EXP(-LN(2)/2))/(LN(2)/2)*BL128*BO128*VLOOKUP('Données projet'!$B$11,Paramètres!$A$1:$I$89,3,0)*0.475*44/12</f>
        <v>1.2652395946980115E-13</v>
      </c>
      <c r="BS128" s="22">
        <f t="shared" si="63"/>
        <v>3.7416104273198809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243.38048563215585</v>
      </c>
      <c r="CE128" s="59">
        <f t="shared" si="94"/>
        <v>372.1604147006675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1.1136774917686674</v>
      </c>
      <c r="CL128" s="21">
        <f>EXP(-LN(2)/25)*CL127+(1-EXP(-LN(2)/25))/(LN(2)/25)*Calculateur!CG128*Calculateur!CI128*VLOOKUP('Données projet'!$B$12,Paramètres!$A$1:$I$89,3,0)*0.475*44/12</f>
        <v>1.390099362888032</v>
      </c>
      <c r="CM128" s="21">
        <f>EXP(-LN(2)/2)*CM127+(1-EXP(-LN(2)/2))/(LN(2)/2)*CG128*CJ128*VLOOKUP('Données projet'!$B$12,Paramètres!$A$1:$I$89,3,0)*0.475*44/12</f>
        <v>1.4728692795314941E-13</v>
      </c>
      <c r="CN128" s="22">
        <f t="shared" si="66"/>
        <v>2.5037768546568469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7.9580786405131221E-13</v>
      </c>
      <c r="CU128" s="17">
        <f>CT128*VLOOKUP('Données projet'!$B$13,Paramètres!$A$1:$I$89,3,0)*VLOOKUP('Données projet'!$B$13,Paramètres!$A$1:$I$89,5,0)</f>
        <v>3.8278358260868117E-13</v>
      </c>
      <c r="CV128" s="13">
        <f t="shared" si="95"/>
        <v>4.9186917125089072E-12</v>
      </c>
      <c r="CW128" s="20">
        <f t="shared" si="67"/>
        <v>9.2334028056631319E-12</v>
      </c>
      <c r="CX128" s="59">
        <f t="shared" si="68"/>
        <v>293.33333333334252</v>
      </c>
      <c r="CY128" s="59">
        <f ca="1">AVERAGE(OFFSET($CX$3,0,0,'Données projet'!$E$13+1,1))-AVERAGE(OFFSET($H$3,0,0,'Données projet'!$E$13+1,1))</f>
        <v>297.21955661193238</v>
      </c>
      <c r="CZ128" s="59">
        <f t="shared" si="96"/>
        <v>273.69206144662144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1.0267292490558309</v>
      </c>
      <c r="DG128" s="21">
        <f>EXP(-LN(2)/25)*DG127+(1-EXP(-LN(2)/25))/(LN(2)/25)*Calculateur!DB128*Calculateur!DD128*VLOOKUP('Données projet'!$B$13,Paramètres!$A$1:$I$89,3,0)*0.475*44/12</f>
        <v>0.96369588602996004</v>
      </c>
      <c r="DH128" s="21">
        <f>EXP(-LN(2)/2)*DH127+(1-EXP(-LN(2)/2))/(LN(2)/2)*DB128*DE128*VLOOKUP('Données projet'!$B$13,Paramètres!$A$1:$I$89,3,0)*0.475*44/12</f>
        <v>1.0507201136241728E-13</v>
      </c>
      <c r="DI128" s="22">
        <f t="shared" si="69"/>
        <v>1.9904251350858959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-4.0702161641092972E-13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260.20517190557814</v>
      </c>
      <c r="DU128" s="59">
        <f t="shared" si="98"/>
        <v>307.22009971147133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0.49720372956043679</v>
      </c>
      <c r="EB128" s="21">
        <f>EXP(-LN(2)/25)*EB127+(1-EXP(-LN(2)/25))/(LN(2)/25)*Calculateur!DW128*Calculateur!DY128*VLOOKUP('Données projet'!$B$14,Paramètres!$A$1:$I$89,3,0)*0.475*44/12</f>
        <v>1.473177118447937</v>
      </c>
      <c r="EC128" s="21">
        <f>EXP(-LN(2)/2)*EC127+(1-EXP(-LN(2)/2))/(LN(2)/2)*DW128*DZ128*VLOOKUP('Données projet'!$B$14,Paramètres!$A$1:$I$89,3,0)*0.475*44/12</f>
        <v>1.2077922046174455E-13</v>
      </c>
      <c r="ED128" s="22">
        <f t="shared" si="72"/>
        <v>1.9703808480084946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1.1368683772161603E-13</v>
      </c>
      <c r="EK128" s="17">
        <f>EJ128*VLOOKUP('Données projet'!$B$15,Paramètres!$A$1:$I$89,3,0)*VLOOKUP('Données projet'!$B$15,Paramètres!$A$1:$I$89,5,0)</f>
        <v>6.7984728957526396E-14</v>
      </c>
      <c r="EL128" s="13">
        <f t="shared" si="99"/>
        <v>1.0682447123141398E-12</v>
      </c>
      <c r="EM128" s="20">
        <f t="shared" si="73"/>
        <v>1.978932943548152E-12</v>
      </c>
      <c r="EN128" s="59">
        <f t="shared" si="74"/>
        <v>293.3333333333353</v>
      </c>
      <c r="EO128" s="59">
        <f ca="1">AVERAGE(OFFSET($EN$3,0,0,'Données projet'!$E$15+1,1))-AVERAGE(OFFSET($H$3,0,0,'Données projet'!$E$15+1,1))</f>
        <v>259.30247982593914</v>
      </c>
      <c r="EP128" s="59">
        <f t="shared" si="100"/>
        <v>275.24740346220779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1.2946557753435026</v>
      </c>
      <c r="EX128" s="21">
        <f>EXP(-LN(2)/2)*EX127+(1-EXP(-LN(2)/2))/(LN(2)/2)*ER128*EU128*VLOOKUP('Données projet'!$B$15,Paramètres!$A$1:$I$89,3,0)*0.475*44/12</f>
        <v>1.4409916782096375E-13</v>
      </c>
      <c r="EY128" s="22">
        <f t="shared" si="75"/>
        <v>1.2946557753436467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-5.6843418860808015E-13</v>
      </c>
      <c r="FF128" s="17">
        <f>FE128*VLOOKUP('Données projet'!$B$16,Paramètres!$A$1:$I$89,3,0)*VLOOKUP('Données projet'!$B$16,Paramètres!$A$1:$I$89,5,0)</f>
        <v>-5.763922672485933E-13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372.91317851957336</v>
      </c>
      <c r="FK128" s="59">
        <f t="shared" si="102"/>
        <v>269.69187715858413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0.4113013463918373</v>
      </c>
      <c r="FR128" s="21">
        <f>EXP(-LN(2)/25)*FR127+(1-EXP(-LN(2)/25))/(LN(2)/25)*Calculateur!FM128*Calculateur!FO128*VLOOKUP('Données projet'!$B$16,Paramètres!$A$1:$I$89,3,0)*0.475*44/12</f>
        <v>1.0906547557127639</v>
      </c>
      <c r="FS128" s="21">
        <f>EXP(-LN(2)/2)*FS127+(1-EXP(-LN(2)/2))/(LN(2)/2)*FM128*FP128*VLOOKUP('Données projet'!$B$16,Paramètres!$A$1:$I$89,3,0)*0.475*44/12</f>
        <v>1.2241137989711354E-13</v>
      </c>
      <c r="FT128" s="22">
        <f t="shared" si="78"/>
        <v>1.5019561021047236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-1.1368683772161603E-13</v>
      </c>
      <c r="GA128" s="17">
        <f>FZ128*VLOOKUP('Données projet'!$B$17,Paramètres!$A$1:$I$89,3,0)*VLOOKUP('Données projet'!$B$17,Paramètres!$A$1:$I$89,5,0)</f>
        <v>-5.3205440053716299E-14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215.23235148064941</v>
      </c>
      <c r="GF128" s="59">
        <f t="shared" si="104"/>
        <v>184.07239726900434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0.47763722160468908</v>
      </c>
      <c r="GM128" s="21">
        <f>EXP(-LN(2)/25)*GM127+(1-EXP(-LN(2)/25))/(LN(2)/25)*Calculateur!GH128*Calculateur!GJ128*VLOOKUP('Données projet'!$B$17,Paramètres!$A$1:$I$89,3,0)*0.475*44/12</f>
        <v>0.56397243632311667</v>
      </c>
      <c r="GN128" s="21">
        <f>EXP(-LN(2)/2)*GN127+(1-EXP(-LN(2)/2))/(LN(2)/2)*GH128*GK128*VLOOKUP('Données projet'!$B$17,Paramètres!$A$1:$I$89,3,0)*0.475*44/12</f>
        <v>4.9399763661314303E-14</v>
      </c>
      <c r="GO128" s="21">
        <f t="shared" si="81"/>
        <v>1.0416096579278551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-1.1368683772161603E-13</v>
      </c>
      <c r="GV128" s="17">
        <f>GU128*VLOOKUP('Données projet'!$B$18,Paramètres!$A$1:$I$89,3,0)*VLOOKUP('Données projet'!$B$18,Paramètres!$A$1:$I$89,5,0)</f>
        <v>-6.7984728957526396E-14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227.89848316900191</v>
      </c>
      <c r="HA128" s="59">
        <f t="shared" si="106"/>
        <v>239.85955661394541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1.2101824268839421</v>
      </c>
      <c r="HH128" s="21">
        <f>EXP(-LN(2)/25)*HH127+(1-EXP(-LN(2)/25))/(LN(2)/25)*Calculateur!HC128*Calculateur!HE128*VLOOKUP('Données projet'!$B$18,Paramètres!$A$1:$I$89,3,0)*0.475*44/12</f>
        <v>1.2307999620736627</v>
      </c>
      <c r="HI128" s="21">
        <f>EXP(-LN(2)/2)*HI127+(1-EXP(-LN(2)/2))/(LN(2)/2)*HC128*HF128*VLOOKUP('Données projet'!$B$18,Paramètres!$A$1:$I$89,3,0)*0.475*44/12</f>
        <v>3.3680722128275041E-14</v>
      </c>
      <c r="HJ128" s="22">
        <f t="shared" si="84"/>
        <v>2.4409823889576385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2.5420376914553347E-13</v>
      </c>
      <c r="P129" s="13">
        <f t="shared" si="87"/>
        <v>3.4258699088369875E-12</v>
      </c>
      <c r="Q129" s="20">
        <f t="shared" si="107"/>
        <v>6.4094616558195571E-12</v>
      </c>
      <c r="R129" s="59">
        <f t="shared" si="55"/>
        <v>293.33333333333974</v>
      </c>
      <c r="S129" s="59">
        <f ca="1">AVERAGE(OFFSET($R$3,0,0,'Données projet'!$E$9+1,1))-AVERAGE(OFFSET($H$3,0,0,'Données projet'!$E$9+1,1))</f>
        <v>370.69652285220093</v>
      </c>
      <c r="T129" s="59">
        <f t="shared" si="88"/>
        <v>376.53494965377718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1.5353985310752385</v>
      </c>
      <c r="AA129" s="21">
        <f>EXP(-LN(2)/25)*AA128+(1-EXP(-LN(2)/25))/(LN(2)/25)*Calculateur!V129*Calculateur!X129*VLOOKUP('Données projet'!$B$9,Paramètres!$A$1:$I$89,3,0)*0.475*44/12</f>
        <v>2.3327320460357823</v>
      </c>
      <c r="AB129" s="21">
        <f>EXP(-LN(2)/2)*AB128+(1-EXP(-LN(2)/2))/(LN(2)/2)*V129*Y129*VLOOKUP('Données projet'!$B$9,Paramètres!$A$1:$I$89,3,0)*0.475*44/12</f>
        <v>1.1627948219009134E-13</v>
      </c>
      <c r="AC129" s="22">
        <f t="shared" si="57"/>
        <v>3.8681305771111374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-5.6843418860808015E-13</v>
      </c>
      <c r="AJ129" s="13">
        <f>AI129*VLOOKUP('Données projet'!$B$10,Paramètres!$A$1:$I$89,3,0)*VLOOKUP('Données projet'!$B$10,Paramètres!$A$1:$I$89,5,0)</f>
        <v>-5.1431925385259092E-13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321.03881567735544</v>
      </c>
      <c r="AO129" s="59">
        <f t="shared" si="90"/>
        <v>234.87694492493506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0.35981056485803553</v>
      </c>
      <c r="AV129" s="21">
        <f>EXP(-LN(2)/25)*AV128+(1-EXP(-LN(2)/25))/(LN(2)/25)*Calculateur!AQ129*Calculateur!AS129*VLOOKUP('Données projet'!$B$10,Paramètres!$A$1:$I$89,3,0)*0.475*44/12</f>
        <v>0.94658743316369143</v>
      </c>
      <c r="AW129" s="21">
        <f>EXP(-LN(2)/2)*AW128+(1-EXP(-LN(2)/2))/(LN(2)/2)*AQ129*AT129*VLOOKUP('Données projet'!$B$10,Paramètres!$A$1:$I$89,3,0)*0.475*44/12</f>
        <v>7.7236295008304571E-14</v>
      </c>
      <c r="AX129" s="21">
        <f t="shared" si="60"/>
        <v>1.3063979980218043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5.6843418860808015E-13</v>
      </c>
      <c r="BE129" s="13">
        <f>BD129*VLOOKUP('Données projet'!$B$11,Paramètres!$A$1:$I$89,3,0)*VLOOKUP('Données projet'!$B$11,Paramètres!$A$1:$I$89,5,0)</f>
        <v>3.1036506698001181E-13</v>
      </c>
      <c r="BF129" s="13">
        <f t="shared" si="91"/>
        <v>4.086682523110923E-12</v>
      </c>
      <c r="BG129" s="20">
        <f t="shared" si="61"/>
        <v>7.6581912194083782E-12</v>
      </c>
      <c r="BH129" s="59">
        <f t="shared" si="62"/>
        <v>293.33333333334099</v>
      </c>
      <c r="BI129" s="59">
        <f ca="1">AVERAGE(OFFSET($BH$3,0,0,'Données projet'!$E$11+1,1))-AVERAGE(OFFSET($H$3,0,0,'Données projet'!$E$11+1,1))</f>
        <v>248.1486444660062</v>
      </c>
      <c r="BJ129" s="59">
        <f t="shared" si="92"/>
        <v>293.34458072322127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1.2724655902357147</v>
      </c>
      <c r="BQ129" s="21">
        <f>EXP(-LN(2)/25)*BQ128+(1-EXP(-LN(2)/25))/(LN(2)/25)*Calculateur!BL129*Calculateur!BN129*VLOOKUP('Données projet'!$B$11,Paramètres!$A$1:$I$89,3,0)*0.475*44/12</f>
        <v>2.3768705506999419</v>
      </c>
      <c r="BR129" s="21">
        <f>EXP(-LN(2)/2)*BR128+(1-EXP(-LN(2)/2))/(LN(2)/2)*BL129*BO129*VLOOKUP('Données projet'!$B$11,Paramètres!$A$1:$I$89,3,0)*0.475*44/12</f>
        <v>8.9465949723668291E-14</v>
      </c>
      <c r="BS129" s="22">
        <f t="shared" si="63"/>
        <v>3.6493361409357461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243.38048563215585</v>
      </c>
      <c r="CE129" s="59">
        <f t="shared" si="94"/>
        <v>372.1604147006675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1.0918389554312808</v>
      </c>
      <c r="CL129" s="21">
        <f>EXP(-LN(2)/25)*CL128+(1-EXP(-LN(2)/25))/(LN(2)/25)*Calculateur!CG129*Calculateur!CI129*VLOOKUP('Données projet'!$B$12,Paramètres!$A$1:$I$89,3,0)*0.475*44/12</f>
        <v>1.3520870227077104</v>
      </c>
      <c r="CM129" s="21">
        <f>EXP(-LN(2)/2)*CM128+(1-EXP(-LN(2)/2))/(LN(2)/2)*CG129*CJ129*VLOOKUP('Données projet'!$B$12,Paramètres!$A$1:$I$89,3,0)*0.475*44/12</f>
        <v>1.0414758553580641E-13</v>
      </c>
      <c r="CN129" s="22">
        <f t="shared" si="66"/>
        <v>2.4439259781390956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7.9580786405131221E-13</v>
      </c>
      <c r="CU129" s="17">
        <f>CT129*VLOOKUP('Données projet'!$B$13,Paramètres!$A$1:$I$89,3,0)*VLOOKUP('Données projet'!$B$13,Paramètres!$A$1:$I$89,5,0)</f>
        <v>3.8278358260868117E-13</v>
      </c>
      <c r="CV129" s="13">
        <f t="shared" si="95"/>
        <v>4.9186917125089072E-12</v>
      </c>
      <c r="CW129" s="20">
        <f t="shared" si="67"/>
        <v>9.2334028056631319E-12</v>
      </c>
      <c r="CX129" s="59">
        <f t="shared" si="68"/>
        <v>293.33333333334252</v>
      </c>
      <c r="CY129" s="59">
        <f ca="1">AVERAGE(OFFSET($CX$3,0,0,'Données projet'!$E$13+1,1))-AVERAGE(OFFSET($H$3,0,0,'Données projet'!$E$13+1,1))</f>
        <v>297.21955661193238</v>
      </c>
      <c r="CZ129" s="59">
        <f t="shared" si="96"/>
        <v>273.69206144662144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1.0065957147248517</v>
      </c>
      <c r="DG129" s="21">
        <f>EXP(-LN(2)/25)*DG128+(1-EXP(-LN(2)/25))/(LN(2)/25)*Calculateur!DB129*Calculateur!DD129*VLOOKUP('Données projet'!$B$13,Paramètres!$A$1:$I$89,3,0)*0.475*44/12</f>
        <v>0.93734357134790669</v>
      </c>
      <c r="DH129" s="21">
        <f>EXP(-LN(2)/2)*DH128+(1-EXP(-LN(2)/2))/(LN(2)/2)*DB129*DE129*VLOOKUP('Données projet'!$B$13,Paramètres!$A$1:$I$89,3,0)*0.475*44/12</f>
        <v>7.4297131747275227E-14</v>
      </c>
      <c r="DI129" s="22">
        <f t="shared" si="69"/>
        <v>1.9439392860728326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-4.0702161641092972E-13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260.20517190557814</v>
      </c>
      <c r="DU129" s="59">
        <f t="shared" si="98"/>
        <v>307.22009971147133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0.48745386768808679</v>
      </c>
      <c r="EB129" s="21">
        <f>EXP(-LN(2)/25)*EB128+(1-EXP(-LN(2)/25))/(LN(2)/25)*Calculateur!DW129*Calculateur!DY129*VLOOKUP('Données projet'!$B$14,Paramètres!$A$1:$I$89,3,0)*0.475*44/12</f>
        <v>1.4328930126729604</v>
      </c>
      <c r="EC129" s="21">
        <f>EXP(-LN(2)/2)*EC128+(1-EXP(-LN(2)/2))/(LN(2)/2)*DW129*DZ129*VLOOKUP('Données projet'!$B$14,Paramètres!$A$1:$I$89,3,0)*0.475*44/12</f>
        <v>8.5403805814924589E-14</v>
      </c>
      <c r="ED129" s="22">
        <f t="shared" si="72"/>
        <v>1.9203468803611328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1.1368683772161603E-13</v>
      </c>
      <c r="EK129" s="17">
        <f>EJ129*VLOOKUP('Données projet'!$B$15,Paramètres!$A$1:$I$89,3,0)*VLOOKUP('Données projet'!$B$15,Paramètres!$A$1:$I$89,5,0)</f>
        <v>6.7984728957526396E-14</v>
      </c>
      <c r="EL129" s="13">
        <f t="shared" si="99"/>
        <v>1.0682447123141398E-12</v>
      </c>
      <c r="EM129" s="20">
        <f t="shared" si="73"/>
        <v>1.978932943548152E-12</v>
      </c>
      <c r="EN129" s="59">
        <f t="shared" si="74"/>
        <v>293.3333333333353</v>
      </c>
      <c r="EO129" s="59">
        <f ca="1">AVERAGE(OFFSET($EN$3,0,0,'Données projet'!$E$15+1,1))-AVERAGE(OFFSET($H$3,0,0,'Données projet'!$E$15+1,1))</f>
        <v>259.30247982593914</v>
      </c>
      <c r="EP129" s="59">
        <f t="shared" si="100"/>
        <v>275.24740346220779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1.2592533450837462</v>
      </c>
      <c r="EX129" s="21">
        <f>EXP(-LN(2)/2)*EX128+(1-EXP(-LN(2)/2))/(LN(2)/2)*ER129*EU129*VLOOKUP('Données projet'!$B$15,Paramètres!$A$1:$I$89,3,0)*0.475*44/12</f>
        <v>1.0189349872954181E-13</v>
      </c>
      <c r="EY129" s="22">
        <f t="shared" si="75"/>
        <v>1.2592533450838481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-5.6843418860808015E-13</v>
      </c>
      <c r="FF129" s="17">
        <f>FE129*VLOOKUP('Données projet'!$B$16,Paramètres!$A$1:$I$89,3,0)*VLOOKUP('Données projet'!$B$16,Paramètres!$A$1:$I$89,5,0)</f>
        <v>-5.763922672485933E-13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372.91317851957336</v>
      </c>
      <c r="FK129" s="59">
        <f t="shared" si="102"/>
        <v>269.69187715858413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0.40323597785814341</v>
      </c>
      <c r="FR129" s="21">
        <f>EXP(-LN(2)/25)*FR128+(1-EXP(-LN(2)/25))/(LN(2)/25)*Calculateur!FM129*Calculateur!FO129*VLOOKUP('Données projet'!$B$16,Paramètres!$A$1:$I$89,3,0)*0.475*44/12</f>
        <v>1.0608307440627576</v>
      </c>
      <c r="FS129" s="21">
        <f>EXP(-LN(2)/2)*FS128+(1-EXP(-LN(2)/2))/(LN(2)/2)*FM129*FP129*VLOOKUP('Données projet'!$B$16,Paramètres!$A$1:$I$89,3,0)*0.475*44/12</f>
        <v>8.6557916819651606E-14</v>
      </c>
      <c r="FT129" s="22">
        <f t="shared" si="78"/>
        <v>1.4640667219209875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-1.1368683772161603E-13</v>
      </c>
      <c r="GA129" s="17">
        <f>FZ129*VLOOKUP('Données projet'!$B$17,Paramètres!$A$1:$I$89,3,0)*VLOOKUP('Données projet'!$B$17,Paramètres!$A$1:$I$89,5,0)</f>
        <v>-5.3205440053716299E-14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215.23235148064941</v>
      </c>
      <c r="GF129" s="59">
        <f t="shared" si="104"/>
        <v>184.07239726900434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0.46827104701895989</v>
      </c>
      <c r="GM129" s="21">
        <f>EXP(-LN(2)/25)*GM128+(1-EXP(-LN(2)/25))/(LN(2)/25)*Calculateur!GH129*Calculateur!GJ129*VLOOKUP('Données projet'!$B$17,Paramètres!$A$1:$I$89,3,0)*0.475*44/12</f>
        <v>0.54855058039383964</v>
      </c>
      <c r="GN129" s="21">
        <f>EXP(-LN(2)/2)*GN128+(1-EXP(-LN(2)/2))/(LN(2)/2)*GH129*GK129*VLOOKUP('Données projet'!$B$17,Paramètres!$A$1:$I$89,3,0)*0.475*44/12</f>
        <v>3.4930907873928134E-14</v>
      </c>
      <c r="GO129" s="21">
        <f t="shared" si="81"/>
        <v>1.0168216274128343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-1.1368683772161603E-13</v>
      </c>
      <c r="GV129" s="17">
        <f>GU129*VLOOKUP('Données projet'!$B$18,Paramètres!$A$1:$I$89,3,0)*VLOOKUP('Données projet'!$B$18,Paramètres!$A$1:$I$89,5,0)</f>
        <v>-6.7984728957526396E-14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227.89848316900191</v>
      </c>
      <c r="HA129" s="59">
        <f t="shared" si="106"/>
        <v>239.85955661394541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1.1864514876311432</v>
      </c>
      <c r="HH129" s="21">
        <f>EXP(-LN(2)/25)*HH128+(1-EXP(-LN(2)/25))/(LN(2)/25)*Calculateur!HC129*Calculateur!HE129*VLOOKUP('Données projet'!$B$18,Paramètres!$A$1:$I$89,3,0)*0.475*44/12</f>
        <v>1.1971436723858013</v>
      </c>
      <c r="HI129" s="21">
        <f>EXP(-LN(2)/2)*HI128+(1-EXP(-LN(2)/2))/(LN(2)/2)*HC129*HF129*VLOOKUP('Données projet'!$B$18,Paramètres!$A$1:$I$89,3,0)*0.475*44/12</f>
        <v>2.3815867012163089E-14</v>
      </c>
      <c r="HJ129" s="22">
        <f t="shared" si="84"/>
        <v>2.3835951600169683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2.5420376914553347E-13</v>
      </c>
      <c r="P130" s="13">
        <f t="shared" si="87"/>
        <v>3.4258699088369875E-12</v>
      </c>
      <c r="Q130" s="20">
        <f t="shared" si="107"/>
        <v>6.4094616558195571E-12</v>
      </c>
      <c r="R130" s="59">
        <f t="shared" si="55"/>
        <v>293.33333333333974</v>
      </c>
      <c r="S130" s="59">
        <f ca="1">AVERAGE(OFFSET($R$3,0,0,'Données projet'!$E$9+1,1))-AVERAGE(OFFSET($H$3,0,0,'Données projet'!$E$9+1,1))</f>
        <v>370.69652285220093</v>
      </c>
      <c r="T130" s="59">
        <f t="shared" si="88"/>
        <v>376.53494965377718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1.5052903023814852</v>
      </c>
      <c r="AA130" s="21">
        <f>EXP(-LN(2)/25)*AA129+(1-EXP(-LN(2)/25))/(LN(2)/25)*Calculateur!V130*Calculateur!X130*VLOOKUP('Données projet'!$B$9,Paramètres!$A$1:$I$89,3,0)*0.475*44/12</f>
        <v>2.2689433655638869</v>
      </c>
      <c r="AB130" s="21">
        <f>EXP(-LN(2)/2)*AB129+(1-EXP(-LN(2)/2))/(LN(2)/2)*V130*Y130*VLOOKUP('Données projet'!$B$9,Paramètres!$A$1:$I$89,3,0)*0.475*44/12</f>
        <v>8.2222010369473967E-14</v>
      </c>
      <c r="AC130" s="22">
        <f t="shared" si="57"/>
        <v>3.7742336679454542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-5.6843418860808015E-13</v>
      </c>
      <c r="AJ130" s="13">
        <f>AI130*VLOOKUP('Données projet'!$B$10,Paramètres!$A$1:$I$89,3,0)*VLOOKUP('Données projet'!$B$10,Paramètres!$A$1:$I$89,5,0)</f>
        <v>-5.1431925385259092E-13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321.03881567735544</v>
      </c>
      <c r="AO130" s="59">
        <f t="shared" si="90"/>
        <v>234.87694492493506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0.35275489914394387</v>
      </c>
      <c r="AV130" s="21">
        <f>EXP(-LN(2)/25)*AV129+(1-EXP(-LN(2)/25))/(LN(2)/25)*Calculateur!AQ130*Calculateur!AS130*VLOOKUP('Données projet'!$B$10,Paramètres!$A$1:$I$89,3,0)*0.475*44/12</f>
        <v>0.92070295002496061</v>
      </c>
      <c r="AW130" s="21">
        <f>EXP(-LN(2)/2)*AW129+(1-EXP(-LN(2)/2))/(LN(2)/2)*AQ130*AT130*VLOOKUP('Données projet'!$B$10,Paramètres!$A$1:$I$89,3,0)*0.475*44/12</f>
        <v>5.4614307954096854E-14</v>
      </c>
      <c r="AX130" s="21">
        <f t="shared" si="60"/>
        <v>1.2734578491689592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5.6843418860808015E-13</v>
      </c>
      <c r="BE130" s="13">
        <f>BD130*VLOOKUP('Données projet'!$B$11,Paramètres!$A$1:$I$89,3,0)*VLOOKUP('Données projet'!$B$11,Paramètres!$A$1:$I$89,5,0)</f>
        <v>3.1036506698001181E-13</v>
      </c>
      <c r="BF130" s="13">
        <f t="shared" si="91"/>
        <v>4.086682523110923E-12</v>
      </c>
      <c r="BG130" s="20">
        <f t="shared" si="61"/>
        <v>7.6581912194083782E-12</v>
      </c>
      <c r="BH130" s="59">
        <f t="shared" si="62"/>
        <v>293.33333333334099</v>
      </c>
      <c r="BI130" s="59">
        <f ca="1">AVERAGE(OFFSET($BH$3,0,0,'Données projet'!$E$11+1,1))-AVERAGE(OFFSET($H$3,0,0,'Données projet'!$E$11+1,1))</f>
        <v>248.1486444660062</v>
      </c>
      <c r="BJ130" s="59">
        <f t="shared" si="92"/>
        <v>293.34458072322127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1.2475133161385661</v>
      </c>
      <c r="BQ130" s="21">
        <f>EXP(-LN(2)/25)*BQ129+(1-EXP(-LN(2)/25))/(LN(2)/25)*Calculateur!BL130*Calculateur!BN130*VLOOKUP('Données projet'!$B$11,Paramètres!$A$1:$I$89,3,0)*0.475*44/12</f>
        <v>2.311874900496862</v>
      </c>
      <c r="BR130" s="21">
        <f>EXP(-LN(2)/2)*BR129+(1-EXP(-LN(2)/2))/(LN(2)/2)*BL130*BO130*VLOOKUP('Données projet'!$B$11,Paramètres!$A$1:$I$89,3,0)*0.475*44/12</f>
        <v>6.3261979734900576E-14</v>
      </c>
      <c r="BS130" s="22">
        <f t="shared" si="63"/>
        <v>3.5593882166354911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243.38048563215585</v>
      </c>
      <c r="CE130" s="59">
        <f t="shared" si="94"/>
        <v>372.1604147006675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1.0704286594712786</v>
      </c>
      <c r="CL130" s="21">
        <f>EXP(-LN(2)/25)*CL129+(1-EXP(-LN(2)/25))/(LN(2)/25)*Calculateur!CG130*Calculateur!CI130*VLOOKUP('Données projet'!$B$12,Paramètres!$A$1:$I$89,3,0)*0.475*44/12</f>
        <v>1.3151141319686017</v>
      </c>
      <c r="CM130" s="21">
        <f>EXP(-LN(2)/2)*CM129+(1-EXP(-LN(2)/2))/(LN(2)/2)*CG130*CJ130*VLOOKUP('Données projet'!$B$12,Paramètres!$A$1:$I$89,3,0)*0.475*44/12</f>
        <v>7.3643463976574703E-14</v>
      </c>
      <c r="CN130" s="22">
        <f t="shared" si="66"/>
        <v>2.3855427914399541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7.9580786405131221E-13</v>
      </c>
      <c r="CU130" s="17">
        <f>CT130*VLOOKUP('Données projet'!$B$13,Paramètres!$A$1:$I$89,3,0)*VLOOKUP('Données projet'!$B$13,Paramètres!$A$1:$I$89,5,0)</f>
        <v>3.8278358260868117E-13</v>
      </c>
      <c r="CV130" s="13">
        <f t="shared" si="95"/>
        <v>4.9186917125089072E-12</v>
      </c>
      <c r="CW130" s="20">
        <f t="shared" si="67"/>
        <v>9.2334028056631319E-12</v>
      </c>
      <c r="CX130" s="59">
        <f t="shared" si="68"/>
        <v>293.33333333334252</v>
      </c>
      <c r="CY130" s="59">
        <f ca="1">AVERAGE(OFFSET($CX$3,0,0,'Données projet'!$E$13+1,1))-AVERAGE(OFFSET($H$3,0,0,'Données projet'!$E$13+1,1))</f>
        <v>297.21955661193238</v>
      </c>
      <c r="CZ130" s="59">
        <f t="shared" si="96"/>
        <v>273.69206144662144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0.98685698672185951</v>
      </c>
      <c r="DG130" s="21">
        <f>EXP(-LN(2)/25)*DG129+(1-EXP(-LN(2)/25))/(LN(2)/25)*Calculateur!DB130*Calculateur!DD130*VLOOKUP('Données projet'!$B$13,Paramètres!$A$1:$I$89,3,0)*0.475*44/12</f>
        <v>0.91171186209664212</v>
      </c>
      <c r="DH130" s="21">
        <f>EXP(-LN(2)/2)*DH129+(1-EXP(-LN(2)/2))/(LN(2)/2)*DB130*DE130*VLOOKUP('Données projet'!$B$13,Paramètres!$A$1:$I$89,3,0)*0.475*44/12</f>
        <v>5.2536005681208638E-14</v>
      </c>
      <c r="DI130" s="22">
        <f t="shared" si="69"/>
        <v>1.8985688488185544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-4.0702161641092972E-13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260.20517190557814</v>
      </c>
      <c r="DU130" s="59">
        <f t="shared" si="98"/>
        <v>307.22009971147133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0.47789519466022506</v>
      </c>
      <c r="EB130" s="21">
        <f>EXP(-LN(2)/25)*EB129+(1-EXP(-LN(2)/25))/(LN(2)/25)*Calculateur!DW130*Calculateur!DY130*VLOOKUP('Données projet'!$B$14,Paramètres!$A$1:$I$89,3,0)*0.475*44/12</f>
        <v>1.3937104778888496</v>
      </c>
      <c r="EC130" s="21">
        <f>EXP(-LN(2)/2)*EC129+(1-EXP(-LN(2)/2))/(LN(2)/2)*DW130*DZ130*VLOOKUP('Données projet'!$B$14,Paramètres!$A$1:$I$89,3,0)*0.475*44/12</f>
        <v>6.0389610230872276E-14</v>
      </c>
      <c r="ED130" s="22">
        <f t="shared" si="72"/>
        <v>1.871605672549135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1.1368683772161603E-13</v>
      </c>
      <c r="EK130" s="17">
        <f>EJ130*VLOOKUP('Données projet'!$B$15,Paramètres!$A$1:$I$89,3,0)*VLOOKUP('Données projet'!$B$15,Paramètres!$A$1:$I$89,5,0)</f>
        <v>6.7984728957526396E-14</v>
      </c>
      <c r="EL130" s="13">
        <f t="shared" si="99"/>
        <v>1.0682447123141398E-12</v>
      </c>
      <c r="EM130" s="20">
        <f t="shared" si="73"/>
        <v>1.978932943548152E-12</v>
      </c>
      <c r="EN130" s="59">
        <f t="shared" si="74"/>
        <v>293.3333333333353</v>
      </c>
      <c r="EO130" s="59">
        <f ca="1">AVERAGE(OFFSET($EN$3,0,0,'Données projet'!$E$15+1,1))-AVERAGE(OFFSET($H$3,0,0,'Données projet'!$E$15+1,1))</f>
        <v>259.30247982593914</v>
      </c>
      <c r="EP130" s="59">
        <f t="shared" si="100"/>
        <v>275.24740346220779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1.2248189961411757</v>
      </c>
      <c r="EX130" s="21">
        <f>EXP(-LN(2)/2)*EX129+(1-EXP(-LN(2)/2))/(LN(2)/2)*ER130*EU130*VLOOKUP('Données projet'!$B$15,Paramètres!$A$1:$I$89,3,0)*0.475*44/12</f>
        <v>7.2049583910481875E-14</v>
      </c>
      <c r="EY130" s="22">
        <f t="shared" si="75"/>
        <v>1.2248189961412477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-5.6843418860808015E-13</v>
      </c>
      <c r="FF130" s="17">
        <f>FE130*VLOOKUP('Données projet'!$B$16,Paramètres!$A$1:$I$89,3,0)*VLOOKUP('Données projet'!$B$16,Paramètres!$A$1:$I$89,5,0)</f>
        <v>-5.763922672485933E-13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372.91317851957336</v>
      </c>
      <c r="FK130" s="59">
        <f t="shared" si="102"/>
        <v>269.69187715858413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0.39532876628200619</v>
      </c>
      <c r="FR130" s="21">
        <f>EXP(-LN(2)/25)*FR129+(1-EXP(-LN(2)/25))/(LN(2)/25)*Calculateur!FM130*Calculateur!FO130*VLOOKUP('Données projet'!$B$16,Paramètres!$A$1:$I$89,3,0)*0.475*44/12</f>
        <v>1.0318222715796972</v>
      </c>
      <c r="FS130" s="21">
        <f>EXP(-LN(2)/2)*FS129+(1-EXP(-LN(2)/2))/(LN(2)/2)*FM130*FP130*VLOOKUP('Données projet'!$B$16,Paramètres!$A$1:$I$89,3,0)*0.475*44/12</f>
        <v>6.120568994855677E-14</v>
      </c>
      <c r="FT130" s="22">
        <f t="shared" si="78"/>
        <v>1.4271510378617647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-1.1368683772161603E-13</v>
      </c>
      <c r="GA130" s="17">
        <f>FZ130*VLOOKUP('Données projet'!$B$17,Paramètres!$A$1:$I$89,3,0)*VLOOKUP('Données projet'!$B$17,Paramètres!$A$1:$I$89,5,0)</f>
        <v>-5.3205440053716299E-14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215.23235148064941</v>
      </c>
      <c r="GF130" s="59">
        <f t="shared" si="104"/>
        <v>184.07239726900434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0.45908853740405442</v>
      </c>
      <c r="GM130" s="21">
        <f>EXP(-LN(2)/25)*GM129+(1-EXP(-LN(2)/25))/(LN(2)/25)*Calculateur!GH130*Calculateur!GJ130*VLOOKUP('Données projet'!$B$17,Paramètres!$A$1:$I$89,3,0)*0.475*44/12</f>
        <v>0.53355043592594875</v>
      </c>
      <c r="GN130" s="21">
        <f>EXP(-LN(2)/2)*GN129+(1-EXP(-LN(2)/2))/(LN(2)/2)*GH130*GK130*VLOOKUP('Données projet'!$B$17,Paramètres!$A$1:$I$89,3,0)*0.475*44/12</f>
        <v>2.4699881830657152E-14</v>
      </c>
      <c r="GO130" s="21">
        <f t="shared" si="81"/>
        <v>0.99263897333002782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-1.1368683772161603E-13</v>
      </c>
      <c r="GV130" s="17">
        <f>GU130*VLOOKUP('Données projet'!$B$18,Paramètres!$A$1:$I$89,3,0)*VLOOKUP('Données projet'!$B$18,Paramètres!$A$1:$I$89,5,0)</f>
        <v>-6.7984728957526396E-14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227.89848316900191</v>
      </c>
      <c r="HA130" s="59">
        <f t="shared" si="106"/>
        <v>239.85955661394541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1.1631858976226481</v>
      </c>
      <c r="HH130" s="21">
        <f>EXP(-LN(2)/25)*HH129+(1-EXP(-LN(2)/25))/(LN(2)/25)*Calculateur!HC130*Calculateur!HE130*VLOOKUP('Données projet'!$B$18,Paramètres!$A$1:$I$89,3,0)*0.475*44/12</f>
        <v>1.164407715709362</v>
      </c>
      <c r="HI130" s="21">
        <f>EXP(-LN(2)/2)*HI129+(1-EXP(-LN(2)/2))/(LN(2)/2)*HC130*HF130*VLOOKUP('Données projet'!$B$18,Paramètres!$A$1:$I$89,3,0)*0.475*44/12</f>
        <v>1.6840361064137521E-14</v>
      </c>
      <c r="HJ130" s="22">
        <f t="shared" si="84"/>
        <v>2.3275936133320272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2.5420376914553347E-13</v>
      </c>
      <c r="P131" s="13">
        <f t="shared" si="87"/>
        <v>3.4258699088369875E-12</v>
      </c>
      <c r="Q131" s="20">
        <f t="shared" ref="Q131:Q153" si="108">(O131+P131)*0.475*44/12</f>
        <v>6.4094616558195571E-12</v>
      </c>
      <c r="R131" s="59">
        <f t="shared" ref="R131:R194" si="109">Q131+(I131+J131)*44/12</f>
        <v>293.33333333333974</v>
      </c>
      <c r="S131" s="59">
        <f ca="1">AVERAGE(OFFSET($R$3,0,0,'Données projet'!$E$9+1,1))-AVERAGE(OFFSET($H$3,0,0,'Données projet'!$E$9+1,1))</f>
        <v>370.69652285220093</v>
      </c>
      <c r="T131" s="59">
        <f t="shared" si="88"/>
        <v>376.53494965377718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1.4757724776882102</v>
      </c>
      <c r="AA131" s="21">
        <f>EXP(-LN(2)/25)*AA130+(1-EXP(-LN(2)/25))/(LN(2)/25)*Calculateur!V131*Calculateur!X131*VLOOKUP('Données projet'!$B$9,Paramètres!$A$1:$I$89,3,0)*0.475*44/12</f>
        <v>2.2068989899139964</v>
      </c>
      <c r="AB131" s="21">
        <f>EXP(-LN(2)/2)*AB130+(1-EXP(-LN(2)/2))/(LN(2)/2)*V131*Y131*VLOOKUP('Données projet'!$B$9,Paramètres!$A$1:$I$89,3,0)*0.475*44/12</f>
        <v>5.8139741095045668E-14</v>
      </c>
      <c r="AC131" s="22">
        <f t="shared" si="57"/>
        <v>3.6826714676022649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-5.6843418860808015E-13</v>
      </c>
      <c r="AJ131" s="13">
        <f>AI131*VLOOKUP('Données projet'!$B$10,Paramètres!$A$1:$I$89,3,0)*VLOOKUP('Données projet'!$B$10,Paramètres!$A$1:$I$89,5,0)</f>
        <v>-5.1431925385259092E-13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321.03881567735544</v>
      </c>
      <c r="AO131" s="59">
        <f t="shared" si="90"/>
        <v>234.87694492493506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0.34583759073097442</v>
      </c>
      <c r="AV131" s="21">
        <f>EXP(-LN(2)/25)*AV130+(1-EXP(-LN(2)/25))/(LN(2)/25)*Calculateur!AQ131*Calculateur!AS131*VLOOKUP('Données projet'!$B$10,Paramètres!$A$1:$I$89,3,0)*0.475*44/12</f>
        <v>0.8955262794388642</v>
      </c>
      <c r="AW131" s="21">
        <f>EXP(-LN(2)/2)*AW130+(1-EXP(-LN(2)/2))/(LN(2)/2)*AQ131*AT131*VLOOKUP('Données projet'!$B$10,Paramètres!$A$1:$I$89,3,0)*0.475*44/12</f>
        <v>3.8618147504152286E-14</v>
      </c>
      <c r="AX131" s="21">
        <f t="shared" si="60"/>
        <v>1.2413638701698773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5.6843418860808015E-13</v>
      </c>
      <c r="BE131" s="13">
        <f>BD131*VLOOKUP('Données projet'!$B$11,Paramètres!$A$1:$I$89,3,0)*VLOOKUP('Données projet'!$B$11,Paramètres!$A$1:$I$89,5,0)</f>
        <v>3.1036506698001181E-13</v>
      </c>
      <c r="BF131" s="13">
        <f t="shared" si="91"/>
        <v>4.086682523110923E-12</v>
      </c>
      <c r="BG131" s="20">
        <f t="shared" si="61"/>
        <v>7.6581912194083782E-12</v>
      </c>
      <c r="BH131" s="59">
        <f t="shared" si="62"/>
        <v>293.33333333334099</v>
      </c>
      <c r="BI131" s="59">
        <f ca="1">AVERAGE(OFFSET($BH$3,0,0,'Données projet'!$E$11+1,1))-AVERAGE(OFFSET($H$3,0,0,'Données projet'!$E$11+1,1))</f>
        <v>248.1486444660062</v>
      </c>
      <c r="BJ131" s="59">
        <f t="shared" si="92"/>
        <v>293.34458072322127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1.2230503409170783</v>
      </c>
      <c r="BQ131" s="21">
        <f>EXP(-LN(2)/25)*BQ130+(1-EXP(-LN(2)/25))/(LN(2)/25)*Calculateur!BL131*Calculateur!BN131*VLOOKUP('Données projet'!$B$11,Paramètres!$A$1:$I$89,3,0)*0.475*44/12</f>
        <v>2.248656559766558</v>
      </c>
      <c r="BR131" s="21">
        <f>EXP(-LN(2)/2)*BR130+(1-EXP(-LN(2)/2))/(LN(2)/2)*BL131*BO131*VLOOKUP('Données projet'!$B$11,Paramètres!$A$1:$I$89,3,0)*0.475*44/12</f>
        <v>4.4732974861834146E-14</v>
      </c>
      <c r="BS131" s="22">
        <f t="shared" si="63"/>
        <v>3.4717069006836812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243.38048563215585</v>
      </c>
      <c r="CE131" s="59">
        <f t="shared" si="94"/>
        <v>372.1604147006675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1.049438206356061</v>
      </c>
      <c r="CL131" s="21">
        <f>EXP(-LN(2)/25)*CL130+(1-EXP(-LN(2)/25))/(LN(2)/25)*Calculateur!CG131*Calculateur!CI131*VLOOKUP('Données projet'!$B$12,Paramètres!$A$1:$I$89,3,0)*0.475*44/12</f>
        <v>1.2791522668710738</v>
      </c>
      <c r="CM131" s="21">
        <f>EXP(-LN(2)/2)*CM130+(1-EXP(-LN(2)/2))/(LN(2)/2)*CG131*CJ131*VLOOKUP('Données projet'!$B$12,Paramètres!$A$1:$I$89,3,0)*0.475*44/12</f>
        <v>5.2073792767903204E-14</v>
      </c>
      <c r="CN131" s="22">
        <f t="shared" si="66"/>
        <v>2.3285904732271869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7.9580786405131221E-13</v>
      </c>
      <c r="CU131" s="17">
        <f>CT131*VLOOKUP('Données projet'!$B$13,Paramètres!$A$1:$I$89,3,0)*VLOOKUP('Données projet'!$B$13,Paramètres!$A$1:$I$89,5,0)</f>
        <v>3.8278358260868117E-13</v>
      </c>
      <c r="CV131" s="13">
        <f t="shared" si="95"/>
        <v>4.9186917125089072E-12</v>
      </c>
      <c r="CW131" s="20">
        <f t="shared" si="67"/>
        <v>9.2334028056631319E-12</v>
      </c>
      <c r="CX131" s="59">
        <f t="shared" si="68"/>
        <v>293.33333333334252</v>
      </c>
      <c r="CY131" s="59">
        <f ca="1">AVERAGE(OFFSET($CX$3,0,0,'Données projet'!$E$13+1,1))-AVERAGE(OFFSET($H$3,0,0,'Données projet'!$E$13+1,1))</f>
        <v>297.21955661193238</v>
      </c>
      <c r="CZ131" s="59">
        <f t="shared" si="96"/>
        <v>273.69206144662144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0.9675053231355708</v>
      </c>
      <c r="DG131" s="21">
        <f>EXP(-LN(2)/25)*DG130+(1-EXP(-LN(2)/25))/(LN(2)/25)*Calculateur!DB131*Calculateur!DD131*VLOOKUP('Données projet'!$B$13,Paramètres!$A$1:$I$89,3,0)*0.475*44/12</f>
        <v>0.88678105328276635</v>
      </c>
      <c r="DH131" s="21">
        <f>EXP(-LN(2)/2)*DH130+(1-EXP(-LN(2)/2))/(LN(2)/2)*DB131*DE131*VLOOKUP('Données projet'!$B$13,Paramètres!$A$1:$I$89,3,0)*0.475*44/12</f>
        <v>3.7148565873637614E-14</v>
      </c>
      <c r="DI131" s="22">
        <f t="shared" si="69"/>
        <v>1.8542863764183741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-4.0702161641092972E-13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260.20517190557814</v>
      </c>
      <c r="DU131" s="59">
        <f t="shared" si="98"/>
        <v>307.22009971147133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0.46852396138022484</v>
      </c>
      <c r="EB131" s="21">
        <f>EXP(-LN(2)/25)*EB130+(1-EXP(-LN(2)/25))/(LN(2)/25)*Calculateur!DW131*Calculateur!DY131*VLOOKUP('Données projet'!$B$14,Paramètres!$A$1:$I$89,3,0)*0.475*44/12</f>
        <v>1.3555993915789304</v>
      </c>
      <c r="EC131" s="21">
        <f>EXP(-LN(2)/2)*EC130+(1-EXP(-LN(2)/2))/(LN(2)/2)*DW131*DZ131*VLOOKUP('Données projet'!$B$14,Paramètres!$A$1:$I$89,3,0)*0.475*44/12</f>
        <v>4.2701902907462295E-14</v>
      </c>
      <c r="ED131" s="22">
        <f t="shared" si="72"/>
        <v>1.8241233529591978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1.1368683772161603E-13</v>
      </c>
      <c r="EK131" s="17">
        <f>EJ131*VLOOKUP('Données projet'!$B$15,Paramètres!$A$1:$I$89,3,0)*VLOOKUP('Données projet'!$B$15,Paramètres!$A$1:$I$89,5,0)</f>
        <v>6.7984728957526396E-14</v>
      </c>
      <c r="EL131" s="13">
        <f t="shared" si="99"/>
        <v>1.0682447123141398E-12</v>
      </c>
      <c r="EM131" s="20">
        <f t="shared" si="73"/>
        <v>1.978932943548152E-12</v>
      </c>
      <c r="EN131" s="59">
        <f t="shared" si="74"/>
        <v>293.3333333333353</v>
      </c>
      <c r="EO131" s="59">
        <f ca="1">AVERAGE(OFFSET($EN$3,0,0,'Données projet'!$E$15+1,1))-AVERAGE(OFFSET($H$3,0,0,'Données projet'!$E$15+1,1))</f>
        <v>259.30247982593914</v>
      </c>
      <c r="EP131" s="59">
        <f t="shared" si="100"/>
        <v>275.24740346220779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1.1913262562812637</v>
      </c>
      <c r="EX131" s="21">
        <f>EXP(-LN(2)/2)*EX130+(1-EXP(-LN(2)/2))/(LN(2)/2)*ER131*EU131*VLOOKUP('Données projet'!$B$15,Paramètres!$A$1:$I$89,3,0)*0.475*44/12</f>
        <v>5.0946749364770903E-14</v>
      </c>
      <c r="EY131" s="22">
        <f t="shared" si="75"/>
        <v>1.1913262562813145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-5.6843418860808015E-13</v>
      </c>
      <c r="FF131" s="17">
        <f>FE131*VLOOKUP('Données projet'!$B$16,Paramètres!$A$1:$I$89,3,0)*VLOOKUP('Données projet'!$B$16,Paramètres!$A$1:$I$89,5,0)</f>
        <v>-5.763922672485933E-13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372.91317851957336</v>
      </c>
      <c r="FK131" s="59">
        <f t="shared" si="102"/>
        <v>269.69187715858413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0.38757661030195417</v>
      </c>
      <c r="FR131" s="21">
        <f>EXP(-LN(2)/25)*FR130+(1-EXP(-LN(2)/25))/(LN(2)/25)*Calculateur!FM131*Calculateur!FO131*VLOOKUP('Données projet'!$B$16,Paramètres!$A$1:$I$89,3,0)*0.475*44/12</f>
        <v>1.0036070373021753</v>
      </c>
      <c r="FS131" s="21">
        <f>EXP(-LN(2)/2)*FS130+(1-EXP(-LN(2)/2))/(LN(2)/2)*FM131*FP131*VLOOKUP('Données projet'!$B$16,Paramètres!$A$1:$I$89,3,0)*0.475*44/12</f>
        <v>4.3278958409825803E-14</v>
      </c>
      <c r="FT131" s="22">
        <f t="shared" si="78"/>
        <v>1.3911836476041728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-1.1368683772161603E-13</v>
      </c>
      <c r="GA131" s="17">
        <f>FZ131*VLOOKUP('Données projet'!$B$17,Paramètres!$A$1:$I$89,3,0)*VLOOKUP('Données projet'!$B$17,Paramètres!$A$1:$I$89,5,0)</f>
        <v>-5.3205440053716299E-14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215.23235148064941</v>
      </c>
      <c r="GF131" s="59">
        <f t="shared" si="104"/>
        <v>184.07239726900434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0.45008609120191939</v>
      </c>
      <c r="GM131" s="21">
        <f>EXP(-LN(2)/25)*GM130+(1-EXP(-LN(2)/25))/(LN(2)/25)*Calculateur!GH131*Calculateur!GJ131*VLOOKUP('Données projet'!$B$17,Paramètres!$A$1:$I$89,3,0)*0.475*44/12</f>
        <v>0.51896047119735567</v>
      </c>
      <c r="GN131" s="21">
        <f>EXP(-LN(2)/2)*GN130+(1-EXP(-LN(2)/2))/(LN(2)/2)*GH131*GK131*VLOOKUP('Données projet'!$B$17,Paramètres!$A$1:$I$89,3,0)*0.475*44/12</f>
        <v>1.7465453936964067E-14</v>
      </c>
      <c r="GO131" s="21">
        <f t="shared" si="81"/>
        <v>0.96904656239929243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-1.1368683772161603E-13</v>
      </c>
      <c r="GV131" s="17">
        <f>GU131*VLOOKUP('Données projet'!$B$18,Paramètres!$A$1:$I$89,3,0)*VLOOKUP('Données projet'!$B$18,Paramètres!$A$1:$I$89,5,0)</f>
        <v>-6.7984728957526396E-14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227.89848316900191</v>
      </c>
      <c r="HA131" s="59">
        <f t="shared" si="106"/>
        <v>239.85955661394541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1.140376531643611</v>
      </c>
      <c r="HH131" s="21">
        <f>EXP(-LN(2)/25)*HH130+(1-EXP(-LN(2)/25))/(LN(2)/25)*Calculateur!HC131*Calculateur!HE131*VLOOKUP('Données projet'!$B$18,Paramètres!$A$1:$I$89,3,0)*0.475*44/12</f>
        <v>1.132566925489749</v>
      </c>
      <c r="HI131" s="21">
        <f>EXP(-LN(2)/2)*HI130+(1-EXP(-LN(2)/2))/(LN(2)/2)*HC131*HF131*VLOOKUP('Données projet'!$B$18,Paramètres!$A$1:$I$89,3,0)*0.475*44/12</f>
        <v>1.1907933506081544E-14</v>
      </c>
      <c r="HJ131" s="22">
        <f t="shared" si="84"/>
        <v>2.2729434571333722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2.5420376914553347E-13</v>
      </c>
      <c r="P132" s="13">
        <f t="shared" si="87"/>
        <v>3.4258699088369875E-12</v>
      </c>
      <c r="Q132" s="20">
        <f t="shared" si="108"/>
        <v>6.4094616558195571E-12</v>
      </c>
      <c r="R132" s="59">
        <f t="shared" si="109"/>
        <v>293.33333333333974</v>
      </c>
      <c r="S132" s="59">
        <f ca="1">AVERAGE(OFFSET($R$3,0,0,'Données projet'!$E$9+1,1))-AVERAGE(OFFSET($H$3,0,0,'Données projet'!$E$9+1,1))</f>
        <v>370.69652285220093</v>
      </c>
      <c r="T132" s="59">
        <f t="shared" si="88"/>
        <v>376.53494965377718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1.4468334795330751</v>
      </c>
      <c r="AA132" s="21">
        <f>EXP(-LN(2)/25)*AA131+(1-EXP(-LN(2)/25))/(LN(2)/25)*Calculateur!V132*Calculateur!X132*VLOOKUP('Données projet'!$B$9,Paramètres!$A$1:$I$89,3,0)*0.475*44/12</f>
        <v>2.1465512209790241</v>
      </c>
      <c r="AB132" s="21">
        <f>EXP(-LN(2)/2)*AB131+(1-EXP(-LN(2)/2))/(LN(2)/2)*V132*Y132*VLOOKUP('Données projet'!$B$9,Paramètres!$A$1:$I$89,3,0)*0.475*44/12</f>
        <v>4.1111005184736983E-14</v>
      </c>
      <c r="AC132" s="22">
        <f t="shared" ref="AC132:AC153" si="111">SUM(Z132:AB132)</f>
        <v>3.5933847005121407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-5.6843418860808015E-13</v>
      </c>
      <c r="AJ132" s="13">
        <f>AI132*VLOOKUP('Données projet'!$B$10,Paramètres!$A$1:$I$89,3,0)*VLOOKUP('Données projet'!$B$10,Paramètres!$A$1:$I$89,5,0)</f>
        <v>-5.1431925385259092E-13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321.03881567735544</v>
      </c>
      <c r="AO132" s="59">
        <f t="shared" si="90"/>
        <v>234.87694492493506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0.33905592651684174</v>
      </c>
      <c r="AV132" s="21">
        <f>EXP(-LN(2)/25)*AV131+(1-EXP(-LN(2)/25))/(LN(2)/25)*Calculateur!AQ132*Calculateur!AS132*VLOOKUP('Données projet'!$B$10,Paramètres!$A$1:$I$89,3,0)*0.475*44/12</f>
        <v>0.87103806623392821</v>
      </c>
      <c r="AW132" s="21">
        <f>EXP(-LN(2)/2)*AW131+(1-EXP(-LN(2)/2))/(LN(2)/2)*AQ132*AT132*VLOOKUP('Données projet'!$B$10,Paramètres!$A$1:$I$89,3,0)*0.475*44/12</f>
        <v>2.7307153977048427E-14</v>
      </c>
      <c r="AX132" s="21">
        <f t="shared" ref="AX132:AX153" si="114">SUM(AU132:AW132)</f>
        <v>1.2100939927507972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5.6843418860808015E-13</v>
      </c>
      <c r="BE132" s="13">
        <f>BD132*VLOOKUP('Données projet'!$B$11,Paramètres!$A$1:$I$89,3,0)*VLOOKUP('Données projet'!$B$11,Paramètres!$A$1:$I$89,5,0)</f>
        <v>3.1036506698001181E-13</v>
      </c>
      <c r="BF132" s="13">
        <f t="shared" si="91"/>
        <v>4.086682523110923E-12</v>
      </c>
      <c r="BG132" s="20">
        <f t="shared" ref="BG132:BG153" si="115">(BE132+BF132)*0.475*44/12</f>
        <v>7.6581912194083782E-12</v>
      </c>
      <c r="BH132" s="59">
        <f t="shared" ref="BH132:BH195" si="116">BG132+(AY132+AZ132)*44/12</f>
        <v>293.33333333334099</v>
      </c>
      <c r="BI132" s="59">
        <f ca="1">AVERAGE(OFFSET($BH$3,0,0,'Données projet'!$E$11+1,1))-AVERAGE(OFFSET($H$3,0,0,'Données projet'!$E$11+1,1))</f>
        <v>248.1486444660062</v>
      </c>
      <c r="BJ132" s="59">
        <f t="shared" si="92"/>
        <v>293.34458072322127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1.1990670697187422</v>
      </c>
      <c r="BQ132" s="21">
        <f>EXP(-LN(2)/25)*BQ131+(1-EXP(-LN(2)/25))/(LN(2)/25)*Calculateur!BL132*Calculateur!BN132*VLOOKUP('Données projet'!$B$11,Paramètres!$A$1:$I$89,3,0)*0.475*44/12</f>
        <v>2.1871669278880321</v>
      </c>
      <c r="BR132" s="21">
        <f>EXP(-LN(2)/2)*BR131+(1-EXP(-LN(2)/2))/(LN(2)/2)*BL132*BO132*VLOOKUP('Données projet'!$B$11,Paramètres!$A$1:$I$89,3,0)*0.475*44/12</f>
        <v>3.1630989867450288E-14</v>
      </c>
      <c r="BS132" s="22">
        <f t="shared" ref="BS132:BS153" si="117">SUM(BP132:BR132)</f>
        <v>3.3862339976068059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243.38048563215585</v>
      </c>
      <c r="CE132" s="59">
        <f t="shared" si="94"/>
        <v>372.1604147006675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1.0288593632235206</v>
      </c>
      <c r="CL132" s="21">
        <f>EXP(-LN(2)/25)*CL131+(1-EXP(-LN(2)/25))/(LN(2)/25)*Calculateur!CG132*Calculateur!CI132*VLOOKUP('Données projet'!$B$12,Paramètres!$A$1:$I$89,3,0)*0.475*44/12</f>
        <v>1.24417378086579</v>
      </c>
      <c r="CM132" s="21">
        <f>EXP(-LN(2)/2)*CM131+(1-EXP(-LN(2)/2))/(LN(2)/2)*CG132*CJ132*VLOOKUP('Données projet'!$B$12,Paramètres!$A$1:$I$89,3,0)*0.475*44/12</f>
        <v>3.6821731988287352E-14</v>
      </c>
      <c r="CN132" s="22">
        <f t="shared" ref="CN132:CN153" si="120">SUM(CK132:CM132)</f>
        <v>2.2730331440893474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7.9580786405131221E-13</v>
      </c>
      <c r="CU132" s="17">
        <f>CT132*VLOOKUP('Données projet'!$B$13,Paramètres!$A$1:$I$89,3,0)*VLOOKUP('Données projet'!$B$13,Paramètres!$A$1:$I$89,5,0)</f>
        <v>3.8278358260868117E-13</v>
      </c>
      <c r="CV132" s="13">
        <f t="shared" si="95"/>
        <v>4.9186917125089072E-12</v>
      </c>
      <c r="CW132" s="20">
        <f t="shared" ref="CW132:CW153" si="121">(CU132+CV132)*0.475*44/12</f>
        <v>9.2334028056631319E-12</v>
      </c>
      <c r="CX132" s="59">
        <f t="shared" ref="CX132:CX195" si="122">CW132+(CO132+CP132)*44/12</f>
        <v>293.33333333334252</v>
      </c>
      <c r="CY132" s="59">
        <f ca="1">AVERAGE(OFFSET($CX$3,0,0,'Données projet'!$E$13+1,1))-AVERAGE(OFFSET($H$3,0,0,'Données projet'!$E$13+1,1))</f>
        <v>297.21955661193238</v>
      </c>
      <c r="CZ132" s="59">
        <f t="shared" si="96"/>
        <v>273.69206144662144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0.94853313386885985</v>
      </c>
      <c r="DG132" s="21">
        <f>EXP(-LN(2)/25)*DG131+(1-EXP(-LN(2)/25))/(LN(2)/25)*Calculateur!DB132*Calculateur!DD132*VLOOKUP('Données projet'!$B$13,Paramètres!$A$1:$I$89,3,0)*0.475*44/12</f>
        <v>0.8625319787469603</v>
      </c>
      <c r="DH132" s="21">
        <f>EXP(-LN(2)/2)*DH131+(1-EXP(-LN(2)/2))/(LN(2)/2)*DB132*DE132*VLOOKUP('Données projet'!$B$13,Paramètres!$A$1:$I$89,3,0)*0.475*44/12</f>
        <v>2.6268002840604319E-14</v>
      </c>
      <c r="DI132" s="22">
        <f t="shared" ref="DI132:DI153" si="123">SUM(DF132:DH132)</f>
        <v>1.8110651126158464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-4.0702161641092972E-13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260.20517190557814</v>
      </c>
      <c r="DU132" s="59">
        <f t="shared" si="98"/>
        <v>307.22009971147133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0.45933649226895751</v>
      </c>
      <c r="EB132" s="21">
        <f>EXP(-LN(2)/25)*EB131+(1-EXP(-LN(2)/25))/(LN(2)/25)*Calculateur!DW132*Calculateur!DY132*VLOOKUP('Données projet'!$B$14,Paramètres!$A$1:$I$89,3,0)*0.475*44/12</f>
        <v>1.3185304549283308</v>
      </c>
      <c r="EC132" s="21">
        <f>EXP(-LN(2)/2)*EC131+(1-EXP(-LN(2)/2))/(LN(2)/2)*DW132*DZ132*VLOOKUP('Données projet'!$B$14,Paramètres!$A$1:$I$89,3,0)*0.475*44/12</f>
        <v>3.0194805115436138E-14</v>
      </c>
      <c r="ED132" s="22">
        <f t="shared" ref="ED132:ED153" si="126">SUM(EA132:EC132)</f>
        <v>1.7778669471973185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1.1368683772161603E-13</v>
      </c>
      <c r="EK132" s="17">
        <f>EJ132*VLOOKUP('Données projet'!$B$15,Paramètres!$A$1:$I$89,3,0)*VLOOKUP('Données projet'!$B$15,Paramètres!$A$1:$I$89,5,0)</f>
        <v>6.7984728957526396E-14</v>
      </c>
      <c r="EL132" s="13">
        <f t="shared" si="99"/>
        <v>1.0682447123141398E-12</v>
      </c>
      <c r="EM132" s="20">
        <f t="shared" ref="EM132:EM153" si="127">(EK132+EL132)*0.475*44/12</f>
        <v>1.978932943548152E-12</v>
      </c>
      <c r="EN132" s="59">
        <f t="shared" ref="EN132:EN195" si="128">EM132+(EE132+EF132)*44/12</f>
        <v>293.3333333333353</v>
      </c>
      <c r="EO132" s="59">
        <f ca="1">AVERAGE(OFFSET($EN$3,0,0,'Données projet'!$E$15+1,1))-AVERAGE(OFFSET($H$3,0,0,'Données projet'!$E$15+1,1))</f>
        <v>259.30247982593914</v>
      </c>
      <c r="EP132" s="59">
        <f t="shared" si="100"/>
        <v>275.24740346220779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1.1587493771541275</v>
      </c>
      <c r="EX132" s="21">
        <f>EXP(-LN(2)/2)*EX131+(1-EXP(-LN(2)/2))/(LN(2)/2)*ER132*EU132*VLOOKUP('Données projet'!$B$15,Paramètres!$A$1:$I$89,3,0)*0.475*44/12</f>
        <v>3.6024791955240937E-14</v>
      </c>
      <c r="EY132" s="22">
        <f t="shared" ref="EY132:EY153" si="129">SUM(EV132:EX132)</f>
        <v>1.1587493771541635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-5.6843418860808015E-13</v>
      </c>
      <c r="FF132" s="17">
        <f>FE132*VLOOKUP('Données projet'!$B$16,Paramètres!$A$1:$I$89,3,0)*VLOOKUP('Données projet'!$B$16,Paramètres!$A$1:$I$89,5,0)</f>
        <v>-5.763922672485933E-13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372.91317851957336</v>
      </c>
      <c r="FK132" s="59">
        <f t="shared" si="102"/>
        <v>269.69187715858413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0.37997646937232271</v>
      </c>
      <c r="FR132" s="21">
        <f>EXP(-LN(2)/25)*FR131+(1-EXP(-LN(2)/25))/(LN(2)/25)*Calculateur!FM132*Calculateur!FO132*VLOOKUP('Données projet'!$B$16,Paramètres!$A$1:$I$89,3,0)*0.475*44/12</f>
        <v>0.97616335008974697</v>
      </c>
      <c r="FS132" s="21">
        <f>EXP(-LN(2)/2)*FS131+(1-EXP(-LN(2)/2))/(LN(2)/2)*FM132*FP132*VLOOKUP('Données projet'!$B$16,Paramètres!$A$1:$I$89,3,0)*0.475*44/12</f>
        <v>3.0602844974278385E-14</v>
      </c>
      <c r="FT132" s="22">
        <f t="shared" ref="FT132:FT153" si="132">SUM(FQ132:FS132)</f>
        <v>1.3561398194621004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-1.1368683772161603E-13</v>
      </c>
      <c r="GA132" s="17">
        <f>FZ132*VLOOKUP('Données projet'!$B$17,Paramètres!$A$1:$I$89,3,0)*VLOOKUP('Données projet'!$B$17,Paramètres!$A$1:$I$89,5,0)</f>
        <v>-5.3205440053716299E-14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215.23235148064941</v>
      </c>
      <c r="GF132" s="59">
        <f t="shared" si="104"/>
        <v>184.07239726900434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0.44126017747885826</v>
      </c>
      <c r="GM132" s="21">
        <f>EXP(-LN(2)/25)*GM131+(1-EXP(-LN(2)/25))/(LN(2)/25)*Calculateur!GH132*Calculateur!GJ132*VLOOKUP('Données projet'!$B$17,Paramètres!$A$1:$I$89,3,0)*0.475*44/12</f>
        <v>0.50476946982151893</v>
      </c>
      <c r="GN132" s="21">
        <f>EXP(-LN(2)/2)*GN131+(1-EXP(-LN(2)/2))/(LN(2)/2)*GH132*GK132*VLOOKUP('Données projet'!$B$17,Paramètres!$A$1:$I$89,3,0)*0.475*44/12</f>
        <v>1.2349940915328576E-14</v>
      </c>
      <c r="GO132" s="21">
        <f t="shared" ref="GO132:GO153" si="135">SUM(GL132:GN132)</f>
        <v>0.94602964730038952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-1.1368683772161603E-13</v>
      </c>
      <c r="GV132" s="17">
        <f>GU132*VLOOKUP('Données projet'!$B$18,Paramètres!$A$1:$I$89,3,0)*VLOOKUP('Données projet'!$B$18,Paramètres!$A$1:$I$89,5,0)</f>
        <v>-6.7984728957526396E-14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227.89848316900191</v>
      </c>
      <c r="HA132" s="59">
        <f t="shared" si="106"/>
        <v>239.85955661394541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1.1180144434190831</v>
      </c>
      <c r="HH132" s="21">
        <f>EXP(-LN(2)/25)*HH131+(1-EXP(-LN(2)/25))/(LN(2)/25)*Calculateur!HC132*Calculateur!HE132*VLOOKUP('Données projet'!$B$18,Paramètres!$A$1:$I$89,3,0)*0.475*44/12</f>
        <v>1.1015968233531257</v>
      </c>
      <c r="HI132" s="21">
        <f>EXP(-LN(2)/2)*HI131+(1-EXP(-LN(2)/2))/(LN(2)/2)*HC132*HF132*VLOOKUP('Données projet'!$B$18,Paramètres!$A$1:$I$89,3,0)*0.475*44/12</f>
        <v>8.4201805320687603E-15</v>
      </c>
      <c r="HJ132" s="22">
        <f t="shared" ref="HJ132:HJ153" si="138">SUM(HG132:HI132)</f>
        <v>2.2196112667722172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2.5420376914553347E-13</v>
      </c>
      <c r="P133" s="13">
        <f t="shared" ref="P133:P196" si="141">EXP(-1.0587+0.8836*LN(O133)+0.284)</f>
        <v>3.4258699088369875E-12</v>
      </c>
      <c r="Q133" s="20">
        <f t="shared" si="108"/>
        <v>6.4094616558195571E-12</v>
      </c>
      <c r="R133" s="59">
        <f t="shared" si="109"/>
        <v>293.33333333333974</v>
      </c>
      <c r="S133" s="59">
        <f ca="1">AVERAGE(OFFSET($R$3,0,0,'Données projet'!$E$9+1,1))-AVERAGE(OFFSET($H$3,0,0,'Données projet'!$E$9+1,1))</f>
        <v>370.69652285220093</v>
      </c>
      <c r="T133" s="59">
        <f t="shared" ref="T133:T196" si="142">$T$3</f>
        <v>376.53494965377718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1.4184619574807162</v>
      </c>
      <c r="AA133" s="21">
        <f>EXP(-LN(2)/25)*AA132+(1-EXP(-LN(2)/25))/(LN(2)/25)*Calculateur!V133*Calculateur!X133*VLOOKUP('Données projet'!$B$9,Paramètres!$A$1:$I$89,3,0)*0.475*44/12</f>
        <v>2.0878536649591299</v>
      </c>
      <c r="AB133" s="21">
        <f>EXP(-LN(2)/2)*AB132+(1-EXP(-LN(2)/2))/(LN(2)/2)*V133*Y133*VLOOKUP('Données projet'!$B$9,Paramètres!$A$1:$I$89,3,0)*0.475*44/12</f>
        <v>2.9069870547522834E-14</v>
      </c>
      <c r="AC133" s="22">
        <f t="shared" si="111"/>
        <v>3.506315622439875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-5.6843418860808015E-13</v>
      </c>
      <c r="AJ133" s="13">
        <f>AI133*VLOOKUP('Données projet'!$B$10,Paramètres!$A$1:$I$89,3,0)*VLOOKUP('Données projet'!$B$10,Paramètres!$A$1:$I$89,5,0)</f>
        <v>-5.1431925385259092E-13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321.03881567735544</v>
      </c>
      <c r="AO133" s="59">
        <f t="shared" ref="AO133:AO196" si="144">$AO$3</f>
        <v>234.87694492493506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0.33240724660154147</v>
      </c>
      <c r="AV133" s="21">
        <f>EXP(-LN(2)/25)*AV132+(1-EXP(-LN(2)/25))/(LN(2)/25)*Calculateur!AQ133*Calculateur!AS133*VLOOKUP('Données projet'!$B$10,Paramètres!$A$1:$I$89,3,0)*0.475*44/12</f>
        <v>0.84721948450686035</v>
      </c>
      <c r="AW133" s="21">
        <f>EXP(-LN(2)/2)*AW132+(1-EXP(-LN(2)/2))/(LN(2)/2)*AQ133*AT133*VLOOKUP('Données projet'!$B$10,Paramètres!$A$1:$I$89,3,0)*0.475*44/12</f>
        <v>1.9309073752076143E-14</v>
      </c>
      <c r="AX133" s="21">
        <f t="shared" si="114"/>
        <v>1.1796267311084212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5.6843418860808015E-13</v>
      </c>
      <c r="BE133" s="13">
        <f>BD133*VLOOKUP('Données projet'!$B$11,Paramètres!$A$1:$I$89,3,0)*VLOOKUP('Données projet'!$B$11,Paramètres!$A$1:$I$89,5,0)</f>
        <v>3.1036506698001181E-13</v>
      </c>
      <c r="BF133" s="13">
        <f t="shared" ref="BF133:BF153" si="145">EXP(-1.0587+0.8836*LN(BE133)+0.284)</f>
        <v>4.086682523110923E-12</v>
      </c>
      <c r="BG133" s="20">
        <f t="shared" si="115"/>
        <v>7.6581912194083782E-12</v>
      </c>
      <c r="BH133" s="59">
        <f t="shared" si="116"/>
        <v>293.33333333334099</v>
      </c>
      <c r="BI133" s="59">
        <f ca="1">AVERAGE(OFFSET($BH$3,0,0,'Données projet'!$E$11+1,1))-AVERAGE(OFFSET($H$3,0,0,'Données projet'!$E$11+1,1))</f>
        <v>248.1486444660062</v>
      </c>
      <c r="BJ133" s="59">
        <f t="shared" ref="BJ133:BJ196" si="146">$BJ$3</f>
        <v>293.34458072322127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1.1755540958402546</v>
      </c>
      <c r="BQ133" s="21">
        <f>EXP(-LN(2)/25)*BQ132+(1-EXP(-LN(2)/25))/(LN(2)/25)*Calculateur!BL133*Calculateur!BN133*VLOOKUP('Données projet'!$B$11,Paramètres!$A$1:$I$89,3,0)*0.475*44/12</f>
        <v>2.1273587332268238</v>
      </c>
      <c r="BR133" s="21">
        <f>EXP(-LN(2)/2)*BR132+(1-EXP(-LN(2)/2))/(LN(2)/2)*BL133*BO133*VLOOKUP('Données projet'!$B$11,Paramètres!$A$1:$I$89,3,0)*0.475*44/12</f>
        <v>2.2366487430917073E-14</v>
      </c>
      <c r="BS133" s="22">
        <f t="shared" si="117"/>
        <v>3.3029128290671004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243.38048563215585</v>
      </c>
      <c r="CE133" s="59">
        <f t="shared" ref="CE133:CE196" si="148">$CE$3</f>
        <v>372.1604147006675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1.0086840586529542</v>
      </c>
      <c r="CL133" s="21">
        <f>EXP(-LN(2)/25)*CL132+(1-EXP(-LN(2)/25))/(LN(2)/25)*Calculateur!CG133*Calculateur!CI133*VLOOKUP('Données projet'!$B$12,Paramètres!$A$1:$I$89,3,0)*0.475*44/12</f>
        <v>1.2101517833997595</v>
      </c>
      <c r="CM133" s="21">
        <f>EXP(-LN(2)/2)*CM132+(1-EXP(-LN(2)/2))/(LN(2)/2)*CG133*CJ133*VLOOKUP('Données projet'!$B$12,Paramètres!$A$1:$I$89,3,0)*0.475*44/12</f>
        <v>2.6036896383951602E-14</v>
      </c>
      <c r="CN133" s="22">
        <f t="shared" si="120"/>
        <v>2.2188358420527399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7.9580786405131221E-13</v>
      </c>
      <c r="CU133" s="17">
        <f>CT133*VLOOKUP('Données projet'!$B$13,Paramètres!$A$1:$I$89,3,0)*VLOOKUP('Données projet'!$B$13,Paramètres!$A$1:$I$89,5,0)</f>
        <v>3.8278358260868117E-13</v>
      </c>
      <c r="CV133" s="13">
        <f t="shared" ref="CV133:CV153" si="149">EXP(-1.0587+0.8836*LN(CU133)+0.284)</f>
        <v>4.9186917125089072E-12</v>
      </c>
      <c r="CW133" s="20">
        <f t="shared" si="121"/>
        <v>9.2334028056631319E-12</v>
      </c>
      <c r="CX133" s="59">
        <f t="shared" si="122"/>
        <v>293.33333333334252</v>
      </c>
      <c r="CY133" s="59">
        <f ca="1">AVERAGE(OFFSET($CX$3,0,0,'Données projet'!$E$13+1,1))-AVERAGE(OFFSET($H$3,0,0,'Données projet'!$E$13+1,1))</f>
        <v>297.21955661193238</v>
      </c>
      <c r="CZ133" s="59">
        <f t="shared" ref="CZ133:CZ196" si="150">$CZ$3</f>
        <v>273.69206144662144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0.92993297766177629</v>
      </c>
      <c r="DG133" s="21">
        <f>EXP(-LN(2)/25)*DG132+(1-EXP(-LN(2)/25))/(LN(2)/25)*Calculateur!DB133*Calculateur!DD133*VLOOKUP('Données projet'!$B$13,Paramètres!$A$1:$I$89,3,0)*0.475*44/12</f>
        <v>0.83894599642953926</v>
      </c>
      <c r="DH133" s="21">
        <f>EXP(-LN(2)/2)*DH132+(1-EXP(-LN(2)/2))/(LN(2)/2)*DB133*DE133*VLOOKUP('Données projet'!$B$13,Paramètres!$A$1:$I$89,3,0)*0.475*44/12</f>
        <v>1.8574282936818807E-14</v>
      </c>
      <c r="DI133" s="22">
        <f t="shared" si="123"/>
        <v>1.7688789740913342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-4.0702161641092972E-13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260.20517190557814</v>
      </c>
      <c r="DU133" s="59">
        <f t="shared" ref="DU133:DU196" si="152">$DU$3</f>
        <v>307.22009971147133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0.45032918382315928</v>
      </c>
      <c r="EB133" s="21">
        <f>EXP(-LN(2)/25)*EB132+(1-EXP(-LN(2)/25))/(LN(2)/25)*Calculateur!DW133*Calculateur!DY133*VLOOKUP('Données projet'!$B$14,Paramètres!$A$1:$I$89,3,0)*0.475*44/12</f>
        <v>1.2824751702998125</v>
      </c>
      <c r="EC133" s="21">
        <f>EXP(-LN(2)/2)*EC132+(1-EXP(-LN(2)/2))/(LN(2)/2)*DW133*DZ133*VLOOKUP('Données projet'!$B$14,Paramètres!$A$1:$I$89,3,0)*0.475*44/12</f>
        <v>2.1350951453731147E-14</v>
      </c>
      <c r="ED133" s="22">
        <f t="shared" si="126"/>
        <v>1.7328043541229932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1.1368683772161603E-13</v>
      </c>
      <c r="EK133" s="17">
        <f>EJ133*VLOOKUP('Données projet'!$B$15,Paramètres!$A$1:$I$89,3,0)*VLOOKUP('Données projet'!$B$15,Paramètres!$A$1:$I$89,5,0)</f>
        <v>6.7984728957526396E-14</v>
      </c>
      <c r="EL133" s="13">
        <f t="shared" ref="EL133:EL153" si="153">EXP(-1.0587+0.8836*LN(EK133)+0.284)</f>
        <v>1.0682447123141398E-12</v>
      </c>
      <c r="EM133" s="20">
        <f t="shared" si="127"/>
        <v>1.978932943548152E-12</v>
      </c>
      <c r="EN133" s="59">
        <f t="shared" si="128"/>
        <v>293.3333333333353</v>
      </c>
      <c r="EO133" s="59">
        <f ca="1">AVERAGE(OFFSET($EN$3,0,0,'Données projet'!$E$15+1,1))-AVERAGE(OFFSET($H$3,0,0,'Données projet'!$E$15+1,1))</f>
        <v>259.30247982593914</v>
      </c>
      <c r="EP133" s="59">
        <f t="shared" ref="EP133:EP196" si="154">$EP$3</f>
        <v>275.24740346220779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1.1270633144998665</v>
      </c>
      <c r="EX133" s="21">
        <f>EXP(-LN(2)/2)*EX132+(1-EXP(-LN(2)/2))/(LN(2)/2)*ER133*EU133*VLOOKUP('Données projet'!$B$15,Paramètres!$A$1:$I$89,3,0)*0.475*44/12</f>
        <v>2.5473374682385451E-14</v>
      </c>
      <c r="EY133" s="22">
        <f t="shared" si="129"/>
        <v>1.1270633144998921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-5.6843418860808015E-13</v>
      </c>
      <c r="FF133" s="17">
        <f>FE133*VLOOKUP('Données projet'!$B$16,Paramètres!$A$1:$I$89,3,0)*VLOOKUP('Données projet'!$B$16,Paramètres!$A$1:$I$89,5,0)</f>
        <v>-5.763922672485933E-13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372.91317851957336</v>
      </c>
      <c r="FK133" s="59">
        <f t="shared" ref="FK133:FK196" si="156">$FK$3</f>
        <v>269.69187715858413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0.37252536257069313</v>
      </c>
      <c r="FR133" s="21">
        <f>EXP(-LN(2)/25)*FR132+(1-EXP(-LN(2)/25))/(LN(2)/25)*Calculateur!FM133*Calculateur!FO133*VLOOKUP('Données projet'!$B$16,Paramètres!$A$1:$I$89,3,0)*0.475*44/12</f>
        <v>0.94947011194734332</v>
      </c>
      <c r="FS133" s="21">
        <f>EXP(-LN(2)/2)*FS132+(1-EXP(-LN(2)/2))/(LN(2)/2)*FM133*FP133*VLOOKUP('Données projet'!$B$16,Paramètres!$A$1:$I$89,3,0)*0.475*44/12</f>
        <v>2.1639479204912902E-14</v>
      </c>
      <c r="FT133" s="22">
        <f t="shared" si="132"/>
        <v>1.321995474518058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-1.1368683772161603E-13</v>
      </c>
      <c r="GA133" s="17">
        <f>FZ133*VLOOKUP('Données projet'!$B$17,Paramètres!$A$1:$I$89,3,0)*VLOOKUP('Données projet'!$B$17,Paramètres!$A$1:$I$89,5,0)</f>
        <v>-5.3205440053716299E-14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215.23235148064941</v>
      </c>
      <c r="GF133" s="59">
        <f t="shared" ref="GF133:GF196" si="158">$GF$3</f>
        <v>184.07239726900434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0.43260733454063055</v>
      </c>
      <c r="GM133" s="21">
        <f>EXP(-LN(2)/25)*GM132+(1-EXP(-LN(2)/25))/(LN(2)/25)*Calculateur!GH133*Calculateur!GJ133*VLOOKUP('Données projet'!$B$17,Paramètres!$A$1:$I$89,3,0)*0.475*44/12</f>
        <v>0.49096652212457675</v>
      </c>
      <c r="GN133" s="21">
        <f>EXP(-LN(2)/2)*GN132+(1-EXP(-LN(2)/2))/(LN(2)/2)*GH133*GK133*VLOOKUP('Données projet'!$B$17,Paramètres!$A$1:$I$89,3,0)*0.475*44/12</f>
        <v>8.7327269684820336E-15</v>
      </c>
      <c r="GO133" s="21">
        <f t="shared" si="135"/>
        <v>0.92357385666521608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-1.1368683772161603E-13</v>
      </c>
      <c r="GV133" s="17">
        <f>GU133*VLOOKUP('Données projet'!$B$18,Paramètres!$A$1:$I$89,3,0)*VLOOKUP('Données projet'!$B$18,Paramètres!$A$1:$I$89,5,0)</f>
        <v>-6.7984728957526396E-14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227.89848316900191</v>
      </c>
      <c r="HA133" s="59">
        <f t="shared" ref="HA133:HA196" si="160">$HA$3</f>
        <v>239.85955661394541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1.0960908621051111</v>
      </c>
      <c r="HH133" s="21">
        <f>EXP(-LN(2)/25)*HH132+(1-EXP(-LN(2)/25))/(LN(2)/25)*Calculateur!HC133*Calculateur!HE133*VLOOKUP('Données projet'!$B$18,Paramètres!$A$1:$I$89,3,0)*0.475*44/12</f>
        <v>1.0714736002880754</v>
      </c>
      <c r="HI133" s="21">
        <f>EXP(-LN(2)/2)*HI132+(1-EXP(-LN(2)/2))/(LN(2)/2)*HC133*HF133*VLOOKUP('Données projet'!$B$18,Paramètres!$A$1:$I$89,3,0)*0.475*44/12</f>
        <v>5.9539667530407722E-15</v>
      </c>
      <c r="HJ133" s="22">
        <f t="shared" si="138"/>
        <v>2.1675644623931922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2.5420376914553347E-13</v>
      </c>
      <c r="P134" s="13">
        <f t="shared" si="141"/>
        <v>3.4258699088369875E-12</v>
      </c>
      <c r="Q134" s="20">
        <f t="shared" si="108"/>
        <v>6.4094616558195571E-12</v>
      </c>
      <c r="R134" s="59">
        <f t="shared" si="109"/>
        <v>293.33333333333974</v>
      </c>
      <c r="S134" s="59">
        <f ca="1">AVERAGE(OFFSET($R$3,0,0,'Données projet'!$E$9+1,1))-AVERAGE(OFFSET($H$3,0,0,'Données projet'!$E$9+1,1))</f>
        <v>370.69652285220093</v>
      </c>
      <c r="T134" s="59">
        <f t="shared" si="142"/>
        <v>376.53494965377718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1.3906467836708845</v>
      </c>
      <c r="AA134" s="21">
        <f>EXP(-LN(2)/25)*AA133+(1-EXP(-LN(2)/25))/(LN(2)/25)*Calculateur!V134*Calculateur!X134*VLOOKUP('Données projet'!$B$9,Paramètres!$A$1:$I$89,3,0)*0.475*44/12</f>
        <v>2.0307611966953703</v>
      </c>
      <c r="AB134" s="21">
        <f>EXP(-LN(2)/2)*AB133+(1-EXP(-LN(2)/2))/(LN(2)/2)*V134*Y134*VLOOKUP('Données projet'!$B$9,Paramètres!$A$1:$I$89,3,0)*0.475*44/12</f>
        <v>2.0555502592368492E-14</v>
      </c>
      <c r="AC134" s="22">
        <f t="shared" si="111"/>
        <v>3.4214079803662751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-5.6843418860808015E-13</v>
      </c>
      <c r="AJ134" s="13">
        <f>AI134*VLOOKUP('Données projet'!$B$10,Paramètres!$A$1:$I$89,3,0)*VLOOKUP('Données projet'!$B$10,Paramètres!$A$1:$I$89,5,0)</f>
        <v>-5.1431925385259092E-13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321.03881567735544</v>
      </c>
      <c r="AO134" s="59">
        <f t="shared" si="144"/>
        <v>234.87694492493506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0.3258889432440859</v>
      </c>
      <c r="AV134" s="21">
        <f>EXP(-LN(2)/25)*AV133+(1-EXP(-LN(2)/25))/(LN(2)/25)*Calculateur!AQ134*Calculateur!AS134*VLOOKUP('Données projet'!$B$10,Paramètres!$A$1:$I$89,3,0)*0.475*44/12</f>
        <v>0.82405222314968396</v>
      </c>
      <c r="AW134" s="21">
        <f>EXP(-LN(2)/2)*AW133+(1-EXP(-LN(2)/2))/(LN(2)/2)*AQ134*AT134*VLOOKUP('Données projet'!$B$10,Paramètres!$A$1:$I$89,3,0)*0.475*44/12</f>
        <v>1.3653576988524213E-14</v>
      </c>
      <c r="AX134" s="21">
        <f t="shared" si="114"/>
        <v>1.1499411663937835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5.6843418860808015E-13</v>
      </c>
      <c r="BE134" s="13">
        <f>BD134*VLOOKUP('Données projet'!$B$11,Paramètres!$A$1:$I$89,3,0)*VLOOKUP('Données projet'!$B$11,Paramètres!$A$1:$I$89,5,0)</f>
        <v>3.1036506698001181E-13</v>
      </c>
      <c r="BF134" s="13">
        <f t="shared" si="145"/>
        <v>4.086682523110923E-12</v>
      </c>
      <c r="BG134" s="20">
        <f t="shared" si="115"/>
        <v>7.6581912194083782E-12</v>
      </c>
      <c r="BH134" s="59">
        <f t="shared" si="116"/>
        <v>293.33333333334099</v>
      </c>
      <c r="BI134" s="59">
        <f ca="1">AVERAGE(OFFSET($BH$3,0,0,'Données projet'!$E$11+1,1))-AVERAGE(OFFSET($H$3,0,0,'Données projet'!$E$11+1,1))</f>
        <v>248.1486444660062</v>
      </c>
      <c r="BJ134" s="59">
        <f t="shared" si="146"/>
        <v>293.34458072322127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1.152502197038026</v>
      </c>
      <c r="BQ134" s="21">
        <f>EXP(-LN(2)/25)*BQ133+(1-EXP(-LN(2)/25))/(LN(2)/25)*Calculateur!BL134*Calculateur!BN134*VLOOKUP('Données projet'!$B$11,Paramètres!$A$1:$I$89,3,0)*0.475*44/12</f>
        <v>2.0691859967938027</v>
      </c>
      <c r="BR134" s="21">
        <f>EXP(-LN(2)/2)*BR133+(1-EXP(-LN(2)/2))/(LN(2)/2)*BL134*BO134*VLOOKUP('Données projet'!$B$11,Paramètres!$A$1:$I$89,3,0)*0.475*44/12</f>
        <v>1.5815494933725144E-14</v>
      </c>
      <c r="BS134" s="22">
        <f t="shared" si="117"/>
        <v>3.2216881938318447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243.38048563215585</v>
      </c>
      <c r="CE134" s="59">
        <f t="shared" si="148"/>
        <v>372.1604147006675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0.98890437949929599</v>
      </c>
      <c r="CL134" s="21">
        <f>EXP(-LN(2)/25)*CL133+(1-EXP(-LN(2)/25))/(LN(2)/25)*Calculateur!CG134*Calculateur!CI134*VLOOKUP('Données projet'!$B$12,Paramètres!$A$1:$I$89,3,0)*0.475*44/12</f>
        <v>1.1770601192435766</v>
      </c>
      <c r="CM134" s="21">
        <f>EXP(-LN(2)/2)*CM133+(1-EXP(-LN(2)/2))/(LN(2)/2)*CG134*CJ134*VLOOKUP('Données projet'!$B$12,Paramètres!$A$1:$I$89,3,0)*0.475*44/12</f>
        <v>1.8410865994143676E-14</v>
      </c>
      <c r="CN134" s="22">
        <f t="shared" si="120"/>
        <v>2.1659644987428908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7.9580786405131221E-13</v>
      </c>
      <c r="CU134" s="17">
        <f>CT134*VLOOKUP('Données projet'!$B$13,Paramètres!$A$1:$I$89,3,0)*VLOOKUP('Données projet'!$B$13,Paramètres!$A$1:$I$89,5,0)</f>
        <v>3.8278358260868117E-13</v>
      </c>
      <c r="CV134" s="13">
        <f t="shared" si="149"/>
        <v>4.9186917125089072E-12</v>
      </c>
      <c r="CW134" s="20">
        <f t="shared" si="121"/>
        <v>9.2334028056631319E-12</v>
      </c>
      <c r="CX134" s="59">
        <f t="shared" si="122"/>
        <v>293.33333333334252</v>
      </c>
      <c r="CY134" s="59">
        <f ca="1">AVERAGE(OFFSET($CX$3,0,0,'Données projet'!$E$13+1,1))-AVERAGE(OFFSET($H$3,0,0,'Données projet'!$E$13+1,1))</f>
        <v>297.21955661193238</v>
      </c>
      <c r="CZ134" s="59">
        <f t="shared" si="150"/>
        <v>273.69206144662144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0.9116975591729386</v>
      </c>
      <c r="DG134" s="21">
        <f>EXP(-LN(2)/25)*DG133+(1-EXP(-LN(2)/25))/(LN(2)/25)*Calculateur!DB134*Calculateur!DD134*VLOOKUP('Données projet'!$B$13,Paramètres!$A$1:$I$89,3,0)*0.475*44/12</f>
        <v>0.81600497403892103</v>
      </c>
      <c r="DH134" s="21">
        <f>EXP(-LN(2)/2)*DH133+(1-EXP(-LN(2)/2))/(LN(2)/2)*DB134*DE134*VLOOKUP('Données projet'!$B$13,Paramètres!$A$1:$I$89,3,0)*0.475*44/12</f>
        <v>1.313400142030216E-14</v>
      </c>
      <c r="DI134" s="22">
        <f t="shared" si="123"/>
        <v>1.7277025332118727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-4.0702161641092972E-13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260.20517190557814</v>
      </c>
      <c r="DU134" s="59">
        <f t="shared" si="152"/>
        <v>307.22009971147133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0.44149850320206752</v>
      </c>
      <c r="EB134" s="21">
        <f>EXP(-LN(2)/25)*EB133+(1-EXP(-LN(2)/25))/(LN(2)/25)*Calculateur!DW134*Calculateur!DY134*VLOOKUP('Données projet'!$B$14,Paramètres!$A$1:$I$89,3,0)*0.475*44/12</f>
        <v>1.247405819325526</v>
      </c>
      <c r="EC134" s="21">
        <f>EXP(-LN(2)/2)*EC133+(1-EXP(-LN(2)/2))/(LN(2)/2)*DW134*DZ134*VLOOKUP('Données projet'!$B$14,Paramètres!$A$1:$I$89,3,0)*0.475*44/12</f>
        <v>1.5097402557718069E-14</v>
      </c>
      <c r="ED134" s="22">
        <f t="shared" si="126"/>
        <v>1.6889043225276086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1.1368683772161603E-13</v>
      </c>
      <c r="EK134" s="17">
        <f>EJ134*VLOOKUP('Données projet'!$B$15,Paramètres!$A$1:$I$89,3,0)*VLOOKUP('Données projet'!$B$15,Paramètres!$A$1:$I$89,5,0)</f>
        <v>6.7984728957526396E-14</v>
      </c>
      <c r="EL134" s="13">
        <f t="shared" si="153"/>
        <v>1.0682447123141398E-12</v>
      </c>
      <c r="EM134" s="20">
        <f t="shared" si="127"/>
        <v>1.978932943548152E-12</v>
      </c>
      <c r="EN134" s="59">
        <f t="shared" si="128"/>
        <v>293.3333333333353</v>
      </c>
      <c r="EO134" s="59">
        <f ca="1">AVERAGE(OFFSET($EN$3,0,0,'Données projet'!$E$15+1,1))-AVERAGE(OFFSET($H$3,0,0,'Données projet'!$E$15+1,1))</f>
        <v>259.30247982593914</v>
      </c>
      <c r="EP134" s="59">
        <f t="shared" si="154"/>
        <v>275.24740346220779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1.096243708895184</v>
      </c>
      <c r="EX134" s="21">
        <f>EXP(-LN(2)/2)*EX133+(1-EXP(-LN(2)/2))/(LN(2)/2)*ER134*EU134*VLOOKUP('Données projet'!$B$15,Paramètres!$A$1:$I$89,3,0)*0.475*44/12</f>
        <v>1.8012395977620469E-14</v>
      </c>
      <c r="EY134" s="22">
        <f t="shared" si="129"/>
        <v>1.096243708895202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-5.6843418860808015E-13</v>
      </c>
      <c r="FF134" s="17">
        <f>FE134*VLOOKUP('Données projet'!$B$16,Paramètres!$A$1:$I$89,3,0)*VLOOKUP('Données projet'!$B$16,Paramètres!$A$1:$I$89,5,0)</f>
        <v>-5.763922672485933E-13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372.91317851957336</v>
      </c>
      <c r="FK134" s="59">
        <f t="shared" si="156"/>
        <v>269.69187715858413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0.36522036742871711</v>
      </c>
      <c r="FR134" s="21">
        <f>EXP(-LN(2)/25)*FR133+(1-EXP(-LN(2)/25))/(LN(2)/25)*Calculateur!FM134*Calculateur!FO134*VLOOKUP('Données projet'!$B$16,Paramètres!$A$1:$I$89,3,0)*0.475*44/12</f>
        <v>0.92350680180568012</v>
      </c>
      <c r="FS134" s="21">
        <f>EXP(-LN(2)/2)*FS133+(1-EXP(-LN(2)/2))/(LN(2)/2)*FM134*FP134*VLOOKUP('Données projet'!$B$16,Paramètres!$A$1:$I$89,3,0)*0.475*44/12</f>
        <v>1.5301422487139192E-14</v>
      </c>
      <c r="FT134" s="22">
        <f t="shared" si="132"/>
        <v>1.2887271692344127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-1.1368683772161603E-13</v>
      </c>
      <c r="GA134" s="17">
        <f>FZ134*VLOOKUP('Données projet'!$B$17,Paramètres!$A$1:$I$89,3,0)*VLOOKUP('Données projet'!$B$17,Paramètres!$A$1:$I$89,5,0)</f>
        <v>-5.3205440053716299E-14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215.23235148064941</v>
      </c>
      <c r="GF134" s="59">
        <f t="shared" si="158"/>
        <v>184.07239726900434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0.42412416857470842</v>
      </c>
      <c r="GM134" s="21">
        <f>EXP(-LN(2)/25)*GM133+(1-EXP(-LN(2)/25))/(LN(2)/25)*Calculateur!GH134*Calculateur!GJ134*VLOOKUP('Données projet'!$B$17,Paramètres!$A$1:$I$89,3,0)*0.475*44/12</f>
        <v>0.47754101675827293</v>
      </c>
      <c r="GN134" s="21">
        <f>EXP(-LN(2)/2)*GN133+(1-EXP(-LN(2)/2))/(LN(2)/2)*GH134*GK134*VLOOKUP('Données projet'!$B$17,Paramètres!$A$1:$I$89,3,0)*0.475*44/12</f>
        <v>6.1749704576642879E-15</v>
      </c>
      <c r="GO134" s="21">
        <f t="shared" si="135"/>
        <v>0.90166518533298756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-1.1368683772161603E-13</v>
      </c>
      <c r="GV134" s="17">
        <f>GU134*VLOOKUP('Données projet'!$B$18,Paramètres!$A$1:$I$89,3,0)*VLOOKUP('Données projet'!$B$18,Paramètres!$A$1:$I$89,5,0)</f>
        <v>-6.7984728957526396E-14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227.89848316900191</v>
      </c>
      <c r="HA134" s="59">
        <f t="shared" si="160"/>
        <v>239.85955661394541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1.0745971888486419</v>
      </c>
      <c r="HH134" s="21">
        <f>EXP(-LN(2)/25)*HH133+(1-EXP(-LN(2)/25))/(LN(2)/25)*Calculateur!HC134*Calculateur!HE134*VLOOKUP('Données projet'!$B$18,Paramètres!$A$1:$I$89,3,0)*0.475*44/12</f>
        <v>1.0421740983418502</v>
      </c>
      <c r="HI134" s="21">
        <f>EXP(-LN(2)/2)*HI133+(1-EXP(-LN(2)/2))/(LN(2)/2)*HC134*HF134*VLOOKUP('Données projet'!$B$18,Paramètres!$A$1:$I$89,3,0)*0.475*44/12</f>
        <v>4.2100902660343802E-15</v>
      </c>
      <c r="HJ134" s="22">
        <f t="shared" si="138"/>
        <v>2.1167712871904958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2.5420376914553347E-13</v>
      </c>
      <c r="P135" s="13">
        <f t="shared" si="141"/>
        <v>3.4258699088369875E-12</v>
      </c>
      <c r="Q135" s="20">
        <f t="shared" si="108"/>
        <v>6.4094616558195571E-12</v>
      </c>
      <c r="R135" s="59">
        <f t="shared" si="109"/>
        <v>293.33333333333974</v>
      </c>
      <c r="S135" s="59">
        <f ca="1">AVERAGE(OFFSET($R$3,0,0,'Données projet'!$E$9+1,1))-AVERAGE(OFFSET($H$3,0,0,'Données projet'!$E$9+1,1))</f>
        <v>370.69652285220093</v>
      </c>
      <c r="T135" s="59">
        <f t="shared" si="142"/>
        <v>376.53494965377718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1.3633770484538825</v>
      </c>
      <c r="AA135" s="21">
        <f>EXP(-LN(2)/25)*AA134+(1-EXP(-LN(2)/25))/(LN(2)/25)*Calculateur!V135*Calculateur!X135*VLOOKUP('Données projet'!$B$9,Paramètres!$A$1:$I$89,3,0)*0.475*44/12</f>
        <v>1.9752299249786454</v>
      </c>
      <c r="AB135" s="21">
        <f>EXP(-LN(2)/2)*AB134+(1-EXP(-LN(2)/2))/(LN(2)/2)*V135*Y135*VLOOKUP('Données projet'!$B$9,Paramètres!$A$1:$I$89,3,0)*0.475*44/12</f>
        <v>1.4534935273761417E-14</v>
      </c>
      <c r="AC135" s="22">
        <f t="shared" si="111"/>
        <v>3.3386069734325425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-5.6843418860808015E-13</v>
      </c>
      <c r="AJ135" s="13">
        <f>AI135*VLOOKUP('Données projet'!$B$10,Paramètres!$A$1:$I$89,3,0)*VLOOKUP('Données projet'!$B$10,Paramètres!$A$1:$I$89,5,0)</f>
        <v>-5.1431925385259092E-13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321.03881567735544</v>
      </c>
      <c r="AO135" s="59">
        <f t="shared" si="144"/>
        <v>234.87694492493506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0.3194984598396976</v>
      </c>
      <c r="AV135" s="21">
        <f>EXP(-LN(2)/25)*AV134+(1-EXP(-LN(2)/25))/(LN(2)/25)*Calculateur!AQ135*Calculateur!AS135*VLOOKUP('Données projet'!$B$10,Paramètres!$A$1:$I$89,3,0)*0.475*44/12</f>
        <v>0.8015184717726328</v>
      </c>
      <c r="AW135" s="21">
        <f>EXP(-LN(2)/2)*AW134+(1-EXP(-LN(2)/2))/(LN(2)/2)*AQ135*AT135*VLOOKUP('Données projet'!$B$10,Paramètres!$A$1:$I$89,3,0)*0.475*44/12</f>
        <v>9.6545368760380714E-15</v>
      </c>
      <c r="AX135" s="21">
        <f t="shared" si="114"/>
        <v>1.12101693161234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3.1036506698001181E-13</v>
      </c>
      <c r="BF135" s="13">
        <f t="shared" si="145"/>
        <v>4.086682523110923E-12</v>
      </c>
      <c r="BG135" s="20">
        <f t="shared" si="115"/>
        <v>7.6581912194083782E-12</v>
      </c>
      <c r="BH135" s="59">
        <f t="shared" si="116"/>
        <v>293.33333333334099</v>
      </c>
      <c r="BI135" s="59">
        <f ca="1">AVERAGE(OFFSET($BH$3,0,0,'Données projet'!$E$11+1,1))-AVERAGE(OFFSET($H$3,0,0,'Données projet'!$E$11+1,1))</f>
        <v>248.1486444660062</v>
      </c>
      <c r="BJ135" s="59">
        <f t="shared" si="146"/>
        <v>293.34458072322127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1.1299023319110393</v>
      </c>
      <c r="BQ135" s="21">
        <f>EXP(-LN(2)/25)*BQ134+(1-EXP(-LN(2)/25))/(LN(2)/25)*Calculateur!BL135*Calculateur!BN135*VLOOKUP('Données projet'!$B$11,Paramètres!$A$1:$I$89,3,0)*0.475*44/12</f>
        <v>2.0126039968977136</v>
      </c>
      <c r="BR135" s="21">
        <f>EXP(-LN(2)/2)*BR134+(1-EXP(-LN(2)/2))/(LN(2)/2)*BL135*BO135*VLOOKUP('Données projet'!$B$11,Paramètres!$A$1:$I$89,3,0)*0.475*44/12</f>
        <v>1.1183243715458536E-14</v>
      </c>
      <c r="BS135" s="22">
        <f t="shared" si="117"/>
        <v>3.1425063288087638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243.38048563215585</v>
      </c>
      <c r="CE135" s="59">
        <f t="shared" si="148"/>
        <v>372.1604147006675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0.96951256778942796</v>
      </c>
      <c r="CL135" s="21">
        <f>EXP(-LN(2)/25)*CL134+(1-EXP(-LN(2)/25))/(LN(2)/25)*Calculateur!CG135*Calculateur!CI135*VLOOKUP('Données projet'!$B$12,Paramètres!$A$1:$I$89,3,0)*0.475*44/12</f>
        <v>1.1448733483839595</v>
      </c>
      <c r="CM135" s="21">
        <f>EXP(-LN(2)/2)*CM134+(1-EXP(-LN(2)/2))/(LN(2)/2)*CG135*CJ135*VLOOKUP('Données projet'!$B$12,Paramètres!$A$1:$I$89,3,0)*0.475*44/12</f>
        <v>1.3018448191975801E-14</v>
      </c>
      <c r="CN135" s="22">
        <f t="shared" si="120"/>
        <v>2.1143859161734002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7.9580786405131221E-13</v>
      </c>
      <c r="CU135" s="17">
        <f>CT135*VLOOKUP('Données projet'!$B$13,Paramètres!$A$1:$I$89,3,0)*VLOOKUP('Données projet'!$B$13,Paramètres!$A$1:$I$89,5,0)</f>
        <v>3.8278358260868117E-13</v>
      </c>
      <c r="CV135" s="13">
        <f t="shared" si="149"/>
        <v>4.9186917125089072E-12</v>
      </c>
      <c r="CW135" s="20">
        <f t="shared" si="121"/>
        <v>9.2334028056631319E-12</v>
      </c>
      <c r="CX135" s="59">
        <f t="shared" si="122"/>
        <v>293.33333333334252</v>
      </c>
      <c r="CY135" s="59">
        <f ca="1">AVERAGE(OFFSET($CX$3,0,0,'Données projet'!$E$13+1,1))-AVERAGE(OFFSET($H$3,0,0,'Données projet'!$E$13+1,1))</f>
        <v>297.21955661193238</v>
      </c>
      <c r="CZ135" s="59">
        <f t="shared" si="150"/>
        <v>273.69206144662144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0.89381972611815996</v>
      </c>
      <c r="DG135" s="21">
        <f>EXP(-LN(2)/25)*DG134+(1-EXP(-LN(2)/25))/(LN(2)/25)*Calculateur!DB135*Calculateur!DD135*VLOOKUP('Données projet'!$B$13,Paramètres!$A$1:$I$89,3,0)*0.475*44/12</f>
        <v>0.79369127511199011</v>
      </c>
      <c r="DH135" s="21">
        <f>EXP(-LN(2)/2)*DH134+(1-EXP(-LN(2)/2))/(LN(2)/2)*DB135*DE135*VLOOKUP('Données projet'!$B$13,Paramètres!$A$1:$I$89,3,0)*0.475*44/12</f>
        <v>9.2871414684094034E-15</v>
      </c>
      <c r="DI135" s="22">
        <f t="shared" si="123"/>
        <v>1.6875110012301593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-4.0702161641092972E-13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260.20517190557814</v>
      </c>
      <c r="DU135" s="59">
        <f t="shared" si="152"/>
        <v>307.22009971147133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0.43284098684177197</v>
      </c>
      <c r="EB135" s="21">
        <f>EXP(-LN(2)/25)*EB134+(1-EXP(-LN(2)/25))/(LN(2)/25)*Calculateur!DW135*Calculateur!DY135*VLOOKUP('Données projet'!$B$14,Paramètres!$A$1:$I$89,3,0)*0.475*44/12</f>
        <v>1.2132954415978483</v>
      </c>
      <c r="EC135" s="21">
        <f>EXP(-LN(2)/2)*EC134+(1-EXP(-LN(2)/2))/(LN(2)/2)*DW135*DZ135*VLOOKUP('Données projet'!$B$14,Paramètres!$A$1:$I$89,3,0)*0.475*44/12</f>
        <v>1.0675475726865574E-14</v>
      </c>
      <c r="ED135" s="22">
        <f t="shared" si="126"/>
        <v>1.6461364284396309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1.1368683772161603E-13</v>
      </c>
      <c r="EK135" s="17">
        <f>EJ135*VLOOKUP('Données projet'!$B$15,Paramètres!$A$1:$I$89,3,0)*VLOOKUP('Données projet'!$B$15,Paramètres!$A$1:$I$89,5,0)</f>
        <v>6.7984728957526396E-14</v>
      </c>
      <c r="EL135" s="13">
        <f t="shared" si="153"/>
        <v>1.0682447123141398E-12</v>
      </c>
      <c r="EM135" s="20">
        <f t="shared" si="127"/>
        <v>1.978932943548152E-12</v>
      </c>
      <c r="EN135" s="59">
        <f t="shared" si="128"/>
        <v>293.3333333333353</v>
      </c>
      <c r="EO135" s="59">
        <f ca="1">AVERAGE(OFFSET($EN$3,0,0,'Données projet'!$E$15+1,1))-AVERAGE(OFFSET($H$3,0,0,'Données projet'!$E$15+1,1))</f>
        <v>259.30247982593914</v>
      </c>
      <c r="EP135" s="59">
        <f t="shared" si="154"/>
        <v>275.24740346220779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1.0662668670264941</v>
      </c>
      <c r="EX135" s="21">
        <f>EXP(-LN(2)/2)*EX134+(1-EXP(-LN(2)/2))/(LN(2)/2)*ER135*EU135*VLOOKUP('Données projet'!$B$15,Paramètres!$A$1:$I$89,3,0)*0.475*44/12</f>
        <v>1.2736687341192726E-14</v>
      </c>
      <c r="EY135" s="22">
        <f t="shared" si="129"/>
        <v>1.0662668670265067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-5.6843418860808015E-13</v>
      </c>
      <c r="FF135" s="17">
        <f>FE135*VLOOKUP('Données projet'!$B$16,Paramètres!$A$1:$I$89,3,0)*VLOOKUP('Données projet'!$B$16,Paramètres!$A$1:$I$89,5,0)</f>
        <v>-5.763922672485933E-13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372.91317851957336</v>
      </c>
      <c r="FK135" s="59">
        <f t="shared" si="156"/>
        <v>269.69187715858413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0.35805861878586814</v>
      </c>
      <c r="FR135" s="21">
        <f>EXP(-LN(2)/25)*FR134+(1-EXP(-LN(2)/25))/(LN(2)/25)*Calculateur!FM135*Calculateur!FO135*VLOOKUP('Données projet'!$B$16,Paramètres!$A$1:$I$89,3,0)*0.475*44/12</f>
        <v>0.89825345974519177</v>
      </c>
      <c r="FS135" s="21">
        <f>EXP(-LN(2)/2)*FS134+(1-EXP(-LN(2)/2))/(LN(2)/2)*FM135*FP135*VLOOKUP('Données projet'!$B$16,Paramètres!$A$1:$I$89,3,0)*0.475*44/12</f>
        <v>1.0819739602456451E-14</v>
      </c>
      <c r="FT135" s="22">
        <f t="shared" si="132"/>
        <v>1.2563120785310709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-1.1368683772161603E-13</v>
      </c>
      <c r="GA135" s="17">
        <f>FZ135*VLOOKUP('Données projet'!$B$17,Paramètres!$A$1:$I$89,3,0)*VLOOKUP('Données projet'!$B$17,Paramètres!$A$1:$I$89,5,0)</f>
        <v>-5.3205440053716299E-14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215.23235148064941</v>
      </c>
      <c r="GF135" s="59">
        <f t="shared" si="158"/>
        <v>184.07239726900434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0.41580735231915766</v>
      </c>
      <c r="GM135" s="21">
        <f>EXP(-LN(2)/25)*GM134+(1-EXP(-LN(2)/25))/(LN(2)/25)*Calculateur!GH135*Calculateur!GJ135*VLOOKUP('Données projet'!$B$17,Paramètres!$A$1:$I$89,3,0)*0.475*44/12</f>
        <v>0.46448263254222732</v>
      </c>
      <c r="GN135" s="21">
        <f>EXP(-LN(2)/2)*GN134+(1-EXP(-LN(2)/2))/(LN(2)/2)*GH135*GK135*VLOOKUP('Données projet'!$B$17,Paramètres!$A$1:$I$89,3,0)*0.475*44/12</f>
        <v>4.3663634842410168E-15</v>
      </c>
      <c r="GO135" s="21">
        <f t="shared" si="135"/>
        <v>0.88028998486138932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-1.1368683772161603E-13</v>
      </c>
      <c r="GV135" s="17">
        <f>GU135*VLOOKUP('Données projet'!$B$18,Paramètres!$A$1:$I$89,3,0)*VLOOKUP('Données projet'!$B$18,Paramètres!$A$1:$I$89,5,0)</f>
        <v>-6.7984728957526396E-14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227.89848316900191</v>
      </c>
      <c r="HA135" s="59">
        <f t="shared" si="160"/>
        <v>239.85955661394541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1.0535249934148858</v>
      </c>
      <c r="HH135" s="21">
        <f>EXP(-LN(2)/25)*HH134+(1-EXP(-LN(2)/25))/(LN(2)/25)*Calculateur!HC135*Calculateur!HE135*VLOOKUP('Données projet'!$B$18,Paramètres!$A$1:$I$89,3,0)*0.475*44/12</f>
        <v>1.0136757928171383</v>
      </c>
      <c r="HI135" s="21">
        <f>EXP(-LN(2)/2)*HI134+(1-EXP(-LN(2)/2))/(LN(2)/2)*HC135*HF135*VLOOKUP('Données projet'!$B$18,Paramètres!$A$1:$I$89,3,0)*0.475*44/12</f>
        <v>2.9769833765203861E-15</v>
      </c>
      <c r="HJ135" s="22">
        <f t="shared" si="138"/>
        <v>2.0672007862320272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2.5420376914553347E-13</v>
      </c>
      <c r="P136" s="13">
        <f t="shared" si="141"/>
        <v>3.4258699088369875E-12</v>
      </c>
      <c r="Q136" s="20">
        <f t="shared" si="108"/>
        <v>6.4094616558195571E-12</v>
      </c>
      <c r="R136" s="59">
        <f t="shared" si="109"/>
        <v>293.33333333333974</v>
      </c>
      <c r="S136" s="59">
        <f ca="1">AVERAGE(OFFSET($R$3,0,0,'Données projet'!$E$9+1,1))-AVERAGE(OFFSET($H$3,0,0,'Données projet'!$E$9+1,1))</f>
        <v>370.69652285220093</v>
      </c>
      <c r="T136" s="59">
        <f t="shared" si="142"/>
        <v>376.53494965377718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1.3366420561115899</v>
      </c>
      <c r="AA136" s="21">
        <f>EXP(-LN(2)/25)*AA135+(1-EXP(-LN(2)/25))/(LN(2)/25)*Calculateur!V136*Calculateur!X136*VLOOKUP('Données projet'!$B$9,Paramètres!$A$1:$I$89,3,0)*0.475*44/12</f>
        <v>1.9212171588072771</v>
      </c>
      <c r="AB136" s="21">
        <f>EXP(-LN(2)/2)*AB135+(1-EXP(-LN(2)/2))/(LN(2)/2)*V136*Y136*VLOOKUP('Données projet'!$B$9,Paramètres!$A$1:$I$89,3,0)*0.475*44/12</f>
        <v>1.0277751296184246E-14</v>
      </c>
      <c r="AC136" s="22">
        <f t="shared" si="111"/>
        <v>3.2578592149188772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-5.6843418860808015E-13</v>
      </c>
      <c r="AJ136" s="13">
        <f>AI136*VLOOKUP('Données projet'!$B$10,Paramètres!$A$1:$I$89,3,0)*VLOOKUP('Données projet'!$B$10,Paramètres!$A$1:$I$89,5,0)</f>
        <v>-5.1431925385259092E-13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321.03881567735544</v>
      </c>
      <c r="AO136" s="59">
        <f t="shared" si="144"/>
        <v>234.87694492493506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0.31323328991705934</v>
      </c>
      <c r="AV136" s="21">
        <f>EXP(-LN(2)/25)*AV135+(1-EXP(-LN(2)/25))/(LN(2)/25)*Calculateur!AQ136*Calculateur!AS136*VLOOKUP('Données projet'!$B$10,Paramètres!$A$1:$I$89,3,0)*0.475*44/12</f>
        <v>0.77960090701198559</v>
      </c>
      <c r="AW136" s="21">
        <f>EXP(-LN(2)/2)*AW135+(1-EXP(-LN(2)/2))/(LN(2)/2)*AQ136*AT136*VLOOKUP('Données projet'!$B$10,Paramètres!$A$1:$I$89,3,0)*0.475*44/12</f>
        <v>6.8267884942621067E-15</v>
      </c>
      <c r="AX136" s="21">
        <f t="shared" si="114"/>
        <v>1.0928341969290518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3.1036506698001181E-13</v>
      </c>
      <c r="BF136" s="13">
        <f t="shared" si="145"/>
        <v>4.086682523110923E-12</v>
      </c>
      <c r="BG136" s="20">
        <f t="shared" si="115"/>
        <v>7.6581912194083782E-12</v>
      </c>
      <c r="BH136" s="59">
        <f t="shared" si="116"/>
        <v>293.33333333334099</v>
      </c>
      <c r="BI136" s="59">
        <f ca="1">AVERAGE(OFFSET($BH$3,0,0,'Données projet'!$E$11+1,1))-AVERAGE(OFFSET($H$3,0,0,'Données projet'!$E$11+1,1))</f>
        <v>248.1486444660062</v>
      </c>
      <c r="BJ136" s="59">
        <f t="shared" si="146"/>
        <v>293.34458072322127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1.1077456363546361</v>
      </c>
      <c r="BQ136" s="21">
        <f>EXP(-LN(2)/25)*BQ135+(1-EXP(-LN(2)/25))/(LN(2)/25)*Calculateur!BL136*Calculateur!BN136*VLOOKUP('Données projet'!$B$11,Paramètres!$A$1:$I$89,3,0)*0.475*44/12</f>
        <v>1.9575692347643012</v>
      </c>
      <c r="BR136" s="21">
        <f>EXP(-LN(2)/2)*BR135+(1-EXP(-LN(2)/2))/(LN(2)/2)*BL136*BO136*VLOOKUP('Données projet'!$B$11,Paramètres!$A$1:$I$89,3,0)*0.475*44/12</f>
        <v>7.907747466862572E-15</v>
      </c>
      <c r="BS136" s="22">
        <f t="shared" si="117"/>
        <v>3.0653148711189453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243.38048563215585</v>
      </c>
      <c r="CE136" s="59">
        <f t="shared" si="148"/>
        <v>372.1604147006675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0.95050101767935324</v>
      </c>
      <c r="CL136" s="21">
        <f>EXP(-LN(2)/25)*CL135+(1-EXP(-LN(2)/25))/(LN(2)/25)*Calculateur!CG136*Calculateur!CI136*VLOOKUP('Données projet'!$B$12,Paramètres!$A$1:$I$89,3,0)*0.475*44/12</f>
        <v>1.1135667264661273</v>
      </c>
      <c r="CM136" s="21">
        <f>EXP(-LN(2)/2)*CM135+(1-EXP(-LN(2)/2))/(LN(2)/2)*CG136*CJ136*VLOOKUP('Données projet'!$B$12,Paramètres!$A$1:$I$89,3,0)*0.475*44/12</f>
        <v>9.2054329970718379E-15</v>
      </c>
      <c r="CN136" s="22">
        <f t="shared" si="120"/>
        <v>2.0640677441454898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7.9580786405131221E-13</v>
      </c>
      <c r="CU136" s="17">
        <f>CT136*VLOOKUP('Données projet'!$B$13,Paramètres!$A$1:$I$89,3,0)*VLOOKUP('Données projet'!$B$13,Paramètres!$A$1:$I$89,5,0)</f>
        <v>3.8278358260868117E-13</v>
      </c>
      <c r="CV136" s="13">
        <f t="shared" si="149"/>
        <v>4.9186917125089072E-12</v>
      </c>
      <c r="CW136" s="20">
        <f t="shared" si="121"/>
        <v>9.2334028056631319E-12</v>
      </c>
      <c r="CX136" s="59">
        <f t="shared" si="122"/>
        <v>293.33333333334252</v>
      </c>
      <c r="CY136" s="59">
        <f ca="1">AVERAGE(OFFSET($CX$3,0,0,'Données projet'!$E$13+1,1))-AVERAGE(OFFSET($H$3,0,0,'Données projet'!$E$13+1,1))</f>
        <v>297.21955661193238</v>
      </c>
      <c r="CZ136" s="59">
        <f t="shared" si="150"/>
        <v>273.69206144662144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0.87629246646518411</v>
      </c>
      <c r="DG136" s="21">
        <f>EXP(-LN(2)/25)*DG135+(1-EXP(-LN(2)/25))/(LN(2)/25)*Calculateur!DB136*Calculateur!DD136*VLOOKUP('Données projet'!$B$13,Paramètres!$A$1:$I$89,3,0)*0.475*44/12</f>
        <v>0.77198774545564264</v>
      </c>
      <c r="DH136" s="21">
        <f>EXP(-LN(2)/2)*DH135+(1-EXP(-LN(2)/2))/(LN(2)/2)*DB136*DE136*VLOOKUP('Données projet'!$B$13,Paramètres!$A$1:$I$89,3,0)*0.475*44/12</f>
        <v>6.5670007101510798E-15</v>
      </c>
      <c r="DI136" s="22">
        <f t="shared" si="123"/>
        <v>1.6482802119208335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-4.0702161641092972E-13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260.20517190557814</v>
      </c>
      <c r="DU136" s="59">
        <f t="shared" si="152"/>
        <v>307.22009971147133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0.42435323909673828</v>
      </c>
      <c r="EB136" s="21">
        <f>EXP(-LN(2)/25)*EB135+(1-EXP(-LN(2)/25))/(LN(2)/25)*Calculateur!DW136*Calculateur!DY136*VLOOKUP('Données projet'!$B$14,Paramètres!$A$1:$I$89,3,0)*0.475*44/12</f>
        <v>1.1801178139429209</v>
      </c>
      <c r="EC136" s="21">
        <f>EXP(-LN(2)/2)*EC135+(1-EXP(-LN(2)/2))/(LN(2)/2)*DW136*DZ136*VLOOKUP('Données projet'!$B$14,Paramètres!$A$1:$I$89,3,0)*0.475*44/12</f>
        <v>7.5487012788590345E-15</v>
      </c>
      <c r="ED136" s="22">
        <f t="shared" si="126"/>
        <v>1.6044710530396666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1.1368683772161603E-13</v>
      </c>
      <c r="EK136" s="17">
        <f>EJ136*VLOOKUP('Données projet'!$B$15,Paramètres!$A$1:$I$89,3,0)*VLOOKUP('Données projet'!$B$15,Paramètres!$A$1:$I$89,5,0)</f>
        <v>6.7984728957526396E-14</v>
      </c>
      <c r="EL136" s="13">
        <f t="shared" si="153"/>
        <v>1.0682447123141398E-12</v>
      </c>
      <c r="EM136" s="20">
        <f t="shared" si="127"/>
        <v>1.978932943548152E-12</v>
      </c>
      <c r="EN136" s="59">
        <f t="shared" si="128"/>
        <v>293.3333333333353</v>
      </c>
      <c r="EO136" s="59">
        <f ca="1">AVERAGE(OFFSET($EN$3,0,0,'Données projet'!$E$15+1,1))-AVERAGE(OFFSET($H$3,0,0,'Données projet'!$E$15+1,1))</f>
        <v>259.30247982593914</v>
      </c>
      <c r="EP136" s="59">
        <f t="shared" si="154"/>
        <v>275.24740346220779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1.0371097434751171</v>
      </c>
      <c r="EX136" s="21">
        <f>EXP(-LN(2)/2)*EX135+(1-EXP(-LN(2)/2))/(LN(2)/2)*ER136*EU136*VLOOKUP('Données projet'!$B$15,Paramètres!$A$1:$I$89,3,0)*0.475*44/12</f>
        <v>9.0061979888102343E-15</v>
      </c>
      <c r="EY136" s="22">
        <f t="shared" si="129"/>
        <v>1.0371097434751262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-5.6843418860808015E-13</v>
      </c>
      <c r="FF136" s="17">
        <f>FE136*VLOOKUP('Données projet'!$B$16,Paramètres!$A$1:$I$89,3,0)*VLOOKUP('Données projet'!$B$16,Paramètres!$A$1:$I$89,5,0)</f>
        <v>-5.763922672485933E-13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372.91317851957336</v>
      </c>
      <c r="FK136" s="59">
        <f t="shared" si="156"/>
        <v>269.69187715858413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0.3510373076656701</v>
      </c>
      <c r="FR136" s="21">
        <f>EXP(-LN(2)/25)*FR135+(1-EXP(-LN(2)/25))/(LN(2)/25)*Calculateur!FM136*Calculateur!FO136*VLOOKUP('Données projet'!$B$16,Paramètres!$A$1:$I$89,3,0)*0.475*44/12</f>
        <v>0.87369067165136305</v>
      </c>
      <c r="FS136" s="21">
        <f>EXP(-LN(2)/2)*FS135+(1-EXP(-LN(2)/2))/(LN(2)/2)*FM136*FP136*VLOOKUP('Données projet'!$B$16,Paramètres!$A$1:$I$89,3,0)*0.475*44/12</f>
        <v>7.6507112435695962E-15</v>
      </c>
      <c r="FT136" s="22">
        <f t="shared" si="132"/>
        <v>1.2247279793170407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-1.1368683772161603E-13</v>
      </c>
      <c r="GA136" s="17">
        <f>FZ136*VLOOKUP('Données projet'!$B$17,Paramètres!$A$1:$I$89,3,0)*VLOOKUP('Données projet'!$B$17,Paramètres!$A$1:$I$89,5,0)</f>
        <v>-5.3205440053716299E-14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215.23235148064941</v>
      </c>
      <c r="GF136" s="59">
        <f t="shared" si="158"/>
        <v>184.07239726900434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0.40765362375762126</v>
      </c>
      <c r="GM136" s="21">
        <f>EXP(-LN(2)/25)*GM135+(1-EXP(-LN(2)/25))/(LN(2)/25)*Calculateur!GH136*Calculateur!GJ136*VLOOKUP('Données projet'!$B$17,Paramètres!$A$1:$I$89,3,0)*0.475*44/12</f>
        <v>0.45178133052928005</v>
      </c>
      <c r="GN136" s="21">
        <f>EXP(-LN(2)/2)*GN135+(1-EXP(-LN(2)/2))/(LN(2)/2)*GH136*GK136*VLOOKUP('Données projet'!$B$17,Paramètres!$A$1:$I$89,3,0)*0.475*44/12</f>
        <v>3.087485228832144E-15</v>
      </c>
      <c r="GO136" s="21">
        <f t="shared" si="135"/>
        <v>0.85943495428690442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-1.1368683772161603E-13</v>
      </c>
      <c r="GV136" s="17">
        <f>GU136*VLOOKUP('Données projet'!$B$18,Paramètres!$A$1:$I$89,3,0)*VLOOKUP('Données projet'!$B$18,Paramètres!$A$1:$I$89,5,0)</f>
        <v>-6.7984728957526396E-14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227.89848316900191</v>
      </c>
      <c r="HA136" s="59">
        <f t="shared" si="160"/>
        <v>239.85955661394541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1.0328660108808156</v>
      </c>
      <c r="HH136" s="21">
        <f>EXP(-LN(2)/25)*HH135+(1-EXP(-LN(2)/25))/(LN(2)/25)*Calculateur!HC136*Calculateur!HE136*VLOOKUP('Données projet'!$B$18,Paramètres!$A$1:$I$89,3,0)*0.475*44/12</f>
        <v>0.98595677495566048</v>
      </c>
      <c r="HI136" s="21">
        <f>EXP(-LN(2)/2)*HI135+(1-EXP(-LN(2)/2))/(LN(2)/2)*HC136*HF136*VLOOKUP('Données projet'!$B$18,Paramètres!$A$1:$I$89,3,0)*0.475*44/12</f>
        <v>2.1050451330171901E-15</v>
      </c>
      <c r="HJ136" s="22">
        <f t="shared" si="138"/>
        <v>2.0188227858364782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2.5420376914553347E-13</v>
      </c>
      <c r="P137" s="13">
        <f t="shared" si="141"/>
        <v>3.4258699088369875E-12</v>
      </c>
      <c r="Q137" s="20">
        <f t="shared" si="108"/>
        <v>6.4094616558195571E-12</v>
      </c>
      <c r="R137" s="59">
        <f t="shared" si="109"/>
        <v>293.33333333333974</v>
      </c>
      <c r="S137" s="59">
        <f ca="1">AVERAGE(OFFSET($R$3,0,0,'Données projet'!$E$9+1,1))-AVERAGE(OFFSET($H$3,0,0,'Données projet'!$E$9+1,1))</f>
        <v>370.69652285220093</v>
      </c>
      <c r="T137" s="59">
        <f t="shared" si="142"/>
        <v>376.53494965377718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1.3104313206623945</v>
      </c>
      <c r="AA137" s="21">
        <f>EXP(-LN(2)/25)*AA136+(1-EXP(-LN(2)/25))/(LN(2)/25)*Calculateur!V137*Calculateur!X137*VLOOKUP('Données projet'!$B$9,Paramètres!$A$1:$I$89,3,0)*0.475*44/12</f>
        <v>1.8686813745672728</v>
      </c>
      <c r="AB137" s="21">
        <f>EXP(-LN(2)/2)*AB136+(1-EXP(-LN(2)/2))/(LN(2)/2)*V137*Y137*VLOOKUP('Données projet'!$B$9,Paramètres!$A$1:$I$89,3,0)*0.475*44/12</f>
        <v>7.2674676368807085E-15</v>
      </c>
      <c r="AC137" s="22">
        <f t="shared" si="111"/>
        <v>3.1791126952296747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-5.6843418860808015E-13</v>
      </c>
      <c r="AJ137" s="13">
        <f>AI137*VLOOKUP('Données projet'!$B$10,Paramètres!$A$1:$I$89,3,0)*VLOOKUP('Données projet'!$B$10,Paramètres!$A$1:$I$89,5,0)</f>
        <v>-5.1431925385259092E-13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321.03881567735544</v>
      </c>
      <c r="AO137" s="59">
        <f t="shared" si="144"/>
        <v>234.87694492493506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0.30709097615522768</v>
      </c>
      <c r="AV137" s="21">
        <f>EXP(-LN(2)/25)*AV136+(1-EXP(-LN(2)/25))/(LN(2)/25)*Calculateur!AQ137*Calculateur!AS137*VLOOKUP('Données projet'!$B$10,Paramètres!$A$1:$I$89,3,0)*0.475*44/12</f>
        <v>0.75828267921231296</v>
      </c>
      <c r="AW137" s="21">
        <f>EXP(-LN(2)/2)*AW136+(1-EXP(-LN(2)/2))/(LN(2)/2)*AQ137*AT137*VLOOKUP('Données projet'!$B$10,Paramètres!$A$1:$I$89,3,0)*0.475*44/12</f>
        <v>4.8272684380190357E-15</v>
      </c>
      <c r="AX137" s="21">
        <f t="shared" si="114"/>
        <v>1.0653736553675455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3.1036506698001181E-13</v>
      </c>
      <c r="BF137" s="13">
        <f t="shared" si="145"/>
        <v>4.086682523110923E-12</v>
      </c>
      <c r="BG137" s="20">
        <f t="shared" si="115"/>
        <v>7.6581912194083782E-12</v>
      </c>
      <c r="BH137" s="59">
        <f t="shared" si="116"/>
        <v>293.33333333334099</v>
      </c>
      <c r="BI137" s="59">
        <f ca="1">AVERAGE(OFFSET($BH$3,0,0,'Données projet'!$E$11+1,1))-AVERAGE(OFFSET($H$3,0,0,'Données projet'!$E$11+1,1))</f>
        <v>248.1486444660062</v>
      </c>
      <c r="BJ137" s="59">
        <f t="shared" si="146"/>
        <v>293.34458072322127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1.0860234200838441</v>
      </c>
      <c r="BQ137" s="21">
        <f>EXP(-LN(2)/25)*BQ136+(1-EXP(-LN(2)/25))/(LN(2)/25)*Calculateur!BL137*Calculateur!BN137*VLOOKUP('Données projet'!$B$11,Paramètres!$A$1:$I$89,3,0)*0.475*44/12</f>
        <v>1.9040394010955795</v>
      </c>
      <c r="BR137" s="21">
        <f>EXP(-LN(2)/2)*BR136+(1-EXP(-LN(2)/2))/(LN(2)/2)*BL137*BO137*VLOOKUP('Données projet'!$B$11,Paramètres!$A$1:$I$89,3,0)*0.475*44/12</f>
        <v>5.5916218577292682E-15</v>
      </c>
      <c r="BS137" s="22">
        <f t="shared" si="117"/>
        <v>2.9900628211794293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243.38048563215585</v>
      </c>
      <c r="CE137" s="59">
        <f t="shared" si="148"/>
        <v>372.1604147006675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0.93186227247103648</v>
      </c>
      <c r="CL137" s="21">
        <f>EXP(-LN(2)/25)*CL136+(1-EXP(-LN(2)/25))/(LN(2)/25)*Calculateur!CG137*Calculateur!CI137*VLOOKUP('Données projet'!$B$12,Paramètres!$A$1:$I$89,3,0)*0.475*44/12</f>
        <v>1.0831161857709819</v>
      </c>
      <c r="CM137" s="21">
        <f>EXP(-LN(2)/2)*CM136+(1-EXP(-LN(2)/2))/(LN(2)/2)*CG137*CJ137*VLOOKUP('Données projet'!$B$12,Paramètres!$A$1:$I$89,3,0)*0.475*44/12</f>
        <v>6.5092240959879005E-15</v>
      </c>
      <c r="CN137" s="22">
        <f t="shared" si="120"/>
        <v>2.0149784582420249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7.9580786405131221E-13</v>
      </c>
      <c r="CU137" s="17">
        <f>CT137*VLOOKUP('Données projet'!$B$13,Paramètres!$A$1:$I$89,3,0)*VLOOKUP('Données projet'!$B$13,Paramètres!$A$1:$I$89,5,0)</f>
        <v>3.8278358260868117E-13</v>
      </c>
      <c r="CV137" s="13">
        <f t="shared" si="149"/>
        <v>4.9186917125089072E-12</v>
      </c>
      <c r="CW137" s="20">
        <f t="shared" si="121"/>
        <v>9.2334028056631319E-12</v>
      </c>
      <c r="CX137" s="59">
        <f t="shared" si="122"/>
        <v>293.33333333334252</v>
      </c>
      <c r="CY137" s="59">
        <f ca="1">AVERAGE(OFFSET($CX$3,0,0,'Données projet'!$E$13+1,1))-AVERAGE(OFFSET($H$3,0,0,'Données projet'!$E$13+1,1))</f>
        <v>297.21955661193238</v>
      </c>
      <c r="CZ137" s="59">
        <f t="shared" si="150"/>
        <v>273.69206144662144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0.85910890568343035</v>
      </c>
      <c r="DG137" s="21">
        <f>EXP(-LN(2)/25)*DG136+(1-EXP(-LN(2)/25))/(LN(2)/25)*Calculateur!DB137*Calculateur!DD137*VLOOKUP('Données projet'!$B$13,Paramètres!$A$1:$I$89,3,0)*0.475*44/12</f>
        <v>0.75087769995908693</v>
      </c>
      <c r="DH137" s="21">
        <f>EXP(-LN(2)/2)*DH136+(1-EXP(-LN(2)/2))/(LN(2)/2)*DB137*DE137*VLOOKUP('Données projet'!$B$13,Paramètres!$A$1:$I$89,3,0)*0.475*44/12</f>
        <v>4.6435707342047017E-15</v>
      </c>
      <c r="DI137" s="22">
        <f t="shared" si="123"/>
        <v>1.6099866056425218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-4.0702161641092972E-13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260.20517190557814</v>
      </c>
      <c r="DU137" s="59">
        <f t="shared" si="152"/>
        <v>307.22009971147133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0.41603193090796975</v>
      </c>
      <c r="EB137" s="21">
        <f>EXP(-LN(2)/25)*EB136+(1-EXP(-LN(2)/25))/(LN(2)/25)*Calculateur!DW137*Calculateur!DY137*VLOOKUP('Données projet'!$B$14,Paramètres!$A$1:$I$89,3,0)*0.475*44/12</f>
        <v>1.1478474302609531</v>
      </c>
      <c r="EC137" s="21">
        <f>EXP(-LN(2)/2)*EC136+(1-EXP(-LN(2)/2))/(LN(2)/2)*DW137*DZ137*VLOOKUP('Données projet'!$B$14,Paramètres!$A$1:$I$89,3,0)*0.475*44/12</f>
        <v>5.3377378634327868E-15</v>
      </c>
      <c r="ED137" s="22">
        <f t="shared" si="126"/>
        <v>1.5638793611689281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1.1368683772161603E-13</v>
      </c>
      <c r="EK137" s="17">
        <f>EJ137*VLOOKUP('Données projet'!$B$15,Paramètres!$A$1:$I$89,3,0)*VLOOKUP('Données projet'!$B$15,Paramètres!$A$1:$I$89,5,0)</f>
        <v>6.7984728957526396E-14</v>
      </c>
      <c r="EL137" s="13">
        <f t="shared" si="153"/>
        <v>1.0682447123141398E-12</v>
      </c>
      <c r="EM137" s="20">
        <f t="shared" si="127"/>
        <v>1.978932943548152E-12</v>
      </c>
      <c r="EN137" s="59">
        <f t="shared" si="128"/>
        <v>293.3333333333353</v>
      </c>
      <c r="EO137" s="59">
        <f ca="1">AVERAGE(OFFSET($EN$3,0,0,'Données projet'!$E$15+1,1))-AVERAGE(OFFSET($H$3,0,0,'Données projet'!$E$15+1,1))</f>
        <v>259.30247982593914</v>
      </c>
      <c r="EP137" s="59">
        <f t="shared" si="154"/>
        <v>275.24740346220779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1.008749923000559</v>
      </c>
      <c r="EX137" s="21">
        <f>EXP(-LN(2)/2)*EX136+(1-EXP(-LN(2)/2))/(LN(2)/2)*ER137*EU137*VLOOKUP('Données projet'!$B$15,Paramètres!$A$1:$I$89,3,0)*0.475*44/12</f>
        <v>6.3683436705963629E-15</v>
      </c>
      <c r="EY137" s="22">
        <f t="shared" si="129"/>
        <v>1.0087499230005654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-5.6843418860808015E-13</v>
      </c>
      <c r="FF137" s="17">
        <f>FE137*VLOOKUP('Données projet'!$B$16,Paramètres!$A$1:$I$89,3,0)*VLOOKUP('Données projet'!$B$16,Paramètres!$A$1:$I$89,5,0)</f>
        <v>-5.763922672485933E-13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372.91317851957336</v>
      </c>
      <c r="FK137" s="59">
        <f t="shared" si="156"/>
        <v>269.69187715858413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0.3441536801739622</v>
      </c>
      <c r="FR137" s="21">
        <f>EXP(-LN(2)/25)*FR136+(1-EXP(-LN(2)/25))/(LN(2)/25)*Calculateur!FM137*Calculateur!FO137*VLOOKUP('Données projet'!$B$16,Paramètres!$A$1:$I$89,3,0)*0.475*44/12</f>
        <v>0.84979955428966092</v>
      </c>
      <c r="FS137" s="21">
        <f>EXP(-LN(2)/2)*FS136+(1-EXP(-LN(2)/2))/(LN(2)/2)*FM137*FP137*VLOOKUP('Données projet'!$B$16,Paramètres!$A$1:$I$89,3,0)*0.475*44/12</f>
        <v>5.4098698012282254E-15</v>
      </c>
      <c r="FT137" s="22">
        <f t="shared" si="132"/>
        <v>1.1939532344636286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-1.1368683772161603E-13</v>
      </c>
      <c r="GA137" s="17">
        <f>FZ137*VLOOKUP('Données projet'!$B$17,Paramètres!$A$1:$I$89,3,0)*VLOOKUP('Données projet'!$B$17,Paramètres!$A$1:$I$89,5,0)</f>
        <v>-5.3205440053716299E-14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215.23235148064941</v>
      </c>
      <c r="GF137" s="59">
        <f t="shared" si="158"/>
        <v>184.07239726900434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0.39965978483989323</v>
      </c>
      <c r="GM137" s="21">
        <f>EXP(-LN(2)/25)*GM136+(1-EXP(-LN(2)/25))/(LN(2)/25)*Calculateur!GH137*Calculateur!GJ137*VLOOKUP('Données projet'!$B$17,Paramètres!$A$1:$I$89,3,0)*0.475*44/12</f>
        <v>0.43942734628780927</v>
      </c>
      <c r="GN137" s="21">
        <f>EXP(-LN(2)/2)*GN136+(1-EXP(-LN(2)/2))/(LN(2)/2)*GH137*GK137*VLOOKUP('Données projet'!$B$17,Paramètres!$A$1:$I$89,3,0)*0.475*44/12</f>
        <v>2.1831817421205084E-15</v>
      </c>
      <c r="GO137" s="21">
        <f t="shared" si="135"/>
        <v>0.83908713112770472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-1.1368683772161603E-13</v>
      </c>
      <c r="GV137" s="17">
        <f>GU137*VLOOKUP('Données projet'!$B$18,Paramètres!$A$1:$I$89,3,0)*VLOOKUP('Données projet'!$B$18,Paramètres!$A$1:$I$89,5,0)</f>
        <v>-6.7984728957526396E-14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227.89848316900191</v>
      </c>
      <c r="HA137" s="59">
        <f t="shared" si="160"/>
        <v>239.85955661394541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1.0126121383935036</v>
      </c>
      <c r="HH137" s="21">
        <f>EXP(-LN(2)/25)*HH136+(1-EXP(-LN(2)/25))/(LN(2)/25)*Calculateur!HC137*Calculateur!HE137*VLOOKUP('Données projet'!$B$18,Paramètres!$A$1:$I$89,3,0)*0.475*44/12</f>
        <v>0.95899573509528457</v>
      </c>
      <c r="HI137" s="21">
        <f>EXP(-LN(2)/2)*HI136+(1-EXP(-LN(2)/2))/(LN(2)/2)*HC137*HF137*VLOOKUP('Données projet'!$B$18,Paramètres!$A$1:$I$89,3,0)*0.475*44/12</f>
        <v>1.4884916882601931E-15</v>
      </c>
      <c r="HJ137" s="22">
        <f t="shared" si="138"/>
        <v>1.9716078734887896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2.5420376914553347E-13</v>
      </c>
      <c r="P138" s="13">
        <f t="shared" si="141"/>
        <v>3.4258699088369875E-12</v>
      </c>
      <c r="Q138" s="20">
        <f t="shared" si="108"/>
        <v>6.4094616558195571E-12</v>
      </c>
      <c r="R138" s="59">
        <f t="shared" si="109"/>
        <v>293.33333333333974</v>
      </c>
      <c r="S138" s="59">
        <f ca="1">AVERAGE(OFFSET($R$3,0,0,'Données projet'!$E$9+1,1))-AVERAGE(OFFSET($H$3,0,0,'Données projet'!$E$9+1,1))</f>
        <v>370.69652285220093</v>
      </c>
      <c r="T138" s="59">
        <f t="shared" si="142"/>
        <v>376.53494965377718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1.2847345617483878</v>
      </c>
      <c r="AA138" s="21">
        <f>EXP(-LN(2)/25)*AA137+(1-EXP(-LN(2)/25))/(LN(2)/25)*Calculateur!V138*Calculateur!X138*VLOOKUP('Données projet'!$B$9,Paramètres!$A$1:$I$89,3,0)*0.475*44/12</f>
        <v>1.8175821841100481</v>
      </c>
      <c r="AB138" s="21">
        <f>EXP(-LN(2)/2)*AB137+(1-EXP(-LN(2)/2))/(LN(2)/2)*V138*Y138*VLOOKUP('Données projet'!$B$9,Paramètres!$A$1:$I$89,3,0)*0.475*44/12</f>
        <v>5.1388756480921229E-15</v>
      </c>
      <c r="AC138" s="22">
        <f t="shared" si="111"/>
        <v>3.1023167458584413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-5.6843418860808015E-13</v>
      </c>
      <c r="AJ138" s="13">
        <f>AI138*VLOOKUP('Données projet'!$B$10,Paramètres!$A$1:$I$89,3,0)*VLOOKUP('Données projet'!$B$10,Paramètres!$A$1:$I$89,5,0)</f>
        <v>-5.1431925385259092E-13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321.03881567735544</v>
      </c>
      <c r="AO138" s="59">
        <f t="shared" si="144"/>
        <v>234.87694492493506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0.30106910941982407</v>
      </c>
      <c r="AV138" s="21">
        <f>EXP(-LN(2)/25)*AV137+(1-EXP(-LN(2)/25))/(LN(2)/25)*Calculateur!AQ138*Calculateur!AS138*VLOOKUP('Données projet'!$B$10,Paramètres!$A$1:$I$89,3,0)*0.475*44/12</f>
        <v>0.73754739947289927</v>
      </c>
      <c r="AW138" s="21">
        <f>EXP(-LN(2)/2)*AW137+(1-EXP(-LN(2)/2))/(LN(2)/2)*AQ138*AT138*VLOOKUP('Données projet'!$B$10,Paramètres!$A$1:$I$89,3,0)*0.475*44/12</f>
        <v>3.4133942471310534E-15</v>
      </c>
      <c r="AX138" s="21">
        <f t="shared" si="114"/>
        <v>1.0386165088927266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3.1036506698001181E-13</v>
      </c>
      <c r="BF138" s="13">
        <f t="shared" si="145"/>
        <v>4.086682523110923E-12</v>
      </c>
      <c r="BG138" s="20">
        <f t="shared" si="115"/>
        <v>7.6581912194083782E-12</v>
      </c>
      <c r="BH138" s="59">
        <f t="shared" si="116"/>
        <v>293.33333333334099</v>
      </c>
      <c r="BI138" s="59">
        <f ca="1">AVERAGE(OFFSET($BH$3,0,0,'Données projet'!$E$11+1,1))-AVERAGE(OFFSET($H$3,0,0,'Données projet'!$E$11+1,1))</f>
        <v>248.1486444660062</v>
      </c>
      <c r="BJ138" s="59">
        <f t="shared" si="146"/>
        <v>293.34458072322127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1.0647271632248787</v>
      </c>
      <c r="BQ138" s="21">
        <f>EXP(-LN(2)/25)*BQ137+(1-EXP(-LN(2)/25))/(LN(2)/25)*Calculateur!BL138*Calculateur!BN138*VLOOKUP('Données projet'!$B$11,Paramètres!$A$1:$I$89,3,0)*0.475*44/12</f>
        <v>1.8519733435435404</v>
      </c>
      <c r="BR138" s="21">
        <f>EXP(-LN(2)/2)*BR137+(1-EXP(-LN(2)/2))/(LN(2)/2)*BL138*BO138*VLOOKUP('Données projet'!$B$11,Paramètres!$A$1:$I$89,3,0)*0.475*44/12</f>
        <v>3.953873733431286E-15</v>
      </c>
      <c r="BS138" s="22">
        <f t="shared" si="117"/>
        <v>2.9167005067684229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243.38048563215585</v>
      </c>
      <c r="CE138" s="59">
        <f t="shared" si="148"/>
        <v>372.1604147006675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0.91358902168774281</v>
      </c>
      <c r="CL138" s="21">
        <f>EXP(-LN(2)/25)*CL137+(1-EXP(-LN(2)/25))/(LN(2)/25)*Calculateur!CG138*Calculateur!CI138*VLOOKUP('Données projet'!$B$12,Paramètres!$A$1:$I$89,3,0)*0.475*44/12</f>
        <v>1.0534983167124696</v>
      </c>
      <c r="CM138" s="21">
        <f>EXP(-LN(2)/2)*CM137+(1-EXP(-LN(2)/2))/(LN(2)/2)*CG138*CJ138*VLOOKUP('Données projet'!$B$12,Paramètres!$A$1:$I$89,3,0)*0.475*44/12</f>
        <v>4.6027164985359189E-15</v>
      </c>
      <c r="CN138" s="22">
        <f t="shared" si="120"/>
        <v>1.9670873384002172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7.9580786405131221E-13</v>
      </c>
      <c r="CU138" s="17">
        <f>CT138*VLOOKUP('Données projet'!$B$13,Paramètres!$A$1:$I$89,3,0)*VLOOKUP('Données projet'!$B$13,Paramètres!$A$1:$I$89,5,0)</f>
        <v>3.8278358260868117E-13</v>
      </c>
      <c r="CV138" s="13">
        <f t="shared" si="149"/>
        <v>4.9186917125089072E-12</v>
      </c>
      <c r="CW138" s="20">
        <f t="shared" si="121"/>
        <v>9.2334028056631319E-12</v>
      </c>
      <c r="CX138" s="59">
        <f t="shared" si="122"/>
        <v>293.33333333334252</v>
      </c>
      <c r="CY138" s="59">
        <f ca="1">AVERAGE(OFFSET($CX$3,0,0,'Données projet'!$E$13+1,1))-AVERAGE(OFFSET($H$3,0,0,'Données projet'!$E$13+1,1))</f>
        <v>297.21955661193238</v>
      </c>
      <c r="CZ138" s="59">
        <f t="shared" si="150"/>
        <v>273.69206144662144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0.84226230404766955</v>
      </c>
      <c r="DG138" s="21">
        <f>EXP(-LN(2)/25)*DG137+(1-EXP(-LN(2)/25))/(LN(2)/25)*Calculateur!DB138*Calculateur!DD138*VLOOKUP('Données projet'!$B$13,Paramètres!$A$1:$I$89,3,0)*0.475*44/12</f>
        <v>0.73034490976676358</v>
      </c>
      <c r="DH138" s="21">
        <f>EXP(-LN(2)/2)*DH137+(1-EXP(-LN(2)/2))/(LN(2)/2)*DB138*DE138*VLOOKUP('Données projet'!$B$13,Paramètres!$A$1:$I$89,3,0)*0.475*44/12</f>
        <v>3.2835003550755399E-15</v>
      </c>
      <c r="DI138" s="22">
        <f t="shared" si="123"/>
        <v>1.5726072138144365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-4.0702161641092972E-13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260.20517190557814</v>
      </c>
      <c r="DU138" s="59">
        <f t="shared" si="152"/>
        <v>307.22009971147133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0.40787379849728617</v>
      </c>
      <c r="EB138" s="21">
        <f>EXP(-LN(2)/25)*EB137+(1-EXP(-LN(2)/25))/(LN(2)/25)*Calculateur!DW138*Calculateur!DY138*VLOOKUP('Données projet'!$B$14,Paramètres!$A$1:$I$89,3,0)*0.475*44/12</f>
        <v>1.1164594819177944</v>
      </c>
      <c r="EC138" s="21">
        <f>EXP(-LN(2)/2)*EC137+(1-EXP(-LN(2)/2))/(LN(2)/2)*DW138*DZ138*VLOOKUP('Données projet'!$B$14,Paramètres!$A$1:$I$89,3,0)*0.475*44/12</f>
        <v>3.7743506394295173E-15</v>
      </c>
      <c r="ED138" s="22">
        <f t="shared" si="126"/>
        <v>1.5243332804150844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1.1368683772161603E-13</v>
      </c>
      <c r="EK138" s="17">
        <f>EJ138*VLOOKUP('Données projet'!$B$15,Paramètres!$A$1:$I$89,3,0)*VLOOKUP('Données projet'!$B$15,Paramètres!$A$1:$I$89,5,0)</f>
        <v>6.7984728957526396E-14</v>
      </c>
      <c r="EL138" s="13">
        <f t="shared" si="153"/>
        <v>1.0682447123141398E-12</v>
      </c>
      <c r="EM138" s="20">
        <f t="shared" si="127"/>
        <v>1.978932943548152E-12</v>
      </c>
      <c r="EN138" s="59">
        <f t="shared" si="128"/>
        <v>293.3333333333353</v>
      </c>
      <c r="EO138" s="59">
        <f ca="1">AVERAGE(OFFSET($EN$3,0,0,'Données projet'!$E$15+1,1))-AVERAGE(OFFSET($H$3,0,0,'Données projet'!$E$15+1,1))</f>
        <v>259.30247982593914</v>
      </c>
      <c r="EP138" s="59">
        <f t="shared" si="154"/>
        <v>275.24740346220779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0.98116560330825575</v>
      </c>
      <c r="EX138" s="21">
        <f>EXP(-LN(2)/2)*EX137+(1-EXP(-LN(2)/2))/(LN(2)/2)*ER138*EU138*VLOOKUP('Données projet'!$B$15,Paramètres!$A$1:$I$89,3,0)*0.475*44/12</f>
        <v>4.5030989944051172E-15</v>
      </c>
      <c r="EY138" s="22">
        <f t="shared" si="129"/>
        <v>0.9811656033082603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-5.6843418860808015E-13</v>
      </c>
      <c r="FF138" s="17">
        <f>FE138*VLOOKUP('Données projet'!$B$16,Paramètres!$A$1:$I$89,3,0)*VLOOKUP('Données projet'!$B$16,Paramètres!$A$1:$I$89,5,0)</f>
        <v>-5.763922672485933E-13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372.91317851957336</v>
      </c>
      <c r="FK138" s="59">
        <f t="shared" si="156"/>
        <v>269.69187715858413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0.33740503641876851</v>
      </c>
      <c r="FR138" s="21">
        <f>EXP(-LN(2)/25)*FR137+(1-EXP(-LN(2)/25))/(LN(2)/25)*Calculateur!FM138*Calculateur!FO138*VLOOKUP('Données projet'!$B$16,Paramètres!$A$1:$I$89,3,0)*0.475*44/12</f>
        <v>0.82656174078859379</v>
      </c>
      <c r="FS138" s="21">
        <f>EXP(-LN(2)/2)*FS137+(1-EXP(-LN(2)/2))/(LN(2)/2)*FM138*FP138*VLOOKUP('Données projet'!$B$16,Paramètres!$A$1:$I$89,3,0)*0.475*44/12</f>
        <v>3.8253556217847981E-15</v>
      </c>
      <c r="FT138" s="22">
        <f t="shared" si="132"/>
        <v>1.1639667772073661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-1.1368683772161603E-13</v>
      </c>
      <c r="GA138" s="17">
        <f>FZ138*VLOOKUP('Données projet'!$B$17,Paramètres!$A$1:$I$89,3,0)*VLOOKUP('Données projet'!$B$17,Paramètres!$A$1:$I$89,5,0)</f>
        <v>-5.3205440053716299E-14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215.23235148064941</v>
      </c>
      <c r="GF138" s="59">
        <f t="shared" si="158"/>
        <v>184.07239726900434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0.39182270022758153</v>
      </c>
      <c r="GM138" s="21">
        <f>EXP(-LN(2)/25)*GM137+(1-EXP(-LN(2)/25))/(LN(2)/25)*Calculateur!GH138*Calculateur!GJ138*VLOOKUP('Données projet'!$B$17,Paramètres!$A$1:$I$89,3,0)*0.475*44/12</f>
        <v>0.4274111823950893</v>
      </c>
      <c r="GN138" s="21">
        <f>EXP(-LN(2)/2)*GN137+(1-EXP(-LN(2)/2))/(LN(2)/2)*GH138*GK138*VLOOKUP('Données projet'!$B$17,Paramètres!$A$1:$I$89,3,0)*0.475*44/12</f>
        <v>1.543742614416072E-15</v>
      </c>
      <c r="GO138" s="21">
        <f t="shared" si="135"/>
        <v>0.81923388262267238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-1.1368683772161603E-13</v>
      </c>
      <c r="GV138" s="17">
        <f>GU138*VLOOKUP('Données projet'!$B$18,Paramètres!$A$1:$I$89,3,0)*VLOOKUP('Données projet'!$B$18,Paramètres!$A$1:$I$89,5,0)</f>
        <v>-6.7984728957526396E-14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227.89848316900191</v>
      </c>
      <c r="HA138" s="59">
        <f t="shared" si="160"/>
        <v>239.85955661394541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0.99275543199202532</v>
      </c>
      <c r="HH138" s="21">
        <f>EXP(-LN(2)/25)*HH137+(1-EXP(-LN(2)/25))/(LN(2)/25)*Calculateur!HC138*Calculateur!HE138*VLOOKUP('Données projet'!$B$18,Paramètres!$A$1:$I$89,3,0)*0.475*44/12</f>
        <v>0.9327719462877101</v>
      </c>
      <c r="HI138" s="21">
        <f>EXP(-LN(2)/2)*HI137+(1-EXP(-LN(2)/2))/(LN(2)/2)*HC138*HF138*VLOOKUP('Données projet'!$B$18,Paramètres!$A$1:$I$89,3,0)*0.475*44/12</f>
        <v>1.052522566508595E-15</v>
      </c>
      <c r="HJ138" s="22">
        <f t="shared" si="138"/>
        <v>1.9255273782797364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2.5420376914553347E-13</v>
      </c>
      <c r="P139" s="13">
        <f t="shared" si="141"/>
        <v>3.4258699088369875E-12</v>
      </c>
      <c r="Q139" s="20">
        <f t="shared" si="108"/>
        <v>6.4094616558195571E-12</v>
      </c>
      <c r="R139" s="59">
        <f t="shared" si="109"/>
        <v>293.33333333333974</v>
      </c>
      <c r="S139" s="59">
        <f ca="1">AVERAGE(OFFSET($R$3,0,0,'Données projet'!$E$9+1,1))-AVERAGE(OFFSET($H$3,0,0,'Données projet'!$E$9+1,1))</f>
        <v>370.69652285220093</v>
      </c>
      <c r="T139" s="59">
        <f t="shared" si="142"/>
        <v>376.53494965377718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1.2595417006032095</v>
      </c>
      <c r="AA139" s="21">
        <f>EXP(-LN(2)/25)*AA138+(1-EXP(-LN(2)/25))/(LN(2)/25)*Calculateur!V139*Calculateur!X139*VLOOKUP('Données projet'!$B$9,Paramètres!$A$1:$I$89,3,0)*0.475*44/12</f>
        <v>1.7678803037030659</v>
      </c>
      <c r="AB139" s="21">
        <f>EXP(-LN(2)/2)*AB138+(1-EXP(-LN(2)/2))/(LN(2)/2)*V139*Y139*VLOOKUP('Données projet'!$B$9,Paramètres!$A$1:$I$89,3,0)*0.475*44/12</f>
        <v>3.6337338184403542E-15</v>
      </c>
      <c r="AC139" s="22">
        <f t="shared" si="111"/>
        <v>3.0274220043062789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-5.6843418860808015E-13</v>
      </c>
      <c r="AJ139" s="13">
        <f>AI139*VLOOKUP('Données projet'!$B$10,Paramètres!$A$1:$I$89,3,0)*VLOOKUP('Données projet'!$B$10,Paramètres!$A$1:$I$89,5,0)</f>
        <v>-5.1431925385259092E-13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321.03881567735544</v>
      </c>
      <c r="AO139" s="59">
        <f t="shared" si="144"/>
        <v>234.87694492493506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0.29516532781812571</v>
      </c>
      <c r="AV139" s="21">
        <f>EXP(-LN(2)/25)*AV138+(1-EXP(-LN(2)/25))/(LN(2)/25)*Calculateur!AQ139*Calculateur!AS139*VLOOKUP('Données projet'!$B$10,Paramètres!$A$1:$I$89,3,0)*0.475*44/12</f>
        <v>0.7173791270483808</v>
      </c>
      <c r="AW139" s="21">
        <f>EXP(-LN(2)/2)*AW138+(1-EXP(-LN(2)/2))/(LN(2)/2)*AQ139*AT139*VLOOKUP('Données projet'!$B$10,Paramètres!$A$1:$I$89,3,0)*0.475*44/12</f>
        <v>2.4136342190095178E-15</v>
      </c>
      <c r="AX139" s="21">
        <f t="shared" si="114"/>
        <v>1.012544454866509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3.1036506698001181E-13</v>
      </c>
      <c r="BF139" s="13">
        <f t="shared" si="145"/>
        <v>4.086682523110923E-12</v>
      </c>
      <c r="BG139" s="20">
        <f t="shared" si="115"/>
        <v>7.6581912194083782E-12</v>
      </c>
      <c r="BH139" s="59">
        <f t="shared" si="116"/>
        <v>293.33333333334099</v>
      </c>
      <c r="BI139" s="59">
        <f ca="1">AVERAGE(OFFSET($BH$3,0,0,'Données projet'!$E$11+1,1))-AVERAGE(OFFSET($H$3,0,0,'Données projet'!$E$11+1,1))</f>
        <v>248.1486444660062</v>
      </c>
      <c r="BJ139" s="59">
        <f t="shared" si="146"/>
        <v>293.34458072322127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1.0438485129734836</v>
      </c>
      <c r="BQ139" s="21">
        <f>EXP(-LN(2)/25)*BQ138+(1-EXP(-LN(2)/25))/(LN(2)/25)*Calculateur!BL139*Calculateur!BN139*VLOOKUP('Données projet'!$B$11,Paramètres!$A$1:$I$89,3,0)*0.475*44/12</f>
        <v>1.8013310350732969</v>
      </c>
      <c r="BR139" s="21">
        <f>EXP(-LN(2)/2)*BR138+(1-EXP(-LN(2)/2))/(LN(2)/2)*BL139*BO139*VLOOKUP('Données projet'!$B$11,Paramètres!$A$1:$I$89,3,0)*0.475*44/12</f>
        <v>2.7958109288646341E-15</v>
      </c>
      <c r="BS139" s="22">
        <f t="shared" si="117"/>
        <v>2.845179548046783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243.38048563215585</v>
      </c>
      <c r="CE139" s="59">
        <f t="shared" si="148"/>
        <v>372.1604147006675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0.89567409820672705</v>
      </c>
      <c r="CL139" s="21">
        <f>EXP(-LN(2)/25)*CL138+(1-EXP(-LN(2)/25))/(LN(2)/25)*Calculateur!CG139*Calculateur!CI139*VLOOKUP('Données projet'!$B$12,Paramètres!$A$1:$I$89,3,0)*0.475*44/12</f>
        <v>1.0246903498408986</v>
      </c>
      <c r="CM139" s="21">
        <f>EXP(-LN(2)/2)*CM138+(1-EXP(-LN(2)/2))/(LN(2)/2)*CG139*CJ139*VLOOKUP('Données projet'!$B$12,Paramètres!$A$1:$I$89,3,0)*0.475*44/12</f>
        <v>3.2546120479939503E-15</v>
      </c>
      <c r="CN139" s="22">
        <f t="shared" si="120"/>
        <v>1.920364448047629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7.9580786405131221E-13</v>
      </c>
      <c r="CU139" s="17">
        <f>CT139*VLOOKUP('Données projet'!$B$13,Paramètres!$A$1:$I$89,3,0)*VLOOKUP('Données projet'!$B$13,Paramètres!$A$1:$I$89,5,0)</f>
        <v>3.8278358260868117E-13</v>
      </c>
      <c r="CV139" s="13">
        <f t="shared" si="149"/>
        <v>4.9186917125089072E-12</v>
      </c>
      <c r="CW139" s="20">
        <f t="shared" si="121"/>
        <v>9.2334028056631319E-12</v>
      </c>
      <c r="CX139" s="59">
        <f t="shared" si="122"/>
        <v>293.33333333334252</v>
      </c>
      <c r="CY139" s="59">
        <f ca="1">AVERAGE(OFFSET($CX$3,0,0,'Données projet'!$E$13+1,1))-AVERAGE(OFFSET($H$3,0,0,'Données projet'!$E$13+1,1))</f>
        <v>297.21955661193238</v>
      </c>
      <c r="CZ139" s="59">
        <f t="shared" si="150"/>
        <v>273.69206144662144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0.82574605399457368</v>
      </c>
      <c r="DG139" s="21">
        <f>EXP(-LN(2)/25)*DG138+(1-EXP(-LN(2)/25))/(LN(2)/25)*Calculateur!DB139*Calculateur!DD139*VLOOKUP('Données projet'!$B$13,Paramètres!$A$1:$I$89,3,0)*0.475*44/12</f>
        <v>0.71037358980202181</v>
      </c>
      <c r="DH139" s="21">
        <f>EXP(-LN(2)/2)*DH138+(1-EXP(-LN(2)/2))/(LN(2)/2)*DB139*DE139*VLOOKUP('Données projet'!$B$13,Paramètres!$A$1:$I$89,3,0)*0.475*44/12</f>
        <v>2.3217853671023508E-15</v>
      </c>
      <c r="DI139" s="22">
        <f t="shared" si="123"/>
        <v>1.5361196437965976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-4.0702161641092972E-13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260.20517190557814</v>
      </c>
      <c r="DU139" s="59">
        <f t="shared" si="152"/>
        <v>307.22009971147133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0.39987564208720666</v>
      </c>
      <c r="EB139" s="21">
        <f>EXP(-LN(2)/25)*EB138+(1-EXP(-LN(2)/25))/(LN(2)/25)*Calculateur!DW139*Calculateur!DY139*VLOOKUP('Données projet'!$B$14,Paramètres!$A$1:$I$89,3,0)*0.475*44/12</f>
        <v>1.0859298386726999</v>
      </c>
      <c r="EC139" s="21">
        <f>EXP(-LN(2)/2)*EC138+(1-EXP(-LN(2)/2))/(LN(2)/2)*DW139*DZ139*VLOOKUP('Données projet'!$B$14,Paramètres!$A$1:$I$89,3,0)*0.475*44/12</f>
        <v>2.6688689317163934E-15</v>
      </c>
      <c r="ED139" s="22">
        <f t="shared" si="126"/>
        <v>1.4858054807599093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1.1368683772161603E-13</v>
      </c>
      <c r="EK139" s="17">
        <f>EJ139*VLOOKUP('Données projet'!$B$15,Paramètres!$A$1:$I$89,3,0)*VLOOKUP('Données projet'!$B$15,Paramètres!$A$1:$I$89,5,0)</f>
        <v>6.7984728957526396E-14</v>
      </c>
      <c r="EL139" s="13">
        <f t="shared" si="153"/>
        <v>1.0682447123141398E-12</v>
      </c>
      <c r="EM139" s="20">
        <f t="shared" si="127"/>
        <v>1.978932943548152E-12</v>
      </c>
      <c r="EN139" s="59">
        <f t="shared" si="128"/>
        <v>293.3333333333353</v>
      </c>
      <c r="EO139" s="59">
        <f ca="1">AVERAGE(OFFSET($EN$3,0,0,'Données projet'!$E$15+1,1))-AVERAGE(OFFSET($H$3,0,0,'Données projet'!$E$15+1,1))</f>
        <v>259.30247982593914</v>
      </c>
      <c r="EP139" s="59">
        <f t="shared" si="154"/>
        <v>275.24740346220779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0.95433557828853488</v>
      </c>
      <c r="EX139" s="21">
        <f>EXP(-LN(2)/2)*EX138+(1-EXP(-LN(2)/2))/(LN(2)/2)*ER139*EU139*VLOOKUP('Données projet'!$B$15,Paramètres!$A$1:$I$89,3,0)*0.475*44/12</f>
        <v>3.1841718352981814E-15</v>
      </c>
      <c r="EY139" s="22">
        <f t="shared" si="129"/>
        <v>0.9543355782885381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-5.6843418860808015E-13</v>
      </c>
      <c r="FF139" s="17">
        <f>FE139*VLOOKUP('Données projet'!$B$16,Paramètres!$A$1:$I$89,3,0)*VLOOKUP('Données projet'!$B$16,Paramètres!$A$1:$I$89,5,0)</f>
        <v>-5.763922672485933E-13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372.91317851957336</v>
      </c>
      <c r="FK139" s="59">
        <f t="shared" si="156"/>
        <v>269.69187715858413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0.33078872945134796</v>
      </c>
      <c r="FR139" s="21">
        <f>EXP(-LN(2)/25)*FR138+(1-EXP(-LN(2)/25))/(LN(2)/25)*Calculateur!FM139*Calculateur!FO139*VLOOKUP('Données projet'!$B$16,Paramètres!$A$1:$I$89,3,0)*0.475*44/12</f>
        <v>0.80395936651973687</v>
      </c>
      <c r="FS139" s="21">
        <f>EXP(-LN(2)/2)*FS138+(1-EXP(-LN(2)/2))/(LN(2)/2)*FM139*FP139*VLOOKUP('Données projet'!$B$16,Paramètres!$A$1:$I$89,3,0)*0.475*44/12</f>
        <v>2.7049349006141127E-15</v>
      </c>
      <c r="FT139" s="22">
        <f t="shared" si="132"/>
        <v>1.1347480959710876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-1.1368683772161603E-13</v>
      </c>
      <c r="GA139" s="17">
        <f>FZ139*VLOOKUP('Données projet'!$B$17,Paramètres!$A$1:$I$89,3,0)*VLOOKUP('Données projet'!$B$17,Paramètres!$A$1:$I$89,5,0)</f>
        <v>-5.3205440053716299E-14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215.23235148064941</v>
      </c>
      <c r="GF139" s="59">
        <f t="shared" si="158"/>
        <v>184.07239726900434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0.38413929606436764</v>
      </c>
      <c r="GM139" s="21">
        <f>EXP(-LN(2)/25)*GM138+(1-EXP(-LN(2)/25))/(LN(2)/25)*Calculateur!GH139*Calculateur!GJ139*VLOOKUP('Données projet'!$B$17,Paramètres!$A$1:$I$89,3,0)*0.475*44/12</f>
        <v>0.41572360113591833</v>
      </c>
      <c r="GN139" s="21">
        <f>EXP(-LN(2)/2)*GN138+(1-EXP(-LN(2)/2))/(LN(2)/2)*GH139*GK139*VLOOKUP('Données projet'!$B$17,Paramètres!$A$1:$I$89,3,0)*0.475*44/12</f>
        <v>1.0915908710602542E-15</v>
      </c>
      <c r="GO139" s="21">
        <f t="shared" si="135"/>
        <v>0.79986289720028703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-1.1368683772161603E-13</v>
      </c>
      <c r="GV139" s="17">
        <f>GU139*VLOOKUP('Données projet'!$B$18,Paramètres!$A$1:$I$89,3,0)*VLOOKUP('Données projet'!$B$18,Paramètres!$A$1:$I$89,5,0)</f>
        <v>-6.7984728957526396E-14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227.89848316900191</v>
      </c>
      <c r="HA139" s="59">
        <f t="shared" si="160"/>
        <v>239.85955661394541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0.97328810349168493</v>
      </c>
      <c r="HH139" s="21">
        <f>EXP(-LN(2)/25)*HH138+(1-EXP(-LN(2)/25))/(LN(2)/25)*Calculateur!HC139*Calculateur!HE139*VLOOKUP('Données projet'!$B$18,Paramètres!$A$1:$I$89,3,0)*0.475*44/12</f>
        <v>0.90726524836412792</v>
      </c>
      <c r="HI139" s="21">
        <f>EXP(-LN(2)/2)*HI138+(1-EXP(-LN(2)/2))/(LN(2)/2)*HC139*HF139*VLOOKUP('Données projet'!$B$18,Paramètres!$A$1:$I$89,3,0)*0.475*44/12</f>
        <v>7.4424584413009653E-16</v>
      </c>
      <c r="HJ139" s="22">
        <f t="shared" si="138"/>
        <v>1.8805533518558135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2.5420376914553347E-13</v>
      </c>
      <c r="P140" s="13">
        <f t="shared" si="141"/>
        <v>3.4258699088369875E-12</v>
      </c>
      <c r="Q140" s="20">
        <f t="shared" si="108"/>
        <v>6.4094616558195571E-12</v>
      </c>
      <c r="R140" s="59">
        <f t="shared" si="109"/>
        <v>293.33333333333974</v>
      </c>
      <c r="S140" s="59">
        <f ca="1">AVERAGE(OFFSET($R$3,0,0,'Données projet'!$E$9+1,1))-AVERAGE(OFFSET($H$3,0,0,'Données projet'!$E$9+1,1))</f>
        <v>370.69652285220093</v>
      </c>
      <c r="T140" s="59">
        <f t="shared" si="142"/>
        <v>376.53494965377718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1.2348428560989599</v>
      </c>
      <c r="AA140" s="21">
        <f>EXP(-LN(2)/25)*AA139+(1-EXP(-LN(2)/25))/(LN(2)/25)*Calculateur!V140*Calculateur!X140*VLOOKUP('Données projet'!$B$9,Paramètres!$A$1:$I$89,3,0)*0.475*44/12</f>
        <v>1.719537523829521</v>
      </c>
      <c r="AB140" s="21">
        <f>EXP(-LN(2)/2)*AB139+(1-EXP(-LN(2)/2))/(LN(2)/2)*V140*Y140*VLOOKUP('Données projet'!$B$9,Paramètres!$A$1:$I$89,3,0)*0.475*44/12</f>
        <v>2.5694378240460615E-15</v>
      </c>
      <c r="AC140" s="22">
        <f t="shared" si="111"/>
        <v>2.9543803799284838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-5.6843418860808015E-13</v>
      </c>
      <c r="AJ140" s="13">
        <f>AI140*VLOOKUP('Données projet'!$B$10,Paramètres!$A$1:$I$89,3,0)*VLOOKUP('Données projet'!$B$10,Paramètres!$A$1:$I$89,5,0)</f>
        <v>-5.1431925385259092E-13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321.03881567735544</v>
      </c>
      <c r="AO140" s="59">
        <f t="shared" si="144"/>
        <v>234.87694492493506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0.28937731577268544</v>
      </c>
      <c r="AV140" s="21">
        <f>EXP(-LN(2)/25)*AV139+(1-EXP(-LN(2)/25))/(LN(2)/25)*Calculateur!AQ140*Calculateur!AS140*VLOOKUP('Données projet'!$B$10,Paramètres!$A$1:$I$89,3,0)*0.475*44/12</f>
        <v>0.6977623570939141</v>
      </c>
      <c r="AW140" s="21">
        <f>EXP(-LN(2)/2)*AW139+(1-EXP(-LN(2)/2))/(LN(2)/2)*AQ140*AT140*VLOOKUP('Données projet'!$B$10,Paramètres!$A$1:$I$89,3,0)*0.475*44/12</f>
        <v>1.7066971235655267E-15</v>
      </c>
      <c r="AX140" s="21">
        <f t="shared" si="114"/>
        <v>0.9871396728666012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3.1036506698001181E-13</v>
      </c>
      <c r="BF140" s="13">
        <f t="shared" si="145"/>
        <v>4.086682523110923E-12</v>
      </c>
      <c r="BG140" s="20">
        <f t="shared" si="115"/>
        <v>7.6581912194083782E-12</v>
      </c>
      <c r="BH140" s="59">
        <f t="shared" si="116"/>
        <v>293.33333333334099</v>
      </c>
      <c r="BI140" s="59">
        <f ca="1">AVERAGE(OFFSET($BH$3,0,0,'Données projet'!$E$11+1,1))-AVERAGE(OFFSET($H$3,0,0,'Données projet'!$E$11+1,1))</f>
        <v>248.1486444660062</v>
      </c>
      <c r="BJ140" s="59">
        <f t="shared" si="146"/>
        <v>293.34458072322127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1.0233792803187991</v>
      </c>
      <c r="BQ140" s="21">
        <f>EXP(-LN(2)/25)*BQ139+(1-EXP(-LN(2)/25))/(LN(2)/25)*Calculateur!BL140*Calculateur!BN140*VLOOKUP('Données projet'!$B$11,Paramètres!$A$1:$I$89,3,0)*0.475*44/12</f>
        <v>1.7520735431913355</v>
      </c>
      <c r="BR140" s="21">
        <f>EXP(-LN(2)/2)*BR139+(1-EXP(-LN(2)/2))/(LN(2)/2)*BL140*BO140*VLOOKUP('Données projet'!$B$11,Paramètres!$A$1:$I$89,3,0)*0.475*44/12</f>
        <v>1.976936866715643E-15</v>
      </c>
      <c r="BS140" s="22">
        <f t="shared" si="117"/>
        <v>2.7754528235101361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243.38048563215585</v>
      </c>
      <c r="CE140" s="59">
        <f t="shared" si="148"/>
        <v>372.1604147006675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0.87811047544814969</v>
      </c>
      <c r="CL140" s="21">
        <f>EXP(-LN(2)/25)*CL139+(1-EXP(-LN(2)/25))/(LN(2)/25)*Calculateur!CG140*Calculateur!CI140*VLOOKUP('Données projet'!$B$12,Paramètres!$A$1:$I$89,3,0)*0.475*44/12</f>
        <v>0.9966701383383757</v>
      </c>
      <c r="CM140" s="21">
        <f>EXP(-LN(2)/2)*CM139+(1-EXP(-LN(2)/2))/(LN(2)/2)*CG140*CJ140*VLOOKUP('Données projet'!$B$12,Paramètres!$A$1:$I$89,3,0)*0.475*44/12</f>
        <v>2.3013582492679595E-15</v>
      </c>
      <c r="CN140" s="22">
        <f t="shared" si="120"/>
        <v>1.8747806137865277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7.9580786405131221E-13</v>
      </c>
      <c r="CU140" s="17">
        <f>CT140*VLOOKUP('Données projet'!$B$13,Paramètres!$A$1:$I$89,3,0)*VLOOKUP('Données projet'!$B$13,Paramètres!$A$1:$I$89,5,0)</f>
        <v>3.8278358260868117E-13</v>
      </c>
      <c r="CV140" s="13">
        <f t="shared" si="149"/>
        <v>4.9186917125089072E-12</v>
      </c>
      <c r="CW140" s="20">
        <f t="shared" si="121"/>
        <v>9.2334028056631319E-12</v>
      </c>
      <c r="CX140" s="59">
        <f t="shared" si="122"/>
        <v>293.33333333334252</v>
      </c>
      <c r="CY140" s="59">
        <f ca="1">AVERAGE(OFFSET($CX$3,0,0,'Données projet'!$E$13+1,1))-AVERAGE(OFFSET($H$3,0,0,'Données projet'!$E$13+1,1))</f>
        <v>297.21955661193238</v>
      </c>
      <c r="CZ140" s="59">
        <f t="shared" si="150"/>
        <v>273.69206144662144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0.80955367753110119</v>
      </c>
      <c r="DG140" s="21">
        <f>EXP(-LN(2)/25)*DG139+(1-EXP(-LN(2)/25))/(LN(2)/25)*Calculateur!DB140*Calculateur!DD140*VLOOKUP('Données projet'!$B$13,Paramètres!$A$1:$I$89,3,0)*0.475*44/12</f>
        <v>0.69094838663196201</v>
      </c>
      <c r="DH140" s="21">
        <f>EXP(-LN(2)/2)*DH139+(1-EXP(-LN(2)/2))/(LN(2)/2)*DB140*DE140*VLOOKUP('Données projet'!$B$13,Paramètres!$A$1:$I$89,3,0)*0.475*44/12</f>
        <v>1.6417501775377699E-15</v>
      </c>
      <c r="DI140" s="22">
        <f t="shared" si="123"/>
        <v>1.5005020641630649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-4.0702161641092972E-13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260.20517190557814</v>
      </c>
      <c r="DU140" s="59">
        <f t="shared" si="152"/>
        <v>307.22009971147133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0.39203432464593507</v>
      </c>
      <c r="EB140" s="21">
        <f>EXP(-LN(2)/25)*EB139+(1-EXP(-LN(2)/25))/(LN(2)/25)*Calculateur!DW140*Calculateur!DY140*VLOOKUP('Données projet'!$B$14,Paramètres!$A$1:$I$89,3,0)*0.475*44/12</f>
        <v>1.0562350301276267</v>
      </c>
      <c r="EC140" s="21">
        <f>EXP(-LN(2)/2)*EC139+(1-EXP(-LN(2)/2))/(LN(2)/2)*DW140*DZ140*VLOOKUP('Données projet'!$B$14,Paramètres!$A$1:$I$89,3,0)*0.475*44/12</f>
        <v>1.8871753197147586E-15</v>
      </c>
      <c r="ED140" s="22">
        <f t="shared" si="126"/>
        <v>1.4482693547735634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1.1368683772161603E-13</v>
      </c>
      <c r="EK140" s="17">
        <f>EJ140*VLOOKUP('Données projet'!$B$15,Paramètres!$A$1:$I$89,3,0)*VLOOKUP('Données projet'!$B$15,Paramètres!$A$1:$I$89,5,0)</f>
        <v>6.7984728957526396E-14</v>
      </c>
      <c r="EL140" s="13">
        <f t="shared" si="153"/>
        <v>1.0682447123141398E-12</v>
      </c>
      <c r="EM140" s="20">
        <f t="shared" si="127"/>
        <v>1.978932943548152E-12</v>
      </c>
      <c r="EN140" s="59">
        <f t="shared" si="128"/>
        <v>293.3333333333353</v>
      </c>
      <c r="EO140" s="59">
        <f ca="1">AVERAGE(OFFSET($EN$3,0,0,'Données projet'!$E$15+1,1))-AVERAGE(OFFSET($H$3,0,0,'Données projet'!$E$15+1,1))</f>
        <v>259.30247982593914</v>
      </c>
      <c r="EP140" s="59">
        <f t="shared" si="154"/>
        <v>275.24740346220779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0.92823922171390805</v>
      </c>
      <c r="EX140" s="21">
        <f>EXP(-LN(2)/2)*EX139+(1-EXP(-LN(2)/2))/(LN(2)/2)*ER140*EU140*VLOOKUP('Données projet'!$B$15,Paramètres!$A$1:$I$89,3,0)*0.475*44/12</f>
        <v>2.2515494972025586E-15</v>
      </c>
      <c r="EY140" s="22">
        <f t="shared" si="129"/>
        <v>0.92823922171391027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-5.6843418860808015E-13</v>
      </c>
      <c r="FF140" s="17">
        <f>FE140*VLOOKUP('Données projet'!$B$16,Paramètres!$A$1:$I$89,3,0)*VLOOKUP('Données projet'!$B$16,Paramètres!$A$1:$I$89,5,0)</f>
        <v>-5.763922672485933E-13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372.91317851957336</v>
      </c>
      <c r="FK140" s="59">
        <f t="shared" si="156"/>
        <v>269.69187715858413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0.32430216422800973</v>
      </c>
      <c r="FR140" s="21">
        <f>EXP(-LN(2)/25)*FR139+(1-EXP(-LN(2)/25))/(LN(2)/25)*Calculateur!FM140*Calculateur!FO140*VLOOKUP('Données projet'!$B$16,Paramètres!$A$1:$I$89,3,0)*0.475*44/12</f>
        <v>0.78197505536386902</v>
      </c>
      <c r="FS140" s="21">
        <f>EXP(-LN(2)/2)*FS139+(1-EXP(-LN(2)/2))/(LN(2)/2)*FM140*FP140*VLOOKUP('Données projet'!$B$16,Paramètres!$A$1:$I$89,3,0)*0.475*44/12</f>
        <v>1.912677810892399E-15</v>
      </c>
      <c r="FT140" s="22">
        <f t="shared" si="132"/>
        <v>1.1062772195918809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-1.1368683772161603E-13</v>
      </c>
      <c r="GA140" s="17">
        <f>FZ140*VLOOKUP('Données projet'!$B$17,Paramètres!$A$1:$I$89,3,0)*VLOOKUP('Données projet'!$B$17,Paramètres!$A$1:$I$89,5,0)</f>
        <v>-5.3205440053716299E-14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215.23235148064941</v>
      </c>
      <c r="GF140" s="59">
        <f t="shared" si="158"/>
        <v>184.07239726900434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0.37660655877038063</v>
      </c>
      <c r="GM140" s="21">
        <f>EXP(-LN(2)/25)*GM139+(1-EXP(-LN(2)/25))/(LN(2)/25)*Calculateur!GH140*Calculateur!GJ140*VLOOKUP('Données projet'!$B$17,Paramètres!$A$1:$I$89,3,0)*0.475*44/12</f>
        <v>0.40435561740090259</v>
      </c>
      <c r="GN140" s="21">
        <f>EXP(-LN(2)/2)*GN139+(1-EXP(-LN(2)/2))/(LN(2)/2)*GH140*GK140*VLOOKUP('Données projet'!$B$17,Paramètres!$A$1:$I$89,3,0)*0.475*44/12</f>
        <v>7.7187130720803599E-16</v>
      </c>
      <c r="GO140" s="21">
        <f t="shared" si="135"/>
        <v>0.78096217617128405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-1.1368683772161603E-13</v>
      </c>
      <c r="GV140" s="17">
        <f>GU140*VLOOKUP('Données projet'!$B$18,Paramètres!$A$1:$I$89,3,0)*VLOOKUP('Données projet'!$B$18,Paramètres!$A$1:$I$89,5,0)</f>
        <v>-6.7984728957526396E-14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227.89848316900191</v>
      </c>
      <c r="HA140" s="59">
        <f t="shared" si="160"/>
        <v>239.85955661394541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0.95420251742933837</v>
      </c>
      <c r="HH140" s="21">
        <f>EXP(-LN(2)/25)*HH139+(1-EXP(-LN(2)/25))/(LN(2)/25)*Calculateur!HC140*Calculateur!HE140*VLOOKUP('Données projet'!$B$18,Paramètres!$A$1:$I$89,3,0)*0.475*44/12</f>
        <v>0.88245603243660498</v>
      </c>
      <c r="HI140" s="21">
        <f>EXP(-LN(2)/2)*HI139+(1-EXP(-LN(2)/2))/(LN(2)/2)*HC140*HF140*VLOOKUP('Données projet'!$B$18,Paramètres!$A$1:$I$89,3,0)*0.475*44/12</f>
        <v>5.2626128325429752E-16</v>
      </c>
      <c r="HJ140" s="22">
        <f t="shared" si="138"/>
        <v>1.8366585498659438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2.5420376914553347E-13</v>
      </c>
      <c r="P141" s="13">
        <f t="shared" si="141"/>
        <v>3.4258699088369875E-12</v>
      </c>
      <c r="Q141" s="20">
        <f t="shared" si="108"/>
        <v>6.4094616558195571E-12</v>
      </c>
      <c r="R141" s="59">
        <f t="shared" si="109"/>
        <v>293.33333333333974</v>
      </c>
      <c r="S141" s="59">
        <f ca="1">AVERAGE(OFFSET($R$3,0,0,'Données projet'!$E$9+1,1))-AVERAGE(OFFSET($H$3,0,0,'Données projet'!$E$9+1,1))</f>
        <v>370.69652285220093</v>
      </c>
      <c r="T141" s="59">
        <f t="shared" si="142"/>
        <v>376.53494965377718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1.2106283408706313</v>
      </c>
      <c r="AA141" s="21">
        <f>EXP(-LN(2)/25)*AA140+(1-EXP(-LN(2)/25))/(LN(2)/25)*Calculateur!V141*Calculateur!X141*VLOOKUP('Données projet'!$B$9,Paramètres!$A$1:$I$89,3,0)*0.475*44/12</f>
        <v>1.6725166798138544</v>
      </c>
      <c r="AB141" s="21">
        <f>EXP(-LN(2)/2)*AB140+(1-EXP(-LN(2)/2))/(LN(2)/2)*V141*Y141*VLOOKUP('Données projet'!$B$9,Paramètres!$A$1:$I$89,3,0)*0.475*44/12</f>
        <v>1.8168669092201771E-15</v>
      </c>
      <c r="AC141" s="22">
        <f t="shared" si="111"/>
        <v>2.8831450206844877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-5.6843418860808015E-13</v>
      </c>
      <c r="AJ141" s="13">
        <f>AI141*VLOOKUP('Données projet'!$B$10,Paramètres!$A$1:$I$89,3,0)*VLOOKUP('Données projet'!$B$10,Paramètres!$A$1:$I$89,5,0)</f>
        <v>-5.1431925385259092E-13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321.03881567735544</v>
      </c>
      <c r="AO141" s="59">
        <f t="shared" si="144"/>
        <v>234.87694492493506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0.28370280311311752</v>
      </c>
      <c r="AV141" s="21">
        <f>EXP(-LN(2)/25)*AV140+(1-EXP(-LN(2)/25))/(LN(2)/25)*Calculateur!AQ141*Calculateur!AS141*VLOOKUP('Données projet'!$B$10,Paramètres!$A$1:$I$89,3,0)*0.475*44/12</f>
        <v>0.67868200874545337</v>
      </c>
      <c r="AW141" s="21">
        <f>EXP(-LN(2)/2)*AW140+(1-EXP(-LN(2)/2))/(LN(2)/2)*AQ141*AT141*VLOOKUP('Données projet'!$B$10,Paramètres!$A$1:$I$89,3,0)*0.475*44/12</f>
        <v>1.2068171095047589E-15</v>
      </c>
      <c r="AX141" s="21">
        <f t="shared" si="114"/>
        <v>0.96238481185857216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3.1036506698001181E-13</v>
      </c>
      <c r="BF141" s="13">
        <f t="shared" si="145"/>
        <v>4.086682523110923E-12</v>
      </c>
      <c r="BG141" s="20">
        <f t="shared" si="115"/>
        <v>7.6581912194083782E-12</v>
      </c>
      <c r="BH141" s="59">
        <f t="shared" si="116"/>
        <v>293.33333333334099</v>
      </c>
      <c r="BI141" s="59">
        <f ca="1">AVERAGE(OFFSET($BH$3,0,0,'Données projet'!$E$11+1,1))-AVERAGE(OFFSET($H$3,0,0,'Données projet'!$E$11+1,1))</f>
        <v>248.1486444660062</v>
      </c>
      <c r="BJ141" s="59">
        <f t="shared" si="146"/>
        <v>293.34458072322127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1.0033114368314739</v>
      </c>
      <c r="BQ141" s="21">
        <f>EXP(-LN(2)/25)*BQ140+(1-EXP(-LN(2)/25))/(LN(2)/25)*Calculateur!BL141*Calculateur!BN141*VLOOKUP('Données projet'!$B$11,Paramètres!$A$1:$I$89,3,0)*0.475*44/12</f>
        <v>1.7041630000152252</v>
      </c>
      <c r="BR141" s="21">
        <f>EXP(-LN(2)/2)*BR140+(1-EXP(-LN(2)/2))/(LN(2)/2)*BL141*BO141*VLOOKUP('Données projet'!$B$11,Paramètres!$A$1:$I$89,3,0)*0.475*44/12</f>
        <v>1.3979054644323171E-15</v>
      </c>
      <c r="BS141" s="22">
        <f t="shared" si="117"/>
        <v>2.7074744368467005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243.38048563215585</v>
      </c>
      <c r="CE141" s="59">
        <f t="shared" si="148"/>
        <v>372.1604147006675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0.86089126461911591</v>
      </c>
      <c r="CL141" s="21">
        <f>EXP(-LN(2)/25)*CL140+(1-EXP(-LN(2)/25))/(LN(2)/25)*Calculateur!CG141*Calculateur!CI141*VLOOKUP('Données projet'!$B$12,Paramètres!$A$1:$I$89,3,0)*0.475*44/12</f>
        <v>0.96941614099290818</v>
      </c>
      <c r="CM141" s="21">
        <f>EXP(-LN(2)/2)*CM140+(1-EXP(-LN(2)/2))/(LN(2)/2)*CG141*CJ141*VLOOKUP('Données projet'!$B$12,Paramètres!$A$1:$I$89,3,0)*0.475*44/12</f>
        <v>1.6273060239969751E-15</v>
      </c>
      <c r="CN141" s="22">
        <f t="shared" si="120"/>
        <v>1.8303074056120257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7.9580786405131221E-13</v>
      </c>
      <c r="CU141" s="17">
        <f>CT141*VLOOKUP('Données projet'!$B$13,Paramètres!$A$1:$I$89,3,0)*VLOOKUP('Données projet'!$B$13,Paramètres!$A$1:$I$89,5,0)</f>
        <v>3.8278358260868117E-13</v>
      </c>
      <c r="CV141" s="13">
        <f t="shared" si="149"/>
        <v>4.9186917125089072E-12</v>
      </c>
      <c r="CW141" s="20">
        <f t="shared" si="121"/>
        <v>9.2334028056631319E-12</v>
      </c>
      <c r="CX141" s="59">
        <f t="shared" si="122"/>
        <v>293.33333333334252</v>
      </c>
      <c r="CY141" s="59">
        <f ca="1">AVERAGE(OFFSET($CX$3,0,0,'Données projet'!$E$13+1,1))-AVERAGE(OFFSET($H$3,0,0,'Données projet'!$E$13+1,1))</f>
        <v>297.21955661193238</v>
      </c>
      <c r="CZ141" s="59">
        <f t="shared" si="150"/>
        <v>273.69206144662144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0.79367882369370302</v>
      </c>
      <c r="DG141" s="21">
        <f>EXP(-LN(2)/25)*DG140+(1-EXP(-LN(2)/25))/(LN(2)/25)*Calculateur!DB141*Calculateur!DD141*VLOOKUP('Données projet'!$B$13,Paramètres!$A$1:$I$89,3,0)*0.475*44/12</f>
        <v>0.67205436666411456</v>
      </c>
      <c r="DH141" s="21">
        <f>EXP(-LN(2)/2)*DH140+(1-EXP(-LN(2)/2))/(LN(2)/2)*DB141*DE141*VLOOKUP('Données projet'!$B$13,Paramètres!$A$1:$I$89,3,0)*0.475*44/12</f>
        <v>1.1608926835511754E-15</v>
      </c>
      <c r="DI141" s="22">
        <f t="shared" si="123"/>
        <v>1.4657331903578188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-4.0702161641092972E-13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260.20517190557814</v>
      </c>
      <c r="DU141" s="59">
        <f t="shared" si="152"/>
        <v>307.22009971147133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0.38434677065695544</v>
      </c>
      <c r="EB141" s="21">
        <f>EXP(-LN(2)/25)*EB140+(1-EXP(-LN(2)/25))/(LN(2)/25)*Calculateur!DW141*Calculateur!DY141*VLOOKUP('Données projet'!$B$14,Paramètres!$A$1:$I$89,3,0)*0.475*44/12</f>
        <v>1.0273522276838005</v>
      </c>
      <c r="EC141" s="21">
        <f>EXP(-LN(2)/2)*EC140+(1-EXP(-LN(2)/2))/(LN(2)/2)*DW141*DZ141*VLOOKUP('Données projet'!$B$14,Paramètres!$A$1:$I$89,3,0)*0.475*44/12</f>
        <v>1.3344344658581967E-15</v>
      </c>
      <c r="ED141" s="22">
        <f t="shared" si="126"/>
        <v>1.4116989983407573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1.1368683772161603E-13</v>
      </c>
      <c r="EK141" s="17">
        <f>EJ141*VLOOKUP('Données projet'!$B$15,Paramètres!$A$1:$I$89,3,0)*VLOOKUP('Données projet'!$B$15,Paramètres!$A$1:$I$89,5,0)</f>
        <v>6.7984728957526396E-14</v>
      </c>
      <c r="EL141" s="13">
        <f t="shared" si="153"/>
        <v>1.0682447123141398E-12</v>
      </c>
      <c r="EM141" s="20">
        <f t="shared" si="127"/>
        <v>1.978932943548152E-12</v>
      </c>
      <c r="EN141" s="59">
        <f t="shared" si="128"/>
        <v>293.3333333333353</v>
      </c>
      <c r="EO141" s="59">
        <f ca="1">AVERAGE(OFFSET($EN$3,0,0,'Données projet'!$E$15+1,1))-AVERAGE(OFFSET($H$3,0,0,'Données projet'!$E$15+1,1))</f>
        <v>259.30247982593914</v>
      </c>
      <c r="EP141" s="59">
        <f t="shared" si="154"/>
        <v>275.24740346220779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0.90285647138216207</v>
      </c>
      <c r="EX141" s="21">
        <f>EXP(-LN(2)/2)*EX140+(1-EXP(-LN(2)/2))/(LN(2)/2)*ER141*EU141*VLOOKUP('Données projet'!$B$15,Paramètres!$A$1:$I$89,3,0)*0.475*44/12</f>
        <v>1.5920859176490907E-15</v>
      </c>
      <c r="EY141" s="22">
        <f t="shared" si="129"/>
        <v>0.90285647138216363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-5.6843418860808015E-13</v>
      </c>
      <c r="FF141" s="17">
        <f>FE141*VLOOKUP('Données projet'!$B$16,Paramètres!$A$1:$I$89,3,0)*VLOOKUP('Données projet'!$B$16,Paramètres!$A$1:$I$89,5,0)</f>
        <v>-5.763922672485933E-13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372.91317851957336</v>
      </c>
      <c r="FK141" s="59">
        <f t="shared" si="156"/>
        <v>269.69187715858413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0.31794279659228702</v>
      </c>
      <c r="FR141" s="21">
        <f>EXP(-LN(2)/25)*FR140+(1-EXP(-LN(2)/25))/(LN(2)/25)*Calculateur!FM141*Calculateur!FO141*VLOOKUP('Données projet'!$B$16,Paramètres!$A$1:$I$89,3,0)*0.475*44/12</f>
        <v>0.76059190635266305</v>
      </c>
      <c r="FS141" s="21">
        <f>EXP(-LN(2)/2)*FS140+(1-EXP(-LN(2)/2))/(LN(2)/2)*FM141*FP141*VLOOKUP('Données projet'!$B$16,Paramètres!$A$1:$I$89,3,0)*0.475*44/12</f>
        <v>1.3524674503070563E-15</v>
      </c>
      <c r="FT141" s="22">
        <f t="shared" si="132"/>
        <v>1.0785347029449515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-1.1368683772161603E-13</v>
      </c>
      <c r="GA141" s="17">
        <f>FZ141*VLOOKUP('Données projet'!$B$17,Paramètres!$A$1:$I$89,3,0)*VLOOKUP('Données projet'!$B$17,Paramètres!$A$1:$I$89,5,0)</f>
        <v>-5.3205440053716299E-14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215.23235148064941</v>
      </c>
      <c r="GF141" s="59">
        <f t="shared" si="158"/>
        <v>184.07239726900434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0.36922153386021261</v>
      </c>
      <c r="GM141" s="21">
        <f>EXP(-LN(2)/25)*GM140+(1-EXP(-LN(2)/25))/(LN(2)/25)*Calculateur!GH141*Calculateur!GJ141*VLOOKUP('Données projet'!$B$17,Paramètres!$A$1:$I$89,3,0)*0.475*44/12</f>
        <v>0.39329849177893716</v>
      </c>
      <c r="GN141" s="21">
        <f>EXP(-LN(2)/2)*GN140+(1-EXP(-LN(2)/2))/(LN(2)/2)*GH141*GK141*VLOOKUP('Données projet'!$B$17,Paramètres!$A$1:$I$89,3,0)*0.475*44/12</f>
        <v>5.457954355301271E-16</v>
      </c>
      <c r="GO141" s="21">
        <f t="shared" si="135"/>
        <v>0.76252002563915033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-1.1368683772161603E-13</v>
      </c>
      <c r="GV141" s="17">
        <f>GU141*VLOOKUP('Données projet'!$B$18,Paramètres!$A$1:$I$89,3,0)*VLOOKUP('Données projet'!$B$18,Paramètres!$A$1:$I$89,5,0)</f>
        <v>-6.7984728957526396E-14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227.89848316900191</v>
      </c>
      <c r="HA141" s="59">
        <f t="shared" si="160"/>
        <v>239.85955661394541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0.93549118806861631</v>
      </c>
      <c r="HH141" s="21">
        <f>EXP(-LN(2)/25)*HH140+(1-EXP(-LN(2)/25))/(LN(2)/25)*Calculateur!HC141*Calculateur!HE141*VLOOKUP('Données projet'!$B$18,Paramètres!$A$1:$I$89,3,0)*0.475*44/12</f>
        <v>0.85832522582328019</v>
      </c>
      <c r="HI141" s="21">
        <f>EXP(-LN(2)/2)*HI140+(1-EXP(-LN(2)/2))/(LN(2)/2)*HC141*HF141*VLOOKUP('Données projet'!$B$18,Paramètres!$A$1:$I$89,3,0)*0.475*44/12</f>
        <v>3.7212292206504826E-16</v>
      </c>
      <c r="HJ141" s="22">
        <f t="shared" si="138"/>
        <v>1.7938164138918968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2.5420376914553347E-13</v>
      </c>
      <c r="P142" s="13">
        <f t="shared" si="141"/>
        <v>3.4258699088369875E-12</v>
      </c>
      <c r="Q142" s="20">
        <f t="shared" si="108"/>
        <v>6.4094616558195571E-12</v>
      </c>
      <c r="R142" s="59">
        <f t="shared" si="109"/>
        <v>293.33333333333974</v>
      </c>
      <c r="S142" s="59">
        <f ca="1">AVERAGE(OFFSET($R$3,0,0,'Données projet'!$E$9+1,1))-AVERAGE(OFFSET($H$3,0,0,'Données projet'!$E$9+1,1))</f>
        <v>370.69652285220093</v>
      </c>
      <c r="T142" s="59">
        <f t="shared" si="142"/>
        <v>376.53494965377718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1.1868886575165343</v>
      </c>
      <c r="AA142" s="21">
        <f>EXP(-LN(2)/25)*AA141+(1-EXP(-LN(2)/25))/(LN(2)/25)*Calculateur!V142*Calculateur!X142*VLOOKUP('Données projet'!$B$9,Paramètres!$A$1:$I$89,3,0)*0.475*44/12</f>
        <v>1.626781623250515</v>
      </c>
      <c r="AB142" s="21">
        <f>EXP(-LN(2)/2)*AB141+(1-EXP(-LN(2)/2))/(LN(2)/2)*V142*Y142*VLOOKUP('Données projet'!$B$9,Paramètres!$A$1:$I$89,3,0)*0.475*44/12</f>
        <v>1.2847189120230307E-15</v>
      </c>
      <c r="AC142" s="22">
        <f t="shared" si="111"/>
        <v>2.8136702807670506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-5.6843418860808015E-13</v>
      </c>
      <c r="AJ142" s="13">
        <f>AI142*VLOOKUP('Données projet'!$B$10,Paramètres!$A$1:$I$89,3,0)*VLOOKUP('Données projet'!$B$10,Paramètres!$A$1:$I$89,5,0)</f>
        <v>-5.1431925385259092E-13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321.03881567735544</v>
      </c>
      <c r="AO142" s="59">
        <f t="shared" si="144"/>
        <v>234.87694492493506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0.27813956418569274</v>
      </c>
      <c r="AV142" s="21">
        <f>EXP(-LN(2)/25)*AV141+(1-EXP(-LN(2)/25))/(LN(2)/25)*Calculateur!AQ142*Calculateur!AS142*VLOOKUP('Données projet'!$B$10,Paramètres!$A$1:$I$89,3,0)*0.475*44/12</f>
        <v>0.66012341352597326</v>
      </c>
      <c r="AW142" s="21">
        <f>EXP(-LN(2)/2)*AW141+(1-EXP(-LN(2)/2))/(LN(2)/2)*AQ142*AT142*VLOOKUP('Données projet'!$B$10,Paramètres!$A$1:$I$89,3,0)*0.475*44/12</f>
        <v>8.5334856178276334E-16</v>
      </c>
      <c r="AX142" s="21">
        <f t="shared" si="114"/>
        <v>0.93826297771166689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3.1036506698001181E-13</v>
      </c>
      <c r="BF142" s="13">
        <f t="shared" si="145"/>
        <v>4.086682523110923E-12</v>
      </c>
      <c r="BG142" s="20">
        <f t="shared" si="115"/>
        <v>7.6581912194083782E-12</v>
      </c>
      <c r="BH142" s="59">
        <f t="shared" si="116"/>
        <v>293.33333333334099</v>
      </c>
      <c r="BI142" s="59">
        <f ca="1">AVERAGE(OFFSET($BH$3,0,0,'Données projet'!$E$11+1,1))-AVERAGE(OFFSET($H$3,0,0,'Données projet'!$E$11+1,1))</f>
        <v>248.1486444660062</v>
      </c>
      <c r="BJ142" s="59">
        <f t="shared" si="146"/>
        <v>293.34458072322127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0.98363711151475919</v>
      </c>
      <c r="BQ142" s="21">
        <f>EXP(-LN(2)/25)*BQ141+(1-EXP(-LN(2)/25))/(LN(2)/25)*Calculateur!BL142*Calculateur!BN142*VLOOKUP('Données projet'!$B$11,Paramètres!$A$1:$I$89,3,0)*0.475*44/12</f>
        <v>1.6575625731617716</v>
      </c>
      <c r="BR142" s="21">
        <f>EXP(-LN(2)/2)*BR141+(1-EXP(-LN(2)/2))/(LN(2)/2)*BL142*BO142*VLOOKUP('Données projet'!$B$11,Paramètres!$A$1:$I$89,3,0)*0.475*44/12</f>
        <v>9.884684333578215E-16</v>
      </c>
      <c r="BS142" s="22">
        <f t="shared" si="117"/>
        <v>2.6411996846765318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243.38048563215585</v>
      </c>
      <c r="CE142" s="59">
        <f t="shared" si="148"/>
        <v>372.1604147006675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0.84400971201175801</v>
      </c>
      <c r="CL142" s="21">
        <f>EXP(-LN(2)/25)*CL141+(1-EXP(-LN(2)/25))/(LN(2)/25)*Calculateur!CG142*Calculateur!CI142*VLOOKUP('Données projet'!$B$12,Paramètres!$A$1:$I$89,3,0)*0.475*44/12</f>
        <v>0.94290740563807784</v>
      </c>
      <c r="CM142" s="21">
        <f>EXP(-LN(2)/2)*CM141+(1-EXP(-LN(2)/2))/(LN(2)/2)*CG142*CJ142*VLOOKUP('Données projet'!$B$12,Paramètres!$A$1:$I$89,3,0)*0.475*44/12</f>
        <v>1.1506791246339797E-15</v>
      </c>
      <c r="CN142" s="22">
        <f t="shared" si="120"/>
        <v>1.7869171176498371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7.9580786405131221E-13</v>
      </c>
      <c r="CU142" s="17">
        <f>CT142*VLOOKUP('Données projet'!$B$13,Paramètres!$A$1:$I$89,3,0)*VLOOKUP('Données projet'!$B$13,Paramètres!$A$1:$I$89,5,0)</f>
        <v>3.8278358260868117E-13</v>
      </c>
      <c r="CV142" s="13">
        <f t="shared" si="149"/>
        <v>4.9186917125089072E-12</v>
      </c>
      <c r="CW142" s="20">
        <f t="shared" si="121"/>
        <v>9.2334028056631319E-12</v>
      </c>
      <c r="CX142" s="59">
        <f t="shared" si="122"/>
        <v>293.33333333334252</v>
      </c>
      <c r="CY142" s="59">
        <f ca="1">AVERAGE(OFFSET($CX$3,0,0,'Données projet'!$E$13+1,1))-AVERAGE(OFFSET($H$3,0,0,'Données projet'!$E$13+1,1))</f>
        <v>297.21955661193238</v>
      </c>
      <c r="CZ142" s="59">
        <f t="shared" si="150"/>
        <v>273.69206144662144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0.77811526605735137</v>
      </c>
      <c r="DG142" s="21">
        <f>EXP(-LN(2)/25)*DG141+(1-EXP(-LN(2)/25))/(LN(2)/25)*Calculateur!DB142*Calculateur!DD142*VLOOKUP('Données projet'!$B$13,Paramètres!$A$1:$I$89,3,0)*0.475*44/12</f>
        <v>0.65367700466588119</v>
      </c>
      <c r="DH142" s="21">
        <f>EXP(-LN(2)/2)*DH141+(1-EXP(-LN(2)/2))/(LN(2)/2)*DB142*DE142*VLOOKUP('Données projet'!$B$13,Paramètres!$A$1:$I$89,3,0)*0.475*44/12</f>
        <v>8.2087508876888497E-16</v>
      </c>
      <c r="DI142" s="22">
        <f t="shared" si="123"/>
        <v>1.4317922707232333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-4.0702161641092972E-13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260.20517190557814</v>
      </c>
      <c r="DU142" s="59">
        <f t="shared" si="152"/>
        <v>307.22009971147133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0.37680996491275476</v>
      </c>
      <c r="EB142" s="21">
        <f>EXP(-LN(2)/25)*EB141+(1-EXP(-LN(2)/25))/(LN(2)/25)*Calculateur!DW142*Calculateur!DY142*VLOOKUP('Données projet'!$B$14,Paramètres!$A$1:$I$89,3,0)*0.475*44/12</f>
        <v>0.99925922699168135</v>
      </c>
      <c r="EC142" s="21">
        <f>EXP(-LN(2)/2)*EC141+(1-EXP(-LN(2)/2))/(LN(2)/2)*DW142*DZ142*VLOOKUP('Données projet'!$B$14,Paramètres!$A$1:$I$89,3,0)*0.475*44/12</f>
        <v>9.4358765985737932E-16</v>
      </c>
      <c r="ED142" s="22">
        <f t="shared" si="126"/>
        <v>1.376069191904437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1.1368683772161603E-13</v>
      </c>
      <c r="EK142" s="17">
        <f>EJ142*VLOOKUP('Données projet'!$B$15,Paramètres!$A$1:$I$89,3,0)*VLOOKUP('Données projet'!$B$15,Paramètres!$A$1:$I$89,5,0)</f>
        <v>6.7984728957526396E-14</v>
      </c>
      <c r="EL142" s="13">
        <f t="shared" si="153"/>
        <v>1.0682447123141398E-12</v>
      </c>
      <c r="EM142" s="20">
        <f t="shared" si="127"/>
        <v>1.978932943548152E-12</v>
      </c>
      <c r="EN142" s="59">
        <f t="shared" si="128"/>
        <v>293.3333333333353</v>
      </c>
      <c r="EO142" s="59">
        <f ca="1">AVERAGE(OFFSET($EN$3,0,0,'Données projet'!$E$15+1,1))-AVERAGE(OFFSET($H$3,0,0,'Données projet'!$E$15+1,1))</f>
        <v>259.30247982593914</v>
      </c>
      <c r="EP142" s="59">
        <f t="shared" si="154"/>
        <v>275.24740346220779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0.87816781369305852</v>
      </c>
      <c r="EX142" s="21">
        <f>EXP(-LN(2)/2)*EX141+(1-EXP(-LN(2)/2))/(LN(2)/2)*ER142*EU142*VLOOKUP('Données projet'!$B$15,Paramètres!$A$1:$I$89,3,0)*0.475*44/12</f>
        <v>1.1257747486012793E-15</v>
      </c>
      <c r="EY142" s="22">
        <f t="shared" si="129"/>
        <v>0.87816781369305963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-5.6843418860808015E-13</v>
      </c>
      <c r="FF142" s="17">
        <f>FE142*VLOOKUP('Données projet'!$B$16,Paramètres!$A$1:$I$89,3,0)*VLOOKUP('Données projet'!$B$16,Paramètres!$A$1:$I$89,5,0)</f>
        <v>-5.763922672485933E-13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372.91317851957336</v>
      </c>
      <c r="FK142" s="59">
        <f t="shared" si="156"/>
        <v>269.69187715858413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0.31170813227706962</v>
      </c>
      <c r="FR142" s="21">
        <f>EXP(-LN(2)/25)*FR141+(1-EXP(-LN(2)/25))/(LN(2)/25)*Calculateur!FM142*Calculateur!FO142*VLOOKUP('Données projet'!$B$16,Paramètres!$A$1:$I$89,3,0)*0.475*44/12</f>
        <v>0.73979348067565953</v>
      </c>
      <c r="FS142" s="21">
        <f>EXP(-LN(2)/2)*FS141+(1-EXP(-LN(2)/2))/(LN(2)/2)*FM142*FP142*VLOOKUP('Données projet'!$B$16,Paramètres!$A$1:$I$89,3,0)*0.475*44/12</f>
        <v>9.5633890544619952E-16</v>
      </c>
      <c r="FT142" s="22">
        <f t="shared" si="132"/>
        <v>1.0515016129527299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-1.1368683772161603E-13</v>
      </c>
      <c r="GA142" s="17">
        <f>FZ142*VLOOKUP('Données projet'!$B$17,Paramètres!$A$1:$I$89,3,0)*VLOOKUP('Données projet'!$B$17,Paramètres!$A$1:$I$89,5,0)</f>
        <v>-5.3205440053716299E-14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215.23235148064941</v>
      </c>
      <c r="GF142" s="59">
        <f t="shared" si="158"/>
        <v>184.07239726900434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0.36198132478411255</v>
      </c>
      <c r="GM142" s="21">
        <f>EXP(-LN(2)/25)*GM141+(1-EXP(-LN(2)/25))/(LN(2)/25)*Calculateur!GH142*Calculateur!GJ142*VLOOKUP('Données projet'!$B$17,Paramètres!$A$1:$I$89,3,0)*0.475*44/12</f>
        <v>0.38254372383857332</v>
      </c>
      <c r="GN142" s="21">
        <f>EXP(-LN(2)/2)*GN141+(1-EXP(-LN(2)/2))/(LN(2)/2)*GH142*GK142*VLOOKUP('Données projet'!$B$17,Paramètres!$A$1:$I$89,3,0)*0.475*44/12</f>
        <v>3.85935653604018E-16</v>
      </c>
      <c r="GO142" s="21">
        <f t="shared" si="135"/>
        <v>0.7445250486226862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-1.1368683772161603E-13</v>
      </c>
      <c r="GV142" s="17">
        <f>GU142*VLOOKUP('Données projet'!$B$18,Paramètres!$A$1:$I$89,3,0)*VLOOKUP('Données projet'!$B$18,Paramètres!$A$1:$I$89,5,0)</f>
        <v>-6.7984728957526396E-14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227.89848316900191</v>
      </c>
      <c r="HA142" s="59">
        <f t="shared" si="160"/>
        <v>239.85955661394541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0.9171467764638741</v>
      </c>
      <c r="HH142" s="21">
        <f>EXP(-LN(2)/25)*HH141+(1-EXP(-LN(2)/25))/(LN(2)/25)*Calculateur!HC142*Calculateur!HE142*VLOOKUP('Données projet'!$B$18,Paramètres!$A$1:$I$89,3,0)*0.475*44/12</f>
        <v>0.83485427738578066</v>
      </c>
      <c r="HI142" s="21">
        <f>EXP(-LN(2)/2)*HI141+(1-EXP(-LN(2)/2))/(LN(2)/2)*HC142*HF142*VLOOKUP('Données projet'!$B$18,Paramètres!$A$1:$I$89,3,0)*0.475*44/12</f>
        <v>2.6313064162714876E-16</v>
      </c>
      <c r="HJ142" s="22">
        <f t="shared" si="138"/>
        <v>1.7520010538496551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2.5420376914553347E-13</v>
      </c>
      <c r="P143" s="13">
        <f t="shared" si="141"/>
        <v>3.4258699088369875E-12</v>
      </c>
      <c r="Q143" s="20">
        <f t="shared" si="108"/>
        <v>6.4094616558195571E-12</v>
      </c>
      <c r="R143" s="59">
        <f t="shared" si="109"/>
        <v>293.33333333333974</v>
      </c>
      <c r="S143" s="59">
        <f ca="1">AVERAGE(OFFSET($R$3,0,0,'Données projet'!$E$9+1,1))-AVERAGE(OFFSET($H$3,0,0,'Données projet'!$E$9+1,1))</f>
        <v>370.69652285220093</v>
      </c>
      <c r="T143" s="59">
        <f t="shared" si="142"/>
        <v>376.53494965377718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1.1636144948732339</v>
      </c>
      <c r="AA143" s="21">
        <f>EXP(-LN(2)/25)*AA142+(1-EXP(-LN(2)/25))/(LN(2)/25)*Calculateur!V143*Calculateur!X143*VLOOKUP('Données projet'!$B$9,Paramètres!$A$1:$I$89,3,0)*0.475*44/12</f>
        <v>1.5822971942140023</v>
      </c>
      <c r="AB143" s="21">
        <f>EXP(-LN(2)/2)*AB142+(1-EXP(-LN(2)/2))/(LN(2)/2)*V143*Y143*VLOOKUP('Données projet'!$B$9,Paramètres!$A$1:$I$89,3,0)*0.475*44/12</f>
        <v>9.0843345461008856E-16</v>
      </c>
      <c r="AC143" s="22">
        <f t="shared" si="111"/>
        <v>2.745911689087237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-5.6843418860808015E-13</v>
      </c>
      <c r="AJ143" s="13">
        <f>AI143*VLOOKUP('Données projet'!$B$10,Paramètres!$A$1:$I$89,3,0)*VLOOKUP('Données projet'!$B$10,Paramètres!$A$1:$I$89,5,0)</f>
        <v>-5.1431925385259092E-13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321.03881567735544</v>
      </c>
      <c r="AO143" s="59">
        <f t="shared" si="144"/>
        <v>234.87694492493506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0.27268541698039406</v>
      </c>
      <c r="AV143" s="21">
        <f>EXP(-LN(2)/25)*AV142+(1-EXP(-LN(2)/25))/(LN(2)/25)*Calculateur!AQ143*Calculateur!AS143*VLOOKUP('Données projet'!$B$10,Paramètres!$A$1:$I$89,3,0)*0.475*44/12</f>
        <v>0.64207230406872395</v>
      </c>
      <c r="AW143" s="21">
        <f>EXP(-LN(2)/2)*AW142+(1-EXP(-LN(2)/2))/(LN(2)/2)*AQ143*AT143*VLOOKUP('Données projet'!$B$10,Paramètres!$A$1:$I$89,3,0)*0.475*44/12</f>
        <v>6.0340855475237946E-16</v>
      </c>
      <c r="AX143" s="21">
        <f t="shared" si="114"/>
        <v>0.91475772104911857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3.1036506698001181E-13</v>
      </c>
      <c r="BF143" s="13">
        <f t="shared" si="145"/>
        <v>4.086682523110923E-12</v>
      </c>
      <c r="BG143" s="20">
        <f t="shared" si="115"/>
        <v>7.6581912194083782E-12</v>
      </c>
      <c r="BH143" s="59">
        <f t="shared" si="116"/>
        <v>293.33333333334099</v>
      </c>
      <c r="BI143" s="59">
        <f ca="1">AVERAGE(OFFSET($BH$3,0,0,'Données projet'!$E$11+1,1))-AVERAGE(OFFSET($H$3,0,0,'Données projet'!$E$11+1,1))</f>
        <v>248.1486444660062</v>
      </c>
      <c r="BJ143" s="59">
        <f t="shared" si="146"/>
        <v>293.34458072322127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0.96434858771735177</v>
      </c>
      <c r="BQ143" s="21">
        <f>EXP(-LN(2)/25)*BQ142+(1-EXP(-LN(2)/25))/(LN(2)/25)*Calculateur!BL143*Calculateur!BN143*VLOOKUP('Données projet'!$B$11,Paramètres!$A$1:$I$89,3,0)*0.475*44/12</f>
        <v>1.6122364374312357</v>
      </c>
      <c r="BR143" s="21">
        <f>EXP(-LN(2)/2)*BR142+(1-EXP(-LN(2)/2))/(LN(2)/2)*BL143*BO143*VLOOKUP('Données projet'!$B$11,Paramètres!$A$1:$I$89,3,0)*0.475*44/12</f>
        <v>6.9895273221615853E-16</v>
      </c>
      <c r="BS143" s="22">
        <f t="shared" si="117"/>
        <v>2.5765850251485882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243.38048563215585</v>
      </c>
      <c r="CE143" s="59">
        <f t="shared" si="148"/>
        <v>372.1604147006675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0.82745919635429999</v>
      </c>
      <c r="CL143" s="21">
        <f>EXP(-LN(2)/25)*CL142+(1-EXP(-LN(2)/25))/(LN(2)/25)*Calculateur!CG143*Calculateur!CI143*VLOOKUP('Données projet'!$B$12,Paramètres!$A$1:$I$89,3,0)*0.475*44/12</f>
        <v>0.91712355304555915</v>
      </c>
      <c r="CM143" s="21">
        <f>EXP(-LN(2)/2)*CM142+(1-EXP(-LN(2)/2))/(LN(2)/2)*CG143*CJ143*VLOOKUP('Données projet'!$B$12,Paramètres!$A$1:$I$89,3,0)*0.475*44/12</f>
        <v>8.1365301199848756E-16</v>
      </c>
      <c r="CN143" s="22">
        <f t="shared" si="120"/>
        <v>1.74458274939986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7.9580786405131221E-13</v>
      </c>
      <c r="CU143" s="17">
        <f>CT143*VLOOKUP('Données projet'!$B$13,Paramètres!$A$1:$I$89,3,0)*VLOOKUP('Données projet'!$B$13,Paramètres!$A$1:$I$89,5,0)</f>
        <v>3.8278358260868117E-13</v>
      </c>
      <c r="CV143" s="13">
        <f t="shared" si="149"/>
        <v>4.9186917125089072E-12</v>
      </c>
      <c r="CW143" s="20">
        <f t="shared" si="121"/>
        <v>9.2334028056631319E-12</v>
      </c>
      <c r="CX143" s="59">
        <f t="shared" si="122"/>
        <v>293.33333333334252</v>
      </c>
      <c r="CY143" s="59">
        <f ca="1">AVERAGE(OFFSET($CX$3,0,0,'Données projet'!$E$13+1,1))-AVERAGE(OFFSET($H$3,0,0,'Données projet'!$E$13+1,1))</f>
        <v>297.21955661193238</v>
      </c>
      <c r="CZ143" s="59">
        <f t="shared" si="150"/>
        <v>273.69206144662144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0.7628569002934158</v>
      </c>
      <c r="DG143" s="21">
        <f>EXP(-LN(2)/25)*DG142+(1-EXP(-LN(2)/25))/(LN(2)/25)*Calculateur!DB143*Calculateur!DD143*VLOOKUP('Données projet'!$B$13,Paramètres!$A$1:$I$89,3,0)*0.475*44/12</f>
        <v>0.63580217259791294</v>
      </c>
      <c r="DH143" s="21">
        <f>EXP(-LN(2)/2)*DH142+(1-EXP(-LN(2)/2))/(LN(2)/2)*DB143*DE143*VLOOKUP('Données projet'!$B$13,Paramètres!$A$1:$I$89,3,0)*0.475*44/12</f>
        <v>5.8044634177558771E-16</v>
      </c>
      <c r="DI143" s="22">
        <f t="shared" si="123"/>
        <v>1.3986590728913295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-4.0702161641092972E-13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260.20517190557814</v>
      </c>
      <c r="DU143" s="59">
        <f t="shared" si="152"/>
        <v>307.22009971147133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0.36942095133220026</v>
      </c>
      <c r="EB143" s="21">
        <f>EXP(-LN(2)/25)*EB142+(1-EXP(-LN(2)/25))/(LN(2)/25)*Calculateur!DW143*Calculateur!DY143*VLOOKUP('Données projet'!$B$14,Paramètres!$A$1:$I$89,3,0)*0.475*44/12</f>
        <v>0.97193443088083487</v>
      </c>
      <c r="EC143" s="21">
        <f>EXP(-LN(2)/2)*EC142+(1-EXP(-LN(2)/2))/(LN(2)/2)*DW143*DZ143*VLOOKUP('Données projet'!$B$14,Paramètres!$A$1:$I$89,3,0)*0.475*44/12</f>
        <v>6.6721723292909835E-16</v>
      </c>
      <c r="ED143" s="22">
        <f t="shared" si="126"/>
        <v>1.3413553822130357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1.1368683772161603E-13</v>
      </c>
      <c r="EK143" s="17">
        <f>EJ143*VLOOKUP('Données projet'!$B$15,Paramètres!$A$1:$I$89,3,0)*VLOOKUP('Données projet'!$B$15,Paramètres!$A$1:$I$89,5,0)</f>
        <v>6.7984728957526396E-14</v>
      </c>
      <c r="EL143" s="13">
        <f t="shared" si="153"/>
        <v>1.0682447123141398E-12</v>
      </c>
      <c r="EM143" s="20">
        <f t="shared" si="127"/>
        <v>1.978932943548152E-12</v>
      </c>
      <c r="EN143" s="59">
        <f t="shared" si="128"/>
        <v>293.3333333333353</v>
      </c>
      <c r="EO143" s="59">
        <f ca="1">AVERAGE(OFFSET($EN$3,0,0,'Données projet'!$E$15+1,1))-AVERAGE(OFFSET($H$3,0,0,'Données projet'!$E$15+1,1))</f>
        <v>259.30247982593914</v>
      </c>
      <c r="EP143" s="59">
        <f t="shared" si="154"/>
        <v>275.24740346220779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0.85415426864678357</v>
      </c>
      <c r="EX143" s="21">
        <f>EXP(-LN(2)/2)*EX142+(1-EXP(-LN(2)/2))/(LN(2)/2)*ER143*EU143*VLOOKUP('Données projet'!$B$15,Paramètres!$A$1:$I$89,3,0)*0.475*44/12</f>
        <v>7.9604295882454536E-16</v>
      </c>
      <c r="EY143" s="22">
        <f t="shared" si="129"/>
        <v>0.85415426864678434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-5.6843418860808015E-13</v>
      </c>
      <c r="FF143" s="17">
        <f>FE143*VLOOKUP('Données projet'!$B$16,Paramètres!$A$1:$I$89,3,0)*VLOOKUP('Données projet'!$B$16,Paramètres!$A$1:$I$89,5,0)</f>
        <v>-5.763922672485933E-13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372.91317851957336</v>
      </c>
      <c r="FK143" s="59">
        <f t="shared" si="156"/>
        <v>269.69187715858413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0.30559572592630385</v>
      </c>
      <c r="FR143" s="21">
        <f>EXP(-LN(2)/25)*FR142+(1-EXP(-LN(2)/25))/(LN(2)/25)*Calculateur!FM143*Calculateur!FO143*VLOOKUP('Données projet'!$B$16,Paramètres!$A$1:$I$89,3,0)*0.475*44/12</f>
        <v>0.71956378904253526</v>
      </c>
      <c r="FS143" s="21">
        <f>EXP(-LN(2)/2)*FS142+(1-EXP(-LN(2)/2))/(LN(2)/2)*FM143*FP143*VLOOKUP('Données projet'!$B$16,Paramètres!$A$1:$I$89,3,0)*0.475*44/12</f>
        <v>6.7623372515352817E-16</v>
      </c>
      <c r="FT143" s="22">
        <f t="shared" si="132"/>
        <v>1.0251595149688397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-1.1368683772161603E-13</v>
      </c>
      <c r="GA143" s="17">
        <f>FZ143*VLOOKUP('Données projet'!$B$17,Paramètres!$A$1:$I$89,3,0)*VLOOKUP('Données projet'!$B$17,Paramètres!$A$1:$I$89,5,0)</f>
        <v>-5.3205440053716299E-14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215.23235148064941</v>
      </c>
      <c r="GF143" s="59">
        <f t="shared" si="158"/>
        <v>184.07239726900434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0.3548830917919033</v>
      </c>
      <c r="GM143" s="21">
        <f>EXP(-LN(2)/25)*GM142+(1-EXP(-LN(2)/25))/(LN(2)/25)*Calculateur!GH143*Calculateur!GJ143*VLOOKUP('Données projet'!$B$17,Paramètres!$A$1:$I$89,3,0)*0.475*44/12</f>
        <v>0.3720830455931074</v>
      </c>
      <c r="GN143" s="21">
        <f>EXP(-LN(2)/2)*GN142+(1-EXP(-LN(2)/2))/(LN(2)/2)*GH143*GK143*VLOOKUP('Données projet'!$B$17,Paramètres!$A$1:$I$89,3,0)*0.475*44/12</f>
        <v>2.7289771776506355E-16</v>
      </c>
      <c r="GO143" s="21">
        <f t="shared" si="135"/>
        <v>0.72696613738501092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-1.1368683772161603E-13</v>
      </c>
      <c r="GV143" s="17">
        <f>GU143*VLOOKUP('Données projet'!$B$18,Paramètres!$A$1:$I$89,3,0)*VLOOKUP('Données projet'!$B$18,Paramètres!$A$1:$I$89,5,0)</f>
        <v>-6.7984728957526396E-14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227.89848316900191</v>
      </c>
      <c r="HA143" s="59">
        <f t="shared" si="160"/>
        <v>239.85955661394541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0.89916208758171456</v>
      </c>
      <c r="HH143" s="21">
        <f>EXP(-LN(2)/25)*HH142+(1-EXP(-LN(2)/25))/(LN(2)/25)*Calculateur!HC143*Calculateur!HE143*VLOOKUP('Données projet'!$B$18,Paramètres!$A$1:$I$89,3,0)*0.475*44/12</f>
        <v>0.81202514326758812</v>
      </c>
      <c r="HI143" s="21">
        <f>EXP(-LN(2)/2)*HI142+(1-EXP(-LN(2)/2))/(LN(2)/2)*HC143*HF143*VLOOKUP('Données projet'!$B$18,Paramètres!$A$1:$I$89,3,0)*0.475*44/12</f>
        <v>1.8606146103252413E-16</v>
      </c>
      <c r="HJ143" s="22">
        <f t="shared" si="138"/>
        <v>1.7111872308493028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2.5420376914553347E-13</v>
      </c>
      <c r="P144" s="13">
        <f t="shared" si="141"/>
        <v>3.4258699088369875E-12</v>
      </c>
      <c r="Q144" s="20">
        <f t="shared" si="108"/>
        <v>6.4094616558195571E-12</v>
      </c>
      <c r="R144" s="59">
        <f t="shared" si="109"/>
        <v>293.33333333333974</v>
      </c>
      <c r="S144" s="59">
        <f ca="1">AVERAGE(OFFSET($R$3,0,0,'Données projet'!$E$9+1,1))-AVERAGE(OFFSET($H$3,0,0,'Données projet'!$E$9+1,1))</f>
        <v>370.69652285220093</v>
      </c>
      <c r="T144" s="59">
        <f t="shared" si="142"/>
        <v>376.53494965377718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1.1407967243635311</v>
      </c>
      <c r="AA144" s="21">
        <f>EXP(-LN(2)/25)*AA143+(1-EXP(-LN(2)/25))/(LN(2)/25)*Calculateur!V144*Calculateur!X144*VLOOKUP('Données projet'!$B$9,Paramètres!$A$1:$I$89,3,0)*0.475*44/12</f>
        <v>1.5390291942288272</v>
      </c>
      <c r="AB144" s="21">
        <f>EXP(-LN(2)/2)*AB143+(1-EXP(-LN(2)/2))/(LN(2)/2)*V144*Y144*VLOOKUP('Données projet'!$B$9,Paramètres!$A$1:$I$89,3,0)*0.475*44/12</f>
        <v>6.4235945601151537E-16</v>
      </c>
      <c r="AC144" s="22">
        <f t="shared" si="111"/>
        <v>2.6798259185923587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-5.6843418860808015E-13</v>
      </c>
      <c r="AJ144" s="13">
        <f>AI144*VLOOKUP('Données projet'!$B$10,Paramètres!$A$1:$I$89,3,0)*VLOOKUP('Données projet'!$B$10,Paramètres!$A$1:$I$89,5,0)</f>
        <v>-5.1431925385259092E-13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321.03881567735544</v>
      </c>
      <c r="AO144" s="59">
        <f t="shared" si="144"/>
        <v>234.87694492493506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0.26733822227508997</v>
      </c>
      <c r="AV144" s="21">
        <f>EXP(-LN(2)/25)*AV143+(1-EXP(-LN(2)/25))/(LN(2)/25)*Calculateur!AQ144*Calculateur!AS144*VLOOKUP('Données projet'!$B$10,Paramètres!$A$1:$I$89,3,0)*0.475*44/12</f>
        <v>0.62451480314884966</v>
      </c>
      <c r="AW144" s="21">
        <f>EXP(-LN(2)/2)*AW143+(1-EXP(-LN(2)/2))/(LN(2)/2)*AQ144*AT144*VLOOKUP('Données projet'!$B$10,Paramètres!$A$1:$I$89,3,0)*0.475*44/12</f>
        <v>4.2667428089138167E-16</v>
      </c>
      <c r="AX144" s="21">
        <f t="shared" si="114"/>
        <v>0.89185302542394007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3.1036506698001181E-13</v>
      </c>
      <c r="BF144" s="13">
        <f t="shared" si="145"/>
        <v>4.086682523110923E-12</v>
      </c>
      <c r="BG144" s="20">
        <f t="shared" si="115"/>
        <v>7.6581912194083782E-12</v>
      </c>
      <c r="BH144" s="59">
        <f t="shared" si="116"/>
        <v>293.33333333334099</v>
      </c>
      <c r="BI144" s="59">
        <f ca="1">AVERAGE(OFFSET($BH$3,0,0,'Données projet'!$E$11+1,1))-AVERAGE(OFFSET($H$3,0,0,'Données projet'!$E$11+1,1))</f>
        <v>248.1486444660062</v>
      </c>
      <c r="BJ144" s="59">
        <f t="shared" si="146"/>
        <v>293.34458072322127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0.94543830010677365</v>
      </c>
      <c r="BQ144" s="21">
        <f>EXP(-LN(2)/25)*BQ143+(1-EXP(-LN(2)/25))/(LN(2)/25)*Calculateur!BL144*Calculateur!BN144*VLOOKUP('Données projet'!$B$11,Paramètres!$A$1:$I$89,3,0)*0.475*44/12</f>
        <v>1.5681497472658492</v>
      </c>
      <c r="BR144" s="21">
        <f>EXP(-LN(2)/2)*BR143+(1-EXP(-LN(2)/2))/(LN(2)/2)*BL144*BO144*VLOOKUP('Données projet'!$B$11,Paramètres!$A$1:$I$89,3,0)*0.475*44/12</f>
        <v>4.9423421667891075E-16</v>
      </c>
      <c r="BS144" s="22">
        <f t="shared" si="117"/>
        <v>2.5135880473726231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243.38048563215585</v>
      </c>
      <c r="CE144" s="59">
        <f t="shared" si="148"/>
        <v>372.1604147006675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0.8112332262140669</v>
      </c>
      <c r="CL144" s="21">
        <f>EXP(-LN(2)/25)*CL143+(1-EXP(-LN(2)/25))/(LN(2)/25)*Calculateur!CG144*Calculateur!CI144*VLOOKUP('Données projet'!$B$12,Paramètres!$A$1:$I$89,3,0)*0.475*44/12</f>
        <v>0.89204476125809684</v>
      </c>
      <c r="CM144" s="21">
        <f>EXP(-LN(2)/2)*CM143+(1-EXP(-LN(2)/2))/(LN(2)/2)*CG144*CJ144*VLOOKUP('Données projet'!$B$12,Paramètres!$A$1:$I$89,3,0)*0.475*44/12</f>
        <v>5.7533956231698987E-16</v>
      </c>
      <c r="CN144" s="22">
        <f t="shared" si="120"/>
        <v>1.7032779874721644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7.9580786405131221E-13</v>
      </c>
      <c r="CU144" s="17">
        <f>CT144*VLOOKUP('Données projet'!$B$13,Paramètres!$A$1:$I$89,3,0)*VLOOKUP('Données projet'!$B$13,Paramètres!$A$1:$I$89,5,0)</f>
        <v>3.8278358260868117E-13</v>
      </c>
      <c r="CV144" s="13">
        <f t="shared" si="149"/>
        <v>4.9186917125089072E-12</v>
      </c>
      <c r="CW144" s="20">
        <f t="shared" si="121"/>
        <v>9.2334028056631319E-12</v>
      </c>
      <c r="CX144" s="59">
        <f t="shared" si="122"/>
        <v>293.33333333334252</v>
      </c>
      <c r="CY144" s="59">
        <f ca="1">AVERAGE(OFFSET($CX$3,0,0,'Données projet'!$E$13+1,1))-AVERAGE(OFFSET($H$3,0,0,'Données projet'!$E$13+1,1))</f>
        <v>297.21955661193238</v>
      </c>
      <c r="CZ144" s="59">
        <f t="shared" si="150"/>
        <v>273.69206144662144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0.74789774177542689</v>
      </c>
      <c r="DG144" s="21">
        <f>EXP(-LN(2)/25)*DG143+(1-EXP(-LN(2)/25))/(LN(2)/25)*Calculateur!DB144*Calculateur!DD144*VLOOKUP('Données projet'!$B$13,Paramètres!$A$1:$I$89,3,0)*0.475*44/12</f>
        <v>0.61841612875283991</v>
      </c>
      <c r="DH144" s="21">
        <f>EXP(-LN(2)/2)*DH143+(1-EXP(-LN(2)/2))/(LN(2)/2)*DB144*DE144*VLOOKUP('Données projet'!$B$13,Paramètres!$A$1:$I$89,3,0)*0.475*44/12</f>
        <v>4.1043754438444249E-16</v>
      </c>
      <c r="DI144" s="22">
        <f t="shared" si="123"/>
        <v>1.3663138705282671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-4.0702161641092972E-13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260.20517190557814</v>
      </c>
      <c r="DU144" s="59">
        <f t="shared" si="152"/>
        <v>307.22009971147133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0.36217683180110716</v>
      </c>
      <c r="EB144" s="21">
        <f>EXP(-LN(2)/25)*EB143+(1-EXP(-LN(2)/25))/(LN(2)/25)*Calculateur!DW144*Calculateur!DY144*VLOOKUP('Données projet'!$B$14,Paramètres!$A$1:$I$89,3,0)*0.475*44/12</f>
        <v>0.94535683275658811</v>
      </c>
      <c r="EC144" s="21">
        <f>EXP(-LN(2)/2)*EC143+(1-EXP(-LN(2)/2))/(LN(2)/2)*DW144*DZ144*VLOOKUP('Données projet'!$B$14,Paramètres!$A$1:$I$89,3,0)*0.475*44/12</f>
        <v>4.7179382992868966E-16</v>
      </c>
      <c r="ED144" s="22">
        <f t="shared" si="126"/>
        <v>1.3075336645576958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1.1368683772161603E-13</v>
      </c>
      <c r="EK144" s="17">
        <f>EJ144*VLOOKUP('Données projet'!$B$15,Paramètres!$A$1:$I$89,3,0)*VLOOKUP('Données projet'!$B$15,Paramètres!$A$1:$I$89,5,0)</f>
        <v>6.7984728957526396E-14</v>
      </c>
      <c r="EL144" s="13">
        <f t="shared" si="153"/>
        <v>1.0682447123141398E-12</v>
      </c>
      <c r="EM144" s="20">
        <f t="shared" si="127"/>
        <v>1.978932943548152E-12</v>
      </c>
      <c r="EN144" s="59">
        <f t="shared" si="128"/>
        <v>293.3333333333353</v>
      </c>
      <c r="EO144" s="59">
        <f ca="1">AVERAGE(OFFSET($EN$3,0,0,'Données projet'!$E$15+1,1))-AVERAGE(OFFSET($H$3,0,0,'Données projet'!$E$15+1,1))</f>
        <v>259.30247982593914</v>
      </c>
      <c r="EP144" s="59">
        <f t="shared" si="154"/>
        <v>275.24740346220779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0.83079737525261643</v>
      </c>
      <c r="EX144" s="21">
        <f>EXP(-LN(2)/2)*EX143+(1-EXP(-LN(2)/2))/(LN(2)/2)*ER144*EU144*VLOOKUP('Données projet'!$B$15,Paramètres!$A$1:$I$89,3,0)*0.475*44/12</f>
        <v>5.6288737430063965E-16</v>
      </c>
      <c r="EY144" s="22">
        <f t="shared" si="129"/>
        <v>0.83079737525261699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-5.6843418860808015E-13</v>
      </c>
      <c r="FF144" s="17">
        <f>FE144*VLOOKUP('Données projet'!$B$16,Paramètres!$A$1:$I$89,3,0)*VLOOKUP('Données projet'!$B$16,Paramètres!$A$1:$I$89,5,0)</f>
        <v>-5.763922672485933E-13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372.91317851957336</v>
      </c>
      <c r="FK144" s="59">
        <f t="shared" si="156"/>
        <v>269.69187715858413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0.29960318013587689</v>
      </c>
      <c r="FR144" s="21">
        <f>EXP(-LN(2)/25)*FR143+(1-EXP(-LN(2)/25))/(LN(2)/25)*Calculateur!FM144*Calculateur!FO144*VLOOKUP('Données projet'!$B$16,Paramètres!$A$1:$I$89,3,0)*0.475*44/12</f>
        <v>0.69988727939095208</v>
      </c>
      <c r="FS144" s="21">
        <f>EXP(-LN(2)/2)*FS143+(1-EXP(-LN(2)/2))/(LN(2)/2)*FM144*FP144*VLOOKUP('Données projet'!$B$16,Paramètres!$A$1:$I$89,3,0)*0.475*44/12</f>
        <v>4.7816945272309976E-16</v>
      </c>
      <c r="FT144" s="22">
        <f t="shared" si="132"/>
        <v>0.99949045952682947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-1.1368683772161603E-13</v>
      </c>
      <c r="GA144" s="17">
        <f>FZ144*VLOOKUP('Données projet'!$B$17,Paramètres!$A$1:$I$89,3,0)*VLOOKUP('Données projet'!$B$17,Paramètres!$A$1:$I$89,5,0)</f>
        <v>-5.3205440053716299E-14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215.23235148064941</v>
      </c>
      <c r="GF144" s="59">
        <f t="shared" si="158"/>
        <v>184.07239726900434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0.34792405081917671</v>
      </c>
      <c r="GM144" s="21">
        <f>EXP(-LN(2)/25)*GM143+(1-EXP(-LN(2)/25))/(LN(2)/25)*Calculateur!GH144*Calculateur!GJ144*VLOOKUP('Données projet'!$B$17,Paramètres!$A$1:$I$89,3,0)*0.475*44/12</f>
        <v>0.36190841514436689</v>
      </c>
      <c r="GN144" s="21">
        <f>EXP(-LN(2)/2)*GN143+(1-EXP(-LN(2)/2))/(LN(2)/2)*GH144*GK144*VLOOKUP('Données projet'!$B$17,Paramètres!$A$1:$I$89,3,0)*0.475*44/12</f>
        <v>1.92967826802009E-16</v>
      </c>
      <c r="GO144" s="21">
        <f t="shared" si="135"/>
        <v>0.70983246596354377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-1.1368683772161603E-13</v>
      </c>
      <c r="GV144" s="17">
        <f>GU144*VLOOKUP('Données projet'!$B$18,Paramètres!$A$1:$I$89,3,0)*VLOOKUP('Données projet'!$B$18,Paramètres!$A$1:$I$89,5,0)</f>
        <v>-6.7984728957526396E-14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227.89848316900191</v>
      </c>
      <c r="HA144" s="59">
        <f t="shared" si="160"/>
        <v>239.85955661394541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0.88153006747895712</v>
      </c>
      <c r="HH144" s="21">
        <f>EXP(-LN(2)/25)*HH143+(1-EXP(-LN(2)/25))/(LN(2)/25)*Calculateur!HC144*Calculateur!HE144*VLOOKUP('Données projet'!$B$18,Paramètres!$A$1:$I$89,3,0)*0.475*44/12</f>
        <v>0.78982027302238955</v>
      </c>
      <c r="HI144" s="21">
        <f>EXP(-LN(2)/2)*HI143+(1-EXP(-LN(2)/2))/(LN(2)/2)*HC144*HF144*VLOOKUP('Données projet'!$B$18,Paramètres!$A$1:$I$89,3,0)*0.475*44/12</f>
        <v>1.3156532081357438E-16</v>
      </c>
      <c r="HJ144" s="22">
        <f t="shared" si="138"/>
        <v>1.6713503405013468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2.5420376914553347E-13</v>
      </c>
      <c r="P145" s="13">
        <f t="shared" si="141"/>
        <v>3.4258699088369875E-12</v>
      </c>
      <c r="Q145" s="20">
        <f t="shared" si="108"/>
        <v>6.4094616558195571E-12</v>
      </c>
      <c r="R145" s="59">
        <f t="shared" si="109"/>
        <v>293.33333333333974</v>
      </c>
      <c r="S145" s="59">
        <f ca="1">AVERAGE(OFFSET($R$3,0,0,'Données projet'!$E$9+1,1))-AVERAGE(OFFSET($H$3,0,0,'Données projet'!$E$9+1,1))</f>
        <v>370.69652285220093</v>
      </c>
      <c r="T145" s="59">
        <f t="shared" si="142"/>
        <v>376.53494965377718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1.1184263964160579</v>
      </c>
      <c r="AA145" s="21">
        <f>EXP(-LN(2)/25)*AA144+(1-EXP(-LN(2)/25))/(LN(2)/25)*Calculateur!V145*Calculateur!X145*VLOOKUP('Données projet'!$B$9,Paramètres!$A$1:$I$89,3,0)*0.475*44/12</f>
        <v>1.4969443599786121</v>
      </c>
      <c r="AB145" s="21">
        <f>EXP(-LN(2)/2)*AB144+(1-EXP(-LN(2)/2))/(LN(2)/2)*V145*Y145*VLOOKUP('Données projet'!$B$9,Paramètres!$A$1:$I$89,3,0)*0.475*44/12</f>
        <v>4.5421672730504428E-16</v>
      </c>
      <c r="AC145" s="22">
        <f t="shared" si="111"/>
        <v>2.6153707563946704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-5.6843418860808015E-13</v>
      </c>
      <c r="AJ145" s="13">
        <f>AI145*VLOOKUP('Données projet'!$B$10,Paramètres!$A$1:$I$89,3,0)*VLOOKUP('Données projet'!$B$10,Paramètres!$A$1:$I$89,5,0)</f>
        <v>-5.1431925385259092E-13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321.03881567735544</v>
      </c>
      <c r="AO145" s="59">
        <f t="shared" si="144"/>
        <v>234.87694492493506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0.26209588279649015</v>
      </c>
      <c r="AV145" s="21">
        <f>EXP(-LN(2)/25)*AV144+(1-EXP(-LN(2)/25))/(LN(2)/25)*Calculateur!AQ145*Calculateur!AS145*VLOOKUP('Données projet'!$B$10,Paramètres!$A$1:$I$89,3,0)*0.475*44/12</f>
        <v>0.60743741301493825</v>
      </c>
      <c r="AW145" s="21">
        <f>EXP(-LN(2)/2)*AW144+(1-EXP(-LN(2)/2))/(LN(2)/2)*AQ145*AT145*VLOOKUP('Données projet'!$B$10,Paramètres!$A$1:$I$89,3,0)*0.475*44/12</f>
        <v>3.0170427737618973E-16</v>
      </c>
      <c r="AX145" s="21">
        <f t="shared" si="114"/>
        <v>0.86953329581142869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3.1036506698001181E-13</v>
      </c>
      <c r="BF145" s="13">
        <f t="shared" si="145"/>
        <v>4.086682523110923E-12</v>
      </c>
      <c r="BG145" s="20">
        <f t="shared" si="115"/>
        <v>7.6581912194083782E-12</v>
      </c>
      <c r="BH145" s="59">
        <f t="shared" si="116"/>
        <v>293.33333333334099</v>
      </c>
      <c r="BI145" s="59">
        <f ca="1">AVERAGE(OFFSET($BH$3,0,0,'Données projet'!$E$11+1,1))-AVERAGE(OFFSET($H$3,0,0,'Données projet'!$E$11+1,1))</f>
        <v>248.1486444660062</v>
      </c>
      <c r="BJ145" s="59">
        <f t="shared" si="146"/>
        <v>293.34458072322127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0.92689883170210241</v>
      </c>
      <c r="BQ145" s="21">
        <f>EXP(-LN(2)/25)*BQ144+(1-EXP(-LN(2)/25))/(LN(2)/25)*Calculateur!BL145*Calculateur!BN145*VLOOKUP('Données projet'!$B$11,Paramètres!$A$1:$I$89,3,0)*0.475*44/12</f>
        <v>1.5252686099614534</v>
      </c>
      <c r="BR145" s="21">
        <f>EXP(-LN(2)/2)*BR144+(1-EXP(-LN(2)/2))/(LN(2)/2)*BL145*BO145*VLOOKUP('Données projet'!$B$11,Paramètres!$A$1:$I$89,3,0)*0.475*44/12</f>
        <v>3.4947636610807926E-16</v>
      </c>
      <c r="BS145" s="22">
        <f t="shared" si="117"/>
        <v>2.4521674416635562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243.38048563215585</v>
      </c>
      <c r="CE145" s="59">
        <f t="shared" si="148"/>
        <v>372.1604147006675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0.79532543745141926</v>
      </c>
      <c r="CL145" s="21">
        <f>EXP(-LN(2)/25)*CL144+(1-EXP(-LN(2)/25))/(LN(2)/25)*Calculateur!CG145*Calculateur!CI145*VLOOKUP('Données projet'!$B$12,Paramètres!$A$1:$I$89,3,0)*0.475*44/12</f>
        <v>0.86765175035089903</v>
      </c>
      <c r="CM145" s="21">
        <f>EXP(-LN(2)/2)*CM144+(1-EXP(-LN(2)/2))/(LN(2)/2)*CG145*CJ145*VLOOKUP('Données projet'!$B$12,Paramètres!$A$1:$I$89,3,0)*0.475*44/12</f>
        <v>4.0682650599924378E-16</v>
      </c>
      <c r="CN145" s="22">
        <f t="shared" si="120"/>
        <v>1.6629771878023187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7.9580786405131221E-13</v>
      </c>
      <c r="CU145" s="17">
        <f>CT145*VLOOKUP('Données projet'!$B$13,Paramètres!$A$1:$I$89,3,0)*VLOOKUP('Données projet'!$B$13,Paramètres!$A$1:$I$89,5,0)</f>
        <v>3.8278358260868117E-13</v>
      </c>
      <c r="CV145" s="13">
        <f t="shared" si="149"/>
        <v>4.9186917125089072E-12</v>
      </c>
      <c r="CW145" s="20">
        <f t="shared" si="121"/>
        <v>9.2334028056631319E-12</v>
      </c>
      <c r="CX145" s="59">
        <f t="shared" si="122"/>
        <v>293.33333333334252</v>
      </c>
      <c r="CY145" s="59">
        <f ca="1">AVERAGE(OFFSET($CX$3,0,0,'Données projet'!$E$13+1,1))-AVERAGE(OFFSET($H$3,0,0,'Données projet'!$E$13+1,1))</f>
        <v>297.21955661193238</v>
      </c>
      <c r="CZ145" s="59">
        <f t="shared" si="150"/>
        <v>273.69206144662144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0.73323192323178998</v>
      </c>
      <c r="DG145" s="21">
        <f>EXP(-LN(2)/25)*DG144+(1-EXP(-LN(2)/25))/(LN(2)/25)*Calculateur!DB145*Calculateur!DD145*VLOOKUP('Données projet'!$B$13,Paramètres!$A$1:$I$89,3,0)*0.475*44/12</f>
        <v>0.60150550719100271</v>
      </c>
      <c r="DH145" s="21">
        <f>EXP(-LN(2)/2)*DH144+(1-EXP(-LN(2)/2))/(LN(2)/2)*DB145*DE145*VLOOKUP('Données projet'!$B$13,Paramètres!$A$1:$I$89,3,0)*0.475*44/12</f>
        <v>2.9022317088779386E-16</v>
      </c>
      <c r="DI145" s="22">
        <f t="shared" si="123"/>
        <v>1.3347374304227928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-4.0702161641092972E-13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260.20517190557814</v>
      </c>
      <c r="DU145" s="59">
        <f t="shared" si="152"/>
        <v>307.22009971147133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0.35507476503554219</v>
      </c>
      <c r="EB145" s="21">
        <f>EXP(-LN(2)/25)*EB144+(1-EXP(-LN(2)/25))/(LN(2)/25)*Calculateur!DW145*Calculateur!DY145*VLOOKUP('Données projet'!$B$14,Paramètres!$A$1:$I$89,3,0)*0.475*44/12</f>
        <v>0.91950600045070396</v>
      </c>
      <c r="EC145" s="21">
        <f>EXP(-LN(2)/2)*EC144+(1-EXP(-LN(2)/2))/(LN(2)/2)*DW145*DZ145*VLOOKUP('Données projet'!$B$14,Paramètres!$A$1:$I$89,3,0)*0.475*44/12</f>
        <v>3.3360861646454918E-16</v>
      </c>
      <c r="ED145" s="22">
        <f t="shared" si="126"/>
        <v>1.2745807654862467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1.1368683772161603E-13</v>
      </c>
      <c r="EK145" s="17">
        <f>EJ145*VLOOKUP('Données projet'!$B$15,Paramètres!$A$1:$I$89,3,0)*VLOOKUP('Données projet'!$B$15,Paramètres!$A$1:$I$89,5,0)</f>
        <v>6.7984728957526396E-14</v>
      </c>
      <c r="EL145" s="13">
        <f t="shared" si="153"/>
        <v>1.0682447123141398E-12</v>
      </c>
      <c r="EM145" s="20">
        <f t="shared" si="127"/>
        <v>1.978932943548152E-12</v>
      </c>
      <c r="EN145" s="59">
        <f t="shared" si="128"/>
        <v>293.3333333333353</v>
      </c>
      <c r="EO145" s="59">
        <f ca="1">AVERAGE(OFFSET($EN$3,0,0,'Données projet'!$E$15+1,1))-AVERAGE(OFFSET($H$3,0,0,'Données projet'!$E$15+1,1))</f>
        <v>259.30247982593914</v>
      </c>
      <c r="EP145" s="59">
        <f t="shared" si="154"/>
        <v>275.24740346220779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0.80807917733659851</v>
      </c>
      <c r="EX145" s="21">
        <f>EXP(-LN(2)/2)*EX144+(1-EXP(-LN(2)/2))/(LN(2)/2)*ER145*EU145*VLOOKUP('Données projet'!$B$15,Paramètres!$A$1:$I$89,3,0)*0.475*44/12</f>
        <v>3.9802147941227268E-16</v>
      </c>
      <c r="EY145" s="22">
        <f t="shared" si="129"/>
        <v>0.80807917733659895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-5.6843418860808015E-13</v>
      </c>
      <c r="FF145" s="17">
        <f>FE145*VLOOKUP('Données projet'!$B$16,Paramètres!$A$1:$I$89,3,0)*VLOOKUP('Données projet'!$B$16,Paramètres!$A$1:$I$89,5,0)</f>
        <v>-5.763922672485933E-13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372.91317851957336</v>
      </c>
      <c r="FK145" s="59">
        <f t="shared" si="156"/>
        <v>269.69187715858413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0.29372814451330814</v>
      </c>
      <c r="FR145" s="21">
        <f>EXP(-LN(2)/25)*FR144+(1-EXP(-LN(2)/25))/(LN(2)/25)*Calculateur!FM145*Calculateur!FO145*VLOOKUP('Données projet'!$B$16,Paramètres!$A$1:$I$89,3,0)*0.475*44/12</f>
        <v>0.68074882493053412</v>
      </c>
      <c r="FS145" s="21">
        <f>EXP(-LN(2)/2)*FS144+(1-EXP(-LN(2)/2))/(LN(2)/2)*FM145*FP145*VLOOKUP('Données projet'!$B$16,Paramètres!$A$1:$I$89,3,0)*0.475*44/12</f>
        <v>3.3811686257676409E-16</v>
      </c>
      <c r="FT145" s="22">
        <f t="shared" si="132"/>
        <v>0.97447696944384254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-1.1368683772161603E-13</v>
      </c>
      <c r="GA145" s="17">
        <f>FZ145*VLOOKUP('Données projet'!$B$17,Paramètres!$A$1:$I$89,3,0)*VLOOKUP('Données projet'!$B$17,Paramètres!$A$1:$I$89,5,0)</f>
        <v>-5.3205440053716299E-14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215.23235148064941</v>
      </c>
      <c r="GF145" s="59">
        <f t="shared" si="158"/>
        <v>184.07239726900434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0.3411014723953294</v>
      </c>
      <c r="GM145" s="21">
        <f>EXP(-LN(2)/25)*GM144+(1-EXP(-LN(2)/25))/(LN(2)/25)*Calculateur!GH145*Calculateur!GJ145*VLOOKUP('Données projet'!$B$17,Paramètres!$A$1:$I$89,3,0)*0.475*44/12</f>
        <v>0.35201201050030778</v>
      </c>
      <c r="GN145" s="21">
        <f>EXP(-LN(2)/2)*GN144+(1-EXP(-LN(2)/2))/(LN(2)/2)*GH145*GK145*VLOOKUP('Données projet'!$B$17,Paramètres!$A$1:$I$89,3,0)*0.475*44/12</f>
        <v>1.3644885888253177E-16</v>
      </c>
      <c r="GO145" s="21">
        <f t="shared" si="135"/>
        <v>0.69311348289563723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-1.1368683772161603E-13</v>
      </c>
      <c r="GV145" s="17">
        <f>GU145*VLOOKUP('Données projet'!$B$18,Paramètres!$A$1:$I$89,3,0)*VLOOKUP('Données projet'!$B$18,Paramètres!$A$1:$I$89,5,0)</f>
        <v>-6.7984728957526396E-14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227.89848316900191</v>
      </c>
      <c r="HA145" s="59">
        <f t="shared" si="160"/>
        <v>239.85955661394541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0.86424380053594441</v>
      </c>
      <c r="HH145" s="21">
        <f>EXP(-LN(2)/25)*HH144+(1-EXP(-LN(2)/25))/(LN(2)/25)*Calculateur!HC145*Calculateur!HE145*VLOOKUP('Données projet'!$B$18,Paramètres!$A$1:$I$89,3,0)*0.475*44/12</f>
        <v>0.76822259612174926</v>
      </c>
      <c r="HI145" s="21">
        <f>EXP(-LN(2)/2)*HI144+(1-EXP(-LN(2)/2))/(LN(2)/2)*HC145*HF145*VLOOKUP('Données projet'!$B$18,Paramètres!$A$1:$I$89,3,0)*0.475*44/12</f>
        <v>9.3030730516262066E-17</v>
      </c>
      <c r="HJ145" s="22">
        <f t="shared" si="138"/>
        <v>1.6324663966576938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2.5420376914553347E-13</v>
      </c>
      <c r="P146" s="13">
        <f t="shared" si="141"/>
        <v>3.4258699088369875E-12</v>
      </c>
      <c r="Q146" s="20">
        <f t="shared" si="108"/>
        <v>6.4094616558195571E-12</v>
      </c>
      <c r="R146" s="59">
        <f t="shared" si="109"/>
        <v>293.33333333333974</v>
      </c>
      <c r="S146" s="59">
        <f ca="1">AVERAGE(OFFSET($R$3,0,0,'Données projet'!$E$9+1,1))-AVERAGE(OFFSET($H$3,0,0,'Données projet'!$E$9+1,1))</f>
        <v>370.69652285220093</v>
      </c>
      <c r="T146" s="59">
        <f t="shared" si="142"/>
        <v>376.53494965377718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1.0964947369550819</v>
      </c>
      <c r="AA146" s="21">
        <f>EXP(-LN(2)/25)*AA145+(1-EXP(-LN(2)/25))/(LN(2)/25)*Calculateur!V146*Calculateur!X146*VLOOKUP('Données projet'!$B$9,Paramètres!$A$1:$I$89,3,0)*0.475*44/12</f>
        <v>1.4560103377341143</v>
      </c>
      <c r="AB146" s="21">
        <f>EXP(-LN(2)/2)*AB145+(1-EXP(-LN(2)/2))/(LN(2)/2)*V146*Y146*VLOOKUP('Données projet'!$B$9,Paramètres!$A$1:$I$89,3,0)*0.475*44/12</f>
        <v>3.2117972800575768E-16</v>
      </c>
      <c r="AC146" s="22">
        <f t="shared" si="111"/>
        <v>2.5525050746891966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-5.6843418860808015E-13</v>
      </c>
      <c r="AJ146" s="13">
        <f>AI146*VLOOKUP('Données projet'!$B$10,Paramètres!$A$1:$I$89,3,0)*VLOOKUP('Données projet'!$B$10,Paramètres!$A$1:$I$89,5,0)</f>
        <v>-5.1431925385259092E-13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321.03881567735544</v>
      </c>
      <c r="AO146" s="59">
        <f t="shared" si="144"/>
        <v>234.87694492493506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0.25695634239755438</v>
      </c>
      <c r="AV146" s="21">
        <f>EXP(-LN(2)/25)*AV145+(1-EXP(-LN(2)/25))/(LN(2)/25)*Calculateur!AQ146*Calculateur!AS146*VLOOKUP('Données projet'!$B$10,Paramètres!$A$1:$I$89,3,0)*0.475*44/12</f>
        <v>0.59082700501229957</v>
      </c>
      <c r="AW146" s="21">
        <f>EXP(-LN(2)/2)*AW145+(1-EXP(-LN(2)/2))/(LN(2)/2)*AQ146*AT146*VLOOKUP('Données projet'!$B$10,Paramètres!$A$1:$I$89,3,0)*0.475*44/12</f>
        <v>2.1333714044569084E-16</v>
      </c>
      <c r="AX146" s="21">
        <f t="shared" si="114"/>
        <v>0.84778334740985417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3.1036506698001181E-13</v>
      </c>
      <c r="BF146" s="13">
        <f t="shared" si="145"/>
        <v>4.086682523110923E-12</v>
      </c>
      <c r="BG146" s="20">
        <f t="shared" si="115"/>
        <v>7.6581912194083782E-12</v>
      </c>
      <c r="BH146" s="59">
        <f t="shared" si="116"/>
        <v>293.33333333334099</v>
      </c>
      <c r="BI146" s="59">
        <f ca="1">AVERAGE(OFFSET($BH$3,0,0,'Données projet'!$E$11+1,1))-AVERAGE(OFFSET($H$3,0,0,'Données projet'!$E$11+1,1))</f>
        <v>248.1486444660062</v>
      </c>
      <c r="BJ146" s="59">
        <f t="shared" si="146"/>
        <v>293.34458072322127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0.90872291096488755</v>
      </c>
      <c r="BQ146" s="21">
        <f>EXP(-LN(2)/25)*BQ145+(1-EXP(-LN(2)/25))/(LN(2)/25)*Calculateur!BL146*Calculateur!BN146*VLOOKUP('Données projet'!$B$11,Paramètres!$A$1:$I$89,3,0)*0.475*44/12</f>
        <v>1.4835600596116674</v>
      </c>
      <c r="BR146" s="21">
        <f>EXP(-LN(2)/2)*BR145+(1-EXP(-LN(2)/2))/(LN(2)/2)*BL146*BO146*VLOOKUP('Données projet'!$B$11,Paramètres!$A$1:$I$89,3,0)*0.475*44/12</f>
        <v>2.4711710833945538E-16</v>
      </c>
      <c r="BS146" s="22">
        <f t="shared" si="117"/>
        <v>2.3922829705765554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243.38048563215585</v>
      </c>
      <c r="CE146" s="59">
        <f t="shared" si="148"/>
        <v>372.1604147006675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0.77972959072361403</v>
      </c>
      <c r="CL146" s="21">
        <f>EXP(-LN(2)/25)*CL145+(1-EXP(-LN(2)/25))/(LN(2)/25)*Calculateur!CG146*Calculateur!CI146*VLOOKUP('Données projet'!$B$12,Paramètres!$A$1:$I$89,3,0)*0.475*44/12</f>
        <v>0.84392576760973115</v>
      </c>
      <c r="CM146" s="21">
        <f>EXP(-LN(2)/2)*CM145+(1-EXP(-LN(2)/2))/(LN(2)/2)*CG146*CJ146*VLOOKUP('Données projet'!$B$12,Paramètres!$A$1:$I$89,3,0)*0.475*44/12</f>
        <v>2.8766978115849493E-16</v>
      </c>
      <c r="CN146" s="22">
        <f t="shared" si="120"/>
        <v>1.6236553583333453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7.9580786405131221E-13</v>
      </c>
      <c r="CU146" s="17">
        <f>CT146*VLOOKUP('Données projet'!$B$13,Paramètres!$A$1:$I$89,3,0)*VLOOKUP('Données projet'!$B$13,Paramètres!$A$1:$I$89,5,0)</f>
        <v>3.8278358260868117E-13</v>
      </c>
      <c r="CV146" s="13">
        <f t="shared" si="149"/>
        <v>4.9186917125089072E-12</v>
      </c>
      <c r="CW146" s="20">
        <f t="shared" si="121"/>
        <v>9.2334028056631319E-12</v>
      </c>
      <c r="CX146" s="59">
        <f t="shared" si="122"/>
        <v>293.33333333334252</v>
      </c>
      <c r="CY146" s="59">
        <f ca="1">AVERAGE(OFFSET($CX$3,0,0,'Données projet'!$E$13+1,1))-AVERAGE(OFFSET($H$3,0,0,'Données projet'!$E$13+1,1))</f>
        <v>297.21955661193238</v>
      </c>
      <c r="CZ146" s="59">
        <f t="shared" si="150"/>
        <v>273.69206144662144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0.71885369244452768</v>
      </c>
      <c r="DG146" s="21">
        <f>EXP(-LN(2)/25)*DG145+(1-EXP(-LN(2)/25))/(LN(2)/25)*Calculateur!DB146*Calculateur!DD146*VLOOKUP('Données projet'!$B$13,Paramètres!$A$1:$I$89,3,0)*0.475*44/12</f>
        <v>0.5850573074650649</v>
      </c>
      <c r="DH146" s="21">
        <f>EXP(-LN(2)/2)*DH145+(1-EXP(-LN(2)/2))/(LN(2)/2)*DB146*DE146*VLOOKUP('Données projet'!$B$13,Paramètres!$A$1:$I$89,3,0)*0.475*44/12</f>
        <v>2.0521877219222124E-16</v>
      </c>
      <c r="DI146" s="22">
        <f t="shared" si="123"/>
        <v>1.3039109999095928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-4.0702161641092972E-13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260.20517190557814</v>
      </c>
      <c r="DU146" s="59">
        <f t="shared" si="152"/>
        <v>307.22009971147133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0.34811196546741696</v>
      </c>
      <c r="EB146" s="21">
        <f>EXP(-LN(2)/25)*EB145+(1-EXP(-LN(2)/25))/(LN(2)/25)*Calculateur!DW146*Calculateur!DY146*VLOOKUP('Données projet'!$B$14,Paramètres!$A$1:$I$89,3,0)*0.475*44/12</f>
        <v>0.89436206051366041</v>
      </c>
      <c r="EC146" s="21">
        <f>EXP(-LN(2)/2)*EC145+(1-EXP(-LN(2)/2))/(LN(2)/2)*DW146*DZ146*VLOOKUP('Données projet'!$B$14,Paramètres!$A$1:$I$89,3,0)*0.475*44/12</f>
        <v>2.3589691496434483E-16</v>
      </c>
      <c r="ED146" s="22">
        <f t="shared" si="126"/>
        <v>1.2424740259810776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1.1368683772161603E-13</v>
      </c>
      <c r="EK146" s="17">
        <f>EJ146*VLOOKUP('Données projet'!$B$15,Paramètres!$A$1:$I$89,3,0)*VLOOKUP('Données projet'!$B$15,Paramètres!$A$1:$I$89,5,0)</f>
        <v>6.7984728957526396E-14</v>
      </c>
      <c r="EL146" s="13">
        <f t="shared" si="153"/>
        <v>1.0682447123141398E-12</v>
      </c>
      <c r="EM146" s="20">
        <f t="shared" si="127"/>
        <v>1.978932943548152E-12</v>
      </c>
      <c r="EN146" s="59">
        <f t="shared" si="128"/>
        <v>293.3333333333353</v>
      </c>
      <c r="EO146" s="59">
        <f ca="1">AVERAGE(OFFSET($EN$3,0,0,'Données projet'!$E$15+1,1))-AVERAGE(OFFSET($H$3,0,0,'Données projet'!$E$15+1,1))</f>
        <v>259.30247982593914</v>
      </c>
      <c r="EP146" s="59">
        <f t="shared" si="154"/>
        <v>275.24740346220779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0.78598220973729216</v>
      </c>
      <c r="EX146" s="21">
        <f>EXP(-LN(2)/2)*EX145+(1-EXP(-LN(2)/2))/(LN(2)/2)*ER146*EU146*VLOOKUP('Données projet'!$B$15,Paramètres!$A$1:$I$89,3,0)*0.475*44/12</f>
        <v>2.8144368715031982E-16</v>
      </c>
      <c r="EY146" s="22">
        <f t="shared" si="129"/>
        <v>0.78598220973729249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-5.6843418860808015E-13</v>
      </c>
      <c r="FF146" s="17">
        <f>FE146*VLOOKUP('Données projet'!$B$16,Paramètres!$A$1:$I$89,3,0)*VLOOKUP('Données projet'!$B$16,Paramètres!$A$1:$I$89,5,0)</f>
        <v>-5.763922672485933E-13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372.91317851957336</v>
      </c>
      <c r="FK146" s="59">
        <f t="shared" si="156"/>
        <v>269.69187715858413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0.28796831475588008</v>
      </c>
      <c r="FR146" s="21">
        <f>EXP(-LN(2)/25)*FR145+(1-EXP(-LN(2)/25))/(LN(2)/25)*Calculateur!FM146*Calculateur!FO146*VLOOKUP('Données projet'!$B$16,Paramètres!$A$1:$I$89,3,0)*0.475*44/12</f>
        <v>0.66213371251378383</v>
      </c>
      <c r="FS146" s="21">
        <f>EXP(-LN(2)/2)*FS145+(1-EXP(-LN(2)/2))/(LN(2)/2)*FM146*FP146*VLOOKUP('Données projet'!$B$16,Paramètres!$A$1:$I$89,3,0)*0.475*44/12</f>
        <v>2.3908472636154988E-16</v>
      </c>
      <c r="FT146" s="22">
        <f t="shared" si="132"/>
        <v>0.95010202726966408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-1.1368683772161603E-13</v>
      </c>
      <c r="GA146" s="17">
        <f>FZ146*VLOOKUP('Données projet'!$B$17,Paramètres!$A$1:$I$89,3,0)*VLOOKUP('Données projet'!$B$17,Paramètres!$A$1:$I$89,5,0)</f>
        <v>-5.3205440053716299E-14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215.23235148064941</v>
      </c>
      <c r="GF146" s="59">
        <f t="shared" si="158"/>
        <v>184.07239726900434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0.33441268057301177</v>
      </c>
      <c r="GM146" s="21">
        <f>EXP(-LN(2)/25)*GM145+(1-EXP(-LN(2)/25))/(LN(2)/25)*Calculateur!GH146*Calculateur!GJ146*VLOOKUP('Données projet'!$B$17,Paramètres!$A$1:$I$89,3,0)*0.475*44/12</f>
        <v>0.34238622356166976</v>
      </c>
      <c r="GN146" s="21">
        <f>EXP(-LN(2)/2)*GN145+(1-EXP(-LN(2)/2))/(LN(2)/2)*GH146*GK146*VLOOKUP('Données projet'!$B$17,Paramètres!$A$1:$I$89,3,0)*0.475*44/12</f>
        <v>9.6483913401004499E-17</v>
      </c>
      <c r="GO146" s="21">
        <f t="shared" si="135"/>
        <v>0.67679890413468169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-1.1368683772161603E-13</v>
      </c>
      <c r="GV146" s="17">
        <f>GU146*VLOOKUP('Données projet'!$B$18,Paramètres!$A$1:$I$89,3,0)*VLOOKUP('Données projet'!$B$18,Paramètres!$A$1:$I$89,5,0)</f>
        <v>-6.7984728957526396E-14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227.89848316900191</v>
      </c>
      <c r="HA146" s="59">
        <f t="shared" si="160"/>
        <v>239.85955661394541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0.8472965067441024</v>
      </c>
      <c r="HH146" s="21">
        <f>EXP(-LN(2)/25)*HH145+(1-EXP(-LN(2)/25))/(LN(2)/25)*Calculateur!HC146*Calculateur!HE146*VLOOKUP('Données projet'!$B$18,Paramètres!$A$1:$I$89,3,0)*0.475*44/12</f>
        <v>0.74721550883172949</v>
      </c>
      <c r="HI146" s="21">
        <f>EXP(-LN(2)/2)*HI145+(1-EXP(-LN(2)/2))/(LN(2)/2)*HC146*HF146*VLOOKUP('Données projet'!$B$18,Paramètres!$A$1:$I$89,3,0)*0.475*44/12</f>
        <v>6.578266040678719E-17</v>
      </c>
      <c r="HJ146" s="22">
        <f t="shared" si="138"/>
        <v>1.5945120155758319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2.5420376914553347E-13</v>
      </c>
      <c r="P147" s="13">
        <f t="shared" si="141"/>
        <v>3.4258699088369875E-12</v>
      </c>
      <c r="Q147" s="20">
        <f t="shared" si="108"/>
        <v>6.4094616558195571E-12</v>
      </c>
      <c r="R147" s="59">
        <f t="shared" si="109"/>
        <v>293.33333333333974</v>
      </c>
      <c r="S147" s="59">
        <f ca="1">AVERAGE(OFFSET($R$3,0,0,'Données projet'!$E$9+1,1))-AVERAGE(OFFSET($H$3,0,0,'Données projet'!$E$9+1,1))</f>
        <v>370.69652285220093</v>
      </c>
      <c r="T147" s="59">
        <f t="shared" si="142"/>
        <v>376.53494965377718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1.0749931439591442</v>
      </c>
      <c r="AA147" s="21">
        <f>EXP(-LN(2)/25)*AA146+(1-EXP(-LN(2)/25))/(LN(2)/25)*Calculateur!V147*Calculateur!X147*VLOOKUP('Données projet'!$B$9,Paramètres!$A$1:$I$89,3,0)*0.475*44/12</f>
        <v>1.4161956584805191</v>
      </c>
      <c r="AB147" s="21">
        <f>EXP(-LN(2)/2)*AB146+(1-EXP(-LN(2)/2))/(LN(2)/2)*V147*Y147*VLOOKUP('Données projet'!$B$9,Paramètres!$A$1:$I$89,3,0)*0.475*44/12</f>
        <v>2.2710836365252214E-16</v>
      </c>
      <c r="AC147" s="22">
        <f t="shared" si="111"/>
        <v>2.4911888024396638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-5.6843418860808015E-13</v>
      </c>
      <c r="AJ147" s="13">
        <f>AI147*VLOOKUP('Données projet'!$B$10,Paramètres!$A$1:$I$89,3,0)*VLOOKUP('Données projet'!$B$10,Paramètres!$A$1:$I$89,5,0)</f>
        <v>-5.1431925385259092E-13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321.03881567735544</v>
      </c>
      <c r="AO147" s="59">
        <f t="shared" si="144"/>
        <v>234.87694492493506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0.25191758525103158</v>
      </c>
      <c r="AV147" s="21">
        <f>EXP(-LN(2)/25)*AV146+(1-EXP(-LN(2)/25))/(LN(2)/25)*Calculateur!AQ147*Calculateur!AS147*VLOOKUP('Données projet'!$B$10,Paramètres!$A$1:$I$89,3,0)*0.475*44/12</f>
        <v>0.57467080948999638</v>
      </c>
      <c r="AW147" s="21">
        <f>EXP(-LN(2)/2)*AW146+(1-EXP(-LN(2)/2))/(LN(2)/2)*AQ147*AT147*VLOOKUP('Données projet'!$B$10,Paramètres!$A$1:$I$89,3,0)*0.475*44/12</f>
        <v>1.5085213868809487E-16</v>
      </c>
      <c r="AX147" s="21">
        <f t="shared" si="114"/>
        <v>0.82658839474102808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3.1036506698001181E-13</v>
      </c>
      <c r="BF147" s="13">
        <f t="shared" si="145"/>
        <v>4.086682523110923E-12</v>
      </c>
      <c r="BG147" s="20">
        <f t="shared" si="115"/>
        <v>7.6581912194083782E-12</v>
      </c>
      <c r="BH147" s="59">
        <f t="shared" si="116"/>
        <v>293.33333333334099</v>
      </c>
      <c r="BI147" s="59">
        <f ca="1">AVERAGE(OFFSET($BH$3,0,0,'Données projet'!$E$11+1,1))-AVERAGE(OFFSET($H$3,0,0,'Données projet'!$E$11+1,1))</f>
        <v>248.1486444660062</v>
      </c>
      <c r="BJ147" s="59">
        <f t="shared" si="146"/>
        <v>293.34458072322127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0.89090340894711251</v>
      </c>
      <c r="BQ147" s="21">
        <f>EXP(-LN(2)/25)*BQ146+(1-EXP(-LN(2)/25))/(LN(2)/25)*Calculateur!BL147*Calculateur!BN147*VLOOKUP('Données projet'!$B$11,Paramètres!$A$1:$I$89,3,0)*0.475*44/12</f>
        <v>1.4429920317645535</v>
      </c>
      <c r="BR147" s="21">
        <f>EXP(-LN(2)/2)*BR146+(1-EXP(-LN(2)/2))/(LN(2)/2)*BL147*BO147*VLOOKUP('Données projet'!$B$11,Paramètres!$A$1:$I$89,3,0)*0.475*44/12</f>
        <v>1.7473818305403963E-16</v>
      </c>
      <c r="BS147" s="22">
        <f t="shared" si="117"/>
        <v>2.3338954407116659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243.38048563215585</v>
      </c>
      <c r="CE147" s="59">
        <f t="shared" si="148"/>
        <v>372.1604147006675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0.7644395690376139</v>
      </c>
      <c r="CL147" s="21">
        <f>EXP(-LN(2)/25)*CL146+(1-EXP(-LN(2)/25))/(LN(2)/25)*Calculateur!CG147*Calculateur!CI147*VLOOKUP('Données projet'!$B$12,Paramètres!$A$1:$I$89,3,0)*0.475*44/12</f>
        <v>0.8208485731143158</v>
      </c>
      <c r="CM147" s="21">
        <f>EXP(-LN(2)/2)*CM146+(1-EXP(-LN(2)/2))/(LN(2)/2)*CG147*CJ147*VLOOKUP('Données projet'!$B$12,Paramètres!$A$1:$I$89,3,0)*0.475*44/12</f>
        <v>2.0341325299962189E-16</v>
      </c>
      <c r="CN147" s="22">
        <f t="shared" si="120"/>
        <v>1.5852881421519298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7.9580786405131221E-13</v>
      </c>
      <c r="CU147" s="17">
        <f>CT147*VLOOKUP('Données projet'!$B$13,Paramètres!$A$1:$I$89,3,0)*VLOOKUP('Données projet'!$B$13,Paramètres!$A$1:$I$89,5,0)</f>
        <v>3.8278358260868117E-13</v>
      </c>
      <c r="CV147" s="13">
        <f t="shared" si="149"/>
        <v>4.9186917125089072E-12</v>
      </c>
      <c r="CW147" s="20">
        <f t="shared" si="121"/>
        <v>9.2334028056631319E-12</v>
      </c>
      <c r="CX147" s="59">
        <f t="shared" si="122"/>
        <v>293.33333333334252</v>
      </c>
      <c r="CY147" s="59">
        <f ca="1">AVERAGE(OFFSET($CX$3,0,0,'Données projet'!$E$13+1,1))-AVERAGE(OFFSET($H$3,0,0,'Données projet'!$E$13+1,1))</f>
        <v>297.21955661193238</v>
      </c>
      <c r="CZ147" s="59">
        <f t="shared" si="150"/>
        <v>273.69206144662144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0.70475740999314884</v>
      </c>
      <c r="DG147" s="21">
        <f>EXP(-LN(2)/25)*DG146+(1-EXP(-LN(2)/25))/(LN(2)/25)*Calculateur!DB147*Calculateur!DD147*VLOOKUP('Données projet'!$B$13,Paramètres!$A$1:$I$89,3,0)*0.475*44/12</f>
        <v>0.56905888462560605</v>
      </c>
      <c r="DH147" s="21">
        <f>EXP(-LN(2)/2)*DH146+(1-EXP(-LN(2)/2))/(LN(2)/2)*DB147*DE147*VLOOKUP('Données projet'!$B$13,Paramètres!$A$1:$I$89,3,0)*0.475*44/12</f>
        <v>1.4511158544389693E-16</v>
      </c>
      <c r="DI147" s="22">
        <f t="shared" si="123"/>
        <v>1.273816294618755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-4.0702161641092972E-13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260.20517190557814</v>
      </c>
      <c r="DU147" s="59">
        <f t="shared" si="152"/>
        <v>307.22009971147133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0.34128570215193427</v>
      </c>
      <c r="EB147" s="21">
        <f>EXP(-LN(2)/25)*EB146+(1-EXP(-LN(2)/25))/(LN(2)/25)*Calculateur!DW147*Calculateur!DY147*VLOOKUP('Données projet'!$B$14,Paramètres!$A$1:$I$89,3,0)*0.475*44/12</f>
        <v>0.86990568293645765</v>
      </c>
      <c r="EC147" s="21">
        <f>EXP(-LN(2)/2)*EC146+(1-EXP(-LN(2)/2))/(LN(2)/2)*DW147*DZ147*VLOOKUP('Données projet'!$B$14,Paramètres!$A$1:$I$89,3,0)*0.475*44/12</f>
        <v>1.6680430823227459E-16</v>
      </c>
      <c r="ED147" s="22">
        <f t="shared" si="126"/>
        <v>1.2111913850883922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1.1368683772161603E-13</v>
      </c>
      <c r="EK147" s="17">
        <f>EJ147*VLOOKUP('Données projet'!$B$15,Paramètres!$A$1:$I$89,3,0)*VLOOKUP('Données projet'!$B$15,Paramètres!$A$1:$I$89,5,0)</f>
        <v>6.7984728957526396E-14</v>
      </c>
      <c r="EL147" s="13">
        <f t="shared" si="153"/>
        <v>1.0682447123141398E-12</v>
      </c>
      <c r="EM147" s="20">
        <f t="shared" si="127"/>
        <v>1.978932943548152E-12</v>
      </c>
      <c r="EN147" s="59">
        <f t="shared" si="128"/>
        <v>293.3333333333353</v>
      </c>
      <c r="EO147" s="59">
        <f ca="1">AVERAGE(OFFSET($EN$3,0,0,'Données projet'!$E$15+1,1))-AVERAGE(OFFSET($H$3,0,0,'Données projet'!$E$15+1,1))</f>
        <v>259.30247982593914</v>
      </c>
      <c r="EP147" s="59">
        <f t="shared" si="154"/>
        <v>275.24740346220779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0.76448948487901791</v>
      </c>
      <c r="EX147" s="21">
        <f>EXP(-LN(2)/2)*EX146+(1-EXP(-LN(2)/2))/(LN(2)/2)*ER147*EU147*VLOOKUP('Données projet'!$B$15,Paramètres!$A$1:$I$89,3,0)*0.475*44/12</f>
        <v>1.9901073970613634E-16</v>
      </c>
      <c r="EY147" s="22">
        <f t="shared" si="129"/>
        <v>0.76448948487901813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-5.6843418860808015E-13</v>
      </c>
      <c r="FF147" s="17">
        <f>FE147*VLOOKUP('Données projet'!$B$16,Paramètres!$A$1:$I$89,3,0)*VLOOKUP('Données projet'!$B$16,Paramètres!$A$1:$I$89,5,0)</f>
        <v>-5.763922672485933E-13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372.91317851957336</v>
      </c>
      <c r="FK147" s="59">
        <f t="shared" si="156"/>
        <v>269.69187715858413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0.28232143174684593</v>
      </c>
      <c r="FR147" s="21">
        <f>EXP(-LN(2)/25)*FR146+(1-EXP(-LN(2)/25))/(LN(2)/25)*Calculateur!FM147*Calculateur!FO147*VLOOKUP('Données projet'!$B$16,Paramètres!$A$1:$I$89,3,0)*0.475*44/12</f>
        <v>0.64402763132499585</v>
      </c>
      <c r="FS147" s="21">
        <f>EXP(-LN(2)/2)*FS146+(1-EXP(-LN(2)/2))/(LN(2)/2)*FM147*FP147*VLOOKUP('Données projet'!$B$16,Paramètres!$A$1:$I$89,3,0)*0.475*44/12</f>
        <v>1.6905843128838204E-16</v>
      </c>
      <c r="FT147" s="22">
        <f t="shared" si="132"/>
        <v>0.92634906307184206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-1.1368683772161603E-13</v>
      </c>
      <c r="GA147" s="17">
        <f>FZ147*VLOOKUP('Données projet'!$B$17,Paramètres!$A$1:$I$89,3,0)*VLOOKUP('Données projet'!$B$17,Paramètres!$A$1:$I$89,5,0)</f>
        <v>-5.3205440053716299E-14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215.23235148064941</v>
      </c>
      <c r="GF147" s="59">
        <f t="shared" si="158"/>
        <v>184.07239726900434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0.32785505187856961</v>
      </c>
      <c r="GM147" s="21">
        <f>EXP(-LN(2)/25)*GM146+(1-EXP(-LN(2)/25))/(LN(2)/25)*Calculateur!GH147*Calculateur!GJ147*VLOOKUP('Données projet'!$B$17,Paramètres!$A$1:$I$89,3,0)*0.475*44/12</f>
        <v>0.33302365427306696</v>
      </c>
      <c r="GN147" s="21">
        <f>EXP(-LN(2)/2)*GN146+(1-EXP(-LN(2)/2))/(LN(2)/2)*GH147*GK147*VLOOKUP('Données projet'!$B$17,Paramètres!$A$1:$I$89,3,0)*0.475*44/12</f>
        <v>6.8224429441265887E-17</v>
      </c>
      <c r="GO147" s="21">
        <f t="shared" si="135"/>
        <v>0.66087870615163669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-1.1368683772161603E-13</v>
      </c>
      <c r="GV147" s="17">
        <f>GU147*VLOOKUP('Données projet'!$B$18,Paramètres!$A$1:$I$89,3,0)*VLOOKUP('Données projet'!$B$18,Paramètres!$A$1:$I$89,5,0)</f>
        <v>-6.7984728957526396E-14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227.89848316900191</v>
      </c>
      <c r="HA147" s="59">
        <f t="shared" si="160"/>
        <v>239.85955661394541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0.83068153904668995</v>
      </c>
      <c r="HH147" s="21">
        <f>EXP(-LN(2)/25)*HH146+(1-EXP(-LN(2)/25))/(LN(2)/25)*Calculateur!HC147*Calculateur!HE147*VLOOKUP('Données projet'!$B$18,Paramètres!$A$1:$I$89,3,0)*0.475*44/12</f>
        <v>0.72678286144837001</v>
      </c>
      <c r="HI147" s="21">
        <f>EXP(-LN(2)/2)*HI146+(1-EXP(-LN(2)/2))/(LN(2)/2)*HC147*HF147*VLOOKUP('Données projet'!$B$18,Paramètres!$A$1:$I$89,3,0)*0.475*44/12</f>
        <v>4.6515365258131033E-17</v>
      </c>
      <c r="HJ147" s="22">
        <f t="shared" si="138"/>
        <v>1.55746440049506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2.5420376914553347E-13</v>
      </c>
      <c r="P148" s="13">
        <f t="shared" si="141"/>
        <v>3.4258699088369875E-12</v>
      </c>
      <c r="Q148" s="20">
        <f t="shared" si="108"/>
        <v>6.4094616558195571E-12</v>
      </c>
      <c r="R148" s="59">
        <f t="shared" si="109"/>
        <v>293.33333333333974</v>
      </c>
      <c r="S148" s="59">
        <f ca="1">AVERAGE(OFFSET($R$3,0,0,'Données projet'!$E$9+1,1))-AVERAGE(OFFSET($H$3,0,0,'Données projet'!$E$9+1,1))</f>
        <v>370.69652285220093</v>
      </c>
      <c r="T148" s="59">
        <f t="shared" si="142"/>
        <v>376.53494965377718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1.05391318408718</v>
      </c>
      <c r="AA148" s="21">
        <f>EXP(-LN(2)/25)*AA147+(1-EXP(-LN(2)/25))/(LN(2)/25)*Calculateur!V148*Calculateur!X148*VLOOKUP('Données projet'!$B$9,Paramètres!$A$1:$I$89,3,0)*0.475*44/12</f>
        <v>1.3774697137248764</v>
      </c>
      <c r="AB148" s="21">
        <f>EXP(-LN(2)/2)*AB147+(1-EXP(-LN(2)/2))/(LN(2)/2)*V148*Y148*VLOOKUP('Données projet'!$B$9,Paramètres!$A$1:$I$89,3,0)*0.475*44/12</f>
        <v>1.6058986400287884E-16</v>
      </c>
      <c r="AC148" s="22">
        <f t="shared" si="111"/>
        <v>2.4313828978120564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-5.6843418860808015E-13</v>
      </c>
      <c r="AJ148" s="13">
        <f>AI148*VLOOKUP('Données projet'!$B$10,Paramètres!$A$1:$I$89,3,0)*VLOOKUP('Données projet'!$B$10,Paramètres!$A$1:$I$89,5,0)</f>
        <v>-5.1431925385259092E-13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321.03881567735544</v>
      </c>
      <c r="AO148" s="59">
        <f t="shared" si="144"/>
        <v>234.87694492493506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0.24697763505881373</v>
      </c>
      <c r="AV148" s="21">
        <f>EXP(-LN(2)/25)*AV147+(1-EXP(-LN(2)/25))/(LN(2)/25)*Calculateur!AQ148*Calculateur!AS148*VLOOKUP('Données projet'!$B$10,Paramètres!$A$1:$I$89,3,0)*0.475*44/12</f>
        <v>0.55895640598386798</v>
      </c>
      <c r="AW148" s="21">
        <f>EXP(-LN(2)/2)*AW147+(1-EXP(-LN(2)/2))/(LN(2)/2)*AQ148*AT148*VLOOKUP('Données projet'!$B$10,Paramètres!$A$1:$I$89,3,0)*0.475*44/12</f>
        <v>1.0666857022284542E-16</v>
      </c>
      <c r="AX148" s="21">
        <f t="shared" si="114"/>
        <v>0.80593404104268185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3.1036506698001181E-13</v>
      </c>
      <c r="BF148" s="13">
        <f t="shared" si="145"/>
        <v>4.086682523110923E-12</v>
      </c>
      <c r="BG148" s="20">
        <f t="shared" si="115"/>
        <v>7.6581912194083782E-12</v>
      </c>
      <c r="BH148" s="59">
        <f t="shared" si="116"/>
        <v>293.33333333334099</v>
      </c>
      <c r="BI148" s="59">
        <f ca="1">AVERAGE(OFFSET($BH$3,0,0,'Données projet'!$E$11+1,1))-AVERAGE(OFFSET($H$3,0,0,'Données projet'!$E$11+1,1))</f>
        <v>248.1486444660062</v>
      </c>
      <c r="BJ148" s="59">
        <f t="shared" si="146"/>
        <v>293.34458072322127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0.87343333649508303</v>
      </c>
      <c r="BQ148" s="21">
        <f>EXP(-LN(2)/25)*BQ147+(1-EXP(-LN(2)/25))/(LN(2)/25)*Calculateur!BL148*Calculateur!BN148*VLOOKUP('Données projet'!$B$11,Paramètres!$A$1:$I$89,3,0)*0.475*44/12</f>
        <v>1.4035333387722988</v>
      </c>
      <c r="BR148" s="21">
        <f>EXP(-LN(2)/2)*BR147+(1-EXP(-LN(2)/2))/(LN(2)/2)*BL148*BO148*VLOOKUP('Données projet'!$B$11,Paramètres!$A$1:$I$89,3,0)*0.475*44/12</f>
        <v>1.2355855416972769E-16</v>
      </c>
      <c r="BS148" s="22">
        <f t="shared" si="117"/>
        <v>2.2769666752673818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243.38048563215585</v>
      </c>
      <c r="CE148" s="59">
        <f t="shared" si="148"/>
        <v>372.1604147006675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0.74944937535088385</v>
      </c>
      <c r="CL148" s="21">
        <f>EXP(-LN(2)/25)*CL147+(1-EXP(-LN(2)/25))/(LN(2)/25)*Calculateur!CG148*Calculateur!CI148*VLOOKUP('Données projet'!$B$12,Paramètres!$A$1:$I$89,3,0)*0.475*44/12</f>
        <v>0.79840242571595443</v>
      </c>
      <c r="CM148" s="21">
        <f>EXP(-LN(2)/2)*CM147+(1-EXP(-LN(2)/2))/(LN(2)/2)*CG148*CJ148*VLOOKUP('Données projet'!$B$12,Paramètres!$A$1:$I$89,3,0)*0.475*44/12</f>
        <v>1.4383489057924747E-16</v>
      </c>
      <c r="CN148" s="22">
        <f t="shared" si="120"/>
        <v>1.5478518010668385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7.9580786405131221E-13</v>
      </c>
      <c r="CU148" s="17">
        <f>CT148*VLOOKUP('Données projet'!$B$13,Paramètres!$A$1:$I$89,3,0)*VLOOKUP('Données projet'!$B$13,Paramètres!$A$1:$I$89,5,0)</f>
        <v>3.8278358260868117E-13</v>
      </c>
      <c r="CV148" s="13">
        <f t="shared" si="149"/>
        <v>4.9186917125089072E-12</v>
      </c>
      <c r="CW148" s="20">
        <f t="shared" si="121"/>
        <v>9.2334028056631319E-12</v>
      </c>
      <c r="CX148" s="59">
        <f t="shared" si="122"/>
        <v>293.33333333334252</v>
      </c>
      <c r="CY148" s="59">
        <f ca="1">AVERAGE(OFFSET($CX$3,0,0,'Données projet'!$E$13+1,1))-AVERAGE(OFFSET($H$3,0,0,'Données projet'!$E$13+1,1))</f>
        <v>297.21955661193238</v>
      </c>
      <c r="CZ148" s="59">
        <f t="shared" si="150"/>
        <v>273.69206144662144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0.69093754704275823</v>
      </c>
      <c r="DG148" s="21">
        <f>EXP(-LN(2)/25)*DG147+(1-EXP(-LN(2)/25))/(LN(2)/25)*Calculateur!DB148*Calculateur!DD148*VLOOKUP('Données projet'!$B$13,Paramètres!$A$1:$I$89,3,0)*0.475*44/12</f>
        <v>0.55349793950001269</v>
      </c>
      <c r="DH148" s="21">
        <f>EXP(-LN(2)/2)*DH147+(1-EXP(-LN(2)/2))/(LN(2)/2)*DB148*DE148*VLOOKUP('Données projet'!$B$13,Paramètres!$A$1:$I$89,3,0)*0.475*44/12</f>
        <v>1.0260938609611062E-16</v>
      </c>
      <c r="DI148" s="22">
        <f t="shared" si="123"/>
        <v>1.2444354865427709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-4.0702161641092972E-13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260.20517190557814</v>
      </c>
      <c r="DU148" s="59">
        <f t="shared" si="152"/>
        <v>307.22009971147133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0.33459329769645868</v>
      </c>
      <c r="EB148" s="21">
        <f>EXP(-LN(2)/25)*EB147+(1-EXP(-LN(2)/25))/(LN(2)/25)*Calculateur!DW148*Calculateur!DY148*VLOOKUP('Données projet'!$B$14,Paramètres!$A$1:$I$89,3,0)*0.475*44/12</f>
        <v>0.84611806629020858</v>
      </c>
      <c r="EC148" s="21">
        <f>EXP(-LN(2)/2)*EC147+(1-EXP(-LN(2)/2))/(LN(2)/2)*DW148*DZ148*VLOOKUP('Données projet'!$B$14,Paramètres!$A$1:$I$89,3,0)*0.475*44/12</f>
        <v>1.1794845748217241E-16</v>
      </c>
      <c r="ED148" s="22">
        <f t="shared" si="126"/>
        <v>1.1807113639866675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1.1368683772161603E-13</v>
      </c>
      <c r="EK148" s="17">
        <f>EJ148*VLOOKUP('Données projet'!$B$15,Paramètres!$A$1:$I$89,3,0)*VLOOKUP('Données projet'!$B$15,Paramètres!$A$1:$I$89,5,0)</f>
        <v>6.7984728957526396E-14</v>
      </c>
      <c r="EL148" s="13">
        <f t="shared" si="153"/>
        <v>1.0682447123141398E-12</v>
      </c>
      <c r="EM148" s="20">
        <f t="shared" si="127"/>
        <v>1.978932943548152E-12</v>
      </c>
      <c r="EN148" s="59">
        <f t="shared" si="128"/>
        <v>293.3333333333353</v>
      </c>
      <c r="EO148" s="59">
        <f ca="1">AVERAGE(OFFSET($EN$3,0,0,'Données projet'!$E$15+1,1))-AVERAGE(OFFSET($H$3,0,0,'Données projet'!$E$15+1,1))</f>
        <v>259.30247982593914</v>
      </c>
      <c r="EP148" s="59">
        <f t="shared" si="154"/>
        <v>275.24740346220779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0.74358447971224639</v>
      </c>
      <c r="EX148" s="21">
        <f>EXP(-LN(2)/2)*EX147+(1-EXP(-LN(2)/2))/(LN(2)/2)*ER148*EU148*VLOOKUP('Données projet'!$B$15,Paramètres!$A$1:$I$89,3,0)*0.475*44/12</f>
        <v>1.4072184357515991E-16</v>
      </c>
      <c r="EY148" s="22">
        <f t="shared" si="129"/>
        <v>0.7435844797122465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-5.6843418860808015E-13</v>
      </c>
      <c r="FF148" s="17">
        <f>FE148*VLOOKUP('Données projet'!$B$16,Paramètres!$A$1:$I$89,3,0)*VLOOKUP('Données projet'!$B$16,Paramètres!$A$1:$I$89,5,0)</f>
        <v>-5.763922672485933E-13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372.91317851957336</v>
      </c>
      <c r="FK148" s="59">
        <f t="shared" si="156"/>
        <v>269.69187715858413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0.27678528066936042</v>
      </c>
      <c r="FR148" s="21">
        <f>EXP(-LN(2)/25)*FR147+(1-EXP(-LN(2)/25))/(LN(2)/25)*Calculateur!FM148*Calculateur!FO148*VLOOKUP('Données projet'!$B$16,Paramètres!$A$1:$I$89,3,0)*0.475*44/12</f>
        <v>0.62641666187847267</v>
      </c>
      <c r="FS148" s="21">
        <f>EXP(-LN(2)/2)*FS147+(1-EXP(-LN(2)/2))/(LN(2)/2)*FM148*FP148*VLOOKUP('Données projet'!$B$16,Paramètres!$A$1:$I$89,3,0)*0.475*44/12</f>
        <v>1.1954236318077494E-16</v>
      </c>
      <c r="FT148" s="22">
        <f t="shared" si="132"/>
        <v>0.90320194254783315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-1.1368683772161603E-13</v>
      </c>
      <c r="GA148" s="17">
        <f>FZ148*VLOOKUP('Données projet'!$B$17,Paramètres!$A$1:$I$89,3,0)*VLOOKUP('Données projet'!$B$17,Paramètres!$A$1:$I$89,5,0)</f>
        <v>-5.3205440053716299E-14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215.23235148064941</v>
      </c>
      <c r="GF148" s="59">
        <f t="shared" si="158"/>
        <v>184.07239726900434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0.32142601428306694</v>
      </c>
      <c r="GM148" s="21">
        <f>EXP(-LN(2)/25)*GM147+(1-EXP(-LN(2)/25))/(LN(2)/25)*Calculateur!GH148*Calculateur!GJ148*VLOOKUP('Données projet'!$B$17,Paramètres!$A$1:$I$89,3,0)*0.475*44/12</f>
        <v>0.3239171049340171</v>
      </c>
      <c r="GN148" s="21">
        <f>EXP(-LN(2)/2)*GN147+(1-EXP(-LN(2)/2))/(LN(2)/2)*GH148*GK148*VLOOKUP('Données projet'!$B$17,Paramètres!$A$1:$I$89,3,0)*0.475*44/12</f>
        <v>4.8241956700502249E-17</v>
      </c>
      <c r="GO148" s="21">
        <f t="shared" si="135"/>
        <v>0.64534311921708398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-1.1368683772161603E-13</v>
      </c>
      <c r="GV148" s="17">
        <f>GU148*VLOOKUP('Données projet'!$B$18,Paramètres!$A$1:$I$89,3,0)*VLOOKUP('Données projet'!$B$18,Paramètres!$A$1:$I$89,5,0)</f>
        <v>-6.7984728957526396E-14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227.89848316900191</v>
      </c>
      <c r="HA148" s="59">
        <f t="shared" si="160"/>
        <v>239.85955661394541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0.81439238073169407</v>
      </c>
      <c r="HH148" s="21">
        <f>EXP(-LN(2)/25)*HH147+(1-EXP(-LN(2)/25))/(LN(2)/25)*Calculateur!HC148*Calculateur!HE148*VLOOKUP('Données projet'!$B$18,Paramètres!$A$1:$I$89,3,0)*0.475*44/12</f>
        <v>0.70690894588221476</v>
      </c>
      <c r="HI148" s="21">
        <f>EXP(-LN(2)/2)*HI147+(1-EXP(-LN(2)/2))/(LN(2)/2)*HC148*HF148*VLOOKUP('Données projet'!$B$18,Paramètres!$A$1:$I$89,3,0)*0.475*44/12</f>
        <v>3.2891330203393595E-17</v>
      </c>
      <c r="HJ148" s="22">
        <f t="shared" si="138"/>
        <v>1.5213013266139088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2.5420376914553347E-13</v>
      </c>
      <c r="P149" s="13">
        <f t="shared" si="141"/>
        <v>3.4258699088369875E-12</v>
      </c>
      <c r="Q149" s="20">
        <f t="shared" si="108"/>
        <v>6.4094616558195571E-12</v>
      </c>
      <c r="R149" s="59">
        <f t="shared" si="109"/>
        <v>293.33333333333974</v>
      </c>
      <c r="S149" s="59">
        <f ca="1">AVERAGE(OFFSET($R$3,0,0,'Données projet'!$E$9+1,1))-AVERAGE(OFFSET($H$3,0,0,'Données projet'!$E$9+1,1))</f>
        <v>370.69652285220093</v>
      </c>
      <c r="T149" s="59">
        <f t="shared" si="142"/>
        <v>376.53494965377718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1.0332465893707992</v>
      </c>
      <c r="AA149" s="21">
        <f>EXP(-LN(2)/25)*AA148+(1-EXP(-LN(2)/25))/(LN(2)/25)*Calculateur!V149*Calculateur!X149*VLOOKUP('Données projet'!$B$9,Paramètres!$A$1:$I$89,3,0)*0.475*44/12</f>
        <v>1.3398027319650856</v>
      </c>
      <c r="AB149" s="21">
        <f>EXP(-LN(2)/2)*AB148+(1-EXP(-LN(2)/2))/(LN(2)/2)*V149*Y149*VLOOKUP('Données projet'!$B$9,Paramètres!$A$1:$I$89,3,0)*0.475*44/12</f>
        <v>1.1355418182626107E-16</v>
      </c>
      <c r="AC149" s="22">
        <f t="shared" si="111"/>
        <v>2.373049321335885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-5.6843418860808015E-13</v>
      </c>
      <c r="AJ149" s="13">
        <f>AI149*VLOOKUP('Données projet'!$B$10,Paramètres!$A$1:$I$89,3,0)*VLOOKUP('Données projet'!$B$10,Paramètres!$A$1:$I$89,5,0)</f>
        <v>-5.1431925385259092E-13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321.03881567735544</v>
      </c>
      <c r="AO149" s="59">
        <f t="shared" si="144"/>
        <v>234.87694492493506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0.24213455427679317</v>
      </c>
      <c r="AV149" s="21">
        <f>EXP(-LN(2)/25)*AV148+(1-EXP(-LN(2)/25))/(LN(2)/25)*Calculateur!AQ149*Calculateur!AS149*VLOOKUP('Données projet'!$B$10,Paramètres!$A$1:$I$89,3,0)*0.475*44/12</f>
        <v>0.54367171366799927</v>
      </c>
      <c r="AW149" s="21">
        <f>EXP(-LN(2)/2)*AW148+(1-EXP(-LN(2)/2))/(LN(2)/2)*AQ149*AT149*VLOOKUP('Données projet'!$B$10,Paramètres!$A$1:$I$89,3,0)*0.475*44/12</f>
        <v>7.5426069344047433E-17</v>
      </c>
      <c r="AX149" s="21">
        <f t="shared" si="114"/>
        <v>0.78580626794479258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3.1036506698001181E-13</v>
      </c>
      <c r="BF149" s="13">
        <f t="shared" si="145"/>
        <v>4.086682523110923E-12</v>
      </c>
      <c r="BG149" s="20">
        <f t="shared" si="115"/>
        <v>7.6581912194083782E-12</v>
      </c>
      <c r="BH149" s="59">
        <f t="shared" si="116"/>
        <v>293.33333333334099</v>
      </c>
      <c r="BI149" s="59">
        <f ca="1">AVERAGE(OFFSET($BH$3,0,0,'Données projet'!$E$11+1,1))-AVERAGE(OFFSET($H$3,0,0,'Données projet'!$E$11+1,1))</f>
        <v>248.1486444660062</v>
      </c>
      <c r="BJ149" s="59">
        <f t="shared" si="146"/>
        <v>293.34458072322127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0.85630584150814582</v>
      </c>
      <c r="BQ149" s="21">
        <f>EXP(-LN(2)/25)*BQ148+(1-EXP(-LN(2)/25))/(LN(2)/25)*Calculateur!BL149*Calculateur!BN149*VLOOKUP('Données projet'!$B$11,Paramètres!$A$1:$I$89,3,0)*0.475*44/12</f>
        <v>1.3651536458149598</v>
      </c>
      <c r="BR149" s="21">
        <f>EXP(-LN(2)/2)*BR148+(1-EXP(-LN(2)/2))/(LN(2)/2)*BL149*BO149*VLOOKUP('Données projet'!$B$11,Paramètres!$A$1:$I$89,3,0)*0.475*44/12</f>
        <v>8.7369091527019816E-17</v>
      </c>
      <c r="BS149" s="22">
        <f t="shared" si="117"/>
        <v>2.2214594873231057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243.38048563215585</v>
      </c>
      <c r="CE149" s="59">
        <f t="shared" si="148"/>
        <v>372.1604147006675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0.73475313021923527</v>
      </c>
      <c r="CL149" s="21">
        <f>EXP(-LN(2)/25)*CL148+(1-EXP(-LN(2)/25))/(LN(2)/25)*Calculateur!CG149*Calculateur!CI149*VLOOKUP('Données projet'!$B$12,Paramètres!$A$1:$I$89,3,0)*0.475*44/12</f>
        <v>0.77657006939859285</v>
      </c>
      <c r="CM149" s="21">
        <f>EXP(-LN(2)/2)*CM148+(1-EXP(-LN(2)/2))/(LN(2)/2)*CG149*CJ149*VLOOKUP('Données projet'!$B$12,Paramètres!$A$1:$I$89,3,0)*0.475*44/12</f>
        <v>1.0170662649981095E-16</v>
      </c>
      <c r="CN149" s="22">
        <f t="shared" si="120"/>
        <v>1.511323199617828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7.9580786405131221E-13</v>
      </c>
      <c r="CU149" s="17">
        <f>CT149*VLOOKUP('Données projet'!$B$13,Paramètres!$A$1:$I$89,3,0)*VLOOKUP('Données projet'!$B$13,Paramètres!$A$1:$I$89,5,0)</f>
        <v>3.8278358260868117E-13</v>
      </c>
      <c r="CV149" s="13">
        <f t="shared" si="149"/>
        <v>4.9186917125089072E-12</v>
      </c>
      <c r="CW149" s="20">
        <f t="shared" si="121"/>
        <v>9.2334028056631319E-12</v>
      </c>
      <c r="CX149" s="59">
        <f t="shared" si="122"/>
        <v>293.33333333334252</v>
      </c>
      <c r="CY149" s="59">
        <f ca="1">AVERAGE(OFFSET($CX$3,0,0,'Données projet'!$E$13+1,1))-AVERAGE(OFFSET($H$3,0,0,'Données projet'!$E$13+1,1))</f>
        <v>297.21955661193238</v>
      </c>
      <c r="CZ149" s="59">
        <f t="shared" si="150"/>
        <v>273.69206144662144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0.67738868317554068</v>
      </c>
      <c r="DG149" s="21">
        <f>EXP(-LN(2)/25)*DG148+(1-EXP(-LN(2)/25))/(LN(2)/25)*Calculateur!DB149*Calculateur!DD149*VLOOKUP('Données projet'!$B$13,Paramètres!$A$1:$I$89,3,0)*0.475*44/12</f>
        <v>0.5383625092371932</v>
      </c>
      <c r="DH149" s="21">
        <f>EXP(-LN(2)/2)*DH148+(1-EXP(-LN(2)/2))/(LN(2)/2)*DB149*DE149*VLOOKUP('Données projet'!$B$13,Paramètres!$A$1:$I$89,3,0)*0.475*44/12</f>
        <v>7.2555792721948464E-17</v>
      </c>
      <c r="DI149" s="22">
        <f t="shared" si="123"/>
        <v>1.2157511924127338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-4.0702161641092972E-13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260.20517190557814</v>
      </c>
      <c r="DU149" s="59">
        <f t="shared" si="152"/>
        <v>307.22009971147133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0.32803212721039132</v>
      </c>
      <c r="EB149" s="21">
        <f>EXP(-LN(2)/25)*EB148+(1-EXP(-LN(2)/25))/(LN(2)/25)*Calculateur!DW149*Calculateur!DY149*VLOOKUP('Données projet'!$B$14,Paramètres!$A$1:$I$89,3,0)*0.475*44/12</f>
        <v>0.82298092327208761</v>
      </c>
      <c r="EC149" s="21">
        <f>EXP(-LN(2)/2)*EC148+(1-EXP(-LN(2)/2))/(LN(2)/2)*DW149*DZ149*VLOOKUP('Données projet'!$B$14,Paramètres!$A$1:$I$89,3,0)*0.475*44/12</f>
        <v>8.3402154116137294E-17</v>
      </c>
      <c r="ED149" s="22">
        <f t="shared" si="126"/>
        <v>1.1510130504824789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1.1368683772161603E-13</v>
      </c>
      <c r="EK149" s="17">
        <f>EJ149*VLOOKUP('Données projet'!$B$15,Paramètres!$A$1:$I$89,3,0)*VLOOKUP('Données projet'!$B$15,Paramètres!$A$1:$I$89,5,0)</f>
        <v>6.7984728957526396E-14</v>
      </c>
      <c r="EL149" s="13">
        <f t="shared" si="153"/>
        <v>1.0682447123141398E-12</v>
      </c>
      <c r="EM149" s="20">
        <f t="shared" si="127"/>
        <v>1.978932943548152E-12</v>
      </c>
      <c r="EN149" s="59">
        <f t="shared" si="128"/>
        <v>293.3333333333353</v>
      </c>
      <c r="EO149" s="59">
        <f ca="1">AVERAGE(OFFSET($EN$3,0,0,'Données projet'!$E$15+1,1))-AVERAGE(OFFSET($H$3,0,0,'Données projet'!$E$15+1,1))</f>
        <v>259.30247982593914</v>
      </c>
      <c r="EP149" s="59">
        <f t="shared" si="154"/>
        <v>275.24740346220779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0.72325112301110672</v>
      </c>
      <c r="EX149" s="21">
        <f>EXP(-LN(2)/2)*EX148+(1-EXP(-LN(2)/2))/(LN(2)/2)*ER149*EU149*VLOOKUP('Données projet'!$B$15,Paramètres!$A$1:$I$89,3,0)*0.475*44/12</f>
        <v>9.950536985306817E-17</v>
      </c>
      <c r="EY149" s="22">
        <f t="shared" si="129"/>
        <v>0.72325112301110683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-5.6843418860808015E-13</v>
      </c>
      <c r="FF149" s="17">
        <f>FE149*VLOOKUP('Données projet'!$B$16,Paramètres!$A$1:$I$89,3,0)*VLOOKUP('Données projet'!$B$16,Paramètres!$A$1:$I$89,5,0)</f>
        <v>-5.763922672485933E-13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372.91317851957336</v>
      </c>
      <c r="FK149" s="59">
        <f t="shared" si="156"/>
        <v>269.69187715858413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0.27135769013778566</v>
      </c>
      <c r="FR149" s="21">
        <f>EXP(-LN(2)/25)*FR148+(1-EXP(-LN(2)/25))/(LN(2)/25)*Calculateur!FM149*Calculateur!FO149*VLOOKUP('Données projet'!$B$16,Paramètres!$A$1:$I$89,3,0)*0.475*44/12</f>
        <v>0.60928726531758526</v>
      </c>
      <c r="FS149" s="21">
        <f>EXP(-LN(2)/2)*FS148+(1-EXP(-LN(2)/2))/(LN(2)/2)*FM149*FP149*VLOOKUP('Données projet'!$B$16,Paramètres!$A$1:$I$89,3,0)*0.475*44/12</f>
        <v>8.4529215644191022E-17</v>
      </c>
      <c r="FT149" s="22">
        <f t="shared" si="132"/>
        <v>0.88064495545537103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-1.1368683772161603E-13</v>
      </c>
      <c r="GA149" s="17">
        <f>FZ149*VLOOKUP('Données projet'!$B$17,Paramètres!$A$1:$I$89,3,0)*VLOOKUP('Données projet'!$B$17,Paramètres!$A$1:$I$89,5,0)</f>
        <v>-5.3205440053716299E-14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215.23235148064941</v>
      </c>
      <c r="GF149" s="59">
        <f t="shared" si="158"/>
        <v>184.07239726900434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0.31512304619348636</v>
      </c>
      <c r="GM149" s="21">
        <f>EXP(-LN(2)/25)*GM148+(1-EXP(-LN(2)/25))/(LN(2)/25)*Calculateur!GH149*Calculateur!GJ149*VLOOKUP('Données projet'!$B$17,Paramètres!$A$1:$I$89,3,0)*0.475*44/12</f>
        <v>0.31505957466553619</v>
      </c>
      <c r="GN149" s="21">
        <f>EXP(-LN(2)/2)*GN148+(1-EXP(-LN(2)/2))/(LN(2)/2)*GH149*GK149*VLOOKUP('Données projet'!$B$17,Paramètres!$A$1:$I$89,3,0)*0.475*44/12</f>
        <v>3.4112214720632944E-17</v>
      </c>
      <c r="GO149" s="21">
        <f t="shared" si="135"/>
        <v>0.63018262085902255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-1.1368683772161603E-13</v>
      </c>
      <c r="GV149" s="17">
        <f>GU149*VLOOKUP('Données projet'!$B$18,Paramètres!$A$1:$I$89,3,0)*VLOOKUP('Données projet'!$B$18,Paramètres!$A$1:$I$89,5,0)</f>
        <v>-6.7984728957526396E-14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227.89848316900191</v>
      </c>
      <c r="HA149" s="59">
        <f t="shared" si="160"/>
        <v>239.85955661394541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0.79842264287584974</v>
      </c>
      <c r="HH149" s="21">
        <f>EXP(-LN(2)/25)*HH148+(1-EXP(-LN(2)/25))/(LN(2)/25)*Calculateur!HC149*Calculateur!HE149*VLOOKUP('Données projet'!$B$18,Paramètres!$A$1:$I$89,3,0)*0.475*44/12</f>
        <v>0.68757848358233975</v>
      </c>
      <c r="HI149" s="21">
        <f>EXP(-LN(2)/2)*HI148+(1-EXP(-LN(2)/2))/(LN(2)/2)*HC149*HF149*VLOOKUP('Données projet'!$B$18,Paramètres!$A$1:$I$89,3,0)*0.475*44/12</f>
        <v>2.3257682629065516E-17</v>
      </c>
      <c r="HJ149" s="22">
        <f t="shared" si="138"/>
        <v>1.4860011264581896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2.5420376914553347E-13</v>
      </c>
      <c r="P150" s="13">
        <f t="shared" si="141"/>
        <v>3.4258699088369875E-12</v>
      </c>
      <c r="Q150" s="20">
        <f t="shared" si="108"/>
        <v>6.4094616558195571E-12</v>
      </c>
      <c r="R150" s="59">
        <f t="shared" si="109"/>
        <v>293.33333333333974</v>
      </c>
      <c r="S150" s="59">
        <f ca="1">AVERAGE(OFFSET($R$3,0,0,'Données projet'!$E$9+1,1))-AVERAGE(OFFSET($H$3,0,0,'Données projet'!$E$9+1,1))</f>
        <v>370.69652285220093</v>
      </c>
      <c r="T150" s="59">
        <f t="shared" si="142"/>
        <v>376.53494965377718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1.0129852539714284</v>
      </c>
      <c r="AA150" s="21">
        <f>EXP(-LN(2)/25)*AA149+(1-EXP(-LN(2)/25))/(LN(2)/25)*Calculateur!V150*Calculateur!X150*VLOOKUP('Données projet'!$B$9,Paramètres!$A$1:$I$89,3,0)*0.475*44/12</f>
        <v>1.3031657558023368</v>
      </c>
      <c r="AB150" s="21">
        <f>EXP(-LN(2)/2)*AB149+(1-EXP(-LN(2)/2))/(LN(2)/2)*V150*Y150*VLOOKUP('Données projet'!$B$9,Paramètres!$A$1:$I$89,3,0)*0.475*44/12</f>
        <v>8.0294932001439421E-17</v>
      </c>
      <c r="AC150" s="22">
        <f t="shared" si="111"/>
        <v>2.3161510097737654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-5.6843418860808015E-13</v>
      </c>
      <c r="AJ150" s="13">
        <f>AI150*VLOOKUP('Données projet'!$B$10,Paramètres!$A$1:$I$89,3,0)*VLOOKUP('Données projet'!$B$10,Paramètres!$A$1:$I$89,5,0)</f>
        <v>-5.1431925385259092E-13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321.03881567735544</v>
      </c>
      <c r="AO150" s="59">
        <f t="shared" si="144"/>
        <v>234.87694492493506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0.23738644335492043</v>
      </c>
      <c r="AV150" s="21">
        <f>EXP(-LN(2)/25)*AV149+(1-EXP(-LN(2)/25))/(LN(2)/25)*Calculateur!AQ150*Calculateur!AS150*VLOOKUP('Données projet'!$B$10,Paramètres!$A$1:$I$89,3,0)*0.475*44/12</f>
        <v>0.52880498206729498</v>
      </c>
      <c r="AW150" s="21">
        <f>EXP(-LN(2)/2)*AW149+(1-EXP(-LN(2)/2))/(LN(2)/2)*AQ150*AT150*VLOOKUP('Données projet'!$B$10,Paramètres!$A$1:$I$89,3,0)*0.475*44/12</f>
        <v>5.3334285111422709E-17</v>
      </c>
      <c r="AX150" s="21">
        <f t="shared" si="114"/>
        <v>0.76619142542221541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3.1036506698001181E-13</v>
      </c>
      <c r="BF150" s="13">
        <f t="shared" si="145"/>
        <v>4.086682523110923E-12</v>
      </c>
      <c r="BG150" s="20">
        <f t="shared" si="115"/>
        <v>7.6581912194083782E-12</v>
      </c>
      <c r="BH150" s="59">
        <f t="shared" si="116"/>
        <v>293.33333333334099</v>
      </c>
      <c r="BI150" s="59">
        <f ca="1">AVERAGE(OFFSET($BH$3,0,0,'Données projet'!$E$11+1,1))-AVERAGE(OFFSET($H$3,0,0,'Données projet'!$E$11+1,1))</f>
        <v>248.1486444660062</v>
      </c>
      <c r="BJ150" s="59">
        <f t="shared" si="146"/>
        <v>293.34458072322127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0.83951420625116202</v>
      </c>
      <c r="BQ150" s="21">
        <f>EXP(-LN(2)/25)*BQ149+(1-EXP(-LN(2)/25))/(LN(2)/25)*Calculateur!BL150*Calculateur!BN150*VLOOKUP('Données projet'!$B$11,Paramètres!$A$1:$I$89,3,0)*0.475*44/12</f>
        <v>1.3278234475798396</v>
      </c>
      <c r="BR150" s="21">
        <f>EXP(-LN(2)/2)*BR149+(1-EXP(-LN(2)/2))/(LN(2)/2)*BL150*BO150*VLOOKUP('Données projet'!$B$11,Paramètres!$A$1:$I$89,3,0)*0.475*44/12</f>
        <v>6.1779277084863844E-17</v>
      </c>
      <c r="BS150" s="22">
        <f t="shared" si="117"/>
        <v>2.1673376538310016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243.38048563215585</v>
      </c>
      <c r="CE150" s="59">
        <f t="shared" si="148"/>
        <v>372.1604147006675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0.72034506949079391</v>
      </c>
      <c r="CL150" s="21">
        <f>EXP(-LN(2)/25)*CL149+(1-EXP(-LN(2)/25))/(LN(2)/25)*Calculateur!CG150*Calculateur!CI150*VLOOKUP('Données projet'!$B$12,Paramètres!$A$1:$I$89,3,0)*0.475*44/12</f>
        <v>0.7553347200128433</v>
      </c>
      <c r="CM150" s="21">
        <f>EXP(-LN(2)/2)*CM149+(1-EXP(-LN(2)/2))/(LN(2)/2)*CG150*CJ150*VLOOKUP('Données projet'!$B$12,Paramètres!$A$1:$I$89,3,0)*0.475*44/12</f>
        <v>7.1917445289623733E-17</v>
      </c>
      <c r="CN150" s="22">
        <f t="shared" si="120"/>
        <v>1.4756797895036371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7.9580786405131221E-13</v>
      </c>
      <c r="CU150" s="17">
        <f>CT150*VLOOKUP('Données projet'!$B$13,Paramètres!$A$1:$I$89,3,0)*VLOOKUP('Données projet'!$B$13,Paramètres!$A$1:$I$89,5,0)</f>
        <v>3.8278358260868117E-13</v>
      </c>
      <c r="CV150" s="13">
        <f t="shared" si="149"/>
        <v>4.9186917125089072E-12</v>
      </c>
      <c r="CW150" s="20">
        <f t="shared" si="121"/>
        <v>9.2334028056631319E-12</v>
      </c>
      <c r="CX150" s="59">
        <f t="shared" si="122"/>
        <v>293.33333333334252</v>
      </c>
      <c r="CY150" s="59">
        <f ca="1">AVERAGE(OFFSET($CX$3,0,0,'Données projet'!$E$13+1,1))-AVERAGE(OFFSET($H$3,0,0,'Données projet'!$E$13+1,1))</f>
        <v>297.21955661193238</v>
      </c>
      <c r="CZ150" s="59">
        <f t="shared" si="150"/>
        <v>273.69206144662144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0.66410550426476833</v>
      </c>
      <c r="DG150" s="21">
        <f>EXP(-LN(2)/25)*DG149+(1-EXP(-LN(2)/25))/(LN(2)/25)*Calculateur!DB150*Calculateur!DD150*VLOOKUP('Données projet'!$B$13,Paramètres!$A$1:$I$89,3,0)*0.475*44/12</f>
        <v>0.52364095811084821</v>
      </c>
      <c r="DH150" s="21">
        <f>EXP(-LN(2)/2)*DH149+(1-EXP(-LN(2)/2))/(LN(2)/2)*DB150*DE150*VLOOKUP('Données projet'!$B$13,Paramètres!$A$1:$I$89,3,0)*0.475*44/12</f>
        <v>5.1304693048055311E-17</v>
      </c>
      <c r="DI150" s="22">
        <f t="shared" si="123"/>
        <v>1.1877464623756167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-4.0702161641092972E-13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260.20517190557814</v>
      </c>
      <c r="DU150" s="59">
        <f t="shared" si="152"/>
        <v>307.22009971147133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0.32159961727563691</v>
      </c>
      <c r="EB150" s="21">
        <f>EXP(-LN(2)/25)*EB149+(1-EXP(-LN(2)/25))/(LN(2)/25)*Calculateur!DW150*Calculateur!DY150*VLOOKUP('Données projet'!$B$14,Paramètres!$A$1:$I$89,3,0)*0.475*44/12</f>
        <v>0.80047646664652661</v>
      </c>
      <c r="EC150" s="21">
        <f>EXP(-LN(2)/2)*EC149+(1-EXP(-LN(2)/2))/(LN(2)/2)*DW150*DZ150*VLOOKUP('Données projet'!$B$14,Paramètres!$A$1:$I$89,3,0)*0.475*44/12</f>
        <v>5.8974228741086207E-17</v>
      </c>
      <c r="ED150" s="22">
        <f t="shared" si="126"/>
        <v>1.1220760839221635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1.1368683772161603E-13</v>
      </c>
      <c r="EK150" s="17">
        <f>EJ150*VLOOKUP('Données projet'!$B$15,Paramètres!$A$1:$I$89,3,0)*VLOOKUP('Données projet'!$B$15,Paramètres!$A$1:$I$89,5,0)</f>
        <v>6.7984728957526396E-14</v>
      </c>
      <c r="EL150" s="13">
        <f t="shared" si="153"/>
        <v>1.0682447123141398E-12</v>
      </c>
      <c r="EM150" s="20">
        <f t="shared" si="127"/>
        <v>1.978932943548152E-12</v>
      </c>
      <c r="EN150" s="59">
        <f t="shared" si="128"/>
        <v>293.3333333333353</v>
      </c>
      <c r="EO150" s="59">
        <f ca="1">AVERAGE(OFFSET($EN$3,0,0,'Données projet'!$E$15+1,1))-AVERAGE(OFFSET($H$3,0,0,'Données projet'!$E$15+1,1))</f>
        <v>259.30247982593914</v>
      </c>
      <c r="EP150" s="59">
        <f t="shared" si="154"/>
        <v>275.24740346220779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0.70347378301824448</v>
      </c>
      <c r="EX150" s="21">
        <f>EXP(-LN(2)/2)*EX149+(1-EXP(-LN(2)/2))/(LN(2)/2)*ER150*EU150*VLOOKUP('Données projet'!$B$15,Paramètres!$A$1:$I$89,3,0)*0.475*44/12</f>
        <v>7.0360921787579956E-17</v>
      </c>
      <c r="EY150" s="22">
        <f t="shared" si="129"/>
        <v>0.70347378301824459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-5.6843418860808015E-13</v>
      </c>
      <c r="FF150" s="17">
        <f>FE150*VLOOKUP('Données projet'!$B$16,Paramètres!$A$1:$I$89,3,0)*VLOOKUP('Données projet'!$B$16,Paramètres!$A$1:$I$89,5,0)</f>
        <v>-5.763922672485933E-13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372.91317851957336</v>
      </c>
      <c r="FK150" s="59">
        <f t="shared" si="156"/>
        <v>269.69187715858413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0.26603653134603172</v>
      </c>
      <c r="FR150" s="21">
        <f>EXP(-LN(2)/25)*FR149+(1-EXP(-LN(2)/25))/(LN(2)/25)*Calculateur!FM150*Calculateur!FO150*VLOOKUP('Données projet'!$B$16,Paramètres!$A$1:$I$89,3,0)*0.475*44/12</f>
        <v>0.5926262730064511</v>
      </c>
      <c r="FS150" s="21">
        <f>EXP(-LN(2)/2)*FS149+(1-EXP(-LN(2)/2))/(LN(2)/2)*FM150*FP150*VLOOKUP('Données projet'!$B$16,Paramètres!$A$1:$I$89,3,0)*0.475*44/12</f>
        <v>5.977118159038747E-17</v>
      </c>
      <c r="FT150" s="22">
        <f t="shared" si="132"/>
        <v>0.85866280435248299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-1.1368683772161603E-13</v>
      </c>
      <c r="GA150" s="17">
        <f>FZ150*VLOOKUP('Données projet'!$B$17,Paramètres!$A$1:$I$89,3,0)*VLOOKUP('Données projet'!$B$17,Paramètres!$A$1:$I$89,5,0)</f>
        <v>-5.3205440053716299E-14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215.23235148064941</v>
      </c>
      <c r="GF150" s="59">
        <f t="shared" si="158"/>
        <v>184.07239726900434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0.30894367546371149</v>
      </c>
      <c r="GM150" s="21">
        <f>EXP(-LN(2)/25)*GM149+(1-EXP(-LN(2)/25))/(LN(2)/25)*Calculateur!GH150*Calculateur!GJ150*VLOOKUP('Données projet'!$B$17,Paramètres!$A$1:$I$89,3,0)*0.475*44/12</f>
        <v>0.30644425402804415</v>
      </c>
      <c r="GN150" s="21">
        <f>EXP(-LN(2)/2)*GN149+(1-EXP(-LN(2)/2))/(LN(2)/2)*GH150*GK150*VLOOKUP('Données projet'!$B$17,Paramètres!$A$1:$I$89,3,0)*0.475*44/12</f>
        <v>2.4120978350251125E-17</v>
      </c>
      <c r="GO150" s="21">
        <f t="shared" si="135"/>
        <v>0.61538792949175569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-1.1368683772161603E-13</v>
      </c>
      <c r="GV150" s="17">
        <f>GU150*VLOOKUP('Données projet'!$B$18,Paramètres!$A$1:$I$89,3,0)*VLOOKUP('Données projet'!$B$18,Paramètres!$A$1:$I$89,5,0)</f>
        <v>-6.7984728957526396E-14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227.89848316900191</v>
      </c>
      <c r="HA150" s="59">
        <f t="shared" si="160"/>
        <v>239.85955661394541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0.78276606183878028</v>
      </c>
      <c r="HH150" s="21">
        <f>EXP(-LN(2)/25)*HH149+(1-EXP(-LN(2)/25))/(LN(2)/25)*Calculateur!HC150*Calculateur!HE150*VLOOKUP('Données projet'!$B$18,Paramètres!$A$1:$I$89,3,0)*0.475*44/12</f>
        <v>0.66877661379059972</v>
      </c>
      <c r="HI150" s="21">
        <f>EXP(-LN(2)/2)*HI149+(1-EXP(-LN(2)/2))/(LN(2)/2)*HC150*HF150*VLOOKUP('Données projet'!$B$18,Paramètres!$A$1:$I$89,3,0)*0.475*44/12</f>
        <v>1.6445665101696797E-17</v>
      </c>
      <c r="HJ150" s="22">
        <f t="shared" si="138"/>
        <v>1.4515426756293799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2.5420376914553347E-13</v>
      </c>
      <c r="P151" s="13">
        <f t="shared" si="141"/>
        <v>3.4258699088369875E-12</v>
      </c>
      <c r="Q151" s="20">
        <f t="shared" si="108"/>
        <v>6.4094616558195571E-12</v>
      </c>
      <c r="R151" s="59">
        <f t="shared" si="109"/>
        <v>293.33333333333974</v>
      </c>
      <c r="S151" s="59">
        <f ca="1">AVERAGE(OFFSET($R$3,0,0,'Données projet'!$E$9+1,1))-AVERAGE(OFFSET($H$3,0,0,'Données projet'!$E$9+1,1))</f>
        <v>370.69652285220093</v>
      </c>
      <c r="T151" s="59">
        <f t="shared" si="142"/>
        <v>376.53494965377718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0.99312123100104499</v>
      </c>
      <c r="AA151" s="21">
        <f>EXP(-LN(2)/25)*AA150+(1-EXP(-LN(2)/25))/(LN(2)/25)*Calculateur!V151*Calculateur!X151*VLOOKUP('Données projet'!$B$9,Paramètres!$A$1:$I$89,3,0)*0.475*44/12</f>
        <v>1.2675306196794132</v>
      </c>
      <c r="AB151" s="21">
        <f>EXP(-LN(2)/2)*AB150+(1-EXP(-LN(2)/2))/(LN(2)/2)*V151*Y151*VLOOKUP('Données projet'!$B$9,Paramètres!$A$1:$I$89,3,0)*0.475*44/12</f>
        <v>5.6777090913130535E-17</v>
      </c>
      <c r="AC151" s="22">
        <f t="shared" si="111"/>
        <v>2.2606518506804583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-5.6843418860808015E-13</v>
      </c>
      <c r="AJ151" s="13">
        <f>AI151*VLOOKUP('Données projet'!$B$10,Paramètres!$A$1:$I$89,3,0)*VLOOKUP('Données projet'!$B$10,Paramètres!$A$1:$I$89,5,0)</f>
        <v>-5.1431925385259092E-13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321.03881567735544</v>
      </c>
      <c r="AO151" s="59">
        <f t="shared" si="144"/>
        <v>234.87694492493506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0.23273143999216392</v>
      </c>
      <c r="AV151" s="21">
        <f>EXP(-LN(2)/25)*AV150+(1-EXP(-LN(2)/25))/(LN(2)/25)*Calculateur!AQ151*Calculateur!AS151*VLOOKUP('Données projet'!$B$10,Paramètres!$A$1:$I$89,3,0)*0.475*44/12</f>
        <v>0.51434478202401934</v>
      </c>
      <c r="AW151" s="21">
        <f>EXP(-LN(2)/2)*AW150+(1-EXP(-LN(2)/2))/(LN(2)/2)*AQ151*AT151*VLOOKUP('Données projet'!$B$10,Paramètres!$A$1:$I$89,3,0)*0.475*44/12</f>
        <v>3.7713034672023716E-17</v>
      </c>
      <c r="AX151" s="21">
        <f t="shared" si="114"/>
        <v>0.74707622201618329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3.1036506698001181E-13</v>
      </c>
      <c r="BF151" s="13">
        <f t="shared" si="145"/>
        <v>4.086682523110923E-12</v>
      </c>
      <c r="BG151" s="20">
        <f t="shared" si="115"/>
        <v>7.6581912194083782E-12</v>
      </c>
      <c r="BH151" s="59">
        <f t="shared" si="116"/>
        <v>293.33333333334099</v>
      </c>
      <c r="BI151" s="59">
        <f ca="1">AVERAGE(OFFSET($BH$3,0,0,'Données projet'!$E$11+1,1))-AVERAGE(OFFSET($H$3,0,0,'Données projet'!$E$11+1,1))</f>
        <v>248.1486444660062</v>
      </c>
      <c r="BJ151" s="59">
        <f t="shared" si="146"/>
        <v>293.34458072322127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0.82305184471968151</v>
      </c>
      <c r="BQ151" s="21">
        <f>EXP(-LN(2)/25)*BQ150+(1-EXP(-LN(2)/25))/(LN(2)/25)*Calculateur!BL151*Calculateur!BN151*VLOOKUP('Données projet'!$B$11,Paramètres!$A$1:$I$89,3,0)*0.475*44/12</f>
        <v>1.2915140455785685</v>
      </c>
      <c r="BR151" s="21">
        <f>EXP(-LN(2)/2)*BR150+(1-EXP(-LN(2)/2))/(LN(2)/2)*BL151*BO151*VLOOKUP('Données projet'!$B$11,Paramètres!$A$1:$I$89,3,0)*0.475*44/12</f>
        <v>4.3684545763509908E-17</v>
      </c>
      <c r="BS151" s="22">
        <f t="shared" si="117"/>
        <v>2.11456589029825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243.38048563215585</v>
      </c>
      <c r="CE151" s="59">
        <f t="shared" si="148"/>
        <v>372.1604147006675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0.70621954204518789</v>
      </c>
      <c r="CL151" s="21">
        <f>EXP(-LN(2)/25)*CL150+(1-EXP(-LN(2)/25))/(LN(2)/25)*Calculateur!CG151*Calculateur!CI151*VLOOKUP('Données projet'!$B$12,Paramètres!$A$1:$I$89,3,0)*0.475*44/12</f>
        <v>0.73468005237276546</v>
      </c>
      <c r="CM151" s="21">
        <f>EXP(-LN(2)/2)*CM150+(1-EXP(-LN(2)/2))/(LN(2)/2)*CG151*CJ151*VLOOKUP('Données projet'!$B$12,Paramètres!$A$1:$I$89,3,0)*0.475*44/12</f>
        <v>5.0853313249905473E-17</v>
      </c>
      <c r="CN151" s="22">
        <f t="shared" si="120"/>
        <v>1.4408995944179535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7.9580786405131221E-13</v>
      </c>
      <c r="CU151" s="17">
        <f>CT151*VLOOKUP('Données projet'!$B$13,Paramètres!$A$1:$I$89,3,0)*VLOOKUP('Données projet'!$B$13,Paramètres!$A$1:$I$89,5,0)</f>
        <v>3.8278358260868117E-13</v>
      </c>
      <c r="CV151" s="13">
        <f t="shared" si="149"/>
        <v>4.9186917125089072E-12</v>
      </c>
      <c r="CW151" s="20">
        <f t="shared" si="121"/>
        <v>9.2334028056631319E-12</v>
      </c>
      <c r="CX151" s="59">
        <f t="shared" si="122"/>
        <v>293.33333333334252</v>
      </c>
      <c r="CY151" s="59">
        <f ca="1">AVERAGE(OFFSET($CX$3,0,0,'Données projet'!$E$13+1,1))-AVERAGE(OFFSET($H$3,0,0,'Données projet'!$E$13+1,1))</f>
        <v>297.21955661193238</v>
      </c>
      <c r="CZ151" s="59">
        <f t="shared" si="150"/>
        <v>273.69206144662144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0.65108280039049704</v>
      </c>
      <c r="DG151" s="21">
        <f>EXP(-LN(2)/25)*DG150+(1-EXP(-LN(2)/25))/(LN(2)/25)*Calculateur!DB151*Calculateur!DD151*VLOOKUP('Données projet'!$B$13,Paramètres!$A$1:$I$89,3,0)*0.475*44/12</f>
        <v>0.50932196857422585</v>
      </c>
      <c r="DH151" s="21">
        <f>EXP(-LN(2)/2)*DH150+(1-EXP(-LN(2)/2))/(LN(2)/2)*DB151*DE151*VLOOKUP('Données projet'!$B$13,Paramètres!$A$1:$I$89,3,0)*0.475*44/12</f>
        <v>3.6277896360974232E-17</v>
      </c>
      <c r="DI151" s="22">
        <f t="shared" si="123"/>
        <v>1.1604047689647228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-4.0702161641092972E-13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260.20517190557814</v>
      </c>
      <c r="DU151" s="59">
        <f t="shared" si="152"/>
        <v>307.22009971147133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0.31529324493725935</v>
      </c>
      <c r="EB151" s="21">
        <f>EXP(-LN(2)/25)*EB150+(1-EXP(-LN(2)/25))/(LN(2)/25)*Calculateur!DW151*Calculateur!DY151*VLOOKUP('Données projet'!$B$14,Paramètres!$A$1:$I$89,3,0)*0.475*44/12</f>
        <v>0.77858739557084944</v>
      </c>
      <c r="EC151" s="21">
        <f>EXP(-LN(2)/2)*EC150+(1-EXP(-LN(2)/2))/(LN(2)/2)*DW151*DZ151*VLOOKUP('Données projet'!$B$14,Paramètres!$A$1:$I$89,3,0)*0.475*44/12</f>
        <v>4.1701077058068647E-17</v>
      </c>
      <c r="ED151" s="22">
        <f t="shared" si="126"/>
        <v>1.0938806405081087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1.1368683772161603E-13</v>
      </c>
      <c r="EK151" s="17">
        <f>EJ151*VLOOKUP('Données projet'!$B$15,Paramètres!$A$1:$I$89,3,0)*VLOOKUP('Données projet'!$B$15,Paramètres!$A$1:$I$89,5,0)</f>
        <v>6.7984728957526396E-14</v>
      </c>
      <c r="EL151" s="13">
        <f t="shared" si="153"/>
        <v>1.0682447123141398E-12</v>
      </c>
      <c r="EM151" s="20">
        <f t="shared" si="127"/>
        <v>1.978932943548152E-12</v>
      </c>
      <c r="EN151" s="59">
        <f t="shared" si="128"/>
        <v>293.3333333333353</v>
      </c>
      <c r="EO151" s="59">
        <f ca="1">AVERAGE(OFFSET($EN$3,0,0,'Données projet'!$E$15+1,1))-AVERAGE(OFFSET($H$3,0,0,'Données projet'!$E$15+1,1))</f>
        <v>259.30247982593914</v>
      </c>
      <c r="EP151" s="59">
        <f t="shared" si="154"/>
        <v>275.24740346220779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0.68423725542753211</v>
      </c>
      <c r="EX151" s="21">
        <f>EXP(-LN(2)/2)*EX150+(1-EXP(-LN(2)/2))/(LN(2)/2)*ER151*EU151*VLOOKUP('Données projet'!$B$15,Paramètres!$A$1:$I$89,3,0)*0.475*44/12</f>
        <v>4.9752684926534085E-17</v>
      </c>
      <c r="EY151" s="22">
        <f t="shared" si="129"/>
        <v>0.68423725542753211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-5.6843418860808015E-13</v>
      </c>
      <c r="FF151" s="17">
        <f>FE151*VLOOKUP('Données projet'!$B$16,Paramètres!$A$1:$I$89,3,0)*VLOOKUP('Données projet'!$B$16,Paramètres!$A$1:$I$89,5,0)</f>
        <v>-5.763922672485933E-13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372.91317851957336</v>
      </c>
      <c r="FK151" s="59">
        <f t="shared" si="156"/>
        <v>269.69187715858413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0.26081971723259773</v>
      </c>
      <c r="FR151" s="21">
        <f>EXP(-LN(2)/25)*FR150+(1-EXP(-LN(2)/25))/(LN(2)/25)*Calculateur!FM151*Calculateur!FO151*VLOOKUP('Données projet'!$B$16,Paramètres!$A$1:$I$89,3,0)*0.475*44/12</f>
        <v>0.57642087640622841</v>
      </c>
      <c r="FS151" s="21">
        <f>EXP(-LN(2)/2)*FS150+(1-EXP(-LN(2)/2))/(LN(2)/2)*FM151*FP151*VLOOKUP('Données projet'!$B$16,Paramètres!$A$1:$I$89,3,0)*0.475*44/12</f>
        <v>4.2264607822095511E-17</v>
      </c>
      <c r="FT151" s="22">
        <f t="shared" si="132"/>
        <v>0.83724059363882608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-1.1368683772161603E-13</v>
      </c>
      <c r="GA151" s="17">
        <f>FZ151*VLOOKUP('Données projet'!$B$17,Paramètres!$A$1:$I$89,3,0)*VLOOKUP('Données projet'!$B$17,Paramètres!$A$1:$I$89,5,0)</f>
        <v>-5.3205440053716299E-14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215.23235148064941</v>
      </c>
      <c r="GF151" s="59">
        <f t="shared" si="158"/>
        <v>184.07239726900434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0.30288547842490354</v>
      </c>
      <c r="GM151" s="21">
        <f>EXP(-LN(2)/25)*GM150+(1-EXP(-LN(2)/25))/(LN(2)/25)*Calculateur!GH151*Calculateur!GJ151*VLOOKUP('Données projet'!$B$17,Paramètres!$A$1:$I$89,3,0)*0.475*44/12</f>
        <v>0.29806451978644433</v>
      </c>
      <c r="GN151" s="21">
        <f>EXP(-LN(2)/2)*GN150+(1-EXP(-LN(2)/2))/(LN(2)/2)*GH151*GK151*VLOOKUP('Données projet'!$B$17,Paramètres!$A$1:$I$89,3,0)*0.475*44/12</f>
        <v>1.7056107360316472E-17</v>
      </c>
      <c r="GO151" s="21">
        <f t="shared" si="135"/>
        <v>0.60094999821134787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-1.1368683772161603E-13</v>
      </c>
      <c r="GV151" s="17">
        <f>GU151*VLOOKUP('Données projet'!$B$18,Paramètres!$A$1:$I$89,3,0)*VLOOKUP('Données projet'!$B$18,Paramètres!$A$1:$I$89,5,0)</f>
        <v>-6.7984728957526396E-14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227.89848316900191</v>
      </c>
      <c r="HA151" s="59">
        <f t="shared" si="160"/>
        <v>239.85955661394541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0.76741649680627622</v>
      </c>
      <c r="HH151" s="21">
        <f>EXP(-LN(2)/25)*HH150+(1-EXP(-LN(2)/25))/(LN(2)/25)*Calculateur!HC151*Calculateur!HE151*VLOOKUP('Données projet'!$B$18,Paramètres!$A$1:$I$89,3,0)*0.475*44/12</f>
        <v>0.65048888211706213</v>
      </c>
      <c r="HI151" s="21">
        <f>EXP(-LN(2)/2)*HI150+(1-EXP(-LN(2)/2))/(LN(2)/2)*HC151*HF151*VLOOKUP('Données projet'!$B$18,Paramètres!$A$1:$I$89,3,0)*0.475*44/12</f>
        <v>1.1628841314532758E-17</v>
      </c>
      <c r="HJ151" s="22">
        <f t="shared" si="138"/>
        <v>1.4179053789233382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2.5420376914553347E-13</v>
      </c>
      <c r="P152" s="13">
        <f t="shared" si="141"/>
        <v>3.4258699088369875E-12</v>
      </c>
      <c r="Q152" s="20">
        <f t="shared" si="108"/>
        <v>6.4094616558195571E-12</v>
      </c>
      <c r="R152" s="59">
        <f t="shared" si="109"/>
        <v>293.33333333333974</v>
      </c>
      <c r="S152" s="59">
        <f ca="1">AVERAGE(OFFSET($R$3,0,0,'Données projet'!$E$9+1,1))-AVERAGE(OFFSET($H$3,0,0,'Données projet'!$E$9+1,1))</f>
        <v>370.69652285220093</v>
      </c>
      <c r="T152" s="59">
        <f t="shared" si="142"/>
        <v>376.53494965377718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0.9736467294052531</v>
      </c>
      <c r="AA152" s="21">
        <f>EXP(-LN(2)/25)*AA151+(1-EXP(-LN(2)/25))/(LN(2)/25)*Calculateur!V152*Calculateur!X152*VLOOKUP('Données projet'!$B$9,Paramètres!$A$1:$I$89,3,0)*0.475*44/12</f>
        <v>1.2328699282277413</v>
      </c>
      <c r="AB152" s="21">
        <f>EXP(-LN(2)/2)*AB151+(1-EXP(-LN(2)/2))/(LN(2)/2)*V152*Y152*VLOOKUP('Données projet'!$B$9,Paramètres!$A$1:$I$89,3,0)*0.475*44/12</f>
        <v>4.014746600071971E-17</v>
      </c>
      <c r="AC152" s="22">
        <f t="shared" si="111"/>
        <v>2.2065166576329944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-5.6843418860808015E-13</v>
      </c>
      <c r="AJ152" s="13">
        <f>AI152*VLOOKUP('Données projet'!$B$10,Paramètres!$A$1:$I$89,3,0)*VLOOKUP('Données projet'!$B$10,Paramètres!$A$1:$I$89,5,0)</f>
        <v>-5.1431925385259092E-13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321.03881567735544</v>
      </c>
      <c r="AO152" s="59">
        <f t="shared" si="144"/>
        <v>234.87694492493506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0.22816771840607936</v>
      </c>
      <c r="AV152" s="21">
        <f>EXP(-LN(2)/25)*AV151+(1-EXP(-LN(2)/25))/(LN(2)/25)*Calculateur!AQ152*Calculateur!AS152*VLOOKUP('Données projet'!$B$10,Paramètres!$A$1:$I$89,3,0)*0.475*44/12</f>
        <v>0.50027999691135605</v>
      </c>
      <c r="AW152" s="21">
        <f>EXP(-LN(2)/2)*AW151+(1-EXP(-LN(2)/2))/(LN(2)/2)*AQ152*AT152*VLOOKUP('Données projet'!$B$10,Paramètres!$A$1:$I$89,3,0)*0.475*44/12</f>
        <v>2.6667142555711354E-17</v>
      </c>
      <c r="AX152" s="21">
        <f t="shared" si="114"/>
        <v>0.72844771531743535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3.1036506698001181E-13</v>
      </c>
      <c r="BF152" s="13">
        <f t="shared" si="145"/>
        <v>4.086682523110923E-12</v>
      </c>
      <c r="BG152" s="20">
        <f t="shared" si="115"/>
        <v>7.6581912194083782E-12</v>
      </c>
      <c r="BH152" s="59">
        <f t="shared" si="116"/>
        <v>293.33333333334099</v>
      </c>
      <c r="BI152" s="59">
        <f ca="1">AVERAGE(OFFSET($BH$3,0,0,'Données projet'!$E$11+1,1))-AVERAGE(OFFSET($H$3,0,0,'Données projet'!$E$11+1,1))</f>
        <v>248.1486444660062</v>
      </c>
      <c r="BJ152" s="59">
        <f t="shared" si="146"/>
        <v>293.34458072322127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0.80691230005678427</v>
      </c>
      <c r="BQ152" s="21">
        <f>EXP(-LN(2)/25)*BQ151+(1-EXP(-LN(2)/25))/(LN(2)/25)*Calculateur!BL152*Calculateur!BN152*VLOOKUP('Données projet'!$B$11,Paramètres!$A$1:$I$89,3,0)*0.475*44/12</f>
        <v>1.2561975260844507</v>
      </c>
      <c r="BR152" s="21">
        <f>EXP(-LN(2)/2)*BR151+(1-EXP(-LN(2)/2))/(LN(2)/2)*BL152*BO152*VLOOKUP('Données projet'!$B$11,Paramètres!$A$1:$I$89,3,0)*0.475*44/12</f>
        <v>3.0889638542431922E-17</v>
      </c>
      <c r="BS152" s="22">
        <f t="shared" si="117"/>
        <v>2.0631098261412348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243.38048563215585</v>
      </c>
      <c r="CE152" s="59">
        <f t="shared" si="148"/>
        <v>372.1604147006675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0.69237100757706926</v>
      </c>
      <c r="CL152" s="21">
        <f>EXP(-LN(2)/25)*CL151+(1-EXP(-LN(2)/25))/(LN(2)/25)*Calculateur!CG152*Calculateur!CI152*VLOOKUP('Données projet'!$B$12,Paramètres!$A$1:$I$89,3,0)*0.475*44/12</f>
        <v>0.71459018770548732</v>
      </c>
      <c r="CM152" s="21">
        <f>EXP(-LN(2)/2)*CM151+(1-EXP(-LN(2)/2))/(LN(2)/2)*CG152*CJ152*VLOOKUP('Données projet'!$B$12,Paramètres!$A$1:$I$89,3,0)*0.475*44/12</f>
        <v>3.5958722644811867E-17</v>
      </c>
      <c r="CN152" s="22">
        <f t="shared" si="120"/>
        <v>1.4069611952825567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7.9580786405131221E-13</v>
      </c>
      <c r="CU152" s="17">
        <f>CT152*VLOOKUP('Données projet'!$B$13,Paramètres!$A$1:$I$89,3,0)*VLOOKUP('Données projet'!$B$13,Paramètres!$A$1:$I$89,5,0)</f>
        <v>3.8278358260868117E-13</v>
      </c>
      <c r="CV152" s="13">
        <f t="shared" si="149"/>
        <v>4.9186917125089072E-12</v>
      </c>
      <c r="CW152" s="20">
        <f t="shared" si="121"/>
        <v>9.2334028056631319E-12</v>
      </c>
      <c r="CX152" s="59">
        <f t="shared" si="122"/>
        <v>293.33333333334252</v>
      </c>
      <c r="CY152" s="59">
        <f ca="1">AVERAGE(OFFSET($CX$3,0,0,'Données projet'!$E$13+1,1))-AVERAGE(OFFSET($H$3,0,0,'Données projet'!$E$13+1,1))</f>
        <v>297.21955661193238</v>
      </c>
      <c r="CZ152" s="59">
        <f t="shared" si="150"/>
        <v>273.69206144662144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0.63831546379613513</v>
      </c>
      <c r="DG152" s="21">
        <f>EXP(-LN(2)/25)*DG151+(1-EXP(-LN(2)/25))/(LN(2)/25)*Calculateur!DB152*Calculateur!DD152*VLOOKUP('Données projet'!$B$13,Paramètres!$A$1:$I$89,3,0)*0.475*44/12</f>
        <v>0.4953945325594854</v>
      </c>
      <c r="DH152" s="21">
        <f>EXP(-LN(2)/2)*DH151+(1-EXP(-LN(2)/2))/(LN(2)/2)*DB152*DE152*VLOOKUP('Données projet'!$B$13,Paramètres!$A$1:$I$89,3,0)*0.475*44/12</f>
        <v>2.5652346524027655E-17</v>
      </c>
      <c r="DI152" s="22">
        <f t="shared" si="123"/>
        <v>1.1337099963556205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-4.0702161641092972E-13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260.20517190557814</v>
      </c>
      <c r="DU152" s="59">
        <f t="shared" si="152"/>
        <v>307.22009971147133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0.30911053671393007</v>
      </c>
      <c r="EB152" s="21">
        <f>EXP(-LN(2)/25)*EB151+(1-EXP(-LN(2)/25))/(LN(2)/25)*Calculateur!DW152*Calculateur!DY152*VLOOKUP('Données projet'!$B$14,Paramètres!$A$1:$I$89,3,0)*0.475*44/12</f>
        <v>0.75729688229483294</v>
      </c>
      <c r="EC152" s="21">
        <f>EXP(-LN(2)/2)*EC151+(1-EXP(-LN(2)/2))/(LN(2)/2)*DW152*DZ152*VLOOKUP('Données projet'!$B$14,Paramètres!$A$1:$I$89,3,0)*0.475*44/12</f>
        <v>2.9487114370543104E-17</v>
      </c>
      <c r="ED152" s="22">
        <f t="shared" si="126"/>
        <v>1.0664074190087631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1.1368683772161603E-13</v>
      </c>
      <c r="EK152" s="17">
        <f>EJ152*VLOOKUP('Données projet'!$B$15,Paramètres!$A$1:$I$89,3,0)*VLOOKUP('Données projet'!$B$15,Paramètres!$A$1:$I$89,5,0)</f>
        <v>6.7984728957526396E-14</v>
      </c>
      <c r="EL152" s="13">
        <f t="shared" si="153"/>
        <v>1.0682447123141398E-12</v>
      </c>
      <c r="EM152" s="20">
        <f t="shared" si="127"/>
        <v>1.978932943548152E-12</v>
      </c>
      <c r="EN152" s="59">
        <f t="shared" si="128"/>
        <v>293.3333333333353</v>
      </c>
      <c r="EO152" s="59">
        <f ca="1">AVERAGE(OFFSET($EN$3,0,0,'Données projet'!$E$15+1,1))-AVERAGE(OFFSET($H$3,0,0,'Données projet'!$E$15+1,1))</f>
        <v>259.30247982593914</v>
      </c>
      <c r="EP152" s="59">
        <f t="shared" si="154"/>
        <v>275.24740346220779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0.66552675169539288</v>
      </c>
      <c r="EX152" s="21">
        <f>EXP(-LN(2)/2)*EX151+(1-EXP(-LN(2)/2))/(LN(2)/2)*ER152*EU152*VLOOKUP('Données projet'!$B$15,Paramètres!$A$1:$I$89,3,0)*0.475*44/12</f>
        <v>3.5180460893789978E-17</v>
      </c>
      <c r="EY152" s="22">
        <f t="shared" si="129"/>
        <v>0.66552675169539288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-5.6843418860808015E-13</v>
      </c>
      <c r="FF152" s="17">
        <f>FE152*VLOOKUP('Données projet'!$B$16,Paramètres!$A$1:$I$89,3,0)*VLOOKUP('Données projet'!$B$16,Paramètres!$A$1:$I$89,5,0)</f>
        <v>-5.763922672485933E-13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372.91317851957336</v>
      </c>
      <c r="FK152" s="59">
        <f t="shared" si="156"/>
        <v>269.69187715858413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0.25570520166198574</v>
      </c>
      <c r="FR152" s="21">
        <f>EXP(-LN(2)/25)*FR151+(1-EXP(-LN(2)/25))/(LN(2)/25)*Calculateur!FM152*Calculateur!FO152*VLOOKUP('Données projet'!$B$16,Paramètres!$A$1:$I$89,3,0)*0.475*44/12</f>
        <v>0.56065861722824362</v>
      </c>
      <c r="FS152" s="21">
        <f>EXP(-LN(2)/2)*FS151+(1-EXP(-LN(2)/2))/(LN(2)/2)*FM152*FP152*VLOOKUP('Données projet'!$B$16,Paramètres!$A$1:$I$89,3,0)*0.475*44/12</f>
        <v>2.9885590795193735E-17</v>
      </c>
      <c r="FT152" s="22">
        <f t="shared" si="132"/>
        <v>0.81636381889022935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-1.1368683772161603E-13</v>
      </c>
      <c r="GA152" s="17">
        <f>FZ152*VLOOKUP('Données projet'!$B$17,Paramètres!$A$1:$I$89,3,0)*VLOOKUP('Données projet'!$B$17,Paramètres!$A$1:$I$89,5,0)</f>
        <v>-5.3205440053716299E-14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215.23235148064941</v>
      </c>
      <c r="GF152" s="59">
        <f t="shared" si="158"/>
        <v>184.07239726900434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0.29694607893489128</v>
      </c>
      <c r="GM152" s="21">
        <f>EXP(-LN(2)/25)*GM151+(1-EXP(-LN(2)/25))/(LN(2)/25)*Calculateur!GH152*Calculateur!GJ152*VLOOKUP('Données projet'!$B$17,Paramètres!$A$1:$I$89,3,0)*0.475*44/12</f>
        <v>0.28991392981835212</v>
      </c>
      <c r="GN152" s="21">
        <f>EXP(-LN(2)/2)*GN151+(1-EXP(-LN(2)/2))/(LN(2)/2)*GH152*GK152*VLOOKUP('Données projet'!$B$17,Paramètres!$A$1:$I$89,3,0)*0.475*44/12</f>
        <v>1.2060489175125562E-17</v>
      </c>
      <c r="GO152" s="21">
        <f t="shared" si="135"/>
        <v>0.5868600087532434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-1.1368683772161603E-13</v>
      </c>
      <c r="GV152" s="17">
        <f>GU152*VLOOKUP('Données projet'!$B$18,Paramètres!$A$1:$I$89,3,0)*VLOOKUP('Données projet'!$B$18,Paramètres!$A$1:$I$89,5,0)</f>
        <v>-6.7984728957526396E-14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227.89848316900191</v>
      </c>
      <c r="HA152" s="59">
        <f t="shared" si="160"/>
        <v>239.85955661394541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0.75236792738174929</v>
      </c>
      <c r="HH152" s="21">
        <f>EXP(-LN(2)/25)*HH151+(1-EXP(-LN(2)/25))/(LN(2)/25)*Calculateur!HC152*Calculateur!HE152*VLOOKUP('Données projet'!$B$18,Paramètres!$A$1:$I$89,3,0)*0.475*44/12</f>
        <v>0.63270122942784746</v>
      </c>
      <c r="HI152" s="21">
        <f>EXP(-LN(2)/2)*HI151+(1-EXP(-LN(2)/2))/(LN(2)/2)*HC152*HF152*VLOOKUP('Données projet'!$B$18,Paramètres!$A$1:$I$89,3,0)*0.475*44/12</f>
        <v>8.2228325508483987E-18</v>
      </c>
      <c r="HJ152" s="22">
        <f t="shared" si="138"/>
        <v>1.3850691568095967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2.5420376914553347E-13</v>
      </c>
      <c r="P153" s="13">
        <f t="shared" si="141"/>
        <v>3.4258699088369875E-12</v>
      </c>
      <c r="Q153" s="20">
        <f t="shared" si="108"/>
        <v>6.4094616558195571E-12</v>
      </c>
      <c r="R153" s="59">
        <f t="shared" si="109"/>
        <v>293.33333333333974</v>
      </c>
      <c r="S153" s="59">
        <f ca="1">AVERAGE(OFFSET($R$3,0,0,'Données projet'!$E$9+1,1))-AVERAGE(OFFSET($H$3,0,0,'Données projet'!$E$9+1,1))</f>
        <v>370.69652285220093</v>
      </c>
      <c r="T153" s="59">
        <f t="shared" si="142"/>
        <v>376.53494965377718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0.95455411090748166</v>
      </c>
      <c r="AA153" s="21">
        <f>EXP(-LN(2)/25)*AA152+(1-EXP(-LN(2)/25))/(LN(2)/25)*Calculateur!V153*Calculateur!X153*VLOOKUP('Données projet'!$B$9,Paramètres!$A$1:$I$89,3,0)*0.475*44/12</f>
        <v>1.1991570352065419</v>
      </c>
      <c r="AB153" s="21">
        <f>EXP(-LN(2)/2)*AB152+(1-EXP(-LN(2)/2))/(LN(2)/2)*V153*Y153*VLOOKUP('Données projet'!$B$9,Paramètres!$A$1:$I$89,3,0)*0.475*44/12</f>
        <v>2.8388545456565267E-17</v>
      </c>
      <c r="AC153" s="22">
        <f t="shared" si="111"/>
        <v>2.1537111461140235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-5.6843418860808015E-13</v>
      </c>
      <c r="AJ153" s="13">
        <f>AI153*VLOOKUP('Données projet'!$B$10,Paramètres!$A$1:$I$89,3,0)*VLOOKUP('Données projet'!$B$10,Paramètres!$A$1:$I$89,5,0)</f>
        <v>-5.1431925385259092E-13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321.03881567735544</v>
      </c>
      <c r="AO153" s="59">
        <f t="shared" si="144"/>
        <v>234.87694492493506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0.2236934886167026</v>
      </c>
      <c r="AV153" s="21">
        <f>EXP(-LN(2)/25)*AV152+(1-EXP(-LN(2)/25))/(LN(2)/25)*Calculateur!AQ153*Calculateur!AS153*VLOOKUP('Données projet'!$B$10,Paramètres!$A$1:$I$89,3,0)*0.475*44/12</f>
        <v>0.48659981408723341</v>
      </c>
      <c r="AW153" s="21">
        <f>EXP(-LN(2)/2)*AW152+(1-EXP(-LN(2)/2))/(LN(2)/2)*AQ153*AT153*VLOOKUP('Données projet'!$B$10,Paramètres!$A$1:$I$89,3,0)*0.475*44/12</f>
        <v>1.8856517336011858E-17</v>
      </c>
      <c r="AX153" s="21">
        <f t="shared" si="114"/>
        <v>0.71029330270393598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3.1036506698001181E-13</v>
      </c>
      <c r="BF153" s="13">
        <f t="shared" si="145"/>
        <v>4.086682523110923E-12</v>
      </c>
      <c r="BG153" s="20">
        <f t="shared" si="115"/>
        <v>7.6581912194083782E-12</v>
      </c>
      <c r="BH153" s="59">
        <f t="shared" si="116"/>
        <v>293.33333333334099</v>
      </c>
      <c r="BI153" s="59">
        <f ca="1">AVERAGE(OFFSET($BH$3,0,0,'Données projet'!$E$11+1,1))-AVERAGE(OFFSET($H$3,0,0,'Données projet'!$E$11+1,1))</f>
        <v>248.1486444660062</v>
      </c>
      <c r="BJ153" s="59">
        <f t="shared" si="146"/>
        <v>293.34458072322127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0.79108924202057618</v>
      </c>
      <c r="BQ153" s="21">
        <f>EXP(-LN(2)/25)*BQ152+(1-EXP(-LN(2)/25))/(LN(2)/25)*Calculateur!BL153*Calculateur!BN153*VLOOKUP('Données projet'!$B$11,Paramètres!$A$1:$I$89,3,0)*0.475*44/12</f>
        <v>1.2218467386731147</v>
      </c>
      <c r="BR153" s="21">
        <f>EXP(-LN(2)/2)*BR152+(1-EXP(-LN(2)/2))/(LN(2)/2)*BL153*BO153*VLOOKUP('Données projet'!$B$11,Paramètres!$A$1:$I$89,3,0)*0.475*44/12</f>
        <v>2.1842272881754954E-17</v>
      </c>
      <c r="BS153" s="22">
        <f t="shared" si="117"/>
        <v>2.0129359806936908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243.38048563215585</v>
      </c>
      <c r="CE153" s="59">
        <f t="shared" si="148"/>
        <v>372.1604147006675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0.67879403442309849</v>
      </c>
      <c r="CL153" s="21">
        <f>EXP(-LN(2)/25)*CL152+(1-EXP(-LN(2)/25))/(LN(2)/25)*Calculateur!CG153*Calculateur!CI153*VLOOKUP('Données projet'!$B$12,Paramètres!$A$1:$I$89,3,0)*0.475*44/12</f>
        <v>0.69504968144401602</v>
      </c>
      <c r="CM153" s="21">
        <f>EXP(-LN(2)/2)*CM152+(1-EXP(-LN(2)/2))/(LN(2)/2)*CG153*CJ153*VLOOKUP('Données projet'!$B$12,Paramètres!$A$1:$I$89,3,0)*0.475*44/12</f>
        <v>2.5426656624952736E-17</v>
      </c>
      <c r="CN153" s="22">
        <f t="shared" si="120"/>
        <v>1.3738437158671144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7.9580786405131221E-13</v>
      </c>
      <c r="CU153" s="17">
        <f>CT153*VLOOKUP('Données projet'!$B$13,Paramètres!$A$1:$I$89,3,0)*VLOOKUP('Données projet'!$B$13,Paramètres!$A$1:$I$89,5,0)</f>
        <v>3.8278358260868117E-13</v>
      </c>
      <c r="CV153" s="13">
        <f t="shared" si="149"/>
        <v>4.9186917125089072E-12</v>
      </c>
      <c r="CW153" s="20">
        <f t="shared" si="121"/>
        <v>9.2334028056631319E-12</v>
      </c>
      <c r="CX153" s="59">
        <f t="shared" si="122"/>
        <v>293.33333333334252</v>
      </c>
      <c r="CY153" s="59">
        <f ca="1">AVERAGE(OFFSET($CX$3,0,0,'Données projet'!$E$13+1,1))-AVERAGE(OFFSET($H$3,0,0,'Données projet'!$E$13+1,1))</f>
        <v>297.21955661193238</v>
      </c>
      <c r="CZ153" s="59">
        <f t="shared" si="150"/>
        <v>273.69206144662144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0.62579848688508233</v>
      </c>
      <c r="DG153" s="21">
        <f>EXP(-LN(2)/25)*DG152+(1-EXP(-LN(2)/25))/(LN(2)/25)*Calculateur!DB153*Calculateur!DD153*VLOOKUP('Données projet'!$B$13,Paramètres!$A$1:$I$89,3,0)*0.475*44/12</f>
        <v>0.48184794301498002</v>
      </c>
      <c r="DH153" s="21">
        <f>EXP(-LN(2)/2)*DH152+(1-EXP(-LN(2)/2))/(LN(2)/2)*DB153*DE153*VLOOKUP('Données projet'!$B$13,Paramètres!$A$1:$I$89,3,0)*0.475*44/12</f>
        <v>1.8138948180487116E-17</v>
      </c>
      <c r="DI153" s="22">
        <f t="shared" si="123"/>
        <v>1.1076464299000623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-4.0702161641092972E-13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260.20517190557814</v>
      </c>
      <c r="DU153" s="59">
        <f t="shared" si="152"/>
        <v>307.22009971147133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0.30304906762778067</v>
      </c>
      <c r="EB153" s="21">
        <f>EXP(-LN(2)/25)*EB152+(1-EXP(-LN(2)/25))/(LN(2)/25)*Calculateur!DW153*Calculateur!DY153*VLOOKUP('Données projet'!$B$14,Paramètres!$A$1:$I$89,3,0)*0.475*44/12</f>
        <v>0.73658855922396849</v>
      </c>
      <c r="EC153" s="21">
        <f>EXP(-LN(2)/2)*EC152+(1-EXP(-LN(2)/2))/(LN(2)/2)*DW153*DZ153*VLOOKUP('Données projet'!$B$14,Paramètres!$A$1:$I$89,3,0)*0.475*44/12</f>
        <v>2.0850538529034324E-17</v>
      </c>
      <c r="ED153" s="22">
        <f t="shared" si="126"/>
        <v>1.0396376268517491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1.1368683772161603E-13</v>
      </c>
      <c r="EK153" s="17">
        <f>EJ153*VLOOKUP('Données projet'!$B$15,Paramètres!$A$1:$I$89,3,0)*VLOOKUP('Données projet'!$B$15,Paramètres!$A$1:$I$89,5,0)</f>
        <v>6.7984728957526396E-14</v>
      </c>
      <c r="EL153" s="13">
        <f t="shared" si="153"/>
        <v>1.0682447123141398E-12</v>
      </c>
      <c r="EM153" s="20">
        <f t="shared" si="127"/>
        <v>1.978932943548152E-12</v>
      </c>
      <c r="EN153" s="59">
        <f t="shared" si="128"/>
        <v>293.3333333333353</v>
      </c>
      <c r="EO153" s="59">
        <f ca="1">AVERAGE(OFFSET($EN$3,0,0,'Données projet'!$E$15+1,1))-AVERAGE(OFFSET($H$3,0,0,'Données projet'!$E$15+1,1))</f>
        <v>259.30247982593914</v>
      </c>
      <c r="EP153" s="59">
        <f t="shared" si="154"/>
        <v>275.24740346220779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0.64732788767175153</v>
      </c>
      <c r="EX153" s="21">
        <f>EXP(-LN(2)/2)*EX152+(1-EXP(-LN(2)/2))/(LN(2)/2)*ER153*EU153*VLOOKUP('Données projet'!$B$15,Paramètres!$A$1:$I$89,3,0)*0.475*44/12</f>
        <v>2.4876342463267042E-17</v>
      </c>
      <c r="EY153" s="22">
        <f t="shared" si="129"/>
        <v>0.64732788767175153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-5.6843418860808015E-13</v>
      </c>
      <c r="FF153" s="17">
        <f>FE153*VLOOKUP('Données projet'!$B$16,Paramètres!$A$1:$I$89,3,0)*VLOOKUP('Données projet'!$B$16,Paramètres!$A$1:$I$89,5,0)</f>
        <v>-5.763922672485933E-13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372.91317851957336</v>
      </c>
      <c r="FK153" s="59">
        <f t="shared" si="156"/>
        <v>269.69187715858413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0.25069097862216699</v>
      </c>
      <c r="FR153" s="21">
        <f>EXP(-LN(2)/25)*FR152+(1-EXP(-LN(2)/25))/(LN(2)/25)*Calculateur!FM153*Calculateur!FO153*VLOOKUP('Données projet'!$B$16,Paramètres!$A$1:$I$89,3,0)*0.475*44/12</f>
        <v>0.54532737785638197</v>
      </c>
      <c r="FS153" s="21">
        <f>EXP(-LN(2)/2)*FS152+(1-EXP(-LN(2)/2))/(LN(2)/2)*FM153*FP153*VLOOKUP('Données projet'!$B$16,Paramètres!$A$1:$I$89,3,0)*0.475*44/12</f>
        <v>2.1132303911047755E-17</v>
      </c>
      <c r="FT153" s="22">
        <f t="shared" si="132"/>
        <v>0.79601835647854902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-1.1368683772161603E-13</v>
      </c>
      <c r="GA153" s="17">
        <f>FZ153*VLOOKUP('Données projet'!$B$17,Paramètres!$A$1:$I$89,3,0)*VLOOKUP('Données projet'!$B$17,Paramètres!$A$1:$I$89,5,0)</f>
        <v>-5.3205440053716299E-14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215.23235148064941</v>
      </c>
      <c r="GF153" s="59">
        <f t="shared" si="158"/>
        <v>184.07239726900434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0.29112314744620216</v>
      </c>
      <c r="GM153" s="21">
        <f>EXP(-LN(2)/25)*GM152+(1-EXP(-LN(2)/25))/(LN(2)/25)*Calculateur!GH153*Calculateur!GJ153*VLOOKUP('Données projet'!$B$17,Paramètres!$A$1:$I$89,3,0)*0.475*44/12</f>
        <v>0.28198621816155833</v>
      </c>
      <c r="GN153" s="21">
        <f>EXP(-LN(2)/2)*GN152+(1-EXP(-LN(2)/2))/(LN(2)/2)*GH153*GK153*VLOOKUP('Données projet'!$B$17,Paramètres!$A$1:$I$89,3,0)*0.475*44/12</f>
        <v>8.5280536801582359E-18</v>
      </c>
      <c r="GO153" s="21">
        <f t="shared" si="135"/>
        <v>0.57310936560776049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-1.1368683772161603E-13</v>
      </c>
      <c r="GV153" s="17">
        <f>GU153*VLOOKUP('Données projet'!$B$18,Paramètres!$A$1:$I$89,3,0)*VLOOKUP('Données projet'!$B$18,Paramètres!$A$1:$I$89,5,0)</f>
        <v>-6.7984728957526396E-14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227.89848316900191</v>
      </c>
      <c r="HA153" s="59">
        <f t="shared" si="160"/>
        <v>239.85955661394541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0.73761445122491631</v>
      </c>
      <c r="HH153" s="21">
        <f>EXP(-LN(2)/25)*HH152+(1-EXP(-LN(2)/25))/(LN(2)/25)*Calculateur!HC153*Calculateur!HE153*VLOOKUP('Données projet'!$B$18,Paramètres!$A$1:$I$89,3,0)*0.475*44/12</f>
        <v>0.61539998103683136</v>
      </c>
      <c r="HI153" s="21">
        <f>EXP(-LN(2)/2)*HI152+(1-EXP(-LN(2)/2))/(LN(2)/2)*HC153*HF153*VLOOKUP('Données projet'!$B$18,Paramètres!$A$1:$I$89,3,0)*0.475*44/12</f>
        <v>5.8144206572663791E-18</v>
      </c>
      <c r="HJ153" s="22">
        <f t="shared" si="138"/>
        <v>1.3530144322617477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2.5420376914553347E-13</v>
      </c>
      <c r="P154" s="13">
        <f t="shared" si="141"/>
        <v>3.4258699088369875E-12</v>
      </c>
      <c r="Q154" s="20">
        <f t="shared" ref="Q154:Q203" si="162">(O154+P154)*0.475*44/12</f>
        <v>6.4094616558195571E-12</v>
      </c>
      <c r="R154" s="59">
        <f t="shared" si="109"/>
        <v>293.33333333333974</v>
      </c>
      <c r="S154" s="59">
        <f ca="1">AVERAGE(OFFSET($R$3,0,0,'Données projet'!$E$9+1,1))-AVERAGE(OFFSET($H$3,0,0,'Données projet'!$E$9+1,1))</f>
        <v>370.69652285220093</v>
      </c>
      <c r="T154" s="59">
        <f t="shared" si="142"/>
        <v>376.53494965377718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0.93583588701310405</v>
      </c>
      <c r="AA154" s="21">
        <f>EXP(-LN(2)/25)*AA153+(1-EXP(-LN(2)/25))/(LN(2)/25)*Calculateur!V154*Calculateur!X154*VLOOKUP('Données projet'!$B$9,Paramètres!$A$1:$I$89,3,0)*0.475*44/12</f>
        <v>1.1663660230178912</v>
      </c>
      <c r="AB154" s="21">
        <f>EXP(-LN(2)/2)*AB153+(1-EXP(-LN(2)/2))/(LN(2)/2)*V154*Y154*VLOOKUP('Données projet'!$B$9,Paramètres!$A$1:$I$89,3,0)*0.475*44/12</f>
        <v>2.0073733000359855E-17</v>
      </c>
      <c r="AC154" s="22">
        <f t="shared" ref="AC154:AC203" si="163">SUM(Z154:AB154)</f>
        <v>2.1022019100309954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-5.6843418860808015E-13</v>
      </c>
      <c r="AJ154" s="13">
        <f>AI154*VLOOKUP('Données projet'!$B$10,Paramètres!$A$1:$I$89,3,0)*VLOOKUP('Données projet'!$B$10,Paramètres!$A$1:$I$89,5,0)</f>
        <v>-5.1431925385259092E-13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321.03881567735544</v>
      </c>
      <c r="AO154" s="59">
        <f t="shared" si="144"/>
        <v>234.87694492493506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0.21930699574448484</v>
      </c>
      <c r="AV154" s="21">
        <f>EXP(-LN(2)/25)*AV153+(1-EXP(-LN(2)/25))/(LN(2)/25)*Calculateur!AQ154*Calculateur!AS154*VLOOKUP('Données projet'!$B$10,Paramètres!$A$1:$I$89,3,0)*0.475*44/12</f>
        <v>0.47329371658184594</v>
      </c>
      <c r="AW154" s="21">
        <f>EXP(-LN(2)/2)*AW153+(1-EXP(-LN(2)/2))/(LN(2)/2)*AQ154*AT154*VLOOKUP('Données projet'!$B$10,Paramètres!$A$1:$I$89,3,0)*0.475*44/12</f>
        <v>1.3333571277855677E-17</v>
      </c>
      <c r="AX154" s="21">
        <f t="shared" ref="AX154:AX203" si="166">SUM(AU154:AW154)</f>
        <v>0.6926007123263308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3.1036506698001181E-13</v>
      </c>
      <c r="BF154" s="13">
        <f t="shared" ref="BF154:BF203" si="167">EXP(-1.0587+0.8836*LN(BE154)+0.284)</f>
        <v>4.086682523110923E-12</v>
      </c>
      <c r="BG154" s="20">
        <f t="shared" ref="BG154:BG203" si="168">(BE154+BF154)*0.475*44/12</f>
        <v>7.6581912194083782E-12</v>
      </c>
      <c r="BH154" s="59">
        <f t="shared" si="116"/>
        <v>293.33333333334099</v>
      </c>
      <c r="BI154" s="59">
        <f ca="1">AVERAGE(OFFSET($BH$3,0,0,'Données projet'!$E$11+1,1))-AVERAGE(OFFSET($H$3,0,0,'Données projet'!$E$11+1,1))</f>
        <v>248.1486444660062</v>
      </c>
      <c r="BJ154" s="59">
        <f t="shared" si="146"/>
        <v>293.34458072322127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0.77557646450134576</v>
      </c>
      <c r="BQ154" s="21">
        <f>EXP(-LN(2)/25)*BQ153+(1-EXP(-LN(2)/25))/(LN(2)/25)*Calculateur!BL154*Calculateur!BN154*VLOOKUP('Données projet'!$B$11,Paramètres!$A$1:$I$89,3,0)*0.475*44/12</f>
        <v>1.188435275349971</v>
      </c>
      <c r="BR154" s="21">
        <f>EXP(-LN(2)/2)*BR153+(1-EXP(-LN(2)/2))/(LN(2)/2)*BL154*BO154*VLOOKUP('Données projet'!$B$11,Paramètres!$A$1:$I$89,3,0)*0.475*44/12</f>
        <v>1.5444819271215961E-17</v>
      </c>
      <c r="BS154" s="22">
        <f t="shared" ref="BS154:BS203" si="169">SUM(BP154:BR154)</f>
        <v>1.9640117398513168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243.38048563215585</v>
      </c>
      <c r="CE154" s="59">
        <f t="shared" si="148"/>
        <v>372.1604147006675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0.66548329743154111</v>
      </c>
      <c r="CL154" s="21">
        <f>EXP(-LN(2)/25)*CL153+(1-EXP(-LN(2)/25))/(LN(2)/25)*Calculateur!CG154*Calculateur!CI154*VLOOKUP('Données projet'!$B$12,Paramètres!$A$1:$I$89,3,0)*0.475*44/12</f>
        <v>0.67604351135385521</v>
      </c>
      <c r="CM154" s="21">
        <f>EXP(-LN(2)/2)*CM153+(1-EXP(-LN(2)/2))/(LN(2)/2)*CG154*CJ154*VLOOKUP('Données projet'!$B$12,Paramètres!$A$1:$I$89,3,0)*0.475*44/12</f>
        <v>1.7979361322405933E-17</v>
      </c>
      <c r="CN154" s="22">
        <f t="shared" ref="CN154:CN203" si="172">SUM(CK154:CM154)</f>
        <v>1.3415268087853964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7.9580786405131221E-13</v>
      </c>
      <c r="CU154" s="17">
        <f>CT154*VLOOKUP('Données projet'!$B$13,Paramètres!$A$1:$I$89,3,0)*VLOOKUP('Données projet'!$B$13,Paramètres!$A$1:$I$89,5,0)</f>
        <v>3.8278358260868117E-13</v>
      </c>
      <c r="CV154" s="13">
        <f t="shared" ref="CV154:CV203" si="173">EXP(-1.0587+0.8836*LN(CU154)+0.284)</f>
        <v>4.9186917125089072E-12</v>
      </c>
      <c r="CW154" s="20">
        <f t="shared" ref="CW154:CW203" si="174">(CU154+CV154)*0.475*44/12</f>
        <v>9.2334028056631319E-12</v>
      </c>
      <c r="CX154" s="59">
        <f t="shared" si="122"/>
        <v>293.33333333334252</v>
      </c>
      <c r="CY154" s="59">
        <f ca="1">AVERAGE(OFFSET($CX$3,0,0,'Données projet'!$E$13+1,1))-AVERAGE(OFFSET($H$3,0,0,'Données projet'!$E$13+1,1))</f>
        <v>297.21955661193238</v>
      </c>
      <c r="CZ154" s="59">
        <f t="shared" si="150"/>
        <v>273.69206144662144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0.61352696025665321</v>
      </c>
      <c r="DG154" s="21">
        <f>EXP(-LN(2)/25)*DG153+(1-EXP(-LN(2)/25))/(LN(2)/25)*Calculateur!DB154*Calculateur!DD154*VLOOKUP('Données projet'!$B$13,Paramètres!$A$1:$I$89,3,0)*0.475*44/12</f>
        <v>0.46867178567395334</v>
      </c>
      <c r="DH154" s="21">
        <f>EXP(-LN(2)/2)*DH153+(1-EXP(-LN(2)/2))/(LN(2)/2)*DB154*DE154*VLOOKUP('Données projet'!$B$13,Paramètres!$A$1:$I$89,3,0)*0.475*44/12</f>
        <v>1.2826173262013828E-17</v>
      </c>
      <c r="DI154" s="22">
        <f t="shared" ref="DI154:DI203" si="175">SUM(DF154:DH154)</f>
        <v>1.0821987459306066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-4.0702161641092972E-13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260.20517190557814</v>
      </c>
      <c r="DU154" s="59">
        <f t="shared" si="152"/>
        <v>307.22009971147133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0.29710646025327953</v>
      </c>
      <c r="EB154" s="21">
        <f>EXP(-LN(2)/25)*EB153+(1-EXP(-LN(2)/25))/(LN(2)/25)*Calculateur!DW154*Calculateur!DY154*VLOOKUP('Données projet'!$B$14,Paramètres!$A$1:$I$89,3,0)*0.475*44/12</f>
        <v>0.71644650633648022</v>
      </c>
      <c r="EC154" s="21">
        <f>EXP(-LN(2)/2)*EC153+(1-EXP(-LN(2)/2))/(LN(2)/2)*DW154*DZ154*VLOOKUP('Données projet'!$B$14,Paramètres!$A$1:$I$89,3,0)*0.475*44/12</f>
        <v>1.4743557185271552E-17</v>
      </c>
      <c r="ED154" s="22">
        <f t="shared" ref="ED154:ED203" si="178">SUM(EA154:EC154)</f>
        <v>1.0135529665897598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1.1368683772161603E-13</v>
      </c>
      <c r="EK154" s="17">
        <f>EJ154*VLOOKUP('Données projet'!$B$15,Paramètres!$A$1:$I$89,3,0)*VLOOKUP('Données projet'!$B$15,Paramètres!$A$1:$I$89,5,0)</f>
        <v>6.7984728957526396E-14</v>
      </c>
      <c r="EL154" s="13">
        <f t="shared" ref="EL154:EL203" si="179">EXP(-1.0587+0.8836*LN(EK154)+0.284)</f>
        <v>1.0682447123141398E-12</v>
      </c>
      <c r="EM154" s="20">
        <f t="shared" ref="EM154:EM203" si="180">(EK154+EL154)*0.475*44/12</f>
        <v>1.978932943548152E-12</v>
      </c>
      <c r="EN154" s="59">
        <f t="shared" si="128"/>
        <v>293.3333333333353</v>
      </c>
      <c r="EO154" s="59">
        <f ca="1">AVERAGE(OFFSET($EN$3,0,0,'Données projet'!$E$15+1,1))-AVERAGE(OFFSET($H$3,0,0,'Données projet'!$E$15+1,1))</f>
        <v>259.30247982593914</v>
      </c>
      <c r="EP154" s="59">
        <f t="shared" si="154"/>
        <v>275.24740346220779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0.62962667254187332</v>
      </c>
      <c r="EX154" s="21">
        <f>EXP(-LN(2)/2)*EX153+(1-EXP(-LN(2)/2))/(LN(2)/2)*ER154*EU154*VLOOKUP('Données projet'!$B$15,Paramètres!$A$1:$I$89,3,0)*0.475*44/12</f>
        <v>1.7590230446894989E-17</v>
      </c>
      <c r="EY154" s="22">
        <f t="shared" ref="EY154:EY203" si="181">SUM(EV154:EX154)</f>
        <v>0.62962667254187332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-5.6843418860808015E-13</v>
      </c>
      <c r="FF154" s="17">
        <f>FE154*VLOOKUP('Données projet'!$B$16,Paramètres!$A$1:$I$89,3,0)*VLOOKUP('Données projet'!$B$16,Paramètres!$A$1:$I$89,5,0)</f>
        <v>-5.763922672485933E-13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372.91317851957336</v>
      </c>
      <c r="FK154" s="59">
        <f t="shared" si="156"/>
        <v>269.69187715858413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0.24577508143778501</v>
      </c>
      <c r="FR154" s="21">
        <f>EXP(-LN(2)/25)*FR153+(1-EXP(-LN(2)/25))/(LN(2)/25)*Calculateur!FM154*Calculateur!FO154*VLOOKUP('Données projet'!$B$16,Paramètres!$A$1:$I$89,3,0)*0.475*44/12</f>
        <v>0.53041537203137878</v>
      </c>
      <c r="FS154" s="21">
        <f>EXP(-LN(2)/2)*FS153+(1-EXP(-LN(2)/2))/(LN(2)/2)*FM154*FP154*VLOOKUP('Données projet'!$B$16,Paramètres!$A$1:$I$89,3,0)*0.475*44/12</f>
        <v>1.4942795397596868E-17</v>
      </c>
      <c r="FT154" s="22">
        <f t="shared" ref="FT154:FT203" si="184">SUM(FQ154:FS154)</f>
        <v>0.77619045346916382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-1.1368683772161603E-13</v>
      </c>
      <c r="GA154" s="17">
        <f>FZ154*VLOOKUP('Données projet'!$B$17,Paramètres!$A$1:$I$89,3,0)*VLOOKUP('Données projet'!$B$17,Paramètres!$A$1:$I$89,5,0)</f>
        <v>-5.3205440053716299E-14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215.23235148064941</v>
      </c>
      <c r="GF154" s="59">
        <f t="shared" si="158"/>
        <v>184.07239726900434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0.28541440009236874</v>
      </c>
      <c r="GM154" s="21">
        <f>EXP(-LN(2)/25)*GM153+(1-EXP(-LN(2)/25))/(LN(2)/25)*Calculateur!GH154*Calculateur!GJ154*VLOOKUP('Données projet'!$B$17,Paramètres!$A$1:$I$89,3,0)*0.475*44/12</f>
        <v>0.27427529019691982</v>
      </c>
      <c r="GN154" s="21">
        <f>EXP(-LN(2)/2)*GN153+(1-EXP(-LN(2)/2))/(LN(2)/2)*GH154*GK154*VLOOKUP('Données projet'!$B$17,Paramètres!$A$1:$I$89,3,0)*0.475*44/12</f>
        <v>6.0302445875627812E-18</v>
      </c>
      <c r="GO154" s="21">
        <f t="shared" ref="GO154:GO203" si="187">SUM(GL154:GN154)</f>
        <v>0.5596896902892885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-1.1368683772161603E-13</v>
      </c>
      <c r="GV154" s="17">
        <f>GU154*VLOOKUP('Données projet'!$B$18,Paramètres!$A$1:$I$89,3,0)*VLOOKUP('Données projet'!$B$18,Paramètres!$A$1:$I$89,5,0)</f>
        <v>-6.7984728957526396E-14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227.89848316900191</v>
      </c>
      <c r="HA154" s="59">
        <f t="shared" si="160"/>
        <v>239.85955661394541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0.72315028173678697</v>
      </c>
      <c r="HH154" s="21">
        <f>EXP(-LN(2)/25)*HH153+(1-EXP(-LN(2)/25))/(LN(2)/25)*Calculateur!HC154*Calculateur!HE154*VLOOKUP('Données projet'!$B$18,Paramètres!$A$1:$I$89,3,0)*0.475*44/12</f>
        <v>0.59857183619290066</v>
      </c>
      <c r="HI154" s="21">
        <f>EXP(-LN(2)/2)*HI153+(1-EXP(-LN(2)/2))/(LN(2)/2)*HC154*HF154*VLOOKUP('Données projet'!$B$18,Paramètres!$A$1:$I$89,3,0)*0.475*44/12</f>
        <v>4.1114162754241994E-18</v>
      </c>
      <c r="HJ154" s="22">
        <f t="shared" ref="HJ154:HJ203" si="190">SUM(HG154:HI154)</f>
        <v>1.3217221179296876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2.5420376914553347E-13</v>
      </c>
      <c r="P155" s="13">
        <f t="shared" si="141"/>
        <v>3.4258699088369875E-12</v>
      </c>
      <c r="Q155" s="20">
        <f t="shared" si="162"/>
        <v>6.4094616558195571E-12</v>
      </c>
      <c r="R155" s="59">
        <f t="shared" si="109"/>
        <v>293.33333333333974</v>
      </c>
      <c r="S155" s="59">
        <f ca="1">AVERAGE(OFFSET($R$3,0,0,'Données projet'!$E$9+1,1))-AVERAGE(OFFSET($H$3,0,0,'Données projet'!$E$9+1,1))</f>
        <v>370.69652285220093</v>
      </c>
      <c r="T155" s="59">
        <f t="shared" si="142"/>
        <v>376.53494965377718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0.91748471607230597</v>
      </c>
      <c r="AA155" s="21">
        <f>EXP(-LN(2)/25)*AA154+(1-EXP(-LN(2)/25))/(LN(2)/25)*Calculateur!V155*Calculateur!X155*VLOOKUP('Données projet'!$B$9,Paramètres!$A$1:$I$89,3,0)*0.475*44/12</f>
        <v>1.1344716827819434</v>
      </c>
      <c r="AB155" s="21">
        <f>EXP(-LN(2)/2)*AB154+(1-EXP(-LN(2)/2))/(LN(2)/2)*V155*Y155*VLOOKUP('Données projet'!$B$9,Paramètres!$A$1:$I$89,3,0)*0.475*44/12</f>
        <v>1.4194272728282634E-17</v>
      </c>
      <c r="AC155" s="22">
        <f t="shared" si="163"/>
        <v>2.0519563988542493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-5.6843418860808015E-13</v>
      </c>
      <c r="AJ155" s="13">
        <f>AI155*VLOOKUP('Données projet'!$B$10,Paramètres!$A$1:$I$89,3,0)*VLOOKUP('Données projet'!$B$10,Paramètres!$A$1:$I$89,5,0)</f>
        <v>-5.1431925385259092E-13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321.03881567735544</v>
      </c>
      <c r="AO155" s="59">
        <f t="shared" si="144"/>
        <v>234.87694492493506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0.2150065193219948</v>
      </c>
      <c r="AV155" s="21">
        <f>EXP(-LN(2)/25)*AV154+(1-EXP(-LN(2)/25))/(LN(2)/25)*Calculateur!AQ155*Calculateur!AS155*VLOOKUP('Données projet'!$B$10,Paramètres!$A$1:$I$89,3,0)*0.475*44/12</f>
        <v>0.46035147501248053</v>
      </c>
      <c r="AW155" s="21">
        <f>EXP(-LN(2)/2)*AW154+(1-EXP(-LN(2)/2))/(LN(2)/2)*AQ155*AT155*VLOOKUP('Données projet'!$B$10,Paramètres!$A$1:$I$89,3,0)*0.475*44/12</f>
        <v>9.4282586680059291E-18</v>
      </c>
      <c r="AX155" s="21">
        <f t="shared" si="166"/>
        <v>0.6753579943344753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3.1036506698001181E-13</v>
      </c>
      <c r="BF155" s="13">
        <f t="shared" si="167"/>
        <v>4.086682523110923E-12</v>
      </c>
      <c r="BG155" s="20">
        <f t="shared" si="168"/>
        <v>7.6581912194083782E-12</v>
      </c>
      <c r="BH155" s="59">
        <f t="shared" si="116"/>
        <v>293.33333333334099</v>
      </c>
      <c r="BI155" s="59">
        <f ca="1">AVERAGE(OFFSET($BH$3,0,0,'Données projet'!$E$11+1,1))-AVERAGE(OFFSET($H$3,0,0,'Données projet'!$E$11+1,1))</f>
        <v>248.1486444660062</v>
      </c>
      <c r="BJ155" s="59">
        <f t="shared" si="146"/>
        <v>293.34458072322127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0.76036788308740744</v>
      </c>
      <c r="BQ155" s="21">
        <f>EXP(-LN(2)/25)*BQ154+(1-EXP(-LN(2)/25))/(LN(2)/25)*Calculateur!BL155*Calculateur!BN155*VLOOKUP('Données projet'!$B$11,Paramètres!$A$1:$I$89,3,0)*0.475*44/12</f>
        <v>1.155937450248431</v>
      </c>
      <c r="BR155" s="21">
        <f>EXP(-LN(2)/2)*BR154+(1-EXP(-LN(2)/2))/(LN(2)/2)*BL155*BO155*VLOOKUP('Données projet'!$B$11,Paramètres!$A$1:$I$89,3,0)*0.475*44/12</f>
        <v>1.0921136440877477E-17</v>
      </c>
      <c r="BS155" s="22">
        <f t="shared" si="169"/>
        <v>1.9163053333358384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243.38048563215585</v>
      </c>
      <c r="CE155" s="59">
        <f t="shared" si="148"/>
        <v>372.1604147006675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0.65243357587364026</v>
      </c>
      <c r="CL155" s="21">
        <f>EXP(-LN(2)/25)*CL154+(1-EXP(-LN(2)/25))/(LN(2)/25)*Calculateur!CG155*Calculateur!CI155*VLOOKUP('Données projet'!$B$12,Paramètres!$A$1:$I$89,3,0)*0.475*44/12</f>
        <v>0.65755706598430086</v>
      </c>
      <c r="CM155" s="21">
        <f>EXP(-LN(2)/2)*CM154+(1-EXP(-LN(2)/2))/(LN(2)/2)*CG155*CJ155*VLOOKUP('Données projet'!$B$12,Paramètres!$A$1:$I$89,3,0)*0.475*44/12</f>
        <v>1.2713328312476368E-17</v>
      </c>
      <c r="CN155" s="22">
        <f t="shared" si="172"/>
        <v>1.309990641857941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7.9580786405131221E-13</v>
      </c>
      <c r="CU155" s="17">
        <f>CT155*VLOOKUP('Données projet'!$B$13,Paramètres!$A$1:$I$89,3,0)*VLOOKUP('Données projet'!$B$13,Paramètres!$A$1:$I$89,5,0)</f>
        <v>3.8278358260868117E-13</v>
      </c>
      <c r="CV155" s="13">
        <f t="shared" si="173"/>
        <v>4.9186917125089072E-12</v>
      </c>
      <c r="CW155" s="20">
        <f t="shared" si="174"/>
        <v>9.2334028056631319E-12</v>
      </c>
      <c r="CX155" s="59">
        <f t="shared" si="122"/>
        <v>293.33333333334252</v>
      </c>
      <c r="CY155" s="59">
        <f ca="1">AVERAGE(OFFSET($CX$3,0,0,'Données projet'!$E$13+1,1))-AVERAGE(OFFSET($H$3,0,0,'Données projet'!$E$13+1,1))</f>
        <v>297.21955661193238</v>
      </c>
      <c r="CZ155" s="59">
        <f t="shared" si="150"/>
        <v>273.69206144662144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0.60149607078051537</v>
      </c>
      <c r="DG155" s="21">
        <f>EXP(-LN(2)/25)*DG154+(1-EXP(-LN(2)/25))/(LN(2)/25)*Calculateur!DB155*Calculateur!DD155*VLOOKUP('Données projet'!$B$13,Paramètres!$A$1:$I$89,3,0)*0.475*44/12</f>
        <v>0.45585593104832106</v>
      </c>
      <c r="DH155" s="21">
        <f>EXP(-LN(2)/2)*DH154+(1-EXP(-LN(2)/2))/(LN(2)/2)*DB155*DE155*VLOOKUP('Données projet'!$B$13,Paramètres!$A$1:$I$89,3,0)*0.475*44/12</f>
        <v>9.069474090243558E-18</v>
      </c>
      <c r="DI155" s="22">
        <f t="shared" si="175"/>
        <v>1.0573520018288365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-4.0702161641092972E-13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260.20517190557814</v>
      </c>
      <c r="DU155" s="59">
        <f t="shared" si="152"/>
        <v>307.22009971147133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0.29128038378475979</v>
      </c>
      <c r="EB155" s="21">
        <f>EXP(-LN(2)/25)*EB154+(1-EXP(-LN(2)/25))/(LN(2)/25)*Calculateur!DW155*Calculateur!DY155*VLOOKUP('Données projet'!$B$14,Paramètres!$A$1:$I$89,3,0)*0.475*44/12</f>
        <v>0.6968552389444248</v>
      </c>
      <c r="EC155" s="21">
        <f>EXP(-LN(2)/2)*EC154+(1-EXP(-LN(2)/2))/(LN(2)/2)*DW155*DZ155*VLOOKUP('Données projet'!$B$14,Paramètres!$A$1:$I$89,3,0)*0.475*44/12</f>
        <v>1.0425269264517162E-17</v>
      </c>
      <c r="ED155" s="22">
        <f t="shared" si="178"/>
        <v>0.98813562272918465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1.1368683772161603E-13</v>
      </c>
      <c r="EK155" s="17">
        <f>EJ155*VLOOKUP('Données projet'!$B$15,Paramètres!$A$1:$I$89,3,0)*VLOOKUP('Données projet'!$B$15,Paramètres!$A$1:$I$89,5,0)</f>
        <v>6.7984728957526396E-14</v>
      </c>
      <c r="EL155" s="13">
        <f t="shared" si="179"/>
        <v>1.0682447123141398E-12</v>
      </c>
      <c r="EM155" s="20">
        <f t="shared" si="180"/>
        <v>1.978932943548152E-12</v>
      </c>
      <c r="EN155" s="59">
        <f t="shared" si="128"/>
        <v>293.3333333333353</v>
      </c>
      <c r="EO155" s="59">
        <f ca="1">AVERAGE(OFFSET($EN$3,0,0,'Données projet'!$E$15+1,1))-AVERAGE(OFFSET($H$3,0,0,'Données projet'!$E$15+1,1))</f>
        <v>259.30247982593914</v>
      </c>
      <c r="EP155" s="59">
        <f t="shared" si="154"/>
        <v>275.24740346220779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0.61240949807058809</v>
      </c>
      <c r="EX155" s="21">
        <f>EXP(-LN(2)/2)*EX154+(1-EXP(-LN(2)/2))/(LN(2)/2)*ER155*EU155*VLOOKUP('Données projet'!$B$15,Paramètres!$A$1:$I$89,3,0)*0.475*44/12</f>
        <v>1.2438171231633521E-17</v>
      </c>
      <c r="EY155" s="22">
        <f t="shared" si="181"/>
        <v>0.61240949807058809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-5.6843418860808015E-13</v>
      </c>
      <c r="FF155" s="17">
        <f>FE155*VLOOKUP('Données projet'!$B$16,Paramètres!$A$1:$I$89,3,0)*VLOOKUP('Données projet'!$B$16,Paramètres!$A$1:$I$89,5,0)</f>
        <v>-5.763922672485933E-13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372.91317851957336</v>
      </c>
      <c r="FK155" s="59">
        <f t="shared" si="156"/>
        <v>269.69187715858413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0.24095558199878753</v>
      </c>
      <c r="FR155" s="21">
        <f>EXP(-LN(2)/25)*FR154+(1-EXP(-LN(2)/25))/(LN(2)/25)*Calculateur!FM155*Calculateur!FO155*VLOOKUP('Données projet'!$B$16,Paramètres!$A$1:$I$89,3,0)*0.475*44/12</f>
        <v>0.5159111357898486</v>
      </c>
      <c r="FS155" s="21">
        <f>EXP(-LN(2)/2)*FS154+(1-EXP(-LN(2)/2))/(LN(2)/2)*FM155*FP155*VLOOKUP('Données projet'!$B$16,Paramètres!$A$1:$I$89,3,0)*0.475*44/12</f>
        <v>1.0566151955523878E-17</v>
      </c>
      <c r="FT155" s="22">
        <f t="shared" si="184"/>
        <v>0.75686671778863612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-1.1368683772161603E-13</v>
      </c>
      <c r="GA155" s="17">
        <f>FZ155*VLOOKUP('Données projet'!$B$17,Paramètres!$A$1:$I$89,3,0)*VLOOKUP('Données projet'!$B$17,Paramètres!$A$1:$I$89,5,0)</f>
        <v>-5.3205440053716299E-14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215.23235148064941</v>
      </c>
      <c r="GF155" s="59">
        <f t="shared" si="158"/>
        <v>184.07239726900434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0.27981759779215193</v>
      </c>
      <c r="GM155" s="21">
        <f>EXP(-LN(2)/25)*GM154+(1-EXP(-LN(2)/25))/(LN(2)/25)*Calculateur!GH155*Calculateur!GJ155*VLOOKUP('Données projet'!$B$17,Paramètres!$A$1:$I$89,3,0)*0.475*44/12</f>
        <v>0.26677521796297438</v>
      </c>
      <c r="GN155" s="21">
        <f>EXP(-LN(2)/2)*GN154+(1-EXP(-LN(2)/2))/(LN(2)/2)*GH155*GK155*VLOOKUP('Données projet'!$B$17,Paramètres!$A$1:$I$89,3,0)*0.475*44/12</f>
        <v>4.264026840079118E-18</v>
      </c>
      <c r="GO155" s="21">
        <f t="shared" si="187"/>
        <v>0.5465928157551263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-1.1368683772161603E-13</v>
      </c>
      <c r="GV155" s="17">
        <f>GU155*VLOOKUP('Données projet'!$B$18,Paramètres!$A$1:$I$89,3,0)*VLOOKUP('Données projet'!$B$18,Paramètres!$A$1:$I$89,5,0)</f>
        <v>-6.7984728957526396E-14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227.89848316900191</v>
      </c>
      <c r="HA155" s="59">
        <f t="shared" si="160"/>
        <v>239.85955661394541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0.70896974579004757</v>
      </c>
      <c r="HH155" s="21">
        <f>EXP(-LN(2)/25)*HH154+(1-EXP(-LN(2)/25))/(LN(2)/25)*Calculateur!HC155*Calculateur!HE155*VLOOKUP('Données projet'!$B$18,Paramètres!$A$1:$I$89,3,0)*0.475*44/12</f>
        <v>0.58220385785468098</v>
      </c>
      <c r="HI155" s="21">
        <f>EXP(-LN(2)/2)*HI154+(1-EXP(-LN(2)/2))/(LN(2)/2)*HC155*HF155*VLOOKUP('Données projet'!$B$18,Paramètres!$A$1:$I$89,3,0)*0.475*44/12</f>
        <v>2.9072103286331896E-18</v>
      </c>
      <c r="HJ155" s="22">
        <f t="shared" si="190"/>
        <v>1.2911736036447286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2.5420376914553347E-13</v>
      </c>
      <c r="P156" s="13">
        <f t="shared" si="141"/>
        <v>3.4258699088369875E-12</v>
      </c>
      <c r="Q156" s="20">
        <f t="shared" si="162"/>
        <v>6.4094616558195571E-12</v>
      </c>
      <c r="R156" s="59">
        <f t="shared" si="109"/>
        <v>293.33333333333974</v>
      </c>
      <c r="S156" s="59">
        <f ca="1">AVERAGE(OFFSET($R$3,0,0,'Données projet'!$E$9+1,1))-AVERAGE(OFFSET($H$3,0,0,'Données projet'!$E$9+1,1))</f>
        <v>370.69652285220093</v>
      </c>
      <c r="T156" s="59">
        <f t="shared" si="142"/>
        <v>376.53494965377718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0.89949340040054793</v>
      </c>
      <c r="AA156" s="21">
        <f>EXP(-LN(2)/25)*AA155+(1-EXP(-LN(2)/25))/(LN(2)/25)*Calculateur!V156*Calculateur!X156*VLOOKUP('Données projet'!$B$9,Paramètres!$A$1:$I$89,3,0)*0.475*44/12</f>
        <v>1.1034494949569982</v>
      </c>
      <c r="AB156" s="21">
        <f>EXP(-LN(2)/2)*AB155+(1-EXP(-LN(2)/2))/(LN(2)/2)*V156*Y156*VLOOKUP('Données projet'!$B$9,Paramètres!$A$1:$I$89,3,0)*0.475*44/12</f>
        <v>1.0036866500179928E-17</v>
      </c>
      <c r="AC156" s="22">
        <f t="shared" si="163"/>
        <v>2.0029428953575463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-5.6843418860808015E-13</v>
      </c>
      <c r="AJ156" s="13">
        <f>AI156*VLOOKUP('Données projet'!$B$10,Paramètres!$A$1:$I$89,3,0)*VLOOKUP('Données projet'!$B$10,Paramètres!$A$1:$I$89,5,0)</f>
        <v>-5.1431925385259092E-13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321.03881567735544</v>
      </c>
      <c r="AO156" s="59">
        <f t="shared" si="144"/>
        <v>234.87694492493506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0.21079037261911818</v>
      </c>
      <c r="AV156" s="21">
        <f>EXP(-LN(2)/25)*AV155+(1-EXP(-LN(2)/25))/(LN(2)/25)*Calculateur!AQ156*Calculateur!AS156*VLOOKUP('Données projet'!$B$10,Paramètres!$A$1:$I$89,3,0)*0.475*44/12</f>
        <v>0.44776313971943232</v>
      </c>
      <c r="AW156" s="21">
        <f>EXP(-LN(2)/2)*AW155+(1-EXP(-LN(2)/2))/(LN(2)/2)*AQ156*AT156*VLOOKUP('Données projet'!$B$10,Paramètres!$A$1:$I$89,3,0)*0.475*44/12</f>
        <v>6.6667856389278386E-18</v>
      </c>
      <c r="AX156" s="21">
        <f t="shared" si="166"/>
        <v>0.65855351233855053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3.1036506698001181E-13</v>
      </c>
      <c r="BF156" s="13">
        <f t="shared" si="167"/>
        <v>4.086682523110923E-12</v>
      </c>
      <c r="BG156" s="20">
        <f t="shared" si="168"/>
        <v>7.6581912194083782E-12</v>
      </c>
      <c r="BH156" s="59">
        <f t="shared" si="116"/>
        <v>293.33333333334099</v>
      </c>
      <c r="BI156" s="59">
        <f ca="1">AVERAGE(OFFSET($BH$3,0,0,'Données projet'!$E$11+1,1))-AVERAGE(OFFSET($H$3,0,0,'Données projet'!$E$11+1,1))</f>
        <v>248.1486444660062</v>
      </c>
      <c r="BJ156" s="59">
        <f t="shared" si="146"/>
        <v>293.34458072322127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0.74545753267867776</v>
      </c>
      <c r="BQ156" s="21">
        <f>EXP(-LN(2)/25)*BQ155+(1-EXP(-LN(2)/25))/(LN(2)/25)*Calculateur!BL156*Calculateur!BN156*VLOOKUP('Données projet'!$B$11,Paramètres!$A$1:$I$89,3,0)*0.475*44/12</f>
        <v>1.124328279883279</v>
      </c>
      <c r="BR156" s="21">
        <f>EXP(-LN(2)/2)*BR155+(1-EXP(-LN(2)/2))/(LN(2)/2)*BL156*BO156*VLOOKUP('Données projet'!$B$11,Paramètres!$A$1:$I$89,3,0)*0.475*44/12</f>
        <v>7.7224096356079805E-18</v>
      </c>
      <c r="BS156" s="22">
        <f t="shared" si="169"/>
        <v>1.8697858125619566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243.38048563215585</v>
      </c>
      <c r="CE156" s="59">
        <f t="shared" si="148"/>
        <v>372.1604147006675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0.63963975139594564</v>
      </c>
      <c r="CL156" s="21">
        <f>EXP(-LN(2)/25)*CL155+(1-EXP(-LN(2)/25))/(LN(2)/25)*Calculateur!CG156*Calculateur!CI156*VLOOKUP('Données projet'!$B$12,Paramètres!$A$1:$I$89,3,0)*0.475*44/12</f>
        <v>0.63957613343553688</v>
      </c>
      <c r="CM156" s="21">
        <f>EXP(-LN(2)/2)*CM155+(1-EXP(-LN(2)/2))/(LN(2)/2)*CG156*CJ156*VLOOKUP('Données projet'!$B$12,Paramètres!$A$1:$I$89,3,0)*0.475*44/12</f>
        <v>8.9896806612029667E-18</v>
      </c>
      <c r="CN156" s="22">
        <f t="shared" si="172"/>
        <v>1.2792158848314825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7.9580786405131221E-13</v>
      </c>
      <c r="CU156" s="17">
        <f>CT156*VLOOKUP('Données projet'!$B$13,Paramètres!$A$1:$I$89,3,0)*VLOOKUP('Données projet'!$B$13,Paramètres!$A$1:$I$89,5,0)</f>
        <v>3.8278358260868117E-13</v>
      </c>
      <c r="CV156" s="13">
        <f t="shared" si="173"/>
        <v>4.9186917125089072E-12</v>
      </c>
      <c r="CW156" s="20">
        <f t="shared" si="174"/>
        <v>9.2334028056631319E-12</v>
      </c>
      <c r="CX156" s="59">
        <f t="shared" si="122"/>
        <v>293.33333333334252</v>
      </c>
      <c r="CY156" s="59">
        <f ca="1">AVERAGE(OFFSET($CX$3,0,0,'Données projet'!$E$13+1,1))-AVERAGE(OFFSET($H$3,0,0,'Données projet'!$E$13+1,1))</f>
        <v>297.21955661193238</v>
      </c>
      <c r="CZ156" s="59">
        <f t="shared" si="150"/>
        <v>273.69206144662144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0.58970109970888662</v>
      </c>
      <c r="DG156" s="21">
        <f>EXP(-LN(2)/25)*DG155+(1-EXP(-LN(2)/25))/(LN(2)/25)*Calculateur!DB156*Calculateur!DD156*VLOOKUP('Données projet'!$B$13,Paramètres!$A$1:$I$89,3,0)*0.475*44/12</f>
        <v>0.44339052664138318</v>
      </c>
      <c r="DH156" s="21">
        <f>EXP(-LN(2)/2)*DH155+(1-EXP(-LN(2)/2))/(LN(2)/2)*DB156*DE156*VLOOKUP('Données projet'!$B$13,Paramètres!$A$1:$I$89,3,0)*0.475*44/12</f>
        <v>6.4130866310069138E-18</v>
      </c>
      <c r="DI156" s="22">
        <f t="shared" si="175"/>
        <v>1.0330916263502699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-4.0702161641092972E-13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260.20517190557814</v>
      </c>
      <c r="DU156" s="59">
        <f t="shared" si="152"/>
        <v>307.22009971147133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0.28556855312223195</v>
      </c>
      <c r="EB156" s="21">
        <f>EXP(-LN(2)/25)*EB155+(1-EXP(-LN(2)/25))/(LN(2)/25)*Calculateur!DW156*Calculateur!DY156*VLOOKUP('Données projet'!$B$14,Paramètres!$A$1:$I$89,3,0)*0.475*44/12</f>
        <v>0.6777996957894652</v>
      </c>
      <c r="EC156" s="21">
        <f>EXP(-LN(2)/2)*EC155+(1-EXP(-LN(2)/2))/(LN(2)/2)*DW156*DZ156*VLOOKUP('Données projet'!$B$14,Paramètres!$A$1:$I$89,3,0)*0.475*44/12</f>
        <v>7.3717785926357759E-18</v>
      </c>
      <c r="ED156" s="22">
        <f t="shared" si="178"/>
        <v>0.96336824891169714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1.1368683772161603E-13</v>
      </c>
      <c r="EK156" s="17">
        <f>EJ156*VLOOKUP('Données projet'!$B$15,Paramètres!$A$1:$I$89,3,0)*VLOOKUP('Données projet'!$B$15,Paramètres!$A$1:$I$89,5,0)</f>
        <v>6.7984728957526396E-14</v>
      </c>
      <c r="EL156" s="13">
        <f t="shared" si="179"/>
        <v>1.0682447123141398E-12</v>
      </c>
      <c r="EM156" s="20">
        <f t="shared" si="180"/>
        <v>1.978932943548152E-12</v>
      </c>
      <c r="EN156" s="59">
        <f t="shared" si="128"/>
        <v>293.3333333333353</v>
      </c>
      <c r="EO156" s="59">
        <f ca="1">AVERAGE(OFFSET($EN$3,0,0,'Données projet'!$E$15+1,1))-AVERAGE(OFFSET($H$3,0,0,'Données projet'!$E$15+1,1))</f>
        <v>259.30247982593914</v>
      </c>
      <c r="EP156" s="59">
        <f t="shared" si="154"/>
        <v>275.24740346220779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0.59566312814063205</v>
      </c>
      <c r="EX156" s="21">
        <f>EXP(-LN(2)/2)*EX155+(1-EXP(-LN(2)/2))/(LN(2)/2)*ER156*EU156*VLOOKUP('Données projet'!$B$15,Paramètres!$A$1:$I$89,3,0)*0.475*44/12</f>
        <v>8.7951152234474945E-18</v>
      </c>
      <c r="EY156" s="22">
        <f t="shared" si="181"/>
        <v>0.59566312814063205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-5.6843418860808015E-13</v>
      </c>
      <c r="FF156" s="17">
        <f>FE156*VLOOKUP('Données projet'!$B$16,Paramètres!$A$1:$I$89,3,0)*VLOOKUP('Données projet'!$B$16,Paramètres!$A$1:$I$89,5,0)</f>
        <v>-5.763922672485933E-13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372.91317851957336</v>
      </c>
      <c r="FK156" s="59">
        <f t="shared" si="156"/>
        <v>269.69187715858413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0.23623059000418439</v>
      </c>
      <c r="FR156" s="21">
        <f>EXP(-LN(2)/25)*FR155+(1-EXP(-LN(2)/25))/(LN(2)/25)*Calculateur!FM156*Calculateur!FO156*VLOOKUP('Données projet'!$B$16,Paramètres!$A$1:$I$89,3,0)*0.475*44/12</f>
        <v>0.50180351865108763</v>
      </c>
      <c r="FS156" s="21">
        <f>EXP(-LN(2)/2)*FS155+(1-EXP(-LN(2)/2))/(LN(2)/2)*FM156*FP156*VLOOKUP('Données projet'!$B$16,Paramètres!$A$1:$I$89,3,0)*0.475*44/12</f>
        <v>7.4713976987984338E-18</v>
      </c>
      <c r="FT156" s="22">
        <f t="shared" si="184"/>
        <v>0.73803410865527197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-1.1368683772161603E-13</v>
      </c>
      <c r="GA156" s="17">
        <f>FZ156*VLOOKUP('Données projet'!$B$17,Paramètres!$A$1:$I$89,3,0)*VLOOKUP('Données projet'!$B$17,Paramètres!$A$1:$I$89,5,0)</f>
        <v>-5.3205440053716299E-14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215.23235148064941</v>
      </c>
      <c r="GF156" s="59">
        <f t="shared" si="158"/>
        <v>184.07239726900434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0.27433054537133006</v>
      </c>
      <c r="GM156" s="21">
        <f>EXP(-LN(2)/25)*GM155+(1-EXP(-LN(2)/25))/(LN(2)/25)*Calculateur!GH156*Calculateur!GJ156*VLOOKUP('Données projet'!$B$17,Paramètres!$A$1:$I$89,3,0)*0.475*44/12</f>
        <v>0.25948023559867783</v>
      </c>
      <c r="GN156" s="21">
        <f>EXP(-LN(2)/2)*GN155+(1-EXP(-LN(2)/2))/(LN(2)/2)*GH156*GK156*VLOOKUP('Données projet'!$B$17,Paramètres!$A$1:$I$89,3,0)*0.475*44/12</f>
        <v>3.0151222937813906E-18</v>
      </c>
      <c r="GO156" s="21">
        <f t="shared" si="187"/>
        <v>0.53381078097000789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-1.1368683772161603E-13</v>
      </c>
      <c r="GV156" s="17">
        <f>GU156*VLOOKUP('Données projet'!$B$18,Paramètres!$A$1:$I$89,3,0)*VLOOKUP('Données projet'!$B$18,Paramètres!$A$1:$I$89,5,0)</f>
        <v>-6.7984728957526396E-14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227.89848316900191</v>
      </c>
      <c r="HA156" s="59">
        <f t="shared" si="160"/>
        <v>239.85955661394541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0.69506728150395092</v>
      </c>
      <c r="HH156" s="21">
        <f>EXP(-LN(2)/25)*HH155+(1-EXP(-LN(2)/25))/(LN(2)/25)*Calculateur!HC156*Calculateur!HE156*VLOOKUP('Données projet'!$B$18,Paramètres!$A$1:$I$89,3,0)*0.475*44/12</f>
        <v>0.56628346274487451</v>
      </c>
      <c r="HI156" s="21">
        <f>EXP(-LN(2)/2)*HI155+(1-EXP(-LN(2)/2))/(LN(2)/2)*HC156*HF156*VLOOKUP('Données projet'!$B$18,Paramètres!$A$1:$I$89,3,0)*0.475*44/12</f>
        <v>2.0557081377120997E-18</v>
      </c>
      <c r="HJ156" s="22">
        <f t="shared" si="190"/>
        <v>1.2613507442488254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2.5420376914553347E-13</v>
      </c>
      <c r="P157" s="13">
        <f t="shared" si="141"/>
        <v>3.4258699088369875E-12</v>
      </c>
      <c r="Q157" s="20">
        <f t="shared" si="162"/>
        <v>6.4094616558195571E-12</v>
      </c>
      <c r="R157" s="59">
        <f t="shared" si="109"/>
        <v>293.33333333333974</v>
      </c>
      <c r="S157" s="59">
        <f ca="1">AVERAGE(OFFSET($R$3,0,0,'Données projet'!$E$9+1,1))-AVERAGE(OFFSET($H$3,0,0,'Données projet'!$E$9+1,1))</f>
        <v>370.69652285220093</v>
      </c>
      <c r="T157" s="59">
        <f t="shared" si="142"/>
        <v>376.53494965377718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0.88185488345549401</v>
      </c>
      <c r="AA157" s="21">
        <f>EXP(-LN(2)/25)*AA156+(1-EXP(-LN(2)/25))/(LN(2)/25)*Calculateur!V157*Calculateur!X157*VLOOKUP('Données projet'!$B$9,Paramètres!$A$1:$I$89,3,0)*0.475*44/12</f>
        <v>1.073275610489512</v>
      </c>
      <c r="AB157" s="21">
        <f>EXP(-LN(2)/2)*AB156+(1-EXP(-LN(2)/2))/(LN(2)/2)*V157*Y157*VLOOKUP('Données projet'!$B$9,Paramètres!$A$1:$I$89,3,0)*0.475*44/12</f>
        <v>7.0971363641413169E-18</v>
      </c>
      <c r="AC157" s="22">
        <f t="shared" si="163"/>
        <v>1.955130493945006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-5.6843418860808015E-13</v>
      </c>
      <c r="AJ157" s="13">
        <f>AI157*VLOOKUP('Données projet'!$B$10,Paramètres!$A$1:$I$89,3,0)*VLOOKUP('Données projet'!$B$10,Paramètres!$A$1:$I$89,5,0)</f>
        <v>-5.1431925385259092E-13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321.03881567735544</v>
      </c>
      <c r="AO157" s="59">
        <f t="shared" si="144"/>
        <v>234.87694492493506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0.20665690198148939</v>
      </c>
      <c r="AV157" s="21">
        <f>EXP(-LN(2)/25)*AV156+(1-EXP(-LN(2)/25))/(LN(2)/25)*Calculateur!AQ157*Calculateur!AS157*VLOOKUP('Données projet'!$B$10,Paramètres!$A$1:$I$89,3,0)*0.475*44/12</f>
        <v>0.43551903311696433</v>
      </c>
      <c r="AW157" s="21">
        <f>EXP(-LN(2)/2)*AW156+(1-EXP(-LN(2)/2))/(LN(2)/2)*AQ157*AT157*VLOOKUP('Données projet'!$B$10,Paramètres!$A$1:$I$89,3,0)*0.475*44/12</f>
        <v>4.7141293340029645E-18</v>
      </c>
      <c r="AX157" s="21">
        <f t="shared" si="166"/>
        <v>0.64217593509845372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3.1036506698001181E-13</v>
      </c>
      <c r="BF157" s="13">
        <f t="shared" si="167"/>
        <v>4.086682523110923E-12</v>
      </c>
      <c r="BG157" s="20">
        <f t="shared" si="168"/>
        <v>7.6581912194083782E-12</v>
      </c>
      <c r="BH157" s="59">
        <f t="shared" si="116"/>
        <v>293.33333333334099</v>
      </c>
      <c r="BI157" s="59">
        <f ca="1">AVERAGE(OFFSET($BH$3,0,0,'Données projet'!$E$11+1,1))-AVERAGE(OFFSET($H$3,0,0,'Données projet'!$E$11+1,1))</f>
        <v>248.1486444660062</v>
      </c>
      <c r="BJ157" s="59">
        <f t="shared" si="146"/>
        <v>293.34458072322127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0.73083956514704751</v>
      </c>
      <c r="BQ157" s="21">
        <f>EXP(-LN(2)/25)*BQ156+(1-EXP(-LN(2)/25))/(LN(2)/25)*Calculateur!BL157*Calculateur!BN157*VLOOKUP('Données projet'!$B$11,Paramètres!$A$1:$I$89,3,0)*0.475*44/12</f>
        <v>1.0935834639440161</v>
      </c>
      <c r="BR157" s="21">
        <f>EXP(-LN(2)/2)*BR156+(1-EXP(-LN(2)/2))/(LN(2)/2)*BL157*BO157*VLOOKUP('Données projet'!$B$11,Paramètres!$A$1:$I$89,3,0)*0.475*44/12</f>
        <v>5.4605682204387385E-18</v>
      </c>
      <c r="BS157" s="22">
        <f t="shared" si="169"/>
        <v>1.8244230290910637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243.38048563215585</v>
      </c>
      <c r="CE157" s="59">
        <f t="shared" si="148"/>
        <v>372.1604147006675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0.62709680601279616</v>
      </c>
      <c r="CL157" s="21">
        <f>EXP(-LN(2)/25)*CL156+(1-EXP(-LN(2)/25))/(LN(2)/25)*Calculateur!CG157*Calculateur!CI157*VLOOKUP('Données projet'!$B$12,Paramètres!$A$1:$I$89,3,0)*0.475*44/12</f>
        <v>0.622086890432895</v>
      </c>
      <c r="CM157" s="21">
        <f>EXP(-LN(2)/2)*CM156+(1-EXP(-LN(2)/2))/(LN(2)/2)*CG157*CJ157*VLOOKUP('Données projet'!$B$12,Paramètres!$A$1:$I$89,3,0)*0.475*44/12</f>
        <v>6.3566641562381841E-18</v>
      </c>
      <c r="CN157" s="22">
        <f t="shared" si="172"/>
        <v>1.2491836964456913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7.9580786405131221E-13</v>
      </c>
      <c r="CU157" s="17">
        <f>CT157*VLOOKUP('Données projet'!$B$13,Paramètres!$A$1:$I$89,3,0)*VLOOKUP('Données projet'!$B$13,Paramètres!$A$1:$I$89,5,0)</f>
        <v>3.8278358260868117E-13</v>
      </c>
      <c r="CV157" s="13">
        <f t="shared" si="173"/>
        <v>4.9186917125089072E-12</v>
      </c>
      <c r="CW157" s="20">
        <f t="shared" si="174"/>
        <v>9.2334028056631319E-12</v>
      </c>
      <c r="CX157" s="59">
        <f t="shared" si="122"/>
        <v>293.33333333334252</v>
      </c>
      <c r="CY157" s="59">
        <f ca="1">AVERAGE(OFFSET($CX$3,0,0,'Données projet'!$E$13+1,1))-AVERAGE(OFFSET($H$3,0,0,'Données projet'!$E$13+1,1))</f>
        <v>297.21955661193238</v>
      </c>
      <c r="CZ157" s="59">
        <f t="shared" si="150"/>
        <v>273.69206144662144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0.57813742082575048</v>
      </c>
      <c r="DG157" s="21">
        <f>EXP(-LN(2)/25)*DG156+(1-EXP(-LN(2)/25))/(LN(2)/25)*Calculateur!DB157*Calculateur!DD157*VLOOKUP('Données projet'!$B$13,Paramètres!$A$1:$I$89,3,0)*0.475*44/12</f>
        <v>0.43126598937348015</v>
      </c>
      <c r="DH157" s="21">
        <f>EXP(-LN(2)/2)*DH156+(1-EXP(-LN(2)/2))/(LN(2)/2)*DB157*DE157*VLOOKUP('Données projet'!$B$13,Paramètres!$A$1:$I$89,3,0)*0.475*44/12</f>
        <v>4.534737045121779E-18</v>
      </c>
      <c r="DI157" s="22">
        <f t="shared" si="175"/>
        <v>1.0094034101992306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-4.0702161641092972E-13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260.20517190557814</v>
      </c>
      <c r="DU157" s="59">
        <f t="shared" si="152"/>
        <v>307.22009971147133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0.27996872797512357</v>
      </c>
      <c r="EB157" s="21">
        <f>EXP(-LN(2)/25)*EB156+(1-EXP(-LN(2)/25))/(LN(2)/25)*Calculateur!DW157*Calculateur!DY157*VLOOKUP('Données projet'!$B$14,Paramètres!$A$1:$I$89,3,0)*0.475*44/12</f>
        <v>0.65926522746416538</v>
      </c>
      <c r="EC157" s="21">
        <f>EXP(-LN(2)/2)*EC156+(1-EXP(-LN(2)/2))/(LN(2)/2)*DW157*DZ157*VLOOKUP('Données projet'!$B$14,Paramètres!$A$1:$I$89,3,0)*0.475*44/12</f>
        <v>5.2126346322585809E-18</v>
      </c>
      <c r="ED157" s="22">
        <f t="shared" si="178"/>
        <v>0.939233955439289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1.1368683772161603E-13</v>
      </c>
      <c r="EK157" s="17">
        <f>EJ157*VLOOKUP('Données projet'!$B$15,Paramètres!$A$1:$I$89,3,0)*VLOOKUP('Données projet'!$B$15,Paramètres!$A$1:$I$89,5,0)</f>
        <v>6.7984728957526396E-14</v>
      </c>
      <c r="EL157" s="13">
        <f t="shared" si="179"/>
        <v>1.0682447123141398E-12</v>
      </c>
      <c r="EM157" s="20">
        <f t="shared" si="180"/>
        <v>1.978932943548152E-12</v>
      </c>
      <c r="EN157" s="59">
        <f t="shared" si="128"/>
        <v>293.3333333333353</v>
      </c>
      <c r="EO157" s="59">
        <f ca="1">AVERAGE(OFFSET($EN$3,0,0,'Données projet'!$E$15+1,1))-AVERAGE(OFFSET($H$3,0,0,'Données projet'!$E$15+1,1))</f>
        <v>259.30247982593914</v>
      </c>
      <c r="EP157" s="59">
        <f t="shared" si="154"/>
        <v>275.24740346220779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0.57937468857706398</v>
      </c>
      <c r="EX157" s="21">
        <f>EXP(-LN(2)/2)*EX156+(1-EXP(-LN(2)/2))/(LN(2)/2)*ER157*EU157*VLOOKUP('Données projet'!$B$15,Paramètres!$A$1:$I$89,3,0)*0.475*44/12</f>
        <v>6.2190856158167606E-18</v>
      </c>
      <c r="EY157" s="22">
        <f t="shared" si="181"/>
        <v>0.57937468857706398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-5.6843418860808015E-13</v>
      </c>
      <c r="FF157" s="17">
        <f>FE157*VLOOKUP('Données projet'!$B$16,Paramètres!$A$1:$I$89,3,0)*VLOOKUP('Données projet'!$B$16,Paramètres!$A$1:$I$89,5,0)</f>
        <v>-5.763922672485933E-13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372.91317851957336</v>
      </c>
      <c r="FK157" s="59">
        <f t="shared" si="156"/>
        <v>269.69187715858413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0.23159825222063488</v>
      </c>
      <c r="FR157" s="21">
        <f>EXP(-LN(2)/25)*FR156+(1-EXP(-LN(2)/25))/(LN(2)/25)*Calculateur!FM157*Calculateur!FO157*VLOOKUP('Données projet'!$B$16,Paramètres!$A$1:$I$89,3,0)*0.475*44/12</f>
        <v>0.48808167504487349</v>
      </c>
      <c r="FS157" s="21">
        <f>EXP(-LN(2)/2)*FS156+(1-EXP(-LN(2)/2))/(LN(2)/2)*FM157*FP157*VLOOKUP('Données projet'!$B$16,Paramètres!$A$1:$I$89,3,0)*0.475*44/12</f>
        <v>5.2830759777619389E-18</v>
      </c>
      <c r="FT157" s="22">
        <f t="shared" si="184"/>
        <v>0.71967992726550833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-1.1368683772161603E-13</v>
      </c>
      <c r="GA157" s="17">
        <f>FZ157*VLOOKUP('Données projet'!$B$17,Paramètres!$A$1:$I$89,3,0)*VLOOKUP('Données projet'!$B$17,Paramètres!$A$1:$I$89,5,0)</f>
        <v>-5.3205440053716299E-14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215.23235148064941</v>
      </c>
      <c r="GF157" s="59">
        <f t="shared" si="158"/>
        <v>184.07239726900434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0.26895109070170897</v>
      </c>
      <c r="GM157" s="21">
        <f>EXP(-LN(2)/25)*GM156+(1-EXP(-LN(2)/25))/(LN(2)/25)*Calculateur!GH157*Calculateur!GJ157*VLOOKUP('Données projet'!$B$17,Paramètres!$A$1:$I$89,3,0)*0.475*44/12</f>
        <v>0.25238473491075947</v>
      </c>
      <c r="GN157" s="21">
        <f>EXP(-LN(2)/2)*GN156+(1-EXP(-LN(2)/2))/(LN(2)/2)*GH157*GK157*VLOOKUP('Données projet'!$B$17,Paramètres!$A$1:$I$89,3,0)*0.475*44/12</f>
        <v>2.132013420039559E-18</v>
      </c>
      <c r="GO157" s="21">
        <f t="shared" si="187"/>
        <v>0.5213358256124685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-1.1368683772161603E-13</v>
      </c>
      <c r="GV157" s="17">
        <f>GU157*VLOOKUP('Données projet'!$B$18,Paramètres!$A$1:$I$89,3,0)*VLOOKUP('Données projet'!$B$18,Paramètres!$A$1:$I$89,5,0)</f>
        <v>-6.7984728957526396E-14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227.89848316900191</v>
      </c>
      <c r="HA157" s="59">
        <f t="shared" si="160"/>
        <v>239.85955661394541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0.68143743606283869</v>
      </c>
      <c r="HH157" s="21">
        <f>EXP(-LN(2)/25)*HH156+(1-EXP(-LN(2)/25))/(LN(2)/25)*Calculateur!HC157*Calculateur!HE157*VLOOKUP('Données projet'!$B$18,Paramètres!$A$1:$I$89,3,0)*0.475*44/12</f>
        <v>0.55079841167656285</v>
      </c>
      <c r="HI157" s="21">
        <f>EXP(-LN(2)/2)*HI156+(1-EXP(-LN(2)/2))/(LN(2)/2)*HC157*HF157*VLOOKUP('Données projet'!$B$18,Paramètres!$A$1:$I$89,3,0)*0.475*44/12</f>
        <v>1.4536051643165948E-18</v>
      </c>
      <c r="HJ157" s="22">
        <f t="shared" si="190"/>
        <v>1.2322358477394015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2.5420376914553347E-13</v>
      </c>
      <c r="P158" s="13">
        <f t="shared" si="141"/>
        <v>3.4258699088369875E-12</v>
      </c>
      <c r="Q158" s="20">
        <f t="shared" si="162"/>
        <v>6.4094616558195571E-12</v>
      </c>
      <c r="R158" s="59">
        <f t="shared" si="109"/>
        <v>293.33333333333974</v>
      </c>
      <c r="S158" s="59">
        <f ca="1">AVERAGE(OFFSET($R$3,0,0,'Données projet'!$E$9+1,1))-AVERAGE(OFFSET($H$3,0,0,'Données projet'!$E$9+1,1))</f>
        <v>370.69652285220093</v>
      </c>
      <c r="T158" s="59">
        <f t="shared" si="142"/>
        <v>376.53494965377718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0.86456224706929963</v>
      </c>
      <c r="AA158" s="21">
        <f>EXP(-LN(2)/25)*AA157+(1-EXP(-LN(2)/25))/(LN(2)/25)*Calculateur!V158*Calculateur!X158*VLOOKUP('Données projet'!$B$9,Paramètres!$A$1:$I$89,3,0)*0.475*44/12</f>
        <v>1.043926832479565</v>
      </c>
      <c r="AB158" s="21">
        <f>EXP(-LN(2)/2)*AB157+(1-EXP(-LN(2)/2))/(LN(2)/2)*V158*Y158*VLOOKUP('Données projet'!$B$9,Paramètres!$A$1:$I$89,3,0)*0.475*44/12</f>
        <v>5.0184332500899638E-18</v>
      </c>
      <c r="AC158" s="22">
        <f t="shared" si="163"/>
        <v>1.9084890795488647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-5.6843418860808015E-13</v>
      </c>
      <c r="AJ158" s="13">
        <f>AI158*VLOOKUP('Données projet'!$B$10,Paramètres!$A$1:$I$89,3,0)*VLOOKUP('Données projet'!$B$10,Paramètres!$A$1:$I$89,5,0)</f>
        <v>-5.1431925385259092E-13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321.03881567735544</v>
      </c>
      <c r="AO158" s="59">
        <f t="shared" si="144"/>
        <v>234.87694492493506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0.20260448618189636</v>
      </c>
      <c r="AV158" s="21">
        <f>EXP(-LN(2)/25)*AV157+(1-EXP(-LN(2)/25))/(LN(2)/25)*Calculateur!AQ158*Calculateur!AS158*VLOOKUP('Données projet'!$B$10,Paramètres!$A$1:$I$89,3,0)*0.475*44/12</f>
        <v>0.4236097422534304</v>
      </c>
      <c r="AW158" s="21">
        <f>EXP(-LN(2)/2)*AW157+(1-EXP(-LN(2)/2))/(LN(2)/2)*AQ158*AT158*VLOOKUP('Données projet'!$B$10,Paramètres!$A$1:$I$89,3,0)*0.475*44/12</f>
        <v>3.3333928194639193E-18</v>
      </c>
      <c r="AX158" s="21">
        <f t="shared" si="166"/>
        <v>0.6262142284353267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3.1036506698001181E-13</v>
      </c>
      <c r="BF158" s="13">
        <f t="shared" si="167"/>
        <v>4.086682523110923E-12</v>
      </c>
      <c r="BG158" s="20">
        <f t="shared" si="168"/>
        <v>7.6581912194083782E-12</v>
      </c>
      <c r="BH158" s="59">
        <f t="shared" si="116"/>
        <v>293.33333333334099</v>
      </c>
      <c r="BI158" s="59">
        <f ca="1">AVERAGE(OFFSET($BH$3,0,0,'Données projet'!$E$11+1,1))-AVERAGE(OFFSET($H$3,0,0,'Données projet'!$E$11+1,1))</f>
        <v>248.1486444660062</v>
      </c>
      <c r="BJ158" s="59">
        <f t="shared" si="146"/>
        <v>293.34458072322127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0.71650824704263272</v>
      </c>
      <c r="BQ158" s="21">
        <f>EXP(-LN(2)/25)*BQ157+(1-EXP(-LN(2)/25))/(LN(2)/25)*Calculateur!BL158*Calculateur!BN158*VLOOKUP('Données projet'!$B$11,Paramètres!$A$1:$I$89,3,0)*0.475*44/12</f>
        <v>1.0636793666134119</v>
      </c>
      <c r="BR158" s="21">
        <f>EXP(-LN(2)/2)*BR157+(1-EXP(-LN(2)/2))/(LN(2)/2)*BL158*BO158*VLOOKUP('Données projet'!$B$11,Paramètres!$A$1:$I$89,3,0)*0.475*44/12</f>
        <v>3.8612048178039902E-18</v>
      </c>
      <c r="BS158" s="22">
        <f t="shared" si="169"/>
        <v>1.7801876136560446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243.38048563215585</v>
      </c>
      <c r="CE158" s="59">
        <f t="shared" si="148"/>
        <v>372.1604147006675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0.61479982013816903</v>
      </c>
      <c r="CL158" s="21">
        <f>EXP(-LN(2)/25)*CL157+(1-EXP(-LN(2)/25))/(LN(2)/25)*Calculateur!CG158*Calculateur!CI158*VLOOKUP('Données projet'!$B$12,Paramètres!$A$1:$I$89,3,0)*0.475*44/12</f>
        <v>0.60507589169987974</v>
      </c>
      <c r="CM158" s="21">
        <f>EXP(-LN(2)/2)*CM157+(1-EXP(-LN(2)/2))/(LN(2)/2)*CG158*CJ158*VLOOKUP('Données projet'!$B$12,Paramètres!$A$1:$I$89,3,0)*0.475*44/12</f>
        <v>4.4948403306014833E-18</v>
      </c>
      <c r="CN158" s="22">
        <f t="shared" si="172"/>
        <v>1.2198757118380488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7.9580786405131221E-13</v>
      </c>
      <c r="CU158" s="17">
        <f>CT158*VLOOKUP('Données projet'!$B$13,Paramètres!$A$1:$I$89,3,0)*VLOOKUP('Données projet'!$B$13,Paramètres!$A$1:$I$89,5,0)</f>
        <v>3.8278358260868117E-13</v>
      </c>
      <c r="CV158" s="13">
        <f t="shared" si="173"/>
        <v>4.9186917125089072E-12</v>
      </c>
      <c r="CW158" s="20">
        <f t="shared" si="174"/>
        <v>9.2334028056631319E-12</v>
      </c>
      <c r="CX158" s="59">
        <f t="shared" si="122"/>
        <v>293.33333333334252</v>
      </c>
      <c r="CY158" s="59">
        <f ca="1">AVERAGE(OFFSET($CX$3,0,0,'Données projet'!$E$13+1,1))-AVERAGE(OFFSET($H$3,0,0,'Données projet'!$E$13+1,1))</f>
        <v>297.21955661193238</v>
      </c>
      <c r="CZ158" s="59">
        <f t="shared" si="150"/>
        <v>273.69206144662144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0.56680049863236504</v>
      </c>
      <c r="DG158" s="21">
        <f>EXP(-LN(2)/25)*DG157+(1-EXP(-LN(2)/25))/(LN(2)/25)*Calculateur!DB158*Calculateur!DD158*VLOOKUP('Données projet'!$B$13,Paramètres!$A$1:$I$89,3,0)*0.475*44/12</f>
        <v>0.41947299821476963</v>
      </c>
      <c r="DH158" s="21">
        <f>EXP(-LN(2)/2)*DH157+(1-EXP(-LN(2)/2))/(LN(2)/2)*DB158*DE158*VLOOKUP('Données projet'!$B$13,Paramètres!$A$1:$I$89,3,0)*0.475*44/12</f>
        <v>3.2065433155034569E-18</v>
      </c>
      <c r="DI158" s="22">
        <f t="shared" si="175"/>
        <v>0.98627349684713472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-4.0702161641092972E-13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260.20517190557814</v>
      </c>
      <c r="DU158" s="59">
        <f t="shared" si="152"/>
        <v>307.22009971147133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0.27447871198359391</v>
      </c>
      <c r="EB158" s="21">
        <f>EXP(-LN(2)/25)*EB157+(1-EXP(-LN(2)/25))/(LN(2)/25)*Calculateur!DW158*Calculateur!DY158*VLOOKUP('Données projet'!$B$14,Paramètres!$A$1:$I$89,3,0)*0.475*44/12</f>
        <v>0.64123758514990625</v>
      </c>
      <c r="EC158" s="21">
        <f>EXP(-LN(2)/2)*EC157+(1-EXP(-LN(2)/2))/(LN(2)/2)*DW158*DZ158*VLOOKUP('Données projet'!$B$14,Paramètres!$A$1:$I$89,3,0)*0.475*44/12</f>
        <v>3.6858892963178879E-18</v>
      </c>
      <c r="ED158" s="22">
        <f t="shared" si="178"/>
        <v>0.91571629713350022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1.1368683772161603E-13</v>
      </c>
      <c r="EK158" s="17">
        <f>EJ158*VLOOKUP('Données projet'!$B$15,Paramètres!$A$1:$I$89,3,0)*VLOOKUP('Données projet'!$B$15,Paramètres!$A$1:$I$89,5,0)</f>
        <v>6.7984728957526396E-14</v>
      </c>
      <c r="EL158" s="13">
        <f t="shared" si="179"/>
        <v>1.0682447123141398E-12</v>
      </c>
      <c r="EM158" s="20">
        <f t="shared" si="180"/>
        <v>1.978932943548152E-12</v>
      </c>
      <c r="EN158" s="59">
        <f t="shared" si="128"/>
        <v>293.3333333333353</v>
      </c>
      <c r="EO158" s="59">
        <f ca="1">AVERAGE(OFFSET($EN$3,0,0,'Données projet'!$E$15+1,1))-AVERAGE(OFFSET($H$3,0,0,'Données projet'!$E$15+1,1))</f>
        <v>259.30247982593914</v>
      </c>
      <c r="EP158" s="59">
        <f t="shared" si="154"/>
        <v>275.24740346220779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0.56353165724993348</v>
      </c>
      <c r="EX158" s="21">
        <f>EXP(-LN(2)/2)*EX157+(1-EXP(-LN(2)/2))/(LN(2)/2)*ER158*EU158*VLOOKUP('Données projet'!$B$15,Paramètres!$A$1:$I$89,3,0)*0.475*44/12</f>
        <v>4.3975576117237472E-18</v>
      </c>
      <c r="EY158" s="22">
        <f t="shared" si="181"/>
        <v>0.56353165724993348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-5.6843418860808015E-13</v>
      </c>
      <c r="FF158" s="17">
        <f>FE158*VLOOKUP('Données projet'!$B$16,Paramètres!$A$1:$I$89,3,0)*VLOOKUP('Données projet'!$B$16,Paramètres!$A$1:$I$89,5,0)</f>
        <v>-5.763922672485933E-13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372.91317851957336</v>
      </c>
      <c r="FK158" s="59">
        <f t="shared" si="156"/>
        <v>269.69187715858413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0.22705675175557372</v>
      </c>
      <c r="FR158" s="21">
        <f>EXP(-LN(2)/25)*FR157+(1-EXP(-LN(2)/25))/(LN(2)/25)*Calculateur!FM158*Calculateur!FO158*VLOOKUP('Données projet'!$B$16,Paramètres!$A$1:$I$89,3,0)*0.475*44/12</f>
        <v>0.47473505597367166</v>
      </c>
      <c r="FS158" s="21">
        <f>EXP(-LN(2)/2)*FS157+(1-EXP(-LN(2)/2))/(LN(2)/2)*FM158*FP158*VLOOKUP('Données projet'!$B$16,Paramètres!$A$1:$I$89,3,0)*0.475*44/12</f>
        <v>3.7356988493992169E-18</v>
      </c>
      <c r="FT158" s="22">
        <f t="shared" si="184"/>
        <v>0.70179180772924532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-1.1368683772161603E-13</v>
      </c>
      <c r="GA158" s="17">
        <f>FZ158*VLOOKUP('Données projet'!$B$17,Paramètres!$A$1:$I$89,3,0)*VLOOKUP('Données projet'!$B$17,Paramètres!$A$1:$I$89,5,0)</f>
        <v>-5.3205440053716299E-14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215.23235148064941</v>
      </c>
      <c r="GF158" s="59">
        <f t="shared" si="158"/>
        <v>184.07239726900434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0.2636771238570158</v>
      </c>
      <c r="GM158" s="21">
        <f>EXP(-LN(2)/25)*GM157+(1-EXP(-LN(2)/25))/(LN(2)/25)*Calculateur!GH158*Calculateur!GJ158*VLOOKUP('Données projet'!$B$17,Paramètres!$A$1:$I$89,3,0)*0.475*44/12</f>
        <v>0.24548326106228838</v>
      </c>
      <c r="GN158" s="21">
        <f>EXP(-LN(2)/2)*GN157+(1-EXP(-LN(2)/2))/(LN(2)/2)*GH158*GK158*VLOOKUP('Données projet'!$B$17,Paramètres!$A$1:$I$89,3,0)*0.475*44/12</f>
        <v>1.5075611468906953E-18</v>
      </c>
      <c r="GO158" s="21">
        <f t="shared" si="187"/>
        <v>0.50916038491930415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-1.1368683772161603E-13</v>
      </c>
      <c r="GV158" s="17">
        <f>GU158*VLOOKUP('Données projet'!$B$18,Paramètres!$A$1:$I$89,3,0)*VLOOKUP('Données projet'!$B$18,Paramètres!$A$1:$I$89,5,0)</f>
        <v>-6.7984728957526396E-14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227.89848316900191</v>
      </c>
      <c r="HA158" s="59">
        <f t="shared" si="160"/>
        <v>239.85955661394541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0.66807486357744184</v>
      </c>
      <c r="HH158" s="21">
        <f>EXP(-LN(2)/25)*HH157+(1-EXP(-LN(2)/25))/(LN(2)/25)*Calculateur!HC158*Calculateur!HE158*VLOOKUP('Données projet'!$B$18,Paramètres!$A$1:$I$89,3,0)*0.475*44/12</f>
        <v>0.53573680014403768</v>
      </c>
      <c r="HI158" s="21">
        <f>EXP(-LN(2)/2)*HI157+(1-EXP(-LN(2)/2))/(LN(2)/2)*HC158*HF158*VLOOKUP('Données projet'!$B$18,Paramètres!$A$1:$I$89,3,0)*0.475*44/12</f>
        <v>1.0278540688560498E-18</v>
      </c>
      <c r="HJ158" s="22">
        <f t="shared" si="190"/>
        <v>1.2038116637214795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2.5420376914553347E-13</v>
      </c>
      <c r="P159" s="13">
        <f t="shared" si="141"/>
        <v>3.4258699088369875E-12</v>
      </c>
      <c r="Q159" s="20">
        <f t="shared" si="162"/>
        <v>6.4094616558195571E-12</v>
      </c>
      <c r="R159" s="59">
        <f t="shared" si="109"/>
        <v>293.33333333333974</v>
      </c>
      <c r="S159" s="59">
        <f ca="1">AVERAGE(OFFSET($R$3,0,0,'Données projet'!$E$9+1,1))-AVERAGE(OFFSET($H$3,0,0,'Données projet'!$E$9+1,1))</f>
        <v>370.69652285220093</v>
      </c>
      <c r="T159" s="59">
        <f t="shared" si="142"/>
        <v>376.53494965377718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0.8476087087351718</v>
      </c>
      <c r="AA159" s="21">
        <f>EXP(-LN(2)/25)*AA158+(1-EXP(-LN(2)/25))/(LN(2)/25)*Calculateur!V159*Calculateur!X159*VLOOKUP('Données projet'!$B$9,Paramètres!$A$1:$I$89,3,0)*0.475*44/12</f>
        <v>1.0153805983476851</v>
      </c>
      <c r="AB159" s="21">
        <f>EXP(-LN(2)/2)*AB158+(1-EXP(-LN(2)/2))/(LN(2)/2)*V159*Y159*VLOOKUP('Données projet'!$B$9,Paramètres!$A$1:$I$89,3,0)*0.475*44/12</f>
        <v>3.5485681820706584E-18</v>
      </c>
      <c r="AC159" s="22">
        <f t="shared" si="163"/>
        <v>1.8629893070828569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-5.6843418860808015E-13</v>
      </c>
      <c r="AJ159" s="13">
        <f>AI159*VLOOKUP('Données projet'!$B$10,Paramètres!$A$1:$I$89,3,0)*VLOOKUP('Données projet'!$B$10,Paramètres!$A$1:$I$89,5,0)</f>
        <v>-5.1431925385259092E-13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321.03881567735544</v>
      </c>
      <c r="AO159" s="59">
        <f t="shared" si="144"/>
        <v>234.87694492493506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0.19863153578440376</v>
      </c>
      <c r="AV159" s="21">
        <f>EXP(-LN(2)/25)*AV158+(1-EXP(-LN(2)/25))/(LN(2)/25)*Calculateur!AQ159*Calculateur!AS159*VLOOKUP('Données projet'!$B$10,Paramètres!$A$1:$I$89,3,0)*0.475*44/12</f>
        <v>0.41202611157484215</v>
      </c>
      <c r="AW159" s="21">
        <f>EXP(-LN(2)/2)*AW158+(1-EXP(-LN(2)/2))/(LN(2)/2)*AQ159*AT159*VLOOKUP('Données projet'!$B$10,Paramètres!$A$1:$I$89,3,0)*0.475*44/12</f>
        <v>2.3570646670014823E-18</v>
      </c>
      <c r="AX159" s="21">
        <f t="shared" si="166"/>
        <v>0.61065764735924588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3.1036506698001181E-13</v>
      </c>
      <c r="BF159" s="13">
        <f t="shared" si="167"/>
        <v>4.086682523110923E-12</v>
      </c>
      <c r="BG159" s="20">
        <f t="shared" si="168"/>
        <v>7.6581912194083782E-12</v>
      </c>
      <c r="BH159" s="59">
        <f t="shared" si="116"/>
        <v>293.33333333334099</v>
      </c>
      <c r="BI159" s="59">
        <f ca="1">AVERAGE(OFFSET($BH$3,0,0,'Données projet'!$E$11+1,1))-AVERAGE(OFFSET($H$3,0,0,'Données projet'!$E$11+1,1))</f>
        <v>248.1486444660062</v>
      </c>
      <c r="BJ159" s="59">
        <f t="shared" si="146"/>
        <v>293.34458072322127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0.7024579573450046</v>
      </c>
      <c r="BQ159" s="21">
        <f>EXP(-LN(2)/25)*BQ158+(1-EXP(-LN(2)/25))/(LN(2)/25)*Calculateur!BL159*Calculateur!BN159*VLOOKUP('Données projet'!$B$11,Paramètres!$A$1:$I$89,3,0)*0.475*44/12</f>
        <v>1.0345929983969013</v>
      </c>
      <c r="BR159" s="21">
        <f>EXP(-LN(2)/2)*BR158+(1-EXP(-LN(2)/2))/(LN(2)/2)*BL159*BO159*VLOOKUP('Données projet'!$B$11,Paramètres!$A$1:$I$89,3,0)*0.475*44/12</f>
        <v>2.7302841102193692E-18</v>
      </c>
      <c r="BS159" s="22">
        <f t="shared" si="169"/>
        <v>1.737050955741906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243.38048563215585</v>
      </c>
      <c r="CE159" s="59">
        <f t="shared" si="148"/>
        <v>372.1604147006675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0.60274397065612251</v>
      </c>
      <c r="CL159" s="21">
        <f>EXP(-LN(2)/25)*CL158+(1-EXP(-LN(2)/25))/(LN(2)/25)*Calculateur!CG159*Calculateur!CI159*VLOOKUP('Données projet'!$B$12,Paramètres!$A$1:$I$89,3,0)*0.475*44/12</f>
        <v>0.58853005962178828</v>
      </c>
      <c r="CM159" s="21">
        <f>EXP(-LN(2)/2)*CM158+(1-EXP(-LN(2)/2))/(LN(2)/2)*CG159*CJ159*VLOOKUP('Données projet'!$B$12,Paramètres!$A$1:$I$89,3,0)*0.475*44/12</f>
        <v>3.178332078119092E-18</v>
      </c>
      <c r="CN159" s="22">
        <f t="shared" si="172"/>
        <v>1.1912740302779108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7.9580786405131221E-13</v>
      </c>
      <c r="CU159" s="17">
        <f>CT159*VLOOKUP('Données projet'!$B$13,Paramètres!$A$1:$I$89,3,0)*VLOOKUP('Données projet'!$B$13,Paramètres!$A$1:$I$89,5,0)</f>
        <v>3.8278358260868117E-13</v>
      </c>
      <c r="CV159" s="13">
        <f t="shared" si="173"/>
        <v>4.9186917125089072E-12</v>
      </c>
      <c r="CW159" s="20">
        <f t="shared" si="174"/>
        <v>9.2334028056631319E-12</v>
      </c>
      <c r="CX159" s="59">
        <f t="shared" si="122"/>
        <v>293.33333333334252</v>
      </c>
      <c r="CY159" s="59">
        <f ca="1">AVERAGE(OFFSET($CX$3,0,0,'Données projet'!$E$13+1,1))-AVERAGE(OFFSET($H$3,0,0,'Données projet'!$E$13+1,1))</f>
        <v>297.21955661193238</v>
      </c>
      <c r="CZ159" s="59">
        <f t="shared" si="150"/>
        <v>273.69206144662144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0.55568588656835205</v>
      </c>
      <c r="DG159" s="21">
        <f>EXP(-LN(2)/25)*DG158+(1-EXP(-LN(2)/25))/(LN(2)/25)*Calculateur!DB159*Calculateur!DD159*VLOOKUP('Données projet'!$B$13,Paramètres!$A$1:$I$89,3,0)*0.475*44/12</f>
        <v>0.40800248701946051</v>
      </c>
      <c r="DH159" s="21">
        <f>EXP(-LN(2)/2)*DH158+(1-EXP(-LN(2)/2))/(LN(2)/2)*DB159*DE159*VLOOKUP('Données projet'!$B$13,Paramètres!$A$1:$I$89,3,0)*0.475*44/12</f>
        <v>2.2673685225608895E-18</v>
      </c>
      <c r="DI159" s="22">
        <f t="shared" si="175"/>
        <v>0.96368837358781256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-4.0702161641092972E-13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260.20517190557814</v>
      </c>
      <c r="DU159" s="59">
        <f t="shared" si="152"/>
        <v>307.22009971147133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0.26909635185707903</v>
      </c>
      <c r="EB159" s="21">
        <f>EXP(-LN(2)/25)*EB158+(1-EXP(-LN(2)/25))/(LN(2)/25)*Calculateur!DW159*Calculateur!DY159*VLOOKUP('Données projet'!$B$14,Paramètres!$A$1:$I$89,3,0)*0.475*44/12</f>
        <v>0.62370290966276298</v>
      </c>
      <c r="EC159" s="21">
        <f>EXP(-LN(2)/2)*EC158+(1-EXP(-LN(2)/2))/(LN(2)/2)*DW159*DZ159*VLOOKUP('Données projet'!$B$14,Paramètres!$A$1:$I$89,3,0)*0.475*44/12</f>
        <v>2.6063173161292904E-18</v>
      </c>
      <c r="ED159" s="22">
        <f t="shared" si="178"/>
        <v>0.89279926151984201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1.1368683772161603E-13</v>
      </c>
      <c r="EK159" s="17">
        <f>EJ159*VLOOKUP('Données projet'!$B$15,Paramètres!$A$1:$I$89,3,0)*VLOOKUP('Données projet'!$B$15,Paramètres!$A$1:$I$89,5,0)</f>
        <v>6.7984728957526396E-14</v>
      </c>
      <c r="EL159" s="13">
        <f t="shared" si="179"/>
        <v>1.0682447123141398E-12</v>
      </c>
      <c r="EM159" s="20">
        <f t="shared" si="180"/>
        <v>1.978932943548152E-12</v>
      </c>
      <c r="EN159" s="59">
        <f t="shared" si="128"/>
        <v>293.3333333333353</v>
      </c>
      <c r="EO159" s="59">
        <f ca="1">AVERAGE(OFFSET($EN$3,0,0,'Données projet'!$E$15+1,1))-AVERAGE(OFFSET($H$3,0,0,'Données projet'!$E$15+1,1))</f>
        <v>259.30247982593914</v>
      </c>
      <c r="EP159" s="59">
        <f t="shared" si="154"/>
        <v>275.24740346220779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0.5481218544475922</v>
      </c>
      <c r="EX159" s="21">
        <f>EXP(-LN(2)/2)*EX158+(1-EXP(-LN(2)/2))/(LN(2)/2)*ER159*EU159*VLOOKUP('Données projet'!$B$15,Paramètres!$A$1:$I$89,3,0)*0.475*44/12</f>
        <v>3.1095428079083803E-18</v>
      </c>
      <c r="EY159" s="22">
        <f t="shared" si="181"/>
        <v>0.5481218544475922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-5.6843418860808015E-13</v>
      </c>
      <c r="FF159" s="17">
        <f>FE159*VLOOKUP('Données projet'!$B$16,Paramètres!$A$1:$I$89,3,0)*VLOOKUP('Données projet'!$B$16,Paramètres!$A$1:$I$89,5,0)</f>
        <v>-5.763922672485933E-13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372.91317851957336</v>
      </c>
      <c r="FK159" s="59">
        <f t="shared" si="156"/>
        <v>269.69187715858413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0.22260430734459064</v>
      </c>
      <c r="FR159" s="21">
        <f>EXP(-LN(2)/25)*FR158+(1-EXP(-LN(2)/25))/(LN(2)/25)*Calculateur!FM159*Calculateur!FO159*VLOOKUP('Données projet'!$B$16,Paramètres!$A$1:$I$89,3,0)*0.475*44/12</f>
        <v>0.46175340090284006</v>
      </c>
      <c r="FS159" s="21">
        <f>EXP(-LN(2)/2)*FS158+(1-EXP(-LN(2)/2))/(LN(2)/2)*FM159*FP159*VLOOKUP('Données projet'!$B$16,Paramètres!$A$1:$I$89,3,0)*0.475*44/12</f>
        <v>2.6415379888809694E-18</v>
      </c>
      <c r="FT159" s="22">
        <f t="shared" si="184"/>
        <v>0.6843577082474307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-1.1368683772161603E-13</v>
      </c>
      <c r="GA159" s="17">
        <f>FZ159*VLOOKUP('Données projet'!$B$17,Paramètres!$A$1:$I$89,3,0)*VLOOKUP('Données projet'!$B$17,Paramètres!$A$1:$I$89,5,0)</f>
        <v>-5.3205440053716299E-14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215.23235148064941</v>
      </c>
      <c r="GF159" s="59">
        <f t="shared" si="158"/>
        <v>184.07239726900434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0.2585065762853449</v>
      </c>
      <c r="GM159" s="21">
        <f>EXP(-LN(2)/25)*GM158+(1-EXP(-LN(2)/25))/(LN(2)/25)*Calculateur!GH159*Calculateur!GJ159*VLOOKUP('Données projet'!$B$17,Paramètres!$A$1:$I$89,3,0)*0.475*44/12</f>
        <v>0.23877050837913646</v>
      </c>
      <c r="GN159" s="21">
        <f>EXP(-LN(2)/2)*GN158+(1-EXP(-LN(2)/2))/(LN(2)/2)*GH159*GK159*VLOOKUP('Données projet'!$B$17,Paramètres!$A$1:$I$89,3,0)*0.475*44/12</f>
        <v>1.0660067100197795E-18</v>
      </c>
      <c r="GO159" s="21">
        <f t="shared" si="187"/>
        <v>0.49727708466448139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-1.1368683772161603E-13</v>
      </c>
      <c r="GV159" s="17">
        <f>GU159*VLOOKUP('Données projet'!$B$18,Paramètres!$A$1:$I$89,3,0)*VLOOKUP('Données projet'!$B$18,Paramètres!$A$1:$I$89,5,0)</f>
        <v>-6.7984728957526396E-14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227.89848316900191</v>
      </c>
      <c r="HA159" s="59">
        <f t="shared" si="160"/>
        <v>239.85955661394541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0.65497432298811908</v>
      </c>
      <c r="HH159" s="21">
        <f>EXP(-LN(2)/25)*HH158+(1-EXP(-LN(2)/25))/(LN(2)/25)*Calculateur!HC159*Calculateur!HE159*VLOOKUP('Données projet'!$B$18,Paramètres!$A$1:$I$89,3,0)*0.475*44/12</f>
        <v>0.52108704917092508</v>
      </c>
      <c r="HI159" s="21">
        <f>EXP(-LN(2)/2)*HI158+(1-EXP(-LN(2)/2))/(LN(2)/2)*HC159*HF159*VLOOKUP('Données projet'!$B$18,Paramètres!$A$1:$I$89,3,0)*0.475*44/12</f>
        <v>7.2680258215829739E-19</v>
      </c>
      <c r="HJ159" s="22">
        <f t="shared" si="190"/>
        <v>1.1760613721590443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2.5420376914553347E-13</v>
      </c>
      <c r="P160" s="13">
        <f t="shared" si="141"/>
        <v>3.4258699088369875E-12</v>
      </c>
      <c r="Q160" s="20">
        <f t="shared" si="162"/>
        <v>6.4094616558195571E-12</v>
      </c>
      <c r="R160" s="59">
        <f t="shared" si="109"/>
        <v>293.33333333333974</v>
      </c>
      <c r="S160" s="59">
        <f ca="1">AVERAGE(OFFSET($R$3,0,0,'Données projet'!$E$9+1,1))-AVERAGE(OFFSET($H$3,0,0,'Données projet'!$E$9+1,1))</f>
        <v>370.69652285220093</v>
      </c>
      <c r="T160" s="59">
        <f t="shared" si="142"/>
        <v>376.53494965377718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0.83098761894713891</v>
      </c>
      <c r="AA160" s="21">
        <f>EXP(-LN(2)/25)*AA159+(1-EXP(-LN(2)/25))/(LN(2)/25)*Calculateur!V160*Calculateur!X160*VLOOKUP('Données projet'!$B$9,Paramètres!$A$1:$I$89,3,0)*0.475*44/12</f>
        <v>0.98761496248932268</v>
      </c>
      <c r="AB160" s="21">
        <f>EXP(-LN(2)/2)*AB159+(1-EXP(-LN(2)/2))/(LN(2)/2)*V160*Y160*VLOOKUP('Données projet'!$B$9,Paramètres!$A$1:$I$89,3,0)*0.475*44/12</f>
        <v>2.5092166250449819E-18</v>
      </c>
      <c r="AC160" s="22">
        <f t="shared" si="163"/>
        <v>1.8186025814364615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-5.6843418860808015E-13</v>
      </c>
      <c r="AJ160" s="13">
        <f>AI160*VLOOKUP('Données projet'!$B$10,Paramètres!$A$1:$I$89,3,0)*VLOOKUP('Données projet'!$B$10,Paramètres!$A$1:$I$89,5,0)</f>
        <v>-5.1431925385259092E-13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321.03881567735544</v>
      </c>
      <c r="AO160" s="59">
        <f t="shared" si="144"/>
        <v>234.87694492493506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0.19473649252094555</v>
      </c>
      <c r="AV160" s="21">
        <f>EXP(-LN(2)/25)*AV159+(1-EXP(-LN(2)/25))/(LN(2)/25)*Calculateur!AQ160*Calculateur!AS160*VLOOKUP('Données projet'!$B$10,Paramètres!$A$1:$I$89,3,0)*0.475*44/12</f>
        <v>0.40075923588631657</v>
      </c>
      <c r="AW160" s="21">
        <f>EXP(-LN(2)/2)*AW159+(1-EXP(-LN(2)/2))/(LN(2)/2)*AQ160*AT160*VLOOKUP('Données projet'!$B$10,Paramètres!$A$1:$I$89,3,0)*0.475*44/12</f>
        <v>1.6666964097319596E-18</v>
      </c>
      <c r="AX160" s="21">
        <f t="shared" si="166"/>
        <v>0.59549572840726217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3.1036506698001181E-13</v>
      </c>
      <c r="BF160" s="13">
        <f t="shared" si="167"/>
        <v>4.086682523110923E-12</v>
      </c>
      <c r="BG160" s="20">
        <f t="shared" si="168"/>
        <v>7.6581912194083782E-12</v>
      </c>
      <c r="BH160" s="59">
        <f t="shared" si="116"/>
        <v>293.33333333334099</v>
      </c>
      <c r="BI160" s="59">
        <f ca="1">AVERAGE(OFFSET($BH$3,0,0,'Données projet'!$E$11+1,1))-AVERAGE(OFFSET($H$3,0,0,'Données projet'!$E$11+1,1))</f>
        <v>248.1486444660062</v>
      </c>
      <c r="BJ160" s="59">
        <f t="shared" si="146"/>
        <v>293.34458072322127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0.68868318525851646</v>
      </c>
      <c r="BQ160" s="21">
        <f>EXP(-LN(2)/25)*BQ159+(1-EXP(-LN(2)/25))/(LN(2)/25)*Calculateur!BL160*Calculateur!BN160*VLOOKUP('Données projet'!$B$11,Paramètres!$A$1:$I$89,3,0)*0.475*44/12</f>
        <v>1.0063019984488568</v>
      </c>
      <c r="BR160" s="21">
        <f>EXP(-LN(2)/2)*BR159+(1-EXP(-LN(2)/2))/(LN(2)/2)*BL160*BO160*VLOOKUP('Données projet'!$B$11,Paramètres!$A$1:$I$89,3,0)*0.475*44/12</f>
        <v>1.9306024089019951E-18</v>
      </c>
      <c r="BS160" s="22">
        <f t="shared" si="169"/>
        <v>1.6949851837073733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243.38048563215585</v>
      </c>
      <c r="CE160" s="59">
        <f t="shared" si="148"/>
        <v>372.1604147006675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0.59092452902907688</v>
      </c>
      <c r="CL160" s="21">
        <f>EXP(-LN(2)/25)*CL159+(1-EXP(-LN(2)/25))/(LN(2)/25)*Calculateur!CG160*Calculateur!CI160*VLOOKUP('Données projet'!$B$12,Paramètres!$A$1:$I$89,3,0)*0.475*44/12</f>
        <v>0.57243667419197974</v>
      </c>
      <c r="CM160" s="21">
        <f>EXP(-LN(2)/2)*CM159+(1-EXP(-LN(2)/2))/(LN(2)/2)*CG160*CJ160*VLOOKUP('Données projet'!$B$12,Paramètres!$A$1:$I$89,3,0)*0.475*44/12</f>
        <v>2.2474201653007417E-18</v>
      </c>
      <c r="CN160" s="22">
        <f t="shared" si="172"/>
        <v>1.1633612032210565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7.9580786405131221E-13</v>
      </c>
      <c r="CU160" s="17">
        <f>CT160*VLOOKUP('Données projet'!$B$13,Paramètres!$A$1:$I$89,3,0)*VLOOKUP('Données projet'!$B$13,Paramètres!$A$1:$I$89,5,0)</f>
        <v>3.8278358260868117E-13</v>
      </c>
      <c r="CV160" s="13">
        <f t="shared" si="173"/>
        <v>4.9186917125089072E-12</v>
      </c>
      <c r="CW160" s="20">
        <f t="shared" si="174"/>
        <v>9.2334028056631319E-12</v>
      </c>
      <c r="CX160" s="59">
        <f t="shared" si="122"/>
        <v>293.33333333334252</v>
      </c>
      <c r="CY160" s="59">
        <f ca="1">AVERAGE(OFFSET($CX$3,0,0,'Données projet'!$E$13+1,1))-AVERAGE(OFFSET($H$3,0,0,'Données projet'!$E$13+1,1))</f>
        <v>297.21955661193238</v>
      </c>
      <c r="CZ160" s="59">
        <f t="shared" si="150"/>
        <v>273.69206144662144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0.54478922526767037</v>
      </c>
      <c r="DG160" s="21">
        <f>EXP(-LN(2)/25)*DG159+(1-EXP(-LN(2)/25))/(LN(2)/25)*Calculateur!DB160*Calculateur!DD160*VLOOKUP('Données projet'!$B$13,Paramètres!$A$1:$I$89,3,0)*0.475*44/12</f>
        <v>0.39684563755599506</v>
      </c>
      <c r="DH160" s="21">
        <f>EXP(-LN(2)/2)*DH159+(1-EXP(-LN(2)/2))/(LN(2)/2)*DB160*DE160*VLOOKUP('Données projet'!$B$13,Paramètres!$A$1:$I$89,3,0)*0.475*44/12</f>
        <v>1.6032716577517285E-18</v>
      </c>
      <c r="DI160" s="22">
        <f t="shared" si="175"/>
        <v>0.94163486282366549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-4.0702161641092972E-13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260.20517190557814</v>
      </c>
      <c r="DU160" s="59">
        <f t="shared" si="152"/>
        <v>307.22009971147133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0.26381953652972961</v>
      </c>
      <c r="EB160" s="21">
        <f>EXP(-LN(2)/25)*EB159+(1-EXP(-LN(2)/25))/(LN(2)/25)*Calculateur!DW160*Calculateur!DY160*VLOOKUP('Données projet'!$B$14,Paramètres!$A$1:$I$89,3,0)*0.475*44/12</f>
        <v>0.60664772079892415</v>
      </c>
      <c r="EC160" s="21">
        <f>EXP(-LN(2)/2)*EC159+(1-EXP(-LN(2)/2))/(LN(2)/2)*DW160*DZ160*VLOOKUP('Données projet'!$B$14,Paramètres!$A$1:$I$89,3,0)*0.475*44/12</f>
        <v>1.842944648158944E-18</v>
      </c>
      <c r="ED160" s="22">
        <f t="shared" si="178"/>
        <v>0.87046725732865382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1.1368683772161603E-13</v>
      </c>
      <c r="EK160" s="17">
        <f>EJ160*VLOOKUP('Données projet'!$B$15,Paramètres!$A$1:$I$89,3,0)*VLOOKUP('Données projet'!$B$15,Paramètres!$A$1:$I$89,5,0)</f>
        <v>6.7984728957526396E-14</v>
      </c>
      <c r="EL160" s="13">
        <f t="shared" si="179"/>
        <v>1.0682447123141398E-12</v>
      </c>
      <c r="EM160" s="20">
        <f t="shared" si="180"/>
        <v>1.978932943548152E-12</v>
      </c>
      <c r="EN160" s="59">
        <f t="shared" si="128"/>
        <v>293.3333333333353</v>
      </c>
      <c r="EO160" s="59">
        <f ca="1">AVERAGE(OFFSET($EN$3,0,0,'Données projet'!$E$15+1,1))-AVERAGE(OFFSET($H$3,0,0,'Données projet'!$E$15+1,1))</f>
        <v>259.30247982593914</v>
      </c>
      <c r="EP160" s="59">
        <f t="shared" si="154"/>
        <v>275.24740346220779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0.53313343351324727</v>
      </c>
      <c r="EX160" s="21">
        <f>EXP(-LN(2)/2)*EX159+(1-EXP(-LN(2)/2))/(LN(2)/2)*ER160*EU160*VLOOKUP('Données projet'!$B$15,Paramètres!$A$1:$I$89,3,0)*0.475*44/12</f>
        <v>2.1987788058618736E-18</v>
      </c>
      <c r="EY160" s="22">
        <f t="shared" si="181"/>
        <v>0.53313343351324727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-5.6843418860808015E-13</v>
      </c>
      <c r="FF160" s="17">
        <f>FE160*VLOOKUP('Données projet'!$B$16,Paramètres!$A$1:$I$89,3,0)*VLOOKUP('Données projet'!$B$16,Paramètres!$A$1:$I$89,5,0)</f>
        <v>-5.763922672485933E-13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372.91317851957336</v>
      </c>
      <c r="FK160" s="59">
        <f t="shared" si="156"/>
        <v>269.69187715858413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0.218239172652784</v>
      </c>
      <c r="FR160" s="21">
        <f>EXP(-LN(2)/25)*FR159+(1-EXP(-LN(2)/25))/(LN(2)/25)*Calculateur!FM160*Calculateur!FO160*VLOOKUP('Données projet'!$B$16,Paramètres!$A$1:$I$89,3,0)*0.475*44/12</f>
        <v>0.44912672987259589</v>
      </c>
      <c r="FS160" s="21">
        <f>EXP(-LN(2)/2)*FS159+(1-EXP(-LN(2)/2))/(LN(2)/2)*FM160*FP160*VLOOKUP('Données projet'!$B$16,Paramètres!$A$1:$I$89,3,0)*0.475*44/12</f>
        <v>1.8678494246996084E-18</v>
      </c>
      <c r="FT160" s="22">
        <f t="shared" si="184"/>
        <v>0.66736590252537986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-1.1368683772161603E-13</v>
      </c>
      <c r="GA160" s="17">
        <f>FZ160*VLOOKUP('Données projet'!$B$17,Paramètres!$A$1:$I$89,3,0)*VLOOKUP('Données projet'!$B$17,Paramètres!$A$1:$I$89,5,0)</f>
        <v>-5.3205440053716299E-14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215.23235148064941</v>
      </c>
      <c r="GF160" s="59">
        <f t="shared" si="158"/>
        <v>184.07239726900434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0.25343741999783187</v>
      </c>
      <c r="GM160" s="21">
        <f>EXP(-LN(2)/25)*GM159+(1-EXP(-LN(2)/25))/(LN(2)/25)*Calculateur!GH160*Calculateur!GJ160*VLOOKUP('Données projet'!$B$17,Paramètres!$A$1:$I$89,3,0)*0.475*44/12</f>
        <v>0.23224131627111366</v>
      </c>
      <c r="GN160" s="21">
        <f>EXP(-LN(2)/2)*GN159+(1-EXP(-LN(2)/2))/(LN(2)/2)*GH160*GK160*VLOOKUP('Données projet'!$B$17,Paramètres!$A$1:$I$89,3,0)*0.475*44/12</f>
        <v>7.5378057344534765E-19</v>
      </c>
      <c r="GO160" s="21">
        <f t="shared" si="187"/>
        <v>0.48567873626894553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-1.1368683772161603E-13</v>
      </c>
      <c r="GV160" s="17">
        <f>GU160*VLOOKUP('Données projet'!$B$18,Paramètres!$A$1:$I$89,3,0)*VLOOKUP('Données projet'!$B$18,Paramètres!$A$1:$I$89,5,0)</f>
        <v>-6.7984728957526396E-14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227.89848316900191</v>
      </c>
      <c r="HA160" s="59">
        <f t="shared" si="160"/>
        <v>239.85955661394541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0.64213067600921225</v>
      </c>
      <c r="HH160" s="21">
        <f>EXP(-LN(2)/25)*HH159+(1-EXP(-LN(2)/25))/(LN(2)/25)*Calculateur!HC160*Calculateur!HE160*VLOOKUP('Données projet'!$B$18,Paramètres!$A$1:$I$89,3,0)*0.475*44/12</f>
        <v>0.50683789640856913</v>
      </c>
      <c r="HI160" s="21">
        <f>EXP(-LN(2)/2)*HI159+(1-EXP(-LN(2)/2))/(LN(2)/2)*HC160*HF160*VLOOKUP('Données projet'!$B$18,Paramètres!$A$1:$I$89,3,0)*0.475*44/12</f>
        <v>5.1392703442802492E-19</v>
      </c>
      <c r="HJ160" s="22">
        <f t="shared" si="190"/>
        <v>1.1489685724177814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2.5420376914553347E-13</v>
      </c>
      <c r="P161" s="13">
        <f t="shared" si="141"/>
        <v>3.4258699088369875E-12</v>
      </c>
      <c r="Q161" s="20">
        <f t="shared" si="162"/>
        <v>6.4094616558195571E-12</v>
      </c>
      <c r="R161" s="59">
        <f t="shared" si="109"/>
        <v>293.33333333333974</v>
      </c>
      <c r="S161" s="59">
        <f ca="1">AVERAGE(OFFSET($R$3,0,0,'Données projet'!$E$9+1,1))-AVERAGE(OFFSET($H$3,0,0,'Données projet'!$E$9+1,1))</f>
        <v>370.69652285220093</v>
      </c>
      <c r="T161" s="59">
        <f t="shared" si="142"/>
        <v>376.53494965377718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0.81469245859198558</v>
      </c>
      <c r="AA161" s="21">
        <f>EXP(-LN(2)/25)*AA160+(1-EXP(-LN(2)/25))/(LN(2)/25)*Calculateur!V161*Calculateur!X161*VLOOKUP('Données projet'!$B$9,Paramètres!$A$1:$I$89,3,0)*0.475*44/12</f>
        <v>0.96060857940363853</v>
      </c>
      <c r="AB161" s="21">
        <f>EXP(-LN(2)/2)*AB160+(1-EXP(-LN(2)/2))/(LN(2)/2)*V161*Y161*VLOOKUP('Données projet'!$B$9,Paramètres!$A$1:$I$89,3,0)*0.475*44/12</f>
        <v>1.7742840910353292E-18</v>
      </c>
      <c r="AC161" s="22">
        <f t="shared" si="163"/>
        <v>1.7753010379956242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-5.6843418860808015E-13</v>
      </c>
      <c r="AJ161" s="13">
        <f>AI161*VLOOKUP('Données projet'!$B$10,Paramètres!$A$1:$I$89,3,0)*VLOOKUP('Données projet'!$B$10,Paramètres!$A$1:$I$89,5,0)</f>
        <v>-5.1431925385259092E-13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321.03881567735544</v>
      </c>
      <c r="AO161" s="59">
        <f t="shared" si="144"/>
        <v>234.87694492493506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0.19091782868014193</v>
      </c>
      <c r="AV161" s="21">
        <f>EXP(-LN(2)/25)*AV160+(1-EXP(-LN(2)/25))/(LN(2)/25)*Calculateur!AQ161*Calculateur!AS161*VLOOKUP('Données projet'!$B$10,Paramètres!$A$1:$I$89,3,0)*0.475*44/12</f>
        <v>0.38980045350599296</v>
      </c>
      <c r="AW161" s="21">
        <f>EXP(-LN(2)/2)*AW160+(1-EXP(-LN(2)/2))/(LN(2)/2)*AQ161*AT161*VLOOKUP('Données projet'!$B$10,Paramètres!$A$1:$I$89,3,0)*0.475*44/12</f>
        <v>1.1785323335007411E-18</v>
      </c>
      <c r="AX161" s="21">
        <f t="shared" si="166"/>
        <v>0.58071828218613486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3.1036506698001181E-13</v>
      </c>
      <c r="BF161" s="13">
        <f t="shared" si="167"/>
        <v>4.086682523110923E-12</v>
      </c>
      <c r="BG161" s="20">
        <f t="shared" si="168"/>
        <v>7.6581912194083782E-12</v>
      </c>
      <c r="BH161" s="59">
        <f t="shared" si="116"/>
        <v>293.33333333334099</v>
      </c>
      <c r="BI161" s="59">
        <f ca="1">AVERAGE(OFFSET($BH$3,0,0,'Données projet'!$E$11+1,1))-AVERAGE(OFFSET($H$3,0,0,'Données projet'!$E$11+1,1))</f>
        <v>248.1486444660062</v>
      </c>
      <c r="BJ161" s="59">
        <f t="shared" si="146"/>
        <v>293.34458072322127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0.67517852805086298</v>
      </c>
      <c r="BQ161" s="21">
        <f>EXP(-LN(2)/25)*BQ160+(1-EXP(-LN(2)/25))/(LN(2)/25)*Calculateur!BL161*Calculateur!BN161*VLOOKUP('Données projet'!$B$11,Paramètres!$A$1:$I$89,3,0)*0.475*44/12</f>
        <v>0.97878461738215061</v>
      </c>
      <c r="BR161" s="21">
        <f>EXP(-LN(2)/2)*BR160+(1-EXP(-LN(2)/2))/(LN(2)/2)*BL161*BO161*VLOOKUP('Données projet'!$B$11,Paramètres!$A$1:$I$89,3,0)*0.475*44/12</f>
        <v>1.3651420551096846E-18</v>
      </c>
      <c r="BS161" s="22">
        <f t="shared" si="169"/>
        <v>1.6539631454330137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243.38048563215585</v>
      </c>
      <c r="CE161" s="59">
        <f t="shared" si="148"/>
        <v>372.1604147006675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0.57933685944319002</v>
      </c>
      <c r="CL161" s="21">
        <f>EXP(-LN(2)/25)*CL160+(1-EXP(-LN(2)/25))/(LN(2)/25)*Calculateur!CG161*Calculateur!CI161*VLOOKUP('Données projet'!$B$12,Paramètres!$A$1:$I$89,3,0)*0.475*44/12</f>
        <v>0.55678336323306366</v>
      </c>
      <c r="CM161" s="21">
        <f>EXP(-LN(2)/2)*CM160+(1-EXP(-LN(2)/2))/(LN(2)/2)*CG161*CJ161*VLOOKUP('Données projet'!$B$12,Paramètres!$A$1:$I$89,3,0)*0.475*44/12</f>
        <v>1.589166039059546E-18</v>
      </c>
      <c r="CN161" s="22">
        <f t="shared" si="172"/>
        <v>1.1361202226762537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7.9580786405131221E-13</v>
      </c>
      <c r="CU161" s="17">
        <f>CT161*VLOOKUP('Données projet'!$B$13,Paramètres!$A$1:$I$89,3,0)*VLOOKUP('Données projet'!$B$13,Paramètres!$A$1:$I$89,5,0)</f>
        <v>3.8278358260868117E-13</v>
      </c>
      <c r="CV161" s="13">
        <f t="shared" si="173"/>
        <v>4.9186917125089072E-12</v>
      </c>
      <c r="CW161" s="20">
        <f t="shared" si="174"/>
        <v>9.2334028056631319E-12</v>
      </c>
      <c r="CX161" s="59">
        <f t="shared" si="122"/>
        <v>293.33333333334252</v>
      </c>
      <c r="CY161" s="59">
        <f ca="1">AVERAGE(OFFSET($CX$3,0,0,'Données projet'!$E$13+1,1))-AVERAGE(OFFSET($H$3,0,0,'Données projet'!$E$13+1,1))</f>
        <v>297.21955661193238</v>
      </c>
      <c r="CZ161" s="59">
        <f t="shared" si="150"/>
        <v>273.69206144662144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0.53410624084878799</v>
      </c>
      <c r="DG161" s="21">
        <f>EXP(-LN(2)/25)*DG160+(1-EXP(-LN(2)/25))/(LN(2)/25)*Calculateur!DB161*Calculateur!DD161*VLOOKUP('Données projet'!$B$13,Paramètres!$A$1:$I$89,3,0)*0.475*44/12</f>
        <v>0.38599387272782132</v>
      </c>
      <c r="DH161" s="21">
        <f>EXP(-LN(2)/2)*DH160+(1-EXP(-LN(2)/2))/(LN(2)/2)*DB161*DE161*VLOOKUP('Données projet'!$B$13,Paramètres!$A$1:$I$89,3,0)*0.475*44/12</f>
        <v>1.1336842612804448E-18</v>
      </c>
      <c r="DI161" s="22">
        <f t="shared" si="175"/>
        <v>0.92010011357660937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-4.0702161641092972E-13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260.20517190557814</v>
      </c>
      <c r="DU161" s="59">
        <f t="shared" si="152"/>
        <v>307.22009971147133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0.25864619633240998</v>
      </c>
      <c r="EB161" s="21">
        <f>EXP(-LN(2)/25)*EB160+(1-EXP(-LN(2)/25))/(LN(2)/25)*Calculateur!DW161*Calculateur!DY161*VLOOKUP('Données projet'!$B$14,Paramètres!$A$1:$I$89,3,0)*0.475*44/12</f>
        <v>0.59005890697146046</v>
      </c>
      <c r="EC161" s="21">
        <f>EXP(-LN(2)/2)*EC160+(1-EXP(-LN(2)/2))/(LN(2)/2)*DW161*DZ161*VLOOKUP('Données projet'!$B$14,Paramètres!$A$1:$I$89,3,0)*0.475*44/12</f>
        <v>1.3031586580646452E-18</v>
      </c>
      <c r="ED161" s="22">
        <f t="shared" si="178"/>
        <v>0.84870510330387039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1.1368683772161603E-13</v>
      </c>
      <c r="EK161" s="17">
        <f>EJ161*VLOOKUP('Données projet'!$B$15,Paramètres!$A$1:$I$89,3,0)*VLOOKUP('Données projet'!$B$15,Paramètres!$A$1:$I$89,5,0)</f>
        <v>6.7984728957526396E-14</v>
      </c>
      <c r="EL161" s="13">
        <f t="shared" si="179"/>
        <v>1.0682447123141398E-12</v>
      </c>
      <c r="EM161" s="20">
        <f t="shared" si="180"/>
        <v>1.978932943548152E-12</v>
      </c>
      <c r="EN161" s="59">
        <f t="shared" si="128"/>
        <v>293.3333333333353</v>
      </c>
      <c r="EO161" s="59">
        <f ca="1">AVERAGE(OFFSET($EN$3,0,0,'Données projet'!$E$15+1,1))-AVERAGE(OFFSET($H$3,0,0,'Données projet'!$E$15+1,1))</f>
        <v>259.30247982593914</v>
      </c>
      <c r="EP161" s="59">
        <f t="shared" si="154"/>
        <v>275.24740346220779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0.51855487173755876</v>
      </c>
      <c r="EX161" s="21">
        <f>EXP(-LN(2)/2)*EX160+(1-EXP(-LN(2)/2))/(LN(2)/2)*ER161*EU161*VLOOKUP('Données projet'!$B$15,Paramètres!$A$1:$I$89,3,0)*0.475*44/12</f>
        <v>1.5547714039541902E-18</v>
      </c>
      <c r="EY161" s="22">
        <f t="shared" si="181"/>
        <v>0.51855487173755876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-5.6843418860808015E-13</v>
      </c>
      <c r="FF161" s="17">
        <f>FE161*VLOOKUP('Données projet'!$B$16,Paramètres!$A$1:$I$89,3,0)*VLOOKUP('Données projet'!$B$16,Paramètres!$A$1:$I$89,5,0)</f>
        <v>-5.763922672485933E-13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372.91317851957336</v>
      </c>
      <c r="FK161" s="59">
        <f t="shared" si="156"/>
        <v>269.69187715858413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0.21395963558981443</v>
      </c>
      <c r="FR161" s="21">
        <f>EXP(-LN(2)/25)*FR160+(1-EXP(-LN(2)/25))/(LN(2)/25)*Calculateur!FM161*Calculateur!FO161*VLOOKUP('Données projet'!$B$16,Paramètres!$A$1:$I$89,3,0)*0.475*44/12</f>
        <v>0.43684533582568152</v>
      </c>
      <c r="FS161" s="21">
        <f>EXP(-LN(2)/2)*FS160+(1-EXP(-LN(2)/2))/(LN(2)/2)*FM161*FP161*VLOOKUP('Données projet'!$B$16,Paramètres!$A$1:$I$89,3,0)*0.475*44/12</f>
        <v>1.3207689944404847E-18</v>
      </c>
      <c r="FT161" s="22">
        <f t="shared" si="184"/>
        <v>0.65080497141549598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-1.1368683772161603E-13</v>
      </c>
      <c r="GA161" s="17">
        <f>FZ161*VLOOKUP('Données projet'!$B$17,Paramètres!$A$1:$I$89,3,0)*VLOOKUP('Données projet'!$B$17,Paramètres!$A$1:$I$89,5,0)</f>
        <v>-5.3205440053716299E-14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215.23235148064941</v>
      </c>
      <c r="GF161" s="59">
        <f t="shared" si="158"/>
        <v>184.07239726900434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0.24846766677323692</v>
      </c>
      <c r="GM161" s="21">
        <f>EXP(-LN(2)/25)*GM160+(1-EXP(-LN(2)/25))/(LN(2)/25)*Calculateur!GH161*Calculateur!GJ161*VLOOKUP('Données projet'!$B$17,Paramètres!$A$1:$I$89,3,0)*0.475*44/12</f>
        <v>0.22589066526464002</v>
      </c>
      <c r="GN161" s="21">
        <f>EXP(-LN(2)/2)*GN160+(1-EXP(-LN(2)/2))/(LN(2)/2)*GH161*GK161*VLOOKUP('Données projet'!$B$17,Paramètres!$A$1:$I$89,3,0)*0.475*44/12</f>
        <v>5.3300335500988974E-19</v>
      </c>
      <c r="GO161" s="21">
        <f t="shared" si="187"/>
        <v>0.47435833203787692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-1.1368683772161603E-13</v>
      </c>
      <c r="GV161" s="17">
        <f>GU161*VLOOKUP('Données projet'!$B$18,Paramètres!$A$1:$I$89,3,0)*VLOOKUP('Données projet'!$B$18,Paramètres!$A$1:$I$89,5,0)</f>
        <v>-6.7984728957526396E-14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227.89848316900191</v>
      </c>
      <c r="HA161" s="59">
        <f t="shared" si="160"/>
        <v>239.85955661394541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0.6295388851137107</v>
      </c>
      <c r="HH161" s="21">
        <f>EXP(-LN(2)/25)*HH160+(1-EXP(-LN(2)/25))/(LN(2)/25)*Calculateur!HC161*Calculateur!HE161*VLOOKUP('Données projet'!$B$18,Paramètres!$A$1:$I$89,3,0)*0.475*44/12</f>
        <v>0.49297838747783024</v>
      </c>
      <c r="HI161" s="21">
        <f>EXP(-LN(2)/2)*HI160+(1-EXP(-LN(2)/2))/(LN(2)/2)*HC161*HF161*VLOOKUP('Données projet'!$B$18,Paramètres!$A$1:$I$89,3,0)*0.475*44/12</f>
        <v>3.634012910791487E-19</v>
      </c>
      <c r="HJ161" s="22">
        <f t="shared" si="190"/>
        <v>1.1225172725915409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2.5420376914553347E-13</v>
      </c>
      <c r="P162" s="13">
        <f t="shared" si="141"/>
        <v>3.4258699088369875E-12</v>
      </c>
      <c r="Q162" s="20">
        <f t="shared" si="162"/>
        <v>6.4094616558195571E-12</v>
      </c>
      <c r="R162" s="59">
        <f t="shared" si="109"/>
        <v>293.33333333333974</v>
      </c>
      <c r="S162" s="59">
        <f ca="1">AVERAGE(OFFSET($R$3,0,0,'Données projet'!$E$9+1,1))-AVERAGE(OFFSET($H$3,0,0,'Données projet'!$E$9+1,1))</f>
        <v>370.69652285220093</v>
      </c>
      <c r="T162" s="59">
        <f t="shared" si="142"/>
        <v>376.53494965377718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0.79871683639233038</v>
      </c>
      <c r="AA162" s="21">
        <f>EXP(-LN(2)/25)*AA161+(1-EXP(-LN(2)/25))/(LN(2)/25)*Calculateur!V162*Calculateur!X162*VLOOKUP('Données projet'!$B$9,Paramètres!$A$1:$I$89,3,0)*0.475*44/12</f>
        <v>0.9343406872836364</v>
      </c>
      <c r="AB162" s="21">
        <f>EXP(-LN(2)/2)*AB161+(1-EXP(-LN(2)/2))/(LN(2)/2)*V162*Y162*VLOOKUP('Données projet'!$B$9,Paramètres!$A$1:$I$89,3,0)*0.475*44/12</f>
        <v>1.2546083125224909E-18</v>
      </c>
      <c r="AC162" s="22">
        <f t="shared" si="163"/>
        <v>1.7330575236759667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-5.6843418860808015E-13</v>
      </c>
      <c r="AJ162" s="13">
        <f>AI162*VLOOKUP('Données projet'!$B$10,Paramètres!$A$1:$I$89,3,0)*VLOOKUP('Données projet'!$B$10,Paramètres!$A$1:$I$89,5,0)</f>
        <v>-5.1431925385259092E-13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321.03881567735544</v>
      </c>
      <c r="AO162" s="59">
        <f t="shared" si="144"/>
        <v>234.87694492493506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0.18717404650810152</v>
      </c>
      <c r="AV162" s="21">
        <f>EXP(-LN(2)/25)*AV161+(1-EXP(-LN(2)/25))/(LN(2)/25)*Calculateur!AQ162*Calculateur!AS162*VLOOKUP('Données projet'!$B$10,Paramètres!$A$1:$I$89,3,0)*0.475*44/12</f>
        <v>0.37914133960615665</v>
      </c>
      <c r="AW162" s="21">
        <f>EXP(-LN(2)/2)*AW161+(1-EXP(-LN(2)/2))/(LN(2)/2)*AQ162*AT162*VLOOKUP('Données projet'!$B$10,Paramètres!$A$1:$I$89,3,0)*0.475*44/12</f>
        <v>8.3334820486597982E-19</v>
      </c>
      <c r="AX162" s="21">
        <f t="shared" si="166"/>
        <v>0.56631538611425813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3.1036506698001181E-13</v>
      </c>
      <c r="BF162" s="13">
        <f t="shared" si="167"/>
        <v>4.086682523110923E-12</v>
      </c>
      <c r="BG162" s="20">
        <f t="shared" si="168"/>
        <v>7.6581912194083782E-12</v>
      </c>
      <c r="BH162" s="59">
        <f t="shared" si="116"/>
        <v>293.33333333334099</v>
      </c>
      <c r="BI162" s="59">
        <f ca="1">AVERAGE(OFFSET($BH$3,0,0,'Données projet'!$E$11+1,1))-AVERAGE(OFFSET($H$3,0,0,'Données projet'!$E$11+1,1))</f>
        <v>248.1486444660062</v>
      </c>
      <c r="BJ162" s="59">
        <f t="shared" si="146"/>
        <v>293.34458072322127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0.66193868893402397</v>
      </c>
      <c r="BQ162" s="21">
        <f>EXP(-LN(2)/25)*BQ161+(1-EXP(-LN(2)/25))/(LN(2)/25)*Calculateur!BL162*Calculateur!BN162*VLOOKUP('Données projet'!$B$11,Paramètres!$A$1:$I$89,3,0)*0.475*44/12</f>
        <v>0.95201970054778973</v>
      </c>
      <c r="BR162" s="21">
        <f>EXP(-LN(2)/2)*BR161+(1-EXP(-LN(2)/2))/(LN(2)/2)*BL162*BO162*VLOOKUP('Données projet'!$B$11,Paramètres!$A$1:$I$89,3,0)*0.475*44/12</f>
        <v>9.6530120445099756E-19</v>
      </c>
      <c r="BS162" s="22">
        <f t="shared" si="169"/>
        <v>1.6139583894818137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243.38048563215585</v>
      </c>
      <c r="CE162" s="59">
        <f t="shared" si="148"/>
        <v>372.1604147006675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0.56797641699010182</v>
      </c>
      <c r="CL162" s="21">
        <f>EXP(-LN(2)/25)*CL161+(1-EXP(-LN(2)/25))/(LN(2)/25)*Calculateur!CG162*Calculateur!CI162*VLOOKUP('Données projet'!$B$12,Paramètres!$A$1:$I$89,3,0)*0.475*44/12</f>
        <v>0.54155809288549095</v>
      </c>
      <c r="CM162" s="21">
        <f>EXP(-LN(2)/2)*CM161+(1-EXP(-LN(2)/2))/(LN(2)/2)*CG162*CJ162*VLOOKUP('Données projet'!$B$12,Paramètres!$A$1:$I$89,3,0)*0.475*44/12</f>
        <v>1.1237100826503708E-18</v>
      </c>
      <c r="CN162" s="22">
        <f t="shared" si="172"/>
        <v>1.1095345098755929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7.9580786405131221E-13</v>
      </c>
      <c r="CU162" s="17">
        <f>CT162*VLOOKUP('Données projet'!$B$13,Paramètres!$A$1:$I$89,3,0)*VLOOKUP('Données projet'!$B$13,Paramètres!$A$1:$I$89,5,0)</f>
        <v>3.8278358260868117E-13</v>
      </c>
      <c r="CV162" s="13">
        <f t="shared" si="173"/>
        <v>4.9186917125089072E-12</v>
      </c>
      <c r="CW162" s="20">
        <f t="shared" si="174"/>
        <v>9.2334028056631319E-12</v>
      </c>
      <c r="CX162" s="59">
        <f t="shared" si="122"/>
        <v>293.33333333334252</v>
      </c>
      <c r="CY162" s="59">
        <f ca="1">AVERAGE(OFFSET($CX$3,0,0,'Données projet'!$E$13+1,1))-AVERAGE(OFFSET($H$3,0,0,'Données projet'!$E$13+1,1))</f>
        <v>297.21955661193238</v>
      </c>
      <c r="CZ162" s="59">
        <f t="shared" si="150"/>
        <v>273.69206144662144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0.52363274323838283</v>
      </c>
      <c r="DG162" s="21">
        <f>EXP(-LN(2)/25)*DG161+(1-EXP(-LN(2)/25))/(LN(2)/25)*Calculateur!DB162*Calculateur!DD162*VLOOKUP('Données projet'!$B$13,Paramètres!$A$1:$I$89,3,0)*0.475*44/12</f>
        <v>0.37543884997954347</v>
      </c>
      <c r="DH162" s="21">
        <f>EXP(-LN(2)/2)*DH161+(1-EXP(-LN(2)/2))/(LN(2)/2)*DB162*DE162*VLOOKUP('Données projet'!$B$13,Paramètres!$A$1:$I$89,3,0)*0.475*44/12</f>
        <v>8.0163582887586423E-19</v>
      </c>
      <c r="DI162" s="22">
        <f t="shared" si="175"/>
        <v>0.89907159321792629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-4.0702161641092972E-13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260.20517190557814</v>
      </c>
      <c r="DU162" s="59">
        <f t="shared" si="152"/>
        <v>307.22009971147133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0.2535743021809338</v>
      </c>
      <c r="EB162" s="21">
        <f>EXP(-LN(2)/25)*EB161+(1-EXP(-LN(2)/25))/(LN(2)/25)*Calculateur!DW162*Calculateur!DY162*VLOOKUP('Données projet'!$B$14,Paramètres!$A$1:$I$89,3,0)*0.475*44/12</f>
        <v>0.57392371513047657</v>
      </c>
      <c r="EC162" s="21">
        <f>EXP(-LN(2)/2)*EC161+(1-EXP(-LN(2)/2))/(LN(2)/2)*DW162*DZ162*VLOOKUP('Données projet'!$B$14,Paramètres!$A$1:$I$89,3,0)*0.475*44/12</f>
        <v>9.2147232407947199E-19</v>
      </c>
      <c r="ED162" s="22">
        <f t="shared" si="178"/>
        <v>0.82749801731141037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1.1368683772161603E-13</v>
      </c>
      <c r="EK162" s="17">
        <f>EJ162*VLOOKUP('Données projet'!$B$15,Paramètres!$A$1:$I$89,3,0)*VLOOKUP('Données projet'!$B$15,Paramètres!$A$1:$I$89,5,0)</f>
        <v>6.7984728957526396E-14</v>
      </c>
      <c r="EL162" s="13">
        <f t="shared" si="179"/>
        <v>1.0682447123141398E-12</v>
      </c>
      <c r="EM162" s="20">
        <f t="shared" si="180"/>
        <v>1.978932943548152E-12</v>
      </c>
      <c r="EN162" s="59">
        <f t="shared" si="128"/>
        <v>293.3333333333353</v>
      </c>
      <c r="EO162" s="59">
        <f ca="1">AVERAGE(OFFSET($EN$3,0,0,'Données projet'!$E$15+1,1))-AVERAGE(OFFSET($H$3,0,0,'Données projet'!$E$15+1,1))</f>
        <v>259.30247982593914</v>
      </c>
      <c r="EP162" s="59">
        <f t="shared" si="154"/>
        <v>275.24740346220779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0.50437496150027972</v>
      </c>
      <c r="EX162" s="21">
        <f>EXP(-LN(2)/2)*EX161+(1-EXP(-LN(2)/2))/(LN(2)/2)*ER162*EU162*VLOOKUP('Données projet'!$B$15,Paramètres!$A$1:$I$89,3,0)*0.475*44/12</f>
        <v>1.0993894029309368E-18</v>
      </c>
      <c r="EY162" s="22">
        <f t="shared" si="181"/>
        <v>0.50437496150027972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-5.6843418860808015E-13</v>
      </c>
      <c r="FF162" s="17">
        <f>FE162*VLOOKUP('Données projet'!$B$16,Paramètres!$A$1:$I$89,3,0)*VLOOKUP('Données projet'!$B$16,Paramètres!$A$1:$I$89,5,0)</f>
        <v>-5.763922672485933E-13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372.91317851957336</v>
      </c>
      <c r="FK162" s="59">
        <f t="shared" si="156"/>
        <v>269.69187715858413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0.20976401763838984</v>
      </c>
      <c r="FR162" s="21">
        <f>EXP(-LN(2)/25)*FR161+(1-EXP(-LN(2)/25))/(LN(2)/25)*Calculateur!FM162*Calculateur!FO162*VLOOKUP('Données projet'!$B$16,Paramètres!$A$1:$I$89,3,0)*0.475*44/12</f>
        <v>0.42489977714483046</v>
      </c>
      <c r="FS162" s="21">
        <f>EXP(-LN(2)/2)*FS161+(1-EXP(-LN(2)/2))/(LN(2)/2)*FM162*FP162*VLOOKUP('Données projet'!$B$16,Paramètres!$A$1:$I$89,3,0)*0.475*44/12</f>
        <v>9.3392471234980422E-19</v>
      </c>
      <c r="FT162" s="22">
        <f t="shared" si="184"/>
        <v>0.63466379478322033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-1.1368683772161603E-13</v>
      </c>
      <c r="GA162" s="17">
        <f>FZ162*VLOOKUP('Données projet'!$B$17,Paramètres!$A$1:$I$89,3,0)*VLOOKUP('Données projet'!$B$17,Paramètres!$A$1:$I$89,5,0)</f>
        <v>-5.3205440053716299E-14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215.23235148064941</v>
      </c>
      <c r="GF162" s="59">
        <f t="shared" si="158"/>
        <v>184.07239726900434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0.24359536737812612</v>
      </c>
      <c r="GM162" s="21">
        <f>EXP(-LN(2)/25)*GM161+(1-EXP(-LN(2)/25))/(LN(2)/25)*Calculateur!GH162*Calculateur!GJ162*VLOOKUP('Données projet'!$B$17,Paramètres!$A$1:$I$89,3,0)*0.475*44/12</f>
        <v>0.21971367314390464</v>
      </c>
      <c r="GN162" s="21">
        <f>EXP(-LN(2)/2)*GN161+(1-EXP(-LN(2)/2))/(LN(2)/2)*GH162*GK162*VLOOKUP('Données projet'!$B$17,Paramètres!$A$1:$I$89,3,0)*0.475*44/12</f>
        <v>3.7689028672267382E-19</v>
      </c>
      <c r="GO162" s="21">
        <f t="shared" si="187"/>
        <v>0.46330904052203076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-1.1368683772161603E-13</v>
      </c>
      <c r="GV162" s="17">
        <f>GU162*VLOOKUP('Données projet'!$B$18,Paramètres!$A$1:$I$89,3,0)*VLOOKUP('Données projet'!$B$18,Paramètres!$A$1:$I$89,5,0)</f>
        <v>-6.7984728957526396E-14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227.89848316900191</v>
      </c>
      <c r="HA162" s="59">
        <f t="shared" si="160"/>
        <v>239.85955661394541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0.61719401155743581</v>
      </c>
      <c r="HH162" s="21">
        <f>EXP(-LN(2)/25)*HH161+(1-EXP(-LN(2)/25))/(LN(2)/25)*Calculateur!HC162*Calculateur!HE162*VLOOKUP('Données projet'!$B$18,Paramètres!$A$1:$I$89,3,0)*0.475*44/12</f>
        <v>0.47949786754764229</v>
      </c>
      <c r="HI162" s="21">
        <f>EXP(-LN(2)/2)*HI161+(1-EXP(-LN(2)/2))/(LN(2)/2)*HC162*HF162*VLOOKUP('Données projet'!$B$18,Paramètres!$A$1:$I$89,3,0)*0.475*44/12</f>
        <v>2.5696351721401246E-19</v>
      </c>
      <c r="HJ162" s="22">
        <f t="shared" si="190"/>
        <v>1.0966918791050781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2.5420376914553347E-13</v>
      </c>
      <c r="P163" s="13">
        <f t="shared" si="141"/>
        <v>3.4258699088369875E-12</v>
      </c>
      <c r="Q163" s="20">
        <f t="shared" si="162"/>
        <v>6.4094616558195571E-12</v>
      </c>
      <c r="R163" s="59">
        <f t="shared" si="109"/>
        <v>293.33333333333974</v>
      </c>
      <c r="S163" s="59">
        <f ca="1">AVERAGE(OFFSET($R$3,0,0,'Données projet'!$E$9+1,1))-AVERAGE(OFFSET($H$3,0,0,'Données projet'!$E$9+1,1))</f>
        <v>370.69652285220093</v>
      </c>
      <c r="T163" s="59">
        <f t="shared" si="142"/>
        <v>376.53494965377718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0.78305448639984299</v>
      </c>
      <c r="AA163" s="21">
        <f>EXP(-LN(2)/25)*AA162+(1-EXP(-LN(2)/25))/(LN(2)/25)*Calculateur!V163*Calculateur!X163*VLOOKUP('Données projet'!$B$9,Paramètres!$A$1:$I$89,3,0)*0.475*44/12</f>
        <v>0.90879109205502406</v>
      </c>
      <c r="AB163" s="21">
        <f>EXP(-LN(2)/2)*AB162+(1-EXP(-LN(2)/2))/(LN(2)/2)*V163*Y163*VLOOKUP('Données projet'!$B$9,Paramètres!$A$1:$I$89,3,0)*0.475*44/12</f>
        <v>8.8714204551766461E-19</v>
      </c>
      <c r="AC163" s="22">
        <f t="shared" si="163"/>
        <v>1.6918455784548669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-5.6843418860808015E-13</v>
      </c>
      <c r="AJ163" s="13">
        <f>AI163*VLOOKUP('Données projet'!$B$10,Paramètres!$A$1:$I$89,3,0)*VLOOKUP('Données projet'!$B$10,Paramètres!$A$1:$I$89,5,0)</f>
        <v>-5.1431925385259092E-13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321.03881567735544</v>
      </c>
      <c r="AO163" s="59">
        <f t="shared" si="144"/>
        <v>234.87694492493506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0.18350367762097317</v>
      </c>
      <c r="AV163" s="21">
        <f>EXP(-LN(2)/25)*AV162+(1-EXP(-LN(2)/25))/(LN(2)/25)*Calculateur!AQ163*Calculateur!AS163*VLOOKUP('Données projet'!$B$10,Paramètres!$A$1:$I$89,3,0)*0.475*44/12</f>
        <v>0.3687736997364498</v>
      </c>
      <c r="AW163" s="21">
        <f>EXP(-LN(2)/2)*AW162+(1-EXP(-LN(2)/2))/(LN(2)/2)*AQ163*AT163*VLOOKUP('Données projet'!$B$10,Paramètres!$A$1:$I$89,3,0)*0.475*44/12</f>
        <v>5.8926616675037057E-19</v>
      </c>
      <c r="AX163" s="21">
        <f t="shared" si="166"/>
        <v>0.55227737735742299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3.1036506698001181E-13</v>
      </c>
      <c r="BF163" s="13">
        <f t="shared" si="167"/>
        <v>4.086682523110923E-12</v>
      </c>
      <c r="BG163" s="20">
        <f t="shared" si="168"/>
        <v>7.6581912194083782E-12</v>
      </c>
      <c r="BH163" s="59">
        <f t="shared" si="116"/>
        <v>293.33333333334099</v>
      </c>
      <c r="BI163" s="59">
        <f ca="1">AVERAGE(OFFSET($BH$3,0,0,'Données projet'!$E$11+1,1))-AVERAGE(OFFSET($H$3,0,0,'Données projet'!$E$11+1,1))</f>
        <v>248.1486444660062</v>
      </c>
      <c r="BJ163" s="59">
        <f t="shared" si="146"/>
        <v>293.34458072322127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0.64895847498676174</v>
      </c>
      <c r="BQ163" s="21">
        <f>EXP(-LN(2)/25)*BQ162+(1-EXP(-LN(2)/25))/(LN(2)/25)*Calculateur!BL163*Calculateur!BN163*VLOOKUP('Données projet'!$B$11,Paramètres!$A$1:$I$89,3,0)*0.475*44/12</f>
        <v>0.92598667177177019</v>
      </c>
      <c r="BR163" s="21">
        <f>EXP(-LN(2)/2)*BR162+(1-EXP(-LN(2)/2))/(LN(2)/2)*BL163*BO163*VLOOKUP('Données projet'!$B$11,Paramètres!$A$1:$I$89,3,0)*0.475*44/12</f>
        <v>6.8257102755484231E-19</v>
      </c>
      <c r="BS163" s="22">
        <f t="shared" si="169"/>
        <v>1.574945146758532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243.38048563215585</v>
      </c>
      <c r="CE163" s="59">
        <f t="shared" si="148"/>
        <v>372.1604147006675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0.55683874588433302</v>
      </c>
      <c r="CL163" s="21">
        <f>EXP(-LN(2)/25)*CL162+(1-EXP(-LN(2)/25))/(LN(2)/25)*Calculateur!CG163*Calculateur!CI163*VLOOKUP('Données projet'!$B$12,Paramètres!$A$1:$I$89,3,0)*0.475*44/12</f>
        <v>0.52674915835623481</v>
      </c>
      <c r="CM163" s="21">
        <f>EXP(-LN(2)/2)*CM162+(1-EXP(-LN(2)/2))/(LN(2)/2)*CG163*CJ163*VLOOKUP('Données projet'!$B$12,Paramètres!$A$1:$I$89,3,0)*0.475*44/12</f>
        <v>7.9458301952977301E-19</v>
      </c>
      <c r="CN163" s="22">
        <f t="shared" si="172"/>
        <v>1.0835879042405678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7.9580786405131221E-13</v>
      </c>
      <c r="CU163" s="17">
        <f>CT163*VLOOKUP('Données projet'!$B$13,Paramètres!$A$1:$I$89,3,0)*VLOOKUP('Données projet'!$B$13,Paramètres!$A$1:$I$89,5,0)</f>
        <v>3.8278358260868117E-13</v>
      </c>
      <c r="CV163" s="13">
        <f t="shared" si="173"/>
        <v>4.9186917125089072E-12</v>
      </c>
      <c r="CW163" s="20">
        <f t="shared" si="174"/>
        <v>9.2334028056631319E-12</v>
      </c>
      <c r="CX163" s="59">
        <f t="shared" si="122"/>
        <v>293.33333333334252</v>
      </c>
      <c r="CY163" s="59">
        <f ca="1">AVERAGE(OFFSET($CX$3,0,0,'Données projet'!$E$13+1,1))-AVERAGE(OFFSET($H$3,0,0,'Données projet'!$E$13+1,1))</f>
        <v>297.21955661193238</v>
      </c>
      <c r="CZ163" s="59">
        <f t="shared" si="150"/>
        <v>273.69206144662144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0.51336462452791487</v>
      </c>
      <c r="DG163" s="21">
        <f>EXP(-LN(2)/25)*DG162+(1-EXP(-LN(2)/25))/(LN(2)/25)*Calculateur!DB163*Calculateur!DD163*VLOOKUP('Données projet'!$B$13,Paramètres!$A$1:$I$89,3,0)*0.475*44/12</f>
        <v>0.36517245488338179</v>
      </c>
      <c r="DH163" s="21">
        <f>EXP(-LN(2)/2)*DH162+(1-EXP(-LN(2)/2))/(LN(2)/2)*DB163*DE163*VLOOKUP('Données projet'!$B$13,Paramètres!$A$1:$I$89,3,0)*0.475*44/12</f>
        <v>5.6684213064022238E-19</v>
      </c>
      <c r="DI163" s="22">
        <f t="shared" si="175"/>
        <v>0.87853707941129666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-4.0702161641092972E-13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260.20517190557814</v>
      </c>
      <c r="DU163" s="59">
        <f t="shared" si="152"/>
        <v>307.22009971147133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0.24860186478021812</v>
      </c>
      <c r="EB163" s="21">
        <f>EXP(-LN(2)/25)*EB162+(1-EXP(-LN(2)/25))/(LN(2)/25)*Calculateur!DW163*Calculateur!DY163*VLOOKUP('Données projet'!$B$14,Paramètres!$A$1:$I$89,3,0)*0.475*44/12</f>
        <v>0.55822974095889721</v>
      </c>
      <c r="EC163" s="21">
        <f>EXP(-LN(2)/2)*EC162+(1-EXP(-LN(2)/2))/(LN(2)/2)*DW163*DZ163*VLOOKUP('Données projet'!$B$14,Paramètres!$A$1:$I$89,3,0)*0.475*44/12</f>
        <v>6.5157932903232261E-19</v>
      </c>
      <c r="ED163" s="22">
        <f t="shared" si="178"/>
        <v>0.80683160573911539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1.1368683772161603E-13</v>
      </c>
      <c r="EK163" s="17">
        <f>EJ163*VLOOKUP('Données projet'!$B$15,Paramètres!$A$1:$I$89,3,0)*VLOOKUP('Données projet'!$B$15,Paramètres!$A$1:$I$89,5,0)</f>
        <v>6.7984728957526396E-14</v>
      </c>
      <c r="EL163" s="13">
        <f t="shared" si="179"/>
        <v>1.0682447123141398E-12</v>
      </c>
      <c r="EM163" s="20">
        <f t="shared" si="180"/>
        <v>1.978932943548152E-12</v>
      </c>
      <c r="EN163" s="59">
        <f t="shared" si="128"/>
        <v>293.3333333333353</v>
      </c>
      <c r="EO163" s="59">
        <f ca="1">AVERAGE(OFFSET($EN$3,0,0,'Données projet'!$E$15+1,1))-AVERAGE(OFFSET($H$3,0,0,'Données projet'!$E$15+1,1))</f>
        <v>259.30247982593914</v>
      </c>
      <c r="EP163" s="59">
        <f t="shared" si="154"/>
        <v>275.24740346220779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0.4905828016541281</v>
      </c>
      <c r="EX163" s="21">
        <f>EXP(-LN(2)/2)*EX162+(1-EXP(-LN(2)/2))/(LN(2)/2)*ER163*EU163*VLOOKUP('Données projet'!$B$15,Paramètres!$A$1:$I$89,3,0)*0.475*44/12</f>
        <v>7.7738570197709508E-19</v>
      </c>
      <c r="EY163" s="22">
        <f t="shared" si="181"/>
        <v>0.4905828016541281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-5.6843418860808015E-13</v>
      </c>
      <c r="FF163" s="17">
        <f>FE163*VLOOKUP('Données projet'!$B$16,Paramètres!$A$1:$I$89,3,0)*VLOOKUP('Données projet'!$B$16,Paramètres!$A$1:$I$89,5,0)</f>
        <v>-5.763922672485933E-13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372.91317851957336</v>
      </c>
      <c r="FK163" s="59">
        <f t="shared" si="156"/>
        <v>269.69187715858413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0.2056506731959184</v>
      </c>
      <c r="FR163" s="21">
        <f>EXP(-LN(2)/25)*FR162+(1-EXP(-LN(2)/25))/(LN(2)/25)*Calculateur!FM163*Calculateur!FO163*VLOOKUP('Données projet'!$B$16,Paramètres!$A$1:$I$89,3,0)*0.475*44/12</f>
        <v>0.4132808703942969</v>
      </c>
      <c r="FS163" s="21">
        <f>EXP(-LN(2)/2)*FS162+(1-EXP(-LN(2)/2))/(LN(2)/2)*FM163*FP163*VLOOKUP('Données projet'!$B$16,Paramètres!$A$1:$I$89,3,0)*0.475*44/12</f>
        <v>6.6038449722024236E-19</v>
      </c>
      <c r="FT163" s="22">
        <f t="shared" si="184"/>
        <v>0.61893154359021529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-1.1368683772161603E-13</v>
      </c>
      <c r="GA163" s="17">
        <f>FZ163*VLOOKUP('Données projet'!$B$17,Paramètres!$A$1:$I$89,3,0)*VLOOKUP('Données projet'!$B$17,Paramètres!$A$1:$I$89,5,0)</f>
        <v>-5.3205440053716299E-14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215.23235148064941</v>
      </c>
      <c r="GF163" s="59">
        <f t="shared" si="158"/>
        <v>184.07239726900434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0.23881861080234426</v>
      </c>
      <c r="GM163" s="21">
        <f>EXP(-LN(2)/25)*GM162+(1-EXP(-LN(2)/25))/(LN(2)/25)*Calculateur!GH163*Calculateur!GJ163*VLOOKUP('Données projet'!$B$17,Paramètres!$A$1:$I$89,3,0)*0.475*44/12</f>
        <v>0.21370559119754465</v>
      </c>
      <c r="GN163" s="21">
        <f>EXP(-LN(2)/2)*GN162+(1-EXP(-LN(2)/2))/(LN(2)/2)*GH163*GK163*VLOOKUP('Données projet'!$B$17,Paramètres!$A$1:$I$89,3,0)*0.475*44/12</f>
        <v>2.6650167750494487E-19</v>
      </c>
      <c r="GO163" s="21">
        <f t="shared" si="187"/>
        <v>0.45252420199988891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-1.1368683772161603E-13</v>
      </c>
      <c r="GV163" s="17">
        <f>GU163*VLOOKUP('Données projet'!$B$18,Paramètres!$A$1:$I$89,3,0)*VLOOKUP('Données projet'!$B$18,Paramètres!$A$1:$I$89,5,0)</f>
        <v>-6.7984728957526396E-14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227.89848316900191</v>
      </c>
      <c r="HA163" s="59">
        <f t="shared" si="160"/>
        <v>239.85955661394541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0.60509121344197003</v>
      </c>
      <c r="HH163" s="21">
        <f>EXP(-LN(2)/25)*HH162+(1-EXP(-LN(2)/25))/(LN(2)/25)*Calculateur!HC163*Calculateur!HE163*VLOOKUP('Données projet'!$B$18,Paramètres!$A$1:$I$89,3,0)*0.475*44/12</f>
        <v>0.46638597314385505</v>
      </c>
      <c r="HI163" s="21">
        <f>EXP(-LN(2)/2)*HI162+(1-EXP(-LN(2)/2))/(LN(2)/2)*HC163*HF163*VLOOKUP('Données projet'!$B$18,Paramètres!$A$1:$I$89,3,0)*0.475*44/12</f>
        <v>1.8170064553957435E-19</v>
      </c>
      <c r="HJ163" s="22">
        <f t="shared" si="190"/>
        <v>1.071477186585825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2.5420376914553347E-13</v>
      </c>
      <c r="P164" s="13">
        <f t="shared" si="141"/>
        <v>3.4258699088369875E-12</v>
      </c>
      <c r="Q164" s="20">
        <f t="shared" si="162"/>
        <v>6.4094616558195571E-12</v>
      </c>
      <c r="R164" s="59">
        <f t="shared" si="109"/>
        <v>293.33333333333974</v>
      </c>
      <c r="S164" s="59">
        <f ca="1">AVERAGE(OFFSET($R$3,0,0,'Données projet'!$E$9+1,1))-AVERAGE(OFFSET($H$3,0,0,'Données projet'!$E$9+1,1))</f>
        <v>370.69652285220093</v>
      </c>
      <c r="T164" s="59">
        <f t="shared" si="142"/>
        <v>376.53494965377718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0.76769926553761814</v>
      </c>
      <c r="AA164" s="21">
        <f>EXP(-LN(2)/25)*AA163+(1-EXP(-LN(2)/25))/(LN(2)/25)*Calculateur!V164*Calculateur!X164*VLOOKUP('Données projet'!$B$9,Paramètres!$A$1:$I$89,3,0)*0.475*44/12</f>
        <v>0.88394015185153296</v>
      </c>
      <c r="AB164" s="21">
        <f>EXP(-LN(2)/2)*AB163+(1-EXP(-LN(2)/2))/(LN(2)/2)*V164*Y164*VLOOKUP('Données projet'!$B$9,Paramètres!$A$1:$I$89,3,0)*0.475*44/12</f>
        <v>6.2730415626124547E-19</v>
      </c>
      <c r="AC164" s="22">
        <f t="shared" si="163"/>
        <v>1.6516394173891511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-5.6843418860808015E-13</v>
      </c>
      <c r="AJ164" s="13">
        <f>AI164*VLOOKUP('Données projet'!$B$10,Paramètres!$A$1:$I$89,3,0)*VLOOKUP('Données projet'!$B$10,Paramètres!$A$1:$I$89,5,0)</f>
        <v>-5.1431925385259092E-13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321.03881567735544</v>
      </c>
      <c r="AO164" s="59">
        <f t="shared" si="144"/>
        <v>234.87694492493506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0.17990528242901743</v>
      </c>
      <c r="AV164" s="21">
        <f>EXP(-LN(2)/25)*AV163+(1-EXP(-LN(2)/25))/(LN(2)/25)*Calculateur!AQ164*Calculateur!AS164*VLOOKUP('Données projet'!$B$10,Paramètres!$A$1:$I$89,3,0)*0.475*44/12</f>
        <v>0.35868956352419057</v>
      </c>
      <c r="AW164" s="21">
        <f>EXP(-LN(2)/2)*AW163+(1-EXP(-LN(2)/2))/(LN(2)/2)*AQ164*AT164*VLOOKUP('Données projet'!$B$10,Paramètres!$A$1:$I$89,3,0)*0.475*44/12</f>
        <v>4.1667410243298991E-19</v>
      </c>
      <c r="AX164" s="21">
        <f t="shared" si="166"/>
        <v>0.53859484595320795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3.1036506698001181E-13</v>
      </c>
      <c r="BF164" s="13">
        <f t="shared" si="167"/>
        <v>4.086682523110923E-12</v>
      </c>
      <c r="BG164" s="20">
        <f t="shared" si="168"/>
        <v>7.6581912194083782E-12</v>
      </c>
      <c r="BH164" s="59">
        <f t="shared" si="116"/>
        <v>293.33333333334099</v>
      </c>
      <c r="BI164" s="59">
        <f ca="1">AVERAGE(OFFSET($BH$3,0,0,'Données projet'!$E$11+1,1))-AVERAGE(OFFSET($H$3,0,0,'Données projet'!$E$11+1,1))</f>
        <v>248.1486444660062</v>
      </c>
      <c r="BJ164" s="59">
        <f t="shared" si="146"/>
        <v>293.34458072322127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0.63623279511785658</v>
      </c>
      <c r="BQ164" s="21">
        <f>EXP(-LN(2)/25)*BQ163+(1-EXP(-LN(2)/25))/(LN(2)/25)*Calculateur!BL164*Calculateur!BN164*VLOOKUP('Données projet'!$B$11,Paramètres!$A$1:$I$89,3,0)*0.475*44/12</f>
        <v>0.90066551753664847</v>
      </c>
      <c r="BR164" s="21">
        <f>EXP(-LN(2)/2)*BR163+(1-EXP(-LN(2)/2))/(LN(2)/2)*BL164*BO164*VLOOKUP('Données projet'!$B$11,Paramètres!$A$1:$I$89,3,0)*0.475*44/12</f>
        <v>4.8265060222549878E-19</v>
      </c>
      <c r="BS164" s="22">
        <f t="shared" si="169"/>
        <v>1.536898312654505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243.38048563215585</v>
      </c>
      <c r="CE164" s="59">
        <f t="shared" si="148"/>
        <v>372.1604147006675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0.54591947771563976</v>
      </c>
      <c r="CL164" s="21">
        <f>EXP(-LN(2)/25)*CL163+(1-EXP(-LN(2)/25))/(LN(2)/25)*Calculateur!CG164*Calculateur!CI164*VLOOKUP('Données projet'!$B$12,Paramètres!$A$1:$I$89,3,0)*0.475*44/12</f>
        <v>0.51234517492044929</v>
      </c>
      <c r="CM164" s="21">
        <f>EXP(-LN(2)/2)*CM163+(1-EXP(-LN(2)/2))/(LN(2)/2)*CG164*CJ164*VLOOKUP('Données projet'!$B$12,Paramètres!$A$1:$I$89,3,0)*0.475*44/12</f>
        <v>5.6185504132518542E-19</v>
      </c>
      <c r="CN164" s="22">
        <f t="shared" si="172"/>
        <v>1.058264652636089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7.9580786405131221E-13</v>
      </c>
      <c r="CU164" s="17">
        <f>CT164*VLOOKUP('Données projet'!$B$13,Paramètres!$A$1:$I$89,3,0)*VLOOKUP('Données projet'!$B$13,Paramètres!$A$1:$I$89,5,0)</f>
        <v>3.8278358260868117E-13</v>
      </c>
      <c r="CV164" s="13">
        <f t="shared" si="173"/>
        <v>4.9186917125089072E-12</v>
      </c>
      <c r="CW164" s="20">
        <f t="shared" si="174"/>
        <v>9.2334028056631319E-12</v>
      </c>
      <c r="CX164" s="59">
        <f t="shared" si="122"/>
        <v>293.33333333334252</v>
      </c>
      <c r="CY164" s="59">
        <f ca="1">AVERAGE(OFFSET($CX$3,0,0,'Données projet'!$E$13+1,1))-AVERAGE(OFFSET($H$3,0,0,'Données projet'!$E$13+1,1))</f>
        <v>297.21955661193238</v>
      </c>
      <c r="CZ164" s="59">
        <f t="shared" si="150"/>
        <v>273.69206144662144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0.50329785736242527</v>
      </c>
      <c r="DG164" s="21">
        <f>EXP(-LN(2)/25)*DG163+(1-EXP(-LN(2)/25))/(LN(2)/25)*Calculateur!DB164*Calculateur!DD164*VLOOKUP('Données projet'!$B$13,Paramètres!$A$1:$I$89,3,0)*0.475*44/12</f>
        <v>0.3551867949010109</v>
      </c>
      <c r="DH164" s="21">
        <f>EXP(-LN(2)/2)*DH163+(1-EXP(-LN(2)/2))/(LN(2)/2)*DB164*DE164*VLOOKUP('Données projet'!$B$13,Paramètres!$A$1:$I$89,3,0)*0.475*44/12</f>
        <v>4.0081791443793211E-19</v>
      </c>
      <c r="DI164" s="22">
        <f t="shared" si="175"/>
        <v>0.85848465226343618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-4.0702161641092972E-13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260.20517190557814</v>
      </c>
      <c r="DU164" s="59">
        <f t="shared" si="152"/>
        <v>307.22009971147133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0.24372693384404312</v>
      </c>
      <c r="EB164" s="21">
        <f>EXP(-LN(2)/25)*EB163+(1-EXP(-LN(2)/25))/(LN(2)/25)*Calculateur!DW164*Calculateur!DY164*VLOOKUP('Données projet'!$B$14,Paramètres!$A$1:$I$89,3,0)*0.475*44/12</f>
        <v>0.54296491933634994</v>
      </c>
      <c r="EC164" s="21">
        <f>EXP(-LN(2)/2)*EC163+(1-EXP(-LN(2)/2))/(LN(2)/2)*DW164*DZ164*VLOOKUP('Données projet'!$B$14,Paramètres!$A$1:$I$89,3,0)*0.475*44/12</f>
        <v>4.6073616203973599E-19</v>
      </c>
      <c r="ED164" s="22">
        <f t="shared" si="178"/>
        <v>0.78669185318039303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1.1368683772161603E-13</v>
      </c>
      <c r="EK164" s="17">
        <f>EJ164*VLOOKUP('Données projet'!$B$15,Paramètres!$A$1:$I$89,3,0)*VLOOKUP('Données projet'!$B$15,Paramètres!$A$1:$I$89,5,0)</f>
        <v>6.7984728957526396E-14</v>
      </c>
      <c r="EL164" s="13">
        <f t="shared" si="179"/>
        <v>1.0682447123141398E-12</v>
      </c>
      <c r="EM164" s="20">
        <f t="shared" si="180"/>
        <v>1.978932943548152E-12</v>
      </c>
      <c r="EN164" s="59">
        <f t="shared" si="128"/>
        <v>293.3333333333353</v>
      </c>
      <c r="EO164" s="59">
        <f ca="1">AVERAGE(OFFSET($EN$3,0,0,'Données projet'!$E$15+1,1))-AVERAGE(OFFSET($H$3,0,0,'Données projet'!$E$15+1,1))</f>
        <v>259.30247982593914</v>
      </c>
      <c r="EP164" s="59">
        <f t="shared" si="154"/>
        <v>275.24740346220779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0.47716778914426766</v>
      </c>
      <c r="EX164" s="21">
        <f>EXP(-LN(2)/2)*EX163+(1-EXP(-LN(2)/2))/(LN(2)/2)*ER164*EU164*VLOOKUP('Données projet'!$B$15,Paramètres!$A$1:$I$89,3,0)*0.475*44/12</f>
        <v>5.496947014654684E-19</v>
      </c>
      <c r="EY164" s="22">
        <f t="shared" si="181"/>
        <v>0.47716778914426766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-5.6843418860808015E-13</v>
      </c>
      <c r="FF164" s="17">
        <f>FE164*VLOOKUP('Données projet'!$B$16,Paramètres!$A$1:$I$89,3,0)*VLOOKUP('Données projet'!$B$16,Paramètres!$A$1:$I$89,5,0)</f>
        <v>-5.763922672485933E-13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372.91317851957336</v>
      </c>
      <c r="FK164" s="59">
        <f t="shared" si="156"/>
        <v>269.69187715858413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0.20161798892907146</v>
      </c>
      <c r="FR164" s="21">
        <f>EXP(-LN(2)/25)*FR163+(1-EXP(-LN(2)/25))/(LN(2)/25)*Calculateur!FM164*Calculateur!FO164*VLOOKUP('Données projet'!$B$16,Paramètres!$A$1:$I$89,3,0)*0.475*44/12</f>
        <v>0.40197968325986844</v>
      </c>
      <c r="FS164" s="21">
        <f>EXP(-LN(2)/2)*FS163+(1-EXP(-LN(2)/2))/(LN(2)/2)*FM164*FP164*VLOOKUP('Données projet'!$B$16,Paramètres!$A$1:$I$89,3,0)*0.475*44/12</f>
        <v>4.6696235617490211E-19</v>
      </c>
      <c r="FT164" s="22">
        <f t="shared" si="184"/>
        <v>0.60359767218893989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-1.1368683772161603E-13</v>
      </c>
      <c r="GA164" s="17">
        <f>FZ164*VLOOKUP('Données projet'!$B$17,Paramètres!$A$1:$I$89,3,0)*VLOOKUP('Données projet'!$B$17,Paramètres!$A$1:$I$89,5,0)</f>
        <v>-5.3205440053716299E-14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215.23235148064941</v>
      </c>
      <c r="GF164" s="59">
        <f t="shared" si="158"/>
        <v>184.07239726900434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0.23413552350947966</v>
      </c>
      <c r="GM164" s="21">
        <f>EXP(-LN(2)/25)*GM163+(1-EXP(-LN(2)/25))/(LN(2)/25)*Calculateur!GH164*Calculateur!GJ164*VLOOKUP('Données projet'!$B$17,Paramètres!$A$1:$I$89,3,0)*0.475*44/12</f>
        <v>0.20786180056795917</v>
      </c>
      <c r="GN164" s="21">
        <f>EXP(-LN(2)/2)*GN163+(1-EXP(-LN(2)/2))/(LN(2)/2)*GH164*GK164*VLOOKUP('Données projet'!$B$17,Paramètres!$A$1:$I$89,3,0)*0.475*44/12</f>
        <v>1.8844514336133691E-19</v>
      </c>
      <c r="GO164" s="21">
        <f t="shared" si="187"/>
        <v>0.44199732407743886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-1.1368683772161603E-13</v>
      </c>
      <c r="GV164" s="17">
        <f>GU164*VLOOKUP('Données projet'!$B$18,Paramètres!$A$1:$I$89,3,0)*VLOOKUP('Données projet'!$B$18,Paramètres!$A$1:$I$89,5,0)</f>
        <v>-6.7984728957526396E-14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227.89848316900191</v>
      </c>
      <c r="HA164" s="59">
        <f t="shared" si="160"/>
        <v>239.85955661394541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0.59322574381557069</v>
      </c>
      <c r="HH164" s="21">
        <f>EXP(-LN(2)/25)*HH163+(1-EXP(-LN(2)/25))/(LN(2)/25)*Calculateur!HC164*Calculateur!HE164*VLOOKUP('Données projet'!$B$18,Paramètres!$A$1:$I$89,3,0)*0.475*44/12</f>
        <v>0.45363262418206396</v>
      </c>
      <c r="HI164" s="21">
        <f>EXP(-LN(2)/2)*HI163+(1-EXP(-LN(2)/2))/(LN(2)/2)*HC164*HF164*VLOOKUP('Données projet'!$B$18,Paramètres!$A$1:$I$89,3,0)*0.475*44/12</f>
        <v>1.2848175860700623E-19</v>
      </c>
      <c r="HJ164" s="22">
        <f t="shared" si="190"/>
        <v>1.0468583679976347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2.5420376914553347E-13</v>
      </c>
      <c r="P165" s="13">
        <f t="shared" si="141"/>
        <v>3.4258699088369875E-12</v>
      </c>
      <c r="Q165" s="20">
        <f t="shared" si="162"/>
        <v>6.4094616558195571E-12</v>
      </c>
      <c r="R165" s="59">
        <f t="shared" si="109"/>
        <v>293.33333333333974</v>
      </c>
      <c r="S165" s="59">
        <f ca="1">AVERAGE(OFFSET($R$3,0,0,'Données projet'!$E$9+1,1))-AVERAGE(OFFSET($H$3,0,0,'Données projet'!$E$9+1,1))</f>
        <v>370.69652285220093</v>
      </c>
      <c r="T165" s="59">
        <f t="shared" si="142"/>
        <v>376.53494965377718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0.75264515119074149</v>
      </c>
      <c r="AA165" s="21">
        <f>EXP(-LN(2)/25)*AA164+(1-EXP(-LN(2)/25))/(LN(2)/25)*Calculateur!V165*Calculateur!X165*VLOOKUP('Données projet'!$B$9,Paramètres!$A$1:$I$89,3,0)*0.475*44/12</f>
        <v>0.85976876191476048</v>
      </c>
      <c r="AB165" s="21">
        <f>EXP(-LN(2)/2)*AB164+(1-EXP(-LN(2)/2))/(LN(2)/2)*V165*Y165*VLOOKUP('Données projet'!$B$9,Paramètres!$A$1:$I$89,3,0)*0.475*44/12</f>
        <v>4.435710227588323E-19</v>
      </c>
      <c r="AC165" s="22">
        <f t="shared" si="163"/>
        <v>1.612413913105502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-5.6843418860808015E-13</v>
      </c>
      <c r="AJ165" s="13">
        <f>AI165*VLOOKUP('Données projet'!$B$10,Paramètres!$A$1:$I$89,3,0)*VLOOKUP('Données projet'!$B$10,Paramètres!$A$1:$I$89,5,0)</f>
        <v>-5.1431925385259092E-13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321.03881567735544</v>
      </c>
      <c r="AO165" s="59">
        <f t="shared" si="144"/>
        <v>234.87694492493506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0.1763774495719716</v>
      </c>
      <c r="AV165" s="21">
        <f>EXP(-LN(2)/25)*AV164+(1-EXP(-LN(2)/25))/(LN(2)/25)*Calculateur!AQ165*Calculateur!AS165*VLOOKUP('Données projet'!$B$10,Paramètres!$A$1:$I$89,3,0)*0.475*44/12</f>
        <v>0.34888117854695722</v>
      </c>
      <c r="AW165" s="21">
        <f>EXP(-LN(2)/2)*AW164+(1-EXP(-LN(2)/2))/(LN(2)/2)*AQ165*AT165*VLOOKUP('Données projet'!$B$10,Paramètres!$A$1:$I$89,3,0)*0.475*44/12</f>
        <v>2.9463308337518528E-19</v>
      </c>
      <c r="AX165" s="21">
        <f t="shared" si="166"/>
        <v>0.52525862811892887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3.1036506698001181E-13</v>
      </c>
      <c r="BF165" s="13">
        <f t="shared" si="167"/>
        <v>4.086682523110923E-12</v>
      </c>
      <c r="BG165" s="20">
        <f t="shared" si="168"/>
        <v>7.6581912194083782E-12</v>
      </c>
      <c r="BH165" s="59">
        <f t="shared" si="116"/>
        <v>293.33333333334099</v>
      </c>
      <c r="BI165" s="59">
        <f ca="1">AVERAGE(OFFSET($BH$3,0,0,'Données projet'!$E$11+1,1))-AVERAGE(OFFSET($H$3,0,0,'Données projet'!$E$11+1,1))</f>
        <v>248.1486444660062</v>
      </c>
      <c r="BJ165" s="59">
        <f t="shared" si="146"/>
        <v>293.34458072322127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0.62375665806928238</v>
      </c>
      <c r="BQ165" s="21">
        <f>EXP(-LN(2)/25)*BQ164+(1-EXP(-LN(2)/25))/(LN(2)/25)*Calculateur!BL165*Calculateur!BN165*VLOOKUP('Données projet'!$B$11,Paramètres!$A$1:$I$89,3,0)*0.475*44/12</f>
        <v>0.87603677159566773</v>
      </c>
      <c r="BR165" s="21">
        <f>EXP(-LN(2)/2)*BR164+(1-EXP(-LN(2)/2))/(LN(2)/2)*BL165*BO165*VLOOKUP('Données projet'!$B$11,Paramètres!$A$1:$I$89,3,0)*0.475*44/12</f>
        <v>3.4128551377742116E-19</v>
      </c>
      <c r="BS165" s="22">
        <f t="shared" si="169"/>
        <v>1.4997934296649502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243.38048563215585</v>
      </c>
      <c r="CE165" s="59">
        <f t="shared" si="148"/>
        <v>372.1604147006675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0.53521432973563865</v>
      </c>
      <c r="CL165" s="21">
        <f>EXP(-LN(2)/25)*CL164+(1-EXP(-LN(2)/25))/(LN(2)/25)*Calculateur!CG165*Calculateur!CI165*VLOOKUP('Données projet'!$B$12,Paramètres!$A$1:$I$89,3,0)*0.475*44/12</f>
        <v>0.49833506916918785</v>
      </c>
      <c r="CM165" s="21">
        <f>EXP(-LN(2)/2)*CM164+(1-EXP(-LN(2)/2))/(LN(2)/2)*CG165*CJ165*VLOOKUP('Données projet'!$B$12,Paramètres!$A$1:$I$89,3,0)*0.475*44/12</f>
        <v>3.9729150976488651E-19</v>
      </c>
      <c r="CN165" s="22">
        <f t="shared" si="172"/>
        <v>1.0335493989048266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7.9580786405131221E-13</v>
      </c>
      <c r="CU165" s="17">
        <f>CT165*VLOOKUP('Données projet'!$B$13,Paramètres!$A$1:$I$89,3,0)*VLOOKUP('Données projet'!$B$13,Paramètres!$A$1:$I$89,5,0)</f>
        <v>3.8278358260868117E-13</v>
      </c>
      <c r="CV165" s="13">
        <f t="shared" si="173"/>
        <v>4.9186917125089072E-12</v>
      </c>
      <c r="CW165" s="20">
        <f t="shared" si="174"/>
        <v>9.2334028056631319E-12</v>
      </c>
      <c r="CX165" s="59">
        <f t="shared" si="122"/>
        <v>293.33333333334252</v>
      </c>
      <c r="CY165" s="59">
        <f ca="1">AVERAGE(OFFSET($CX$3,0,0,'Données projet'!$E$13+1,1))-AVERAGE(OFFSET($H$3,0,0,'Données projet'!$E$13+1,1))</f>
        <v>297.21955661193238</v>
      </c>
      <c r="CZ165" s="59">
        <f t="shared" si="150"/>
        <v>273.69206144662144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0.4934284933609292</v>
      </c>
      <c r="DG165" s="21">
        <f>EXP(-LN(2)/25)*DG164+(1-EXP(-LN(2)/25))/(LN(2)/25)*Calculateur!DB165*Calculateur!DD165*VLOOKUP('Données projet'!$B$13,Paramètres!$A$1:$I$89,3,0)*0.475*44/12</f>
        <v>0.345474193315981</v>
      </c>
      <c r="DH165" s="21">
        <f>EXP(-LN(2)/2)*DH164+(1-EXP(-LN(2)/2))/(LN(2)/2)*DB165*DE165*VLOOKUP('Données projet'!$B$13,Paramètres!$A$1:$I$89,3,0)*0.475*44/12</f>
        <v>2.8342106532011119E-19</v>
      </c>
      <c r="DI165" s="22">
        <f t="shared" si="175"/>
        <v>0.83890268667691026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-4.0702161641092972E-13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260.20517190557814</v>
      </c>
      <c r="DU165" s="59">
        <f t="shared" si="152"/>
        <v>307.22009971147133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0.23894759733011225</v>
      </c>
      <c r="EB165" s="21">
        <f>EXP(-LN(2)/25)*EB164+(1-EXP(-LN(2)/25))/(LN(2)/25)*Calculateur!DW165*Calculateur!DY165*VLOOKUP('Données projet'!$B$14,Paramètres!$A$1:$I$89,3,0)*0.475*44/12</f>
        <v>0.52811751506381333</v>
      </c>
      <c r="EC165" s="21">
        <f>EXP(-LN(2)/2)*EC164+(1-EXP(-LN(2)/2))/(LN(2)/2)*DW165*DZ165*VLOOKUP('Données projet'!$B$14,Paramètres!$A$1:$I$89,3,0)*0.475*44/12</f>
        <v>3.2578966451616131E-19</v>
      </c>
      <c r="ED165" s="22">
        <f t="shared" si="178"/>
        <v>0.76706511239392561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1.1368683772161603E-13</v>
      </c>
      <c r="EK165" s="17">
        <f>EJ165*VLOOKUP('Données projet'!$B$15,Paramètres!$A$1:$I$89,3,0)*VLOOKUP('Données projet'!$B$15,Paramètres!$A$1:$I$89,5,0)</f>
        <v>6.7984728957526396E-14</v>
      </c>
      <c r="EL165" s="13">
        <f t="shared" si="179"/>
        <v>1.0682447123141398E-12</v>
      </c>
      <c r="EM165" s="20">
        <f t="shared" si="180"/>
        <v>1.978932943548152E-12</v>
      </c>
      <c r="EN165" s="59">
        <f t="shared" si="128"/>
        <v>293.3333333333353</v>
      </c>
      <c r="EO165" s="59">
        <f ca="1">AVERAGE(OFFSET($EN$3,0,0,'Données projet'!$E$15+1,1))-AVERAGE(OFFSET($H$3,0,0,'Données projet'!$E$15+1,1))</f>
        <v>259.30247982593914</v>
      </c>
      <c r="EP165" s="59">
        <f t="shared" si="154"/>
        <v>275.24740346220779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0.46411961085695419</v>
      </c>
      <c r="EX165" s="21">
        <f>EXP(-LN(2)/2)*EX164+(1-EXP(-LN(2)/2))/(LN(2)/2)*ER165*EU165*VLOOKUP('Données projet'!$B$15,Paramètres!$A$1:$I$89,3,0)*0.475*44/12</f>
        <v>3.8869285098854754E-19</v>
      </c>
      <c r="EY165" s="22">
        <f t="shared" si="181"/>
        <v>0.46411961085695419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-5.6843418860808015E-13</v>
      </c>
      <c r="FF165" s="17">
        <f>FE165*VLOOKUP('Données projet'!$B$16,Paramètres!$A$1:$I$89,3,0)*VLOOKUP('Données projet'!$B$16,Paramètres!$A$1:$I$89,5,0)</f>
        <v>-5.763922672485933E-13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372.91317851957336</v>
      </c>
      <c r="FK165" s="59">
        <f t="shared" si="156"/>
        <v>269.69187715858413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0.19766438314100285</v>
      </c>
      <c r="FR165" s="21">
        <f>EXP(-LN(2)/25)*FR164+(1-EXP(-LN(2)/25))/(LN(2)/25)*Calculateur!FM165*Calculateur!FO165*VLOOKUP('Données projet'!$B$16,Paramètres!$A$1:$I$89,3,0)*0.475*44/12</f>
        <v>0.39098752768193451</v>
      </c>
      <c r="FS165" s="21">
        <f>EXP(-LN(2)/2)*FS164+(1-EXP(-LN(2)/2))/(LN(2)/2)*FM165*FP165*VLOOKUP('Données projet'!$B$16,Paramètres!$A$1:$I$89,3,0)*0.475*44/12</f>
        <v>3.3019224861012118E-19</v>
      </c>
      <c r="FT165" s="22">
        <f t="shared" si="184"/>
        <v>0.58865191082293733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-1.1368683772161603E-13</v>
      </c>
      <c r="GA165" s="17">
        <f>FZ165*VLOOKUP('Données projet'!$B$17,Paramètres!$A$1:$I$89,3,0)*VLOOKUP('Données projet'!$B$17,Paramètres!$A$1:$I$89,5,0)</f>
        <v>-5.3205440053716299E-14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215.23235148064941</v>
      </c>
      <c r="GF165" s="59">
        <f t="shared" si="158"/>
        <v>184.07239726900434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0.22954426870202693</v>
      </c>
      <c r="GM165" s="21">
        <f>EXP(-LN(2)/25)*GM164+(1-EXP(-LN(2)/25))/(LN(2)/25)*Calculateur!GH165*Calculateur!GJ165*VLOOKUP('Données projet'!$B$17,Paramètres!$A$1:$I$89,3,0)*0.475*44/12</f>
        <v>0.20217780870045129</v>
      </c>
      <c r="GN165" s="21">
        <f>EXP(-LN(2)/2)*GN164+(1-EXP(-LN(2)/2))/(LN(2)/2)*GH165*GK165*VLOOKUP('Données projet'!$B$17,Paramètres!$A$1:$I$89,3,0)*0.475*44/12</f>
        <v>1.3325083875247244E-19</v>
      </c>
      <c r="GO165" s="21">
        <f t="shared" si="187"/>
        <v>0.43172207740247825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-1.1368683772161603E-13</v>
      </c>
      <c r="GV165" s="17">
        <f>GU165*VLOOKUP('Données projet'!$B$18,Paramètres!$A$1:$I$89,3,0)*VLOOKUP('Données projet'!$B$18,Paramètres!$A$1:$I$89,5,0)</f>
        <v>-6.7984728957526396E-14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227.89848316900191</v>
      </c>
      <c r="HA165" s="59">
        <f t="shared" si="160"/>
        <v>239.85955661394541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0.58159294881132317</v>
      </c>
      <c r="HH165" s="21">
        <f>EXP(-LN(2)/25)*HH164+(1-EXP(-LN(2)/25))/(LN(2)/25)*Calculateur!HC165*Calculateur!HE165*VLOOKUP('Données projet'!$B$18,Paramètres!$A$1:$I$89,3,0)*0.475*44/12</f>
        <v>0.44122801621830249</v>
      </c>
      <c r="HI165" s="21">
        <f>EXP(-LN(2)/2)*HI164+(1-EXP(-LN(2)/2))/(LN(2)/2)*HC165*HF165*VLOOKUP('Données projet'!$B$18,Paramètres!$A$1:$I$89,3,0)*0.475*44/12</f>
        <v>9.0850322769787174E-20</v>
      </c>
      <c r="HJ165" s="22">
        <f t="shared" si="190"/>
        <v>1.0228209650296256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2.5420376914553347E-13</v>
      </c>
      <c r="P166" s="13">
        <f t="shared" si="141"/>
        <v>3.4258699088369875E-12</v>
      </c>
      <c r="Q166" s="20">
        <f t="shared" si="162"/>
        <v>6.4094616558195571E-12</v>
      </c>
      <c r="R166" s="59">
        <f t="shared" si="109"/>
        <v>293.33333333333974</v>
      </c>
      <c r="S166" s="59">
        <f ca="1">AVERAGE(OFFSET($R$3,0,0,'Données projet'!$E$9+1,1))-AVERAGE(OFFSET($H$3,0,0,'Données projet'!$E$9+1,1))</f>
        <v>370.69652285220093</v>
      </c>
      <c r="T166" s="59">
        <f t="shared" si="142"/>
        <v>376.53494965377718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0.73788623884410409</v>
      </c>
      <c r="AA166" s="21">
        <f>EXP(-LN(2)/25)*AA165+(1-EXP(-LN(2)/25))/(LN(2)/25)*Calculateur!V166*Calculateur!X166*VLOOKUP('Données projet'!$B$9,Paramètres!$A$1:$I$89,3,0)*0.475*44/12</f>
        <v>0.83625833990692722</v>
      </c>
      <c r="AB166" s="21">
        <f>EXP(-LN(2)/2)*AB165+(1-EXP(-LN(2)/2))/(LN(2)/2)*V166*Y166*VLOOKUP('Données projet'!$B$9,Paramètres!$A$1:$I$89,3,0)*0.475*44/12</f>
        <v>3.1365207813062274E-19</v>
      </c>
      <c r="AC166" s="22">
        <f t="shared" si="163"/>
        <v>1.5741445787510313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-5.6843418860808015E-13</v>
      </c>
      <c r="AJ166" s="13">
        <f>AI166*VLOOKUP('Données projet'!$B$10,Paramètres!$A$1:$I$89,3,0)*VLOOKUP('Données projet'!$B$10,Paramètres!$A$1:$I$89,5,0)</f>
        <v>-5.1431925385259092E-13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321.03881567735544</v>
      </c>
      <c r="AO166" s="59">
        <f t="shared" si="144"/>
        <v>234.87694492493506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0.17291879536548688</v>
      </c>
      <c r="AV166" s="21">
        <f>EXP(-LN(2)/25)*AV165+(1-EXP(-LN(2)/25))/(LN(2)/25)*Calculateur!AQ166*Calculateur!AS166*VLOOKUP('Données projet'!$B$10,Paramètres!$A$1:$I$89,3,0)*0.475*44/12</f>
        <v>0.33934100437272685</v>
      </c>
      <c r="AW166" s="21">
        <f>EXP(-LN(2)/2)*AW165+(1-EXP(-LN(2)/2))/(LN(2)/2)*AQ166*AT166*VLOOKUP('Données projet'!$B$10,Paramètres!$A$1:$I$89,3,0)*0.475*44/12</f>
        <v>2.0833705121649496E-19</v>
      </c>
      <c r="AX166" s="21">
        <f t="shared" si="166"/>
        <v>0.51225979973821367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3.1036506698001181E-13</v>
      </c>
      <c r="BF166" s="13">
        <f t="shared" si="167"/>
        <v>4.086682523110923E-12</v>
      </c>
      <c r="BG166" s="20">
        <f t="shared" si="168"/>
        <v>7.6581912194083782E-12</v>
      </c>
      <c r="BH166" s="59">
        <f t="shared" si="116"/>
        <v>293.33333333334099</v>
      </c>
      <c r="BI166" s="59">
        <f ca="1">AVERAGE(OFFSET($BH$3,0,0,'Données projet'!$E$11+1,1))-AVERAGE(OFFSET($H$3,0,0,'Données projet'!$E$11+1,1))</f>
        <v>248.1486444660062</v>
      </c>
      <c r="BJ166" s="59">
        <f t="shared" si="146"/>
        <v>293.34458072322127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0.61152517045853849</v>
      </c>
      <c r="BQ166" s="21">
        <f>EXP(-LN(2)/25)*BQ165+(1-EXP(-LN(2)/25))/(LN(2)/25)*Calculateur!BL166*Calculateur!BN166*VLOOKUP('Données projet'!$B$11,Paramètres!$A$1:$I$89,3,0)*0.475*44/12</f>
        <v>0.85208150000761262</v>
      </c>
      <c r="BR166" s="21">
        <f>EXP(-LN(2)/2)*BR165+(1-EXP(-LN(2)/2))/(LN(2)/2)*BL166*BO166*VLOOKUP('Données projet'!$B$11,Paramètres!$A$1:$I$89,3,0)*0.475*44/12</f>
        <v>2.4132530111274939E-19</v>
      </c>
      <c r="BS166" s="22">
        <f t="shared" si="169"/>
        <v>1.463606670466151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243.38048563215585</v>
      </c>
      <c r="CE166" s="59">
        <f t="shared" si="148"/>
        <v>372.1604147006675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0.52471910317802983</v>
      </c>
      <c r="CL166" s="21">
        <f>EXP(-LN(2)/25)*CL165+(1-EXP(-LN(2)/25))/(LN(2)/25)*Calculateur!CG166*Calculateur!CI166*VLOOKUP('Données projet'!$B$12,Paramètres!$A$1:$I$89,3,0)*0.475*44/12</f>
        <v>0.48470807049645409</v>
      </c>
      <c r="CM166" s="21">
        <f>EXP(-LN(2)/2)*CM165+(1-EXP(-LN(2)/2))/(LN(2)/2)*CG166*CJ166*VLOOKUP('Données projet'!$B$12,Paramètres!$A$1:$I$89,3,0)*0.475*44/12</f>
        <v>2.8092752066259271E-19</v>
      </c>
      <c r="CN166" s="22">
        <f t="shared" si="172"/>
        <v>1.009427173674484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7.9580786405131221E-13</v>
      </c>
      <c r="CU166" s="17">
        <f>CT166*VLOOKUP('Données projet'!$B$13,Paramètres!$A$1:$I$89,3,0)*VLOOKUP('Données projet'!$B$13,Paramètres!$A$1:$I$89,5,0)</f>
        <v>3.8278358260868117E-13</v>
      </c>
      <c r="CV166" s="13">
        <f t="shared" si="173"/>
        <v>4.9186917125089072E-12</v>
      </c>
      <c r="CW166" s="20">
        <f t="shared" si="174"/>
        <v>9.2334028056631319E-12</v>
      </c>
      <c r="CX166" s="59">
        <f t="shared" si="122"/>
        <v>293.33333333334252</v>
      </c>
      <c r="CY166" s="59">
        <f ca="1">AVERAGE(OFFSET($CX$3,0,0,'Données projet'!$E$13+1,1))-AVERAGE(OFFSET($H$3,0,0,'Données projet'!$E$13+1,1))</f>
        <v>297.21955661193238</v>
      </c>
      <c r="CZ166" s="59">
        <f t="shared" si="150"/>
        <v>273.69206144662144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0.48375266156778485</v>
      </c>
      <c r="DG166" s="21">
        <f>EXP(-LN(2)/25)*DG165+(1-EXP(-LN(2)/25))/(LN(2)/25)*Calculateur!DB166*Calculateur!DD166*VLOOKUP('Données projet'!$B$13,Paramètres!$A$1:$I$89,3,0)*0.475*44/12</f>
        <v>0.33602718333205728</v>
      </c>
      <c r="DH166" s="21">
        <f>EXP(-LN(2)/2)*DH165+(1-EXP(-LN(2)/2))/(LN(2)/2)*DB166*DE166*VLOOKUP('Données projet'!$B$13,Paramètres!$A$1:$I$89,3,0)*0.475*44/12</f>
        <v>2.0040895721896606E-19</v>
      </c>
      <c r="DI166" s="22">
        <f t="shared" si="175"/>
        <v>0.81977984489984213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-4.0702161641092972E-13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260.20517190557814</v>
      </c>
      <c r="DU166" s="59">
        <f t="shared" si="152"/>
        <v>307.22009971147133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0.23426198069011214</v>
      </c>
      <c r="EB166" s="21">
        <f>EXP(-LN(2)/25)*EB165+(1-EXP(-LN(2)/25))/(LN(2)/25)*Calculateur!DW166*Calculateur!DY166*VLOOKUP('Données projet'!$B$14,Paramètres!$A$1:$I$89,3,0)*0.475*44/12</f>
        <v>0.51367611384190026</v>
      </c>
      <c r="EC166" s="21">
        <f>EXP(-LN(2)/2)*EC165+(1-EXP(-LN(2)/2))/(LN(2)/2)*DW166*DZ166*VLOOKUP('Données projet'!$B$14,Paramètres!$A$1:$I$89,3,0)*0.475*44/12</f>
        <v>2.30368081019868E-19</v>
      </c>
      <c r="ED166" s="22">
        <f t="shared" si="178"/>
        <v>0.74793809453201243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1.1368683772161603E-13</v>
      </c>
      <c r="EK166" s="17">
        <f>EJ166*VLOOKUP('Données projet'!$B$15,Paramètres!$A$1:$I$89,3,0)*VLOOKUP('Données projet'!$B$15,Paramètres!$A$1:$I$89,5,0)</f>
        <v>6.7984728957526396E-14</v>
      </c>
      <c r="EL166" s="13">
        <f t="shared" si="179"/>
        <v>1.0682447123141398E-12</v>
      </c>
      <c r="EM166" s="20">
        <f t="shared" si="180"/>
        <v>1.978932943548152E-12</v>
      </c>
      <c r="EN166" s="59">
        <f t="shared" si="128"/>
        <v>293.3333333333353</v>
      </c>
      <c r="EO166" s="59">
        <f ca="1">AVERAGE(OFFSET($EN$3,0,0,'Données projet'!$E$15+1,1))-AVERAGE(OFFSET($H$3,0,0,'Données projet'!$E$15+1,1))</f>
        <v>259.30247982593914</v>
      </c>
      <c r="EP166" s="59">
        <f t="shared" si="154"/>
        <v>275.24740346220779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0.4514282356910812</v>
      </c>
      <c r="EX166" s="21">
        <f>EXP(-LN(2)/2)*EX165+(1-EXP(-LN(2)/2))/(LN(2)/2)*ER166*EU166*VLOOKUP('Données projet'!$B$15,Paramètres!$A$1:$I$89,3,0)*0.475*44/12</f>
        <v>2.748473507327342E-19</v>
      </c>
      <c r="EY166" s="22">
        <f t="shared" si="181"/>
        <v>0.4514282356910812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-5.6843418860808015E-13</v>
      </c>
      <c r="FF166" s="17">
        <f>FE166*VLOOKUP('Données projet'!$B$16,Paramètres!$A$1:$I$89,3,0)*VLOOKUP('Données projet'!$B$16,Paramètres!$A$1:$I$89,5,0)</f>
        <v>-5.763922672485933E-13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372.91317851957336</v>
      </c>
      <c r="FK166" s="59">
        <f t="shared" si="156"/>
        <v>269.69187715858413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0.19378830515097686</v>
      </c>
      <c r="FR166" s="21">
        <f>EXP(-LN(2)/25)*FR165+(1-EXP(-LN(2)/25))/(LN(2)/25)*Calculateur!FM166*Calculateur!FO166*VLOOKUP('Données projet'!$B$16,Paramètres!$A$1:$I$89,3,0)*0.475*44/12</f>
        <v>0.38029595317633152</v>
      </c>
      <c r="FS166" s="21">
        <f>EXP(-LN(2)/2)*FS165+(1-EXP(-LN(2)/2))/(LN(2)/2)*FM166*FP166*VLOOKUP('Données projet'!$B$16,Paramètres!$A$1:$I$89,3,0)*0.475*44/12</f>
        <v>2.3348117808745106E-19</v>
      </c>
      <c r="FT166" s="22">
        <f t="shared" si="184"/>
        <v>0.57408425832730836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-1.1368683772161603E-13</v>
      </c>
      <c r="GA166" s="17">
        <f>FZ166*VLOOKUP('Données projet'!$B$17,Paramètres!$A$1:$I$89,3,0)*VLOOKUP('Données projet'!$B$17,Paramètres!$A$1:$I$89,5,0)</f>
        <v>-5.3205440053716299E-14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215.23235148064941</v>
      </c>
      <c r="GF166" s="59">
        <f t="shared" si="158"/>
        <v>184.07239726900434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0.22504304560095945</v>
      </c>
      <c r="GM166" s="21">
        <f>EXP(-LN(2)/25)*GM165+(1-EXP(-LN(2)/25))/(LN(2)/25)*Calculateur!GH166*Calculateur!GJ166*VLOOKUP('Données projet'!$B$17,Paramètres!$A$1:$I$89,3,0)*0.475*44/12</f>
        <v>0.19664924588946858</v>
      </c>
      <c r="GN166" s="21">
        <f>EXP(-LN(2)/2)*GN165+(1-EXP(-LN(2)/2))/(LN(2)/2)*GH166*GK166*VLOOKUP('Données projet'!$B$17,Paramètres!$A$1:$I$89,3,0)*0.475*44/12</f>
        <v>9.4222571680668456E-20</v>
      </c>
      <c r="GO166" s="21">
        <f t="shared" si="187"/>
        <v>0.42169229149042803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-1.1368683772161603E-13</v>
      </c>
      <c r="GV166" s="17">
        <f>GU166*VLOOKUP('Données projet'!$B$18,Paramètres!$A$1:$I$89,3,0)*VLOOKUP('Données projet'!$B$18,Paramètres!$A$1:$I$89,5,0)</f>
        <v>-6.7984728957526396E-14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227.89848316900191</v>
      </c>
      <c r="HA166" s="59">
        <f t="shared" si="160"/>
        <v>239.85955661394541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0.5701882658218046</v>
      </c>
      <c r="HH166" s="21">
        <f>EXP(-LN(2)/25)*HH165+(1-EXP(-LN(2)/25))/(LN(2)/25)*Calculateur!HC166*Calculateur!HE166*VLOOKUP('Données projet'!$B$18,Paramètres!$A$1:$I$89,3,0)*0.475*44/12</f>
        <v>0.4291626129116401</v>
      </c>
      <c r="HI166" s="21">
        <f>EXP(-LN(2)/2)*HI165+(1-EXP(-LN(2)/2))/(LN(2)/2)*HC166*HF166*VLOOKUP('Données projet'!$B$18,Paramètres!$A$1:$I$89,3,0)*0.475*44/12</f>
        <v>6.4240879303503115E-20</v>
      </c>
      <c r="HJ166" s="22">
        <f t="shared" si="190"/>
        <v>0.99935087873344464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2.5420376914553347E-13</v>
      </c>
      <c r="P167" s="13">
        <f t="shared" si="141"/>
        <v>3.4258699088369875E-12</v>
      </c>
      <c r="Q167" s="20">
        <f t="shared" si="162"/>
        <v>6.4094616558195571E-12</v>
      </c>
      <c r="R167" s="59">
        <f t="shared" si="109"/>
        <v>293.33333333333974</v>
      </c>
      <c r="S167" s="59">
        <f ca="1">AVERAGE(OFFSET($R$3,0,0,'Données projet'!$E$9+1,1))-AVERAGE(OFFSET($H$3,0,0,'Données projet'!$E$9+1,1))</f>
        <v>370.69652285220093</v>
      </c>
      <c r="T167" s="59">
        <f t="shared" si="142"/>
        <v>376.53494965377718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0.72341673976653653</v>
      </c>
      <c r="AA167" s="21">
        <f>EXP(-LN(2)/25)*AA166+(1-EXP(-LN(2)/25))/(LN(2)/25)*Calculateur!V167*Calculateur!X167*VLOOKUP('Données projet'!$B$9,Paramètres!$A$1:$I$89,3,0)*0.475*44/12</f>
        <v>0.8133908116252575</v>
      </c>
      <c r="AB167" s="21">
        <f>EXP(-LN(2)/2)*AB166+(1-EXP(-LN(2)/2))/(LN(2)/2)*V167*Y167*VLOOKUP('Données projet'!$B$9,Paramètres!$A$1:$I$89,3,0)*0.475*44/12</f>
        <v>2.2178551137941615E-19</v>
      </c>
      <c r="AC167" s="22">
        <f t="shared" si="163"/>
        <v>1.536807551391794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-5.6843418860808015E-13</v>
      </c>
      <c r="AJ167" s="13">
        <f>AI167*VLOOKUP('Données projet'!$B$10,Paramètres!$A$1:$I$89,3,0)*VLOOKUP('Données projet'!$B$10,Paramètres!$A$1:$I$89,5,0)</f>
        <v>-5.1431925385259092E-13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321.03881567735544</v>
      </c>
      <c r="AO167" s="59">
        <f t="shared" si="144"/>
        <v>234.87694492493506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0.16952796325842054</v>
      </c>
      <c r="AV167" s="21">
        <f>EXP(-LN(2)/25)*AV166+(1-EXP(-LN(2)/25))/(LN(2)/25)*Calculateur!AQ167*Calculateur!AS167*VLOOKUP('Données projet'!$B$10,Paramètres!$A$1:$I$89,3,0)*0.475*44/12</f>
        <v>0.3300617067629868</v>
      </c>
      <c r="AW167" s="21">
        <f>EXP(-LN(2)/2)*AW166+(1-EXP(-LN(2)/2))/(LN(2)/2)*AQ167*AT167*VLOOKUP('Données projet'!$B$10,Paramètres!$A$1:$I$89,3,0)*0.475*44/12</f>
        <v>1.4731654168759264E-19</v>
      </c>
      <c r="AX167" s="21">
        <f t="shared" si="166"/>
        <v>0.49958967002140731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3.1036506698001181E-13</v>
      </c>
      <c r="BF167" s="13">
        <f t="shared" si="167"/>
        <v>4.086682523110923E-12</v>
      </c>
      <c r="BG167" s="20">
        <f t="shared" si="168"/>
        <v>7.6581912194083782E-12</v>
      </c>
      <c r="BH167" s="59">
        <f t="shared" si="116"/>
        <v>293.33333333334099</v>
      </c>
      <c r="BI167" s="59">
        <f ca="1">AVERAGE(OFFSET($BH$3,0,0,'Données projet'!$E$11+1,1))-AVERAGE(OFFSET($H$3,0,0,'Données projet'!$E$11+1,1))</f>
        <v>248.1486444660062</v>
      </c>
      <c r="BJ167" s="59">
        <f t="shared" si="146"/>
        <v>293.34458072322127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0.59953353485937044</v>
      </c>
      <c r="BQ167" s="21">
        <f>EXP(-LN(2)/25)*BQ166+(1-EXP(-LN(2)/25))/(LN(2)/25)*Calculateur!BL167*Calculateur!BN167*VLOOKUP('Données projet'!$B$11,Paramètres!$A$1:$I$89,3,0)*0.475*44/12</f>
        <v>0.82878128658088579</v>
      </c>
      <c r="BR167" s="21">
        <f>EXP(-LN(2)/2)*BR166+(1-EXP(-LN(2)/2))/(LN(2)/2)*BL167*BO167*VLOOKUP('Données projet'!$B$11,Paramètres!$A$1:$I$89,3,0)*0.475*44/12</f>
        <v>1.7064275688871058E-19</v>
      </c>
      <c r="BS167" s="22">
        <f t="shared" si="169"/>
        <v>1.4283148214402561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243.38048563215585</v>
      </c>
      <c r="CE167" s="59">
        <f t="shared" si="148"/>
        <v>372.1604147006675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0.51442968161175961</v>
      </c>
      <c r="CL167" s="21">
        <f>EXP(-LN(2)/25)*CL166+(1-EXP(-LN(2)/25))/(LN(2)/25)*Calculateur!CG167*Calculateur!CI167*VLOOKUP('Données projet'!$B$12,Paramètres!$A$1:$I$89,3,0)*0.475*44/12</f>
        <v>0.47145370281903892</v>
      </c>
      <c r="CM167" s="21">
        <f>EXP(-LN(2)/2)*CM166+(1-EXP(-LN(2)/2))/(LN(2)/2)*CG167*CJ167*VLOOKUP('Données projet'!$B$12,Paramètres!$A$1:$I$89,3,0)*0.475*44/12</f>
        <v>1.9864575488244325E-19</v>
      </c>
      <c r="CN167" s="22">
        <f t="shared" si="172"/>
        <v>0.98588338443079859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7.9580786405131221E-13</v>
      </c>
      <c r="CU167" s="17">
        <f>CT167*VLOOKUP('Données projet'!$B$13,Paramètres!$A$1:$I$89,3,0)*VLOOKUP('Données projet'!$B$13,Paramètres!$A$1:$I$89,5,0)</f>
        <v>3.8278358260868117E-13</v>
      </c>
      <c r="CV167" s="13">
        <f t="shared" si="173"/>
        <v>4.9186917125089072E-12</v>
      </c>
      <c r="CW167" s="20">
        <f t="shared" si="174"/>
        <v>9.2334028056631319E-12</v>
      </c>
      <c r="CX167" s="59">
        <f t="shared" si="122"/>
        <v>293.33333333334252</v>
      </c>
      <c r="CY167" s="59">
        <f ca="1">AVERAGE(OFFSET($CX$3,0,0,'Données projet'!$E$13+1,1))-AVERAGE(OFFSET($H$3,0,0,'Données projet'!$E$13+1,1))</f>
        <v>297.21955661193238</v>
      </c>
      <c r="CZ167" s="59">
        <f t="shared" si="150"/>
        <v>273.69206144662144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0.47426656693442937</v>
      </c>
      <c r="DG167" s="21">
        <f>EXP(-LN(2)/25)*DG166+(1-EXP(-LN(2)/25))/(LN(2)/25)*Calculateur!DB167*Calculateur!DD167*VLOOKUP('Données projet'!$B$13,Paramètres!$A$1:$I$89,3,0)*0.475*44/12</f>
        <v>0.32683850233294059</v>
      </c>
      <c r="DH167" s="21">
        <f>EXP(-LN(2)/2)*DH166+(1-EXP(-LN(2)/2))/(LN(2)/2)*DB167*DE167*VLOOKUP('Données projet'!$B$13,Paramètres!$A$1:$I$89,3,0)*0.475*44/12</f>
        <v>1.4171053266005559E-19</v>
      </c>
      <c r="DI167" s="22">
        <f t="shared" si="175"/>
        <v>0.80110506926737002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-4.0702161641092972E-13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260.20517190557814</v>
      </c>
      <c r="DU167" s="59">
        <f t="shared" si="152"/>
        <v>307.22009971147133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0.22966824613447848</v>
      </c>
      <c r="EB167" s="21">
        <f>EXP(-LN(2)/25)*EB166+(1-EXP(-LN(2)/25))/(LN(2)/25)*Calculateur!DW167*Calculateur!DY167*VLOOKUP('Données projet'!$B$14,Paramètres!$A$1:$I$89,3,0)*0.475*44/12</f>
        <v>0.49962961349584067</v>
      </c>
      <c r="EC167" s="21">
        <f>EXP(-LN(2)/2)*EC166+(1-EXP(-LN(2)/2))/(LN(2)/2)*DW167*DZ167*VLOOKUP('Données projet'!$B$14,Paramètres!$A$1:$I$89,3,0)*0.475*44/12</f>
        <v>1.6289483225808065E-19</v>
      </c>
      <c r="ED167" s="22">
        <f t="shared" si="178"/>
        <v>0.72929785963031912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1.1368683772161603E-13</v>
      </c>
      <c r="EK167" s="17">
        <f>EJ167*VLOOKUP('Données projet'!$B$15,Paramètres!$A$1:$I$89,3,0)*VLOOKUP('Données projet'!$B$15,Paramètres!$A$1:$I$89,5,0)</f>
        <v>6.7984728957526396E-14</v>
      </c>
      <c r="EL167" s="13">
        <f t="shared" si="179"/>
        <v>1.0682447123141398E-12</v>
      </c>
      <c r="EM167" s="20">
        <f t="shared" si="180"/>
        <v>1.978932943548152E-12</v>
      </c>
      <c r="EN167" s="59">
        <f t="shared" si="128"/>
        <v>293.3333333333353</v>
      </c>
      <c r="EO167" s="59">
        <f ca="1">AVERAGE(OFFSET($EN$3,0,0,'Données projet'!$E$15+1,1))-AVERAGE(OFFSET($H$3,0,0,'Données projet'!$E$15+1,1))</f>
        <v>259.30247982593914</v>
      </c>
      <c r="EP167" s="59">
        <f t="shared" si="154"/>
        <v>275.24740346220779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0.43908390684652943</v>
      </c>
      <c r="EX167" s="21">
        <f>EXP(-LN(2)/2)*EX166+(1-EXP(-LN(2)/2))/(LN(2)/2)*ER167*EU167*VLOOKUP('Données projet'!$B$15,Paramètres!$A$1:$I$89,3,0)*0.475*44/12</f>
        <v>1.9434642549427377E-19</v>
      </c>
      <c r="EY167" s="22">
        <f t="shared" si="181"/>
        <v>0.43908390684652943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-5.6843418860808015E-13</v>
      </c>
      <c r="FF167" s="17">
        <f>FE167*VLOOKUP('Données projet'!$B$16,Paramètres!$A$1:$I$89,3,0)*VLOOKUP('Données projet'!$B$16,Paramètres!$A$1:$I$89,5,0)</f>
        <v>-5.763922672485933E-13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372.91317851957336</v>
      </c>
      <c r="FK167" s="59">
        <f t="shared" si="156"/>
        <v>269.69187715858413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0.18998823468616116</v>
      </c>
      <c r="FR167" s="21">
        <f>EXP(-LN(2)/25)*FR166+(1-EXP(-LN(2)/25))/(LN(2)/25)*Calculateur!FM167*Calculateur!FO167*VLOOKUP('Données projet'!$B$16,Paramètres!$A$1:$I$89,3,0)*0.475*44/12</f>
        <v>0.36989674033782977</v>
      </c>
      <c r="FS167" s="21">
        <f>EXP(-LN(2)/2)*FS166+(1-EXP(-LN(2)/2))/(LN(2)/2)*FM167*FP167*VLOOKUP('Données projet'!$B$16,Paramètres!$A$1:$I$89,3,0)*0.475*44/12</f>
        <v>1.6509612430506059E-19</v>
      </c>
      <c r="FT167" s="22">
        <f t="shared" si="184"/>
        <v>0.55988497502399093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-1.1368683772161603E-13</v>
      </c>
      <c r="GA167" s="17">
        <f>FZ167*VLOOKUP('Données projet'!$B$17,Paramètres!$A$1:$I$89,3,0)*VLOOKUP('Données projet'!$B$17,Paramètres!$A$1:$I$89,5,0)</f>
        <v>-5.3205440053716299E-14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215.23235148064941</v>
      </c>
      <c r="GF167" s="59">
        <f t="shared" si="158"/>
        <v>184.07239726900434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0.22063008873942888</v>
      </c>
      <c r="GM167" s="21">
        <f>EXP(-LN(2)/25)*GM166+(1-EXP(-LN(2)/25))/(LN(2)/25)*Calculateur!GH167*Calculateur!GJ167*VLOOKUP('Données projet'!$B$17,Paramètres!$A$1:$I$89,3,0)*0.475*44/12</f>
        <v>0.19127186191928666</v>
      </c>
      <c r="GN167" s="21">
        <f>EXP(-LN(2)/2)*GN166+(1-EXP(-LN(2)/2))/(LN(2)/2)*GH167*GK167*VLOOKUP('Données projet'!$B$17,Paramètres!$A$1:$I$89,3,0)*0.475*44/12</f>
        <v>6.6625419376236218E-20</v>
      </c>
      <c r="GO167" s="21">
        <f t="shared" si="187"/>
        <v>0.41190195065871554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-1.1368683772161603E-13</v>
      </c>
      <c r="GV167" s="17">
        <f>GU167*VLOOKUP('Données projet'!$B$18,Paramètres!$A$1:$I$89,3,0)*VLOOKUP('Données projet'!$B$18,Paramètres!$A$1:$I$89,5,0)</f>
        <v>-6.7984728957526396E-14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227.89848316900191</v>
      </c>
      <c r="HA167" s="59">
        <f t="shared" si="160"/>
        <v>239.85955661394541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0.55900722170954065</v>
      </c>
      <c r="HH167" s="21">
        <f>EXP(-LN(2)/25)*HH166+(1-EXP(-LN(2)/25))/(LN(2)/25)*Calculateur!HC167*Calculateur!HE167*VLOOKUP('Données projet'!$B$18,Paramètres!$A$1:$I$89,3,0)*0.475*44/12</f>
        <v>0.41742713869289033</v>
      </c>
      <c r="HI167" s="21">
        <f>EXP(-LN(2)/2)*HI166+(1-EXP(-LN(2)/2))/(LN(2)/2)*HC167*HF167*VLOOKUP('Données projet'!$B$18,Paramètres!$A$1:$I$89,3,0)*0.475*44/12</f>
        <v>4.5425161384893587E-20</v>
      </c>
      <c r="HJ167" s="22">
        <f t="shared" si="190"/>
        <v>0.97643436040243103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2.5420376914553347E-13</v>
      </c>
      <c r="P168" s="13">
        <f t="shared" si="141"/>
        <v>3.4258699088369875E-12</v>
      </c>
      <c r="Q168" s="20">
        <f t="shared" si="162"/>
        <v>6.4094616558195571E-12</v>
      </c>
      <c r="R168" s="59">
        <f t="shared" si="109"/>
        <v>293.33333333333974</v>
      </c>
      <c r="S168" s="59">
        <f ca="1">AVERAGE(OFFSET($R$3,0,0,'Données projet'!$E$9+1,1))-AVERAGE(OFFSET($H$3,0,0,'Données projet'!$E$9+1,1))</f>
        <v>370.69652285220093</v>
      </c>
      <c r="T168" s="59">
        <f t="shared" si="142"/>
        <v>376.53494965377718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0.70923097874035712</v>
      </c>
      <c r="AA168" s="21">
        <f>EXP(-LN(2)/25)*AA167+(1-EXP(-LN(2)/25))/(LN(2)/25)*Calculateur!V168*Calculateur!X168*VLOOKUP('Données projet'!$B$9,Paramètres!$A$1:$I$89,3,0)*0.475*44/12</f>
        <v>0.79114859710700114</v>
      </c>
      <c r="AB168" s="21">
        <f>EXP(-LN(2)/2)*AB167+(1-EXP(-LN(2)/2))/(LN(2)/2)*V168*Y168*VLOOKUP('Données projet'!$B$9,Paramètres!$A$1:$I$89,3,0)*0.475*44/12</f>
        <v>1.5682603906531137E-19</v>
      </c>
      <c r="AC168" s="22">
        <f t="shared" si="163"/>
        <v>1.5003795758473584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-5.6843418860808015E-13</v>
      </c>
      <c r="AJ168" s="13">
        <f>AI168*VLOOKUP('Données projet'!$B$10,Paramètres!$A$1:$I$89,3,0)*VLOOKUP('Données projet'!$B$10,Paramètres!$A$1:$I$89,5,0)</f>
        <v>-5.1431925385259092E-13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321.03881567735544</v>
      </c>
      <c r="AO168" s="59">
        <f t="shared" si="144"/>
        <v>234.87694492493506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0.1662036233007704</v>
      </c>
      <c r="AV168" s="21">
        <f>EXP(-LN(2)/25)*AV167+(1-EXP(-LN(2)/25))/(LN(2)/25)*Calculateur!AQ168*Calculateur!AS168*VLOOKUP('Données projet'!$B$10,Paramètres!$A$1:$I$89,3,0)*0.475*44/12</f>
        <v>0.32103615203436214</v>
      </c>
      <c r="AW168" s="21">
        <f>EXP(-LN(2)/2)*AW167+(1-EXP(-LN(2)/2))/(LN(2)/2)*AQ168*AT168*VLOOKUP('Données projet'!$B$10,Paramètres!$A$1:$I$89,3,0)*0.475*44/12</f>
        <v>1.0416852560824748E-19</v>
      </c>
      <c r="AX168" s="21">
        <f t="shared" si="166"/>
        <v>0.48723977533513252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3.1036506698001181E-13</v>
      </c>
      <c r="BF168" s="13">
        <f t="shared" si="167"/>
        <v>4.086682523110923E-12</v>
      </c>
      <c r="BG168" s="20">
        <f t="shared" si="168"/>
        <v>7.6581912194083782E-12</v>
      </c>
      <c r="BH168" s="59">
        <f t="shared" si="116"/>
        <v>293.33333333334099</v>
      </c>
      <c r="BI168" s="59">
        <f ca="1">AVERAGE(OFFSET($BH$3,0,0,'Données projet'!$E$11+1,1))-AVERAGE(OFFSET($H$3,0,0,'Données projet'!$E$11+1,1))</f>
        <v>248.1486444660062</v>
      </c>
      <c r="BJ168" s="59">
        <f t="shared" si="146"/>
        <v>293.34458072322127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0.58777704792012664</v>
      </c>
      <c r="BQ168" s="21">
        <f>EXP(-LN(2)/25)*BQ167+(1-EXP(-LN(2)/25))/(LN(2)/25)*Calculateur!BL168*Calculateur!BN168*VLOOKUP('Données projet'!$B$11,Paramètres!$A$1:$I$89,3,0)*0.475*44/12</f>
        <v>0.80611821871561784</v>
      </c>
      <c r="BR168" s="21">
        <f>EXP(-LN(2)/2)*BR167+(1-EXP(-LN(2)/2))/(LN(2)/2)*BL168*BO168*VLOOKUP('Données projet'!$B$11,Paramètres!$A$1:$I$89,3,0)*0.475*44/12</f>
        <v>1.206626505563747E-19</v>
      </c>
      <c r="BS168" s="22">
        <f t="shared" si="169"/>
        <v>1.3938952666357445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243.38048563215585</v>
      </c>
      <c r="CE168" s="59">
        <f t="shared" si="148"/>
        <v>372.1604147006675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0.50434202932647643</v>
      </c>
      <c r="CL168" s="21">
        <f>EXP(-LN(2)/25)*CL167+(1-EXP(-LN(2)/25))/(LN(2)/25)*Calculateur!CG168*Calculateur!CI168*VLOOKUP('Données projet'!$B$12,Paramètres!$A$1:$I$89,3,0)*0.475*44/12</f>
        <v>0.45856177652277957</v>
      </c>
      <c r="CM168" s="21">
        <f>EXP(-LN(2)/2)*CM167+(1-EXP(-LN(2)/2))/(LN(2)/2)*CG168*CJ168*VLOOKUP('Données projet'!$B$12,Paramètres!$A$1:$I$89,3,0)*0.475*44/12</f>
        <v>1.4046376033129635E-19</v>
      </c>
      <c r="CN168" s="22">
        <f t="shared" si="172"/>
        <v>0.96290380584925606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7.9580786405131221E-13</v>
      </c>
      <c r="CU168" s="17">
        <f>CT168*VLOOKUP('Données projet'!$B$13,Paramètres!$A$1:$I$89,3,0)*VLOOKUP('Données projet'!$B$13,Paramètres!$A$1:$I$89,5,0)</f>
        <v>3.8278358260868117E-13</v>
      </c>
      <c r="CV168" s="13">
        <f t="shared" si="173"/>
        <v>4.9186917125089072E-12</v>
      </c>
      <c r="CW168" s="20">
        <f t="shared" si="174"/>
        <v>9.2334028056631319E-12</v>
      </c>
      <c r="CX168" s="59">
        <f t="shared" si="122"/>
        <v>293.33333333334252</v>
      </c>
      <c r="CY168" s="59">
        <f ca="1">AVERAGE(OFFSET($CX$3,0,0,'Données projet'!$E$13+1,1))-AVERAGE(OFFSET($H$3,0,0,'Données projet'!$E$13+1,1))</f>
        <v>297.21955661193238</v>
      </c>
      <c r="CZ168" s="59">
        <f t="shared" si="150"/>
        <v>273.69206144662144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0.46496648883088759</v>
      </c>
      <c r="DG168" s="21">
        <f>EXP(-LN(2)/25)*DG167+(1-EXP(-LN(2)/25))/(LN(2)/25)*Calculateur!DB168*Calculateur!DD168*VLOOKUP('Données projet'!$B$13,Paramètres!$A$1:$I$89,3,0)*0.475*44/12</f>
        <v>0.31790108629895647</v>
      </c>
      <c r="DH168" s="21">
        <f>EXP(-LN(2)/2)*DH167+(1-EXP(-LN(2)/2))/(LN(2)/2)*DB168*DE168*VLOOKUP('Données projet'!$B$13,Paramètres!$A$1:$I$89,3,0)*0.475*44/12</f>
        <v>1.0020447860948303E-19</v>
      </c>
      <c r="DI168" s="22">
        <f t="shared" si="175"/>
        <v>0.78286757512984406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-4.0702161641092972E-13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260.20517190557814</v>
      </c>
      <c r="DU168" s="59">
        <f t="shared" si="152"/>
        <v>307.22009971147133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0.22516459191157936</v>
      </c>
      <c r="EB168" s="21">
        <f>EXP(-LN(2)/25)*EB167+(1-EXP(-LN(2)/25))/(LN(2)/25)*Calculateur!DW168*Calculateur!DY168*VLOOKUP('Données projet'!$B$14,Paramètres!$A$1:$I$89,3,0)*0.475*44/12</f>
        <v>0.48596721544041743</v>
      </c>
      <c r="EC168" s="21">
        <f>EXP(-LN(2)/2)*EC167+(1-EXP(-LN(2)/2))/(LN(2)/2)*DW168*DZ168*VLOOKUP('Données projet'!$B$14,Paramètres!$A$1:$I$89,3,0)*0.475*44/12</f>
        <v>1.15184040509934E-19</v>
      </c>
      <c r="ED168" s="22">
        <f t="shared" si="178"/>
        <v>0.71113180735199677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1.1368683772161603E-13</v>
      </c>
      <c r="EK168" s="17">
        <f>EJ168*VLOOKUP('Données projet'!$B$15,Paramètres!$A$1:$I$89,3,0)*VLOOKUP('Données projet'!$B$15,Paramètres!$A$1:$I$89,5,0)</f>
        <v>6.7984728957526396E-14</v>
      </c>
      <c r="EL168" s="13">
        <f t="shared" si="179"/>
        <v>1.0682447123141398E-12</v>
      </c>
      <c r="EM168" s="20">
        <f t="shared" si="180"/>
        <v>1.978932943548152E-12</v>
      </c>
      <c r="EN168" s="59">
        <f t="shared" si="128"/>
        <v>293.3333333333353</v>
      </c>
      <c r="EO168" s="59">
        <f ca="1">AVERAGE(OFFSET($EN$3,0,0,'Données projet'!$E$15+1,1))-AVERAGE(OFFSET($H$3,0,0,'Données projet'!$E$15+1,1))</f>
        <v>259.30247982593914</v>
      </c>
      <c r="EP168" s="59">
        <f t="shared" si="154"/>
        <v>275.24740346220779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0.42707713432339195</v>
      </c>
      <c r="EX168" s="21">
        <f>EXP(-LN(2)/2)*EX167+(1-EXP(-LN(2)/2))/(LN(2)/2)*ER168*EU168*VLOOKUP('Données projet'!$B$15,Paramètres!$A$1:$I$89,3,0)*0.475*44/12</f>
        <v>1.374236753663671E-19</v>
      </c>
      <c r="EY168" s="22">
        <f t="shared" si="181"/>
        <v>0.42707713432339195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-5.6843418860808015E-13</v>
      </c>
      <c r="FF168" s="17">
        <f>FE168*VLOOKUP('Données projet'!$B$16,Paramètres!$A$1:$I$89,3,0)*VLOOKUP('Données projet'!$B$16,Paramètres!$A$1:$I$89,5,0)</f>
        <v>-5.763922672485933E-13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372.91317851957336</v>
      </c>
      <c r="FK168" s="59">
        <f t="shared" si="156"/>
        <v>269.69187715858413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0.18626268128534637</v>
      </c>
      <c r="FR168" s="21">
        <f>EXP(-LN(2)/25)*FR167+(1-EXP(-LN(2)/25))/(LN(2)/25)*Calculateur!FM168*Calculateur!FO168*VLOOKUP('Données projet'!$B$16,Paramètres!$A$1:$I$89,3,0)*0.475*44/12</f>
        <v>0.35978189452126763</v>
      </c>
      <c r="FS168" s="21">
        <f>EXP(-LN(2)/2)*FS167+(1-EXP(-LN(2)/2))/(LN(2)/2)*FM168*FP168*VLOOKUP('Données projet'!$B$16,Paramètres!$A$1:$I$89,3,0)*0.475*44/12</f>
        <v>1.1674058904372553E-19</v>
      </c>
      <c r="FT168" s="22">
        <f t="shared" si="184"/>
        <v>0.54604457580661403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-1.1368683772161603E-13</v>
      </c>
      <c r="GA168" s="17">
        <f>FZ168*VLOOKUP('Données projet'!$B$17,Paramètres!$A$1:$I$89,3,0)*VLOOKUP('Données projet'!$B$17,Paramètres!$A$1:$I$89,5,0)</f>
        <v>-5.3205440053716299E-14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215.23235148064941</v>
      </c>
      <c r="GF168" s="59">
        <f t="shared" si="158"/>
        <v>184.07239726900434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0.21630366727031503</v>
      </c>
      <c r="GM168" s="21">
        <f>EXP(-LN(2)/25)*GM167+(1-EXP(-LN(2)/25))/(LN(2)/25)*Calculateur!GH168*Calculateur!GJ168*VLOOKUP('Données projet'!$B$17,Paramètres!$A$1:$I$89,3,0)*0.475*44/12</f>
        <v>0.1860415227965537</v>
      </c>
      <c r="GN168" s="21">
        <f>EXP(-LN(2)/2)*GN167+(1-EXP(-LN(2)/2))/(LN(2)/2)*GH168*GK168*VLOOKUP('Données projet'!$B$17,Paramètres!$A$1:$I$89,3,0)*0.475*44/12</f>
        <v>4.7111285840334228E-20</v>
      </c>
      <c r="GO168" s="21">
        <f t="shared" si="187"/>
        <v>0.40234519006686875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-1.1368683772161603E-13</v>
      </c>
      <c r="GV168" s="17">
        <f>GU168*VLOOKUP('Données projet'!$B$18,Paramètres!$A$1:$I$89,3,0)*VLOOKUP('Données projet'!$B$18,Paramètres!$A$1:$I$89,5,0)</f>
        <v>-6.7984728957526396E-14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227.89848316900191</v>
      </c>
      <c r="HA168" s="59">
        <f t="shared" si="160"/>
        <v>239.85955661394541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0.54804543105255477</v>
      </c>
      <c r="HH168" s="21">
        <f>EXP(-LN(2)/25)*HH167+(1-EXP(-LN(2)/25))/(LN(2)/25)*Calculateur!HC168*Calculateur!HE168*VLOOKUP('Données projet'!$B$18,Paramètres!$A$1:$I$89,3,0)*0.475*44/12</f>
        <v>0.40601257163379406</v>
      </c>
      <c r="HI168" s="21">
        <f>EXP(-LN(2)/2)*HI167+(1-EXP(-LN(2)/2))/(LN(2)/2)*HC168*HF168*VLOOKUP('Données projet'!$B$18,Paramètres!$A$1:$I$89,3,0)*0.475*44/12</f>
        <v>3.2120439651751558E-20</v>
      </c>
      <c r="HJ168" s="22">
        <f t="shared" si="190"/>
        <v>0.95405800268634877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2.5420376914553347E-13</v>
      </c>
      <c r="P169" s="13">
        <f t="shared" si="141"/>
        <v>3.4258699088369875E-12</v>
      </c>
      <c r="Q169" s="20">
        <f t="shared" si="162"/>
        <v>6.4094616558195571E-12</v>
      </c>
      <c r="R169" s="59">
        <f t="shared" si="109"/>
        <v>293.33333333333974</v>
      </c>
      <c r="S169" s="59">
        <f ca="1">AVERAGE(OFFSET($R$3,0,0,'Données projet'!$E$9+1,1))-AVERAGE(OFFSET($H$3,0,0,'Données projet'!$E$9+1,1))</f>
        <v>370.69652285220093</v>
      </c>
      <c r="T169" s="59">
        <f t="shared" si="142"/>
        <v>376.53494965377718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0.69532339183544123</v>
      </c>
      <c r="AA169" s="21">
        <f>EXP(-LN(2)/25)*AA168+(1-EXP(-LN(2)/25))/(LN(2)/25)*Calculateur!V169*Calculateur!X169*VLOOKUP('Données projet'!$B$9,Paramètres!$A$1:$I$89,3,0)*0.475*44/12</f>
        <v>0.76951459711441361</v>
      </c>
      <c r="AB169" s="21">
        <f>EXP(-LN(2)/2)*AB168+(1-EXP(-LN(2)/2))/(LN(2)/2)*V169*Y169*VLOOKUP('Données projet'!$B$9,Paramètres!$A$1:$I$89,3,0)*0.475*44/12</f>
        <v>1.1089275568970808E-19</v>
      </c>
      <c r="AC169" s="22">
        <f t="shared" si="163"/>
        <v>1.4648379889498548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-5.6843418860808015E-13</v>
      </c>
      <c r="AJ169" s="13">
        <f>AI169*VLOOKUP('Données projet'!$B$10,Paramètres!$A$1:$I$89,3,0)*VLOOKUP('Données projet'!$B$10,Paramètres!$A$1:$I$89,5,0)</f>
        <v>-5.1431925385259092E-13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321.03881567735544</v>
      </c>
      <c r="AO169" s="59">
        <f t="shared" si="144"/>
        <v>234.87694492493506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0.16294447162204265</v>
      </c>
      <c r="AV169" s="21">
        <f>EXP(-LN(2)/25)*AV168+(1-EXP(-LN(2)/25))/(LN(2)/25)*Calculateur!AQ169*Calculateur!AS169*VLOOKUP('Données projet'!$B$10,Paramètres!$A$1:$I$89,3,0)*0.475*44/12</f>
        <v>0.312257401574425</v>
      </c>
      <c r="AW169" s="21">
        <f>EXP(-LN(2)/2)*AW168+(1-EXP(-LN(2)/2))/(LN(2)/2)*AQ169*AT169*VLOOKUP('Données projet'!$B$10,Paramètres!$A$1:$I$89,3,0)*0.475*44/12</f>
        <v>7.3658270843796321E-20</v>
      </c>
      <c r="AX169" s="21">
        <f t="shared" si="166"/>
        <v>0.47520187319646767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3.1036506698001181E-13</v>
      </c>
      <c r="BF169" s="13">
        <f t="shared" si="167"/>
        <v>4.086682523110923E-12</v>
      </c>
      <c r="BG169" s="20">
        <f t="shared" si="168"/>
        <v>7.6581912194083782E-12</v>
      </c>
      <c r="BH169" s="59">
        <f t="shared" si="116"/>
        <v>293.33333333334099</v>
      </c>
      <c r="BI169" s="59">
        <f ca="1">AVERAGE(OFFSET($BH$3,0,0,'Données projet'!$E$11+1,1))-AVERAGE(OFFSET($H$3,0,0,'Données projet'!$E$11+1,1))</f>
        <v>248.1486444660062</v>
      </c>
      <c r="BJ169" s="59">
        <f t="shared" si="146"/>
        <v>293.34458072322127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0.57625109851901235</v>
      </c>
      <c r="BQ169" s="21">
        <f>EXP(-LN(2)/25)*BQ168+(1-EXP(-LN(2)/25))/(LN(2)/25)*Calculateur!BL169*Calculateur!BN169*VLOOKUP('Données projet'!$B$11,Paramètres!$A$1:$I$89,3,0)*0.475*44/12</f>
        <v>0.78407487363292461</v>
      </c>
      <c r="BR169" s="21">
        <f>EXP(-LN(2)/2)*BR168+(1-EXP(-LN(2)/2))/(LN(2)/2)*BL169*BO169*VLOOKUP('Données projet'!$B$11,Paramètres!$A$1:$I$89,3,0)*0.475*44/12</f>
        <v>8.5321378444355289E-20</v>
      </c>
      <c r="BS169" s="22">
        <f t="shared" si="169"/>
        <v>1.360325972151937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243.38048563215585</v>
      </c>
      <c r="CE169" s="59">
        <f t="shared" si="148"/>
        <v>372.1604147006675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0.49445218974964733</v>
      </c>
      <c r="CL169" s="21">
        <f>EXP(-LN(2)/25)*CL168+(1-EXP(-LN(2)/25))/(LN(2)/25)*Calculateur!CG169*Calculateur!CI169*VLOOKUP('Données projet'!$B$12,Paramètres!$A$1:$I$89,3,0)*0.475*44/12</f>
        <v>0.44602238062904842</v>
      </c>
      <c r="CM169" s="21">
        <f>EXP(-LN(2)/2)*CM168+(1-EXP(-LN(2)/2))/(LN(2)/2)*CG169*CJ169*VLOOKUP('Données projet'!$B$12,Paramètres!$A$1:$I$89,3,0)*0.475*44/12</f>
        <v>9.9322877441221627E-20</v>
      </c>
      <c r="CN169" s="22">
        <f t="shared" si="172"/>
        <v>0.94047457037869575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7.9580786405131221E-13</v>
      </c>
      <c r="CU169" s="17">
        <f>CT169*VLOOKUP('Données projet'!$B$13,Paramètres!$A$1:$I$89,3,0)*VLOOKUP('Données projet'!$B$13,Paramètres!$A$1:$I$89,5,0)</f>
        <v>3.8278358260868117E-13</v>
      </c>
      <c r="CV169" s="13">
        <f t="shared" si="173"/>
        <v>4.9186917125089072E-12</v>
      </c>
      <c r="CW169" s="20">
        <f t="shared" si="174"/>
        <v>9.2334028056631319E-12</v>
      </c>
      <c r="CX169" s="59">
        <f t="shared" si="122"/>
        <v>293.33333333334252</v>
      </c>
      <c r="CY169" s="59">
        <f ca="1">AVERAGE(OFFSET($CX$3,0,0,'Données projet'!$E$13+1,1))-AVERAGE(OFFSET($H$3,0,0,'Données projet'!$E$13+1,1))</f>
        <v>297.21955661193238</v>
      </c>
      <c r="CZ169" s="59">
        <f t="shared" si="150"/>
        <v>273.69206144662144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0.45584877958646874</v>
      </c>
      <c r="DG169" s="21">
        <f>EXP(-LN(2)/25)*DG168+(1-EXP(-LN(2)/25))/(LN(2)/25)*Calculateur!DB169*Calculateur!DD169*VLOOKUP('Données projet'!$B$13,Paramètres!$A$1:$I$89,3,0)*0.475*44/12</f>
        <v>0.30920806437641996</v>
      </c>
      <c r="DH169" s="21">
        <f>EXP(-LN(2)/2)*DH168+(1-EXP(-LN(2)/2))/(LN(2)/2)*DB169*DE169*VLOOKUP('Données projet'!$B$13,Paramètres!$A$1:$I$89,3,0)*0.475*44/12</f>
        <v>7.0855266330027797E-20</v>
      </c>
      <c r="DI169" s="22">
        <f t="shared" si="175"/>
        <v>0.76505684396288864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-4.0702161641092972E-13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260.20517190557814</v>
      </c>
      <c r="DU169" s="59">
        <f t="shared" si="152"/>
        <v>307.22009971147133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0.22074925160103348</v>
      </c>
      <c r="EB169" s="21">
        <f>EXP(-LN(2)/25)*EB168+(1-EXP(-LN(2)/25))/(LN(2)/25)*Calculateur!DW169*Calculateur!DY169*VLOOKUP('Données projet'!$B$14,Paramètres!$A$1:$I$89,3,0)*0.475*44/12</f>
        <v>0.47267841637829405</v>
      </c>
      <c r="EC169" s="21">
        <f>EXP(-LN(2)/2)*EC168+(1-EXP(-LN(2)/2))/(LN(2)/2)*DW169*DZ169*VLOOKUP('Données projet'!$B$14,Paramètres!$A$1:$I$89,3,0)*0.475*44/12</f>
        <v>8.1447416129040326E-20</v>
      </c>
      <c r="ED169" s="22">
        <f t="shared" si="178"/>
        <v>0.69342766797932753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1.1368683772161603E-13</v>
      </c>
      <c r="EK169" s="17">
        <f>EJ169*VLOOKUP('Données projet'!$B$15,Paramètres!$A$1:$I$89,3,0)*VLOOKUP('Données projet'!$B$15,Paramètres!$A$1:$I$89,5,0)</f>
        <v>6.7984728957526396E-14</v>
      </c>
      <c r="EL169" s="13">
        <f t="shared" si="179"/>
        <v>1.0682447123141398E-12</v>
      </c>
      <c r="EM169" s="20">
        <f t="shared" si="180"/>
        <v>1.978932943548152E-12</v>
      </c>
      <c r="EN169" s="59">
        <f t="shared" si="128"/>
        <v>293.3333333333353</v>
      </c>
      <c r="EO169" s="59">
        <f ca="1">AVERAGE(OFFSET($EN$3,0,0,'Données projet'!$E$15+1,1))-AVERAGE(OFFSET($H$3,0,0,'Données projet'!$E$15+1,1))</f>
        <v>259.30247982593914</v>
      </c>
      <c r="EP169" s="59">
        <f t="shared" si="154"/>
        <v>275.24740346220779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0.41539868762630838</v>
      </c>
      <c r="EX169" s="21">
        <f>EXP(-LN(2)/2)*EX168+(1-EXP(-LN(2)/2))/(LN(2)/2)*ER169*EU169*VLOOKUP('Données projet'!$B$15,Paramètres!$A$1:$I$89,3,0)*0.475*44/12</f>
        <v>9.7173212747136884E-20</v>
      </c>
      <c r="EY169" s="22">
        <f t="shared" si="181"/>
        <v>0.41539868762630838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-5.6843418860808015E-13</v>
      </c>
      <c r="FF169" s="17">
        <f>FE169*VLOOKUP('Données projet'!$B$16,Paramètres!$A$1:$I$89,3,0)*VLOOKUP('Données projet'!$B$16,Paramètres!$A$1:$I$89,5,0)</f>
        <v>-5.763922672485933E-13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372.91317851957336</v>
      </c>
      <c r="FK169" s="59">
        <f t="shared" si="156"/>
        <v>269.69187715858413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0.18261018371435836</v>
      </c>
      <c r="FR169" s="21">
        <f>EXP(-LN(2)/25)*FR168+(1-EXP(-LN(2)/25))/(LN(2)/25)*Calculateur!FM169*Calculateur!FO169*VLOOKUP('Données projet'!$B$16,Paramètres!$A$1:$I$89,3,0)*0.475*44/12</f>
        <v>0.34994363969547604</v>
      </c>
      <c r="FS169" s="21">
        <f>EXP(-LN(2)/2)*FS168+(1-EXP(-LN(2)/2))/(LN(2)/2)*FM169*FP169*VLOOKUP('Données projet'!$B$16,Paramètres!$A$1:$I$89,3,0)*0.475*44/12</f>
        <v>8.2548062152530295E-20</v>
      </c>
      <c r="FT169" s="22">
        <f t="shared" si="184"/>
        <v>0.53255382340983437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-1.1368683772161603E-13</v>
      </c>
      <c r="GA169" s="17">
        <f>FZ169*VLOOKUP('Données projet'!$B$17,Paramètres!$A$1:$I$89,3,0)*VLOOKUP('Données projet'!$B$17,Paramètres!$A$1:$I$89,5,0)</f>
        <v>-5.3205440053716299E-14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215.23235148064941</v>
      </c>
      <c r="GF169" s="59">
        <f t="shared" si="158"/>
        <v>184.07239726900434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0.21206208428735396</v>
      </c>
      <c r="GM169" s="21">
        <f>EXP(-LN(2)/25)*GM168+(1-EXP(-LN(2)/25))/(LN(2)/25)*Calculateur!GH169*Calculateur!GJ169*VLOOKUP('Données projet'!$B$17,Paramètres!$A$1:$I$89,3,0)*0.475*44/12</f>
        <v>0.18095420757218345</v>
      </c>
      <c r="GN169" s="21">
        <f>EXP(-LN(2)/2)*GN168+(1-EXP(-LN(2)/2))/(LN(2)/2)*GH169*GK169*VLOOKUP('Données projet'!$B$17,Paramètres!$A$1:$I$89,3,0)*0.475*44/12</f>
        <v>3.3312709688118109E-20</v>
      </c>
      <c r="GO169" s="21">
        <f t="shared" si="187"/>
        <v>0.3930162918595374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-1.1368683772161603E-13</v>
      </c>
      <c r="GV169" s="17">
        <f>GU169*VLOOKUP('Données projet'!$B$18,Paramètres!$A$1:$I$89,3,0)*VLOOKUP('Données projet'!$B$18,Paramètres!$A$1:$I$89,5,0)</f>
        <v>-6.7984728957526396E-14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227.89848316900191</v>
      </c>
      <c r="HA169" s="59">
        <f t="shared" si="160"/>
        <v>239.85955661394541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0.53729859442432026</v>
      </c>
      <c r="HH169" s="21">
        <f>EXP(-LN(2)/25)*HH168+(1-EXP(-LN(2)/25))/(LN(2)/25)*Calculateur!HC169*Calculateur!HE169*VLOOKUP('Données projet'!$B$18,Paramètres!$A$1:$I$89,3,0)*0.475*44/12</f>
        <v>0.39491013651119478</v>
      </c>
      <c r="HI169" s="21">
        <f>EXP(-LN(2)/2)*HI168+(1-EXP(-LN(2)/2))/(LN(2)/2)*HC169*HF169*VLOOKUP('Données projet'!$B$18,Paramètres!$A$1:$I$89,3,0)*0.475*44/12</f>
        <v>2.2712580692446793E-20</v>
      </c>
      <c r="HJ169" s="22">
        <f t="shared" si="190"/>
        <v>0.93220873093551504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2.5420376914553347E-13</v>
      </c>
      <c r="P170" s="13">
        <f t="shared" si="141"/>
        <v>3.4258699088369875E-12</v>
      </c>
      <c r="Q170" s="20">
        <f t="shared" si="162"/>
        <v>6.4094616558195571E-12</v>
      </c>
      <c r="R170" s="59">
        <f t="shared" si="109"/>
        <v>293.33333333333974</v>
      </c>
      <c r="S170" s="59">
        <f ca="1">AVERAGE(OFFSET($R$3,0,0,'Données projet'!$E$9+1,1))-AVERAGE(OFFSET($H$3,0,0,'Données projet'!$E$9+1,1))</f>
        <v>370.69652285220093</v>
      </c>
      <c r="T170" s="59">
        <f t="shared" si="142"/>
        <v>376.53494965377718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0.68168852422694026</v>
      </c>
      <c r="AA170" s="21">
        <f>EXP(-LN(2)/25)*AA169+(1-EXP(-LN(2)/25))/(LN(2)/25)*Calculateur!V170*Calculateur!X170*VLOOKUP('Données projet'!$B$9,Paramètres!$A$1:$I$89,3,0)*0.475*44/12</f>
        <v>0.74847217998930604</v>
      </c>
      <c r="AB170" s="21">
        <f>EXP(-LN(2)/2)*AB169+(1-EXP(-LN(2)/2))/(LN(2)/2)*V170*Y170*VLOOKUP('Données projet'!$B$9,Paramètres!$A$1:$I$89,3,0)*0.475*44/12</f>
        <v>7.8413019532655684E-20</v>
      </c>
      <c r="AC170" s="22">
        <f t="shared" si="163"/>
        <v>1.4301607042162463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-5.6843418860808015E-13</v>
      </c>
      <c r="AJ170" s="13">
        <f>AI170*VLOOKUP('Données projet'!$B$10,Paramètres!$A$1:$I$89,3,0)*VLOOKUP('Données projet'!$B$10,Paramètres!$A$1:$I$89,5,0)</f>
        <v>-5.1431925385259092E-13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321.03881567735544</v>
      </c>
      <c r="AO170" s="59">
        <f t="shared" si="144"/>
        <v>234.87694492493506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0.1597492299198485</v>
      </c>
      <c r="AV170" s="21">
        <f>EXP(-LN(2)/25)*AV169+(1-EXP(-LN(2)/25))/(LN(2)/25)*Calculateur!AQ170*Calculateur!AS170*VLOOKUP('Données projet'!$B$10,Paramètres!$A$1:$I$89,3,0)*0.475*44/12</f>
        <v>0.30371870650746929</v>
      </c>
      <c r="AW170" s="21">
        <f>EXP(-LN(2)/2)*AW169+(1-EXP(-LN(2)/2))/(LN(2)/2)*AQ170*AT170*VLOOKUP('Données projet'!$B$10,Paramètres!$A$1:$I$89,3,0)*0.475*44/12</f>
        <v>5.2084262804123739E-20</v>
      </c>
      <c r="AX170" s="21">
        <f t="shared" si="166"/>
        <v>0.46346793642731776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3.1036506698001181E-13</v>
      </c>
      <c r="BF170" s="13">
        <f t="shared" si="167"/>
        <v>4.086682523110923E-12</v>
      </c>
      <c r="BG170" s="20">
        <f t="shared" si="168"/>
        <v>7.6581912194083782E-12</v>
      </c>
      <c r="BH170" s="59">
        <f t="shared" si="116"/>
        <v>293.33333333334099</v>
      </c>
      <c r="BI170" s="59">
        <f ca="1">AVERAGE(OFFSET($BH$3,0,0,'Données projet'!$E$11+1,1))-AVERAGE(OFFSET($H$3,0,0,'Données projet'!$E$11+1,1))</f>
        <v>248.1486444660062</v>
      </c>
      <c r="BJ170" s="59">
        <f t="shared" si="146"/>
        <v>293.34458072322127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0.56495116595551897</v>
      </c>
      <c r="BQ170" s="21">
        <f>EXP(-LN(2)/25)*BQ169+(1-EXP(-LN(2)/25))/(LN(2)/25)*Calculateur!BL170*Calculateur!BN170*VLOOKUP('Données projet'!$B$11,Paramètres!$A$1:$I$89,3,0)*0.475*44/12</f>
        <v>0.76263430498072671</v>
      </c>
      <c r="BR170" s="21">
        <f>EXP(-LN(2)/2)*BR169+(1-EXP(-LN(2)/2))/(LN(2)/2)*BL170*BO170*VLOOKUP('Données projet'!$B$11,Paramètres!$A$1:$I$89,3,0)*0.475*44/12</f>
        <v>6.0331325278187348E-20</v>
      </c>
      <c r="BS170" s="22">
        <f t="shared" si="169"/>
        <v>1.3275854709362456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243.38048563215585</v>
      </c>
      <c r="CE170" s="59">
        <f t="shared" si="148"/>
        <v>372.1604147006675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0.48475628389471337</v>
      </c>
      <c r="CL170" s="21">
        <f>EXP(-LN(2)/25)*CL169+(1-EXP(-LN(2)/25))/(LN(2)/25)*Calculateur!CG170*Calculateur!CI170*VLOOKUP('Données projet'!$B$12,Paramètres!$A$1:$I$89,3,0)*0.475*44/12</f>
        <v>0.43382587517544952</v>
      </c>
      <c r="CM170" s="21">
        <f>EXP(-LN(2)/2)*CM169+(1-EXP(-LN(2)/2))/(LN(2)/2)*CG170*CJ170*VLOOKUP('Données projet'!$B$12,Paramètres!$A$1:$I$89,3,0)*0.475*44/12</f>
        <v>7.0231880165648177E-20</v>
      </c>
      <c r="CN170" s="22">
        <f t="shared" si="172"/>
        <v>0.91858215907016283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7.9580786405131221E-13</v>
      </c>
      <c r="CU170" s="17">
        <f>CT170*VLOOKUP('Données projet'!$B$13,Paramètres!$A$1:$I$89,3,0)*VLOOKUP('Données projet'!$B$13,Paramètres!$A$1:$I$89,5,0)</f>
        <v>3.8278358260868117E-13</v>
      </c>
      <c r="CV170" s="13">
        <f t="shared" si="173"/>
        <v>4.9186917125089072E-12</v>
      </c>
      <c r="CW170" s="20">
        <f t="shared" si="174"/>
        <v>9.2334028056631319E-12</v>
      </c>
      <c r="CX170" s="59">
        <f t="shared" si="122"/>
        <v>293.33333333334252</v>
      </c>
      <c r="CY170" s="59">
        <f ca="1">AVERAGE(OFFSET($CX$3,0,0,'Données projet'!$E$13+1,1))-AVERAGE(OFFSET($H$3,0,0,'Données projet'!$E$13+1,1))</f>
        <v>297.21955661193238</v>
      </c>
      <c r="CZ170" s="59">
        <f t="shared" si="150"/>
        <v>273.69206144662144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0.44690986305907943</v>
      </c>
      <c r="DG170" s="21">
        <f>EXP(-LN(2)/25)*DG169+(1-EXP(-LN(2)/25))/(LN(2)/25)*Calculateur!DB170*Calculateur!DD170*VLOOKUP('Données projet'!$B$13,Paramètres!$A$1:$I$89,3,0)*0.475*44/12</f>
        <v>0.30075275359550135</v>
      </c>
      <c r="DH170" s="21">
        <f>EXP(-LN(2)/2)*DH169+(1-EXP(-LN(2)/2))/(LN(2)/2)*DB170*DE170*VLOOKUP('Données projet'!$B$13,Paramètres!$A$1:$I$89,3,0)*0.475*44/12</f>
        <v>5.0102239304741514E-20</v>
      </c>
      <c r="DI170" s="22">
        <f t="shared" si="175"/>
        <v>0.74766261665458078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-4.0702161641092972E-13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260.20517190557814</v>
      </c>
      <c r="DU170" s="59">
        <f t="shared" si="152"/>
        <v>307.22009971147133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0.21642049342088573</v>
      </c>
      <c r="EB170" s="21">
        <f>EXP(-LN(2)/25)*EB169+(1-EXP(-LN(2)/25))/(LN(2)/25)*Calculateur!DW170*Calculateur!DY170*VLOOKUP('Données projet'!$B$14,Paramètres!$A$1:$I$89,3,0)*0.475*44/12</f>
        <v>0.45975300022535198</v>
      </c>
      <c r="EC170" s="21">
        <f>EXP(-LN(2)/2)*EC169+(1-EXP(-LN(2)/2))/(LN(2)/2)*DW170*DZ170*VLOOKUP('Données projet'!$B$14,Paramètres!$A$1:$I$89,3,0)*0.475*44/12</f>
        <v>5.7592020254966999E-20</v>
      </c>
      <c r="ED170" s="22">
        <f t="shared" si="178"/>
        <v>0.67617349364623769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1.1368683772161603E-13</v>
      </c>
      <c r="EK170" s="17">
        <f>EJ170*VLOOKUP('Données projet'!$B$15,Paramètres!$A$1:$I$89,3,0)*VLOOKUP('Données projet'!$B$15,Paramètres!$A$1:$I$89,5,0)</f>
        <v>6.7984728957526396E-14</v>
      </c>
      <c r="EL170" s="13">
        <f t="shared" si="179"/>
        <v>1.0682447123141398E-12</v>
      </c>
      <c r="EM170" s="20">
        <f t="shared" si="180"/>
        <v>1.978932943548152E-12</v>
      </c>
      <c r="EN170" s="59">
        <f t="shared" si="128"/>
        <v>293.3333333333353</v>
      </c>
      <c r="EO170" s="59">
        <f ca="1">AVERAGE(OFFSET($EN$3,0,0,'Données projet'!$E$15+1,1))-AVERAGE(OFFSET($H$3,0,0,'Données projet'!$E$15+1,1))</f>
        <v>259.30247982593914</v>
      </c>
      <c r="EP170" s="59">
        <f t="shared" si="154"/>
        <v>275.24740346220779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0.40403958866829942</v>
      </c>
      <c r="EX170" s="21">
        <f>EXP(-LN(2)/2)*EX169+(1-EXP(-LN(2)/2))/(LN(2)/2)*ER170*EU170*VLOOKUP('Données projet'!$B$15,Paramètres!$A$1:$I$89,3,0)*0.475*44/12</f>
        <v>6.871183768318355E-20</v>
      </c>
      <c r="EY170" s="22">
        <f t="shared" si="181"/>
        <v>0.40403958866829942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-5.6843418860808015E-13</v>
      </c>
      <c r="FF170" s="17">
        <f>FE170*VLOOKUP('Données projet'!$B$16,Paramètres!$A$1:$I$89,3,0)*VLOOKUP('Données projet'!$B$16,Paramètres!$A$1:$I$89,5,0)</f>
        <v>-5.763922672485933E-13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372.91317851957336</v>
      </c>
      <c r="FK170" s="59">
        <f t="shared" si="156"/>
        <v>269.69187715858413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0.17902930939293388</v>
      </c>
      <c r="FR170" s="21">
        <f>EXP(-LN(2)/25)*FR169+(1-EXP(-LN(2)/25))/(LN(2)/25)*Calculateur!FM170*Calculateur!FO170*VLOOKUP('Données projet'!$B$16,Paramètres!$A$1:$I$89,3,0)*0.475*44/12</f>
        <v>0.34037441246526706</v>
      </c>
      <c r="FS170" s="21">
        <f>EXP(-LN(2)/2)*FS169+(1-EXP(-LN(2)/2))/(LN(2)/2)*FM170*FP170*VLOOKUP('Données projet'!$B$16,Paramètres!$A$1:$I$89,3,0)*0.475*44/12</f>
        <v>5.8370294521862764E-20</v>
      </c>
      <c r="FT170" s="22">
        <f t="shared" si="184"/>
        <v>0.51940372185820094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-1.1368683772161603E-13</v>
      </c>
      <c r="GA170" s="17">
        <f>FZ170*VLOOKUP('Données projet'!$B$17,Paramètres!$A$1:$I$89,3,0)*VLOOKUP('Données projet'!$B$17,Paramètres!$A$1:$I$89,5,0)</f>
        <v>-5.3205440053716299E-14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215.23235148064941</v>
      </c>
      <c r="GF170" s="59">
        <f t="shared" si="158"/>
        <v>184.07239726900434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0.20790367615957858</v>
      </c>
      <c r="GM170" s="21">
        <f>EXP(-LN(2)/25)*GM169+(1-EXP(-LN(2)/25))/(LN(2)/25)*Calculateur!GH170*Calculateur!GJ170*VLOOKUP('Données projet'!$B$17,Paramètres!$A$1:$I$89,3,0)*0.475*44/12</f>
        <v>0.17600600525015389</v>
      </c>
      <c r="GN170" s="21">
        <f>EXP(-LN(2)/2)*GN169+(1-EXP(-LN(2)/2))/(LN(2)/2)*GH170*GK170*VLOOKUP('Données projet'!$B$17,Paramètres!$A$1:$I$89,3,0)*0.475*44/12</f>
        <v>2.3555642920167114E-20</v>
      </c>
      <c r="GO170" s="21">
        <f t="shared" si="187"/>
        <v>0.38390968140973247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-1.1368683772161603E-13</v>
      </c>
      <c r="GV170" s="17">
        <f>GU170*VLOOKUP('Données projet'!$B$18,Paramètres!$A$1:$I$89,3,0)*VLOOKUP('Données projet'!$B$18,Paramètres!$A$1:$I$89,5,0)</f>
        <v>-6.7984728957526396E-14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227.89848316900191</v>
      </c>
      <c r="HA170" s="59">
        <f t="shared" si="160"/>
        <v>239.85955661394541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0.52676249670744235</v>
      </c>
      <c r="HH170" s="21">
        <f>EXP(-LN(2)/25)*HH169+(1-EXP(-LN(2)/25))/(LN(2)/25)*Calculateur!HC170*Calculateur!HE170*VLOOKUP('Données projet'!$B$18,Paramètres!$A$1:$I$89,3,0)*0.475*44/12</f>
        <v>0.38411129806087463</v>
      </c>
      <c r="HI170" s="21">
        <f>EXP(-LN(2)/2)*HI169+(1-EXP(-LN(2)/2))/(LN(2)/2)*HC170*HF170*VLOOKUP('Données projet'!$B$18,Paramètres!$A$1:$I$89,3,0)*0.475*44/12</f>
        <v>1.6060219825875779E-20</v>
      </c>
      <c r="HJ170" s="22">
        <f t="shared" si="190"/>
        <v>0.91087379476831698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2.5420376914553347E-13</v>
      </c>
      <c r="P171" s="13">
        <f t="shared" si="141"/>
        <v>3.4258699088369875E-12</v>
      </c>
      <c r="Q171" s="20">
        <f t="shared" si="162"/>
        <v>6.4094616558195571E-12</v>
      </c>
      <c r="R171" s="59">
        <f t="shared" si="109"/>
        <v>293.33333333333974</v>
      </c>
      <c r="S171" s="59">
        <f ca="1">AVERAGE(OFFSET($R$3,0,0,'Données projet'!$E$9+1,1))-AVERAGE(OFFSET($H$3,0,0,'Données projet'!$E$9+1,1))</f>
        <v>370.69652285220093</v>
      </c>
      <c r="T171" s="59">
        <f t="shared" si="142"/>
        <v>376.53494965377718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0.66832102805579396</v>
      </c>
      <c r="AA171" s="21">
        <f>EXP(-LN(2)/25)*AA170+(1-EXP(-LN(2)/25))/(LN(2)/25)*Calculateur!V171*Calculateur!X171*VLOOKUP('Données projet'!$B$9,Paramètres!$A$1:$I$89,3,0)*0.475*44/12</f>
        <v>0.72800516886705713</v>
      </c>
      <c r="AB171" s="21">
        <f>EXP(-LN(2)/2)*AB170+(1-EXP(-LN(2)/2))/(LN(2)/2)*V171*Y171*VLOOKUP('Données projet'!$B$9,Paramètres!$A$1:$I$89,3,0)*0.475*44/12</f>
        <v>5.5446377844854038E-20</v>
      </c>
      <c r="AC171" s="22">
        <f t="shared" si="163"/>
        <v>1.3963261969228511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-5.6843418860808015E-13</v>
      </c>
      <c r="AJ171" s="13">
        <f>AI171*VLOOKUP('Données projet'!$B$10,Paramètres!$A$1:$I$89,3,0)*VLOOKUP('Données projet'!$B$10,Paramètres!$A$1:$I$89,5,0)</f>
        <v>-5.1431925385259092E-13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321.03881567735544</v>
      </c>
      <c r="AO171" s="59">
        <f t="shared" si="144"/>
        <v>234.87694492493506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0.15661664495852937</v>
      </c>
      <c r="AV171" s="21">
        <f>EXP(-LN(2)/25)*AV170+(1-EXP(-LN(2)/25))/(LN(2)/25)*Calculateur!AQ171*Calculateur!AS171*VLOOKUP('Données projet'!$B$10,Paramètres!$A$1:$I$89,3,0)*0.475*44/12</f>
        <v>0.29541350250614995</v>
      </c>
      <c r="AW171" s="21">
        <f>EXP(-LN(2)/2)*AW170+(1-EXP(-LN(2)/2))/(LN(2)/2)*AQ171*AT171*VLOOKUP('Données projet'!$B$10,Paramètres!$A$1:$I$89,3,0)*0.475*44/12</f>
        <v>3.6829135421898161E-20</v>
      </c>
      <c r="AX171" s="21">
        <f t="shared" si="166"/>
        <v>0.45203014746467929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3.1036506698001181E-13</v>
      </c>
      <c r="BF171" s="13">
        <f t="shared" si="167"/>
        <v>4.086682523110923E-12</v>
      </c>
      <c r="BG171" s="20">
        <f t="shared" si="168"/>
        <v>7.6581912194083782E-12</v>
      </c>
      <c r="BH171" s="59">
        <f t="shared" si="116"/>
        <v>293.33333333334099</v>
      </c>
      <c r="BI171" s="59">
        <f ca="1">AVERAGE(OFFSET($BH$3,0,0,'Données projet'!$E$11+1,1))-AVERAGE(OFFSET($H$3,0,0,'Données projet'!$E$11+1,1))</f>
        <v>248.1486444660062</v>
      </c>
      <c r="BJ171" s="59">
        <f t="shared" si="146"/>
        <v>293.34458072322127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0.55387281817731737</v>
      </c>
      <c r="BQ171" s="21">
        <f>EXP(-LN(2)/25)*BQ170+(1-EXP(-LN(2)/25))/(LN(2)/25)*Calculateur!BL171*Calculateur!BN171*VLOOKUP('Données projet'!$B$11,Paramètres!$A$1:$I$89,3,0)*0.475*44/12</f>
        <v>0.74178002980583368</v>
      </c>
      <c r="BR171" s="21">
        <f>EXP(-LN(2)/2)*BR170+(1-EXP(-LN(2)/2))/(LN(2)/2)*BL171*BO171*VLOOKUP('Données projet'!$B$11,Paramètres!$A$1:$I$89,3,0)*0.475*44/12</f>
        <v>4.2660689222177644E-20</v>
      </c>
      <c r="BS171" s="22">
        <f t="shared" si="169"/>
        <v>1.2956528479831511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243.38048563215585</v>
      </c>
      <c r="CE171" s="59">
        <f t="shared" si="148"/>
        <v>372.1604147006675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0.47525050883967601</v>
      </c>
      <c r="CL171" s="21">
        <f>EXP(-LN(2)/25)*CL170+(1-EXP(-LN(2)/25))/(LN(2)/25)*Calculateur!CG171*Calculateur!CI171*VLOOKUP('Données projet'!$B$12,Paramètres!$A$1:$I$89,3,0)*0.475*44/12</f>
        <v>0.42196288380486557</v>
      </c>
      <c r="CM171" s="21">
        <f>EXP(-LN(2)/2)*CM170+(1-EXP(-LN(2)/2))/(LN(2)/2)*CG171*CJ171*VLOOKUP('Données projet'!$B$12,Paramètres!$A$1:$I$89,3,0)*0.475*44/12</f>
        <v>4.9661438720610813E-20</v>
      </c>
      <c r="CN171" s="22">
        <f t="shared" si="172"/>
        <v>0.89721339264454159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7.9580786405131221E-13</v>
      </c>
      <c r="CU171" s="17">
        <f>CT171*VLOOKUP('Données projet'!$B$13,Paramètres!$A$1:$I$89,3,0)*VLOOKUP('Données projet'!$B$13,Paramètres!$A$1:$I$89,5,0)</f>
        <v>3.8278358260868117E-13</v>
      </c>
      <c r="CV171" s="13">
        <f t="shared" si="173"/>
        <v>4.9186917125089072E-12</v>
      </c>
      <c r="CW171" s="20">
        <f t="shared" si="174"/>
        <v>9.2334028056631319E-12</v>
      </c>
      <c r="CX171" s="59">
        <f t="shared" si="122"/>
        <v>293.33333333334252</v>
      </c>
      <c r="CY171" s="59">
        <f ca="1">AVERAGE(OFFSET($CX$3,0,0,'Données projet'!$E$13+1,1))-AVERAGE(OFFSET($H$3,0,0,'Données projet'!$E$13+1,1))</f>
        <v>297.21955661193238</v>
      </c>
      <c r="CZ171" s="59">
        <f t="shared" si="150"/>
        <v>273.69206144662144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0.4381462332325915</v>
      </c>
      <c r="DG171" s="21">
        <f>EXP(-LN(2)/25)*DG170+(1-EXP(-LN(2)/25))/(LN(2)/25)*Calculateur!DB171*Calculateur!DD171*VLOOKUP('Données projet'!$B$13,Paramètres!$A$1:$I$89,3,0)*0.475*44/12</f>
        <v>0.29252865373253245</v>
      </c>
      <c r="DH171" s="21">
        <f>EXP(-LN(2)/2)*DH170+(1-EXP(-LN(2)/2))/(LN(2)/2)*DB171*DE171*VLOOKUP('Données projet'!$B$13,Paramètres!$A$1:$I$89,3,0)*0.475*44/12</f>
        <v>3.5427633165013898E-20</v>
      </c>
      <c r="DI171" s="22">
        <f t="shared" si="175"/>
        <v>0.73067488696512395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-4.0702161641092972E-13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260.20517190557814</v>
      </c>
      <c r="DU171" s="59">
        <f t="shared" si="152"/>
        <v>307.22009971147133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0.21217661954836889</v>
      </c>
      <c r="EB171" s="21">
        <f>EXP(-LN(2)/25)*EB170+(1-EXP(-LN(2)/25))/(LN(2)/25)*Calculateur!DW171*Calculateur!DY171*VLOOKUP('Données projet'!$B$14,Paramètres!$A$1:$I$89,3,0)*0.475*44/12</f>
        <v>0.4471810302568302</v>
      </c>
      <c r="EC171" s="21">
        <f>EXP(-LN(2)/2)*EC170+(1-EXP(-LN(2)/2))/(LN(2)/2)*DW171*DZ171*VLOOKUP('Données projet'!$B$14,Paramètres!$A$1:$I$89,3,0)*0.475*44/12</f>
        <v>4.0723708064520163E-20</v>
      </c>
      <c r="ED171" s="22">
        <f t="shared" si="178"/>
        <v>0.65935764980519906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1.1368683772161603E-13</v>
      </c>
      <c r="EK171" s="17">
        <f>EJ171*VLOOKUP('Données projet'!$B$15,Paramètres!$A$1:$I$89,3,0)*VLOOKUP('Données projet'!$B$15,Paramètres!$A$1:$I$89,5,0)</f>
        <v>6.7984728957526396E-14</v>
      </c>
      <c r="EL171" s="13">
        <f t="shared" si="179"/>
        <v>1.0682447123141398E-12</v>
      </c>
      <c r="EM171" s="20">
        <f t="shared" si="180"/>
        <v>1.978932943548152E-12</v>
      </c>
      <c r="EN171" s="59">
        <f t="shared" si="128"/>
        <v>293.3333333333353</v>
      </c>
      <c r="EO171" s="59">
        <f ca="1">AVERAGE(OFFSET($EN$3,0,0,'Données projet'!$E$15+1,1))-AVERAGE(OFFSET($H$3,0,0,'Données projet'!$E$15+1,1))</f>
        <v>259.30247982593914</v>
      </c>
      <c r="EP171" s="59">
        <f t="shared" si="154"/>
        <v>275.24740346220779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0.39299110486864625</v>
      </c>
      <c r="EX171" s="21">
        <f>EXP(-LN(2)/2)*EX170+(1-EXP(-LN(2)/2))/(LN(2)/2)*ER171*EU171*VLOOKUP('Données projet'!$B$15,Paramètres!$A$1:$I$89,3,0)*0.475*44/12</f>
        <v>4.8586606373568442E-20</v>
      </c>
      <c r="EY171" s="22">
        <f t="shared" si="181"/>
        <v>0.39299110486864625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-5.6843418860808015E-13</v>
      </c>
      <c r="FF171" s="17">
        <f>FE171*VLOOKUP('Données projet'!$B$16,Paramètres!$A$1:$I$89,3,0)*VLOOKUP('Données projet'!$B$16,Paramètres!$A$1:$I$89,5,0)</f>
        <v>-5.763922672485933E-13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372.91317851957336</v>
      </c>
      <c r="FK171" s="59">
        <f t="shared" si="156"/>
        <v>269.69187715858413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0.17551865383283485</v>
      </c>
      <c r="FR171" s="21">
        <f>EXP(-LN(2)/25)*FR170+(1-EXP(-LN(2)/25))/(LN(2)/25)*Calculateur!FM171*Calculateur!FO171*VLOOKUP('Données projet'!$B$16,Paramètres!$A$1:$I$89,3,0)*0.475*44/12</f>
        <v>0.33106685625689192</v>
      </c>
      <c r="FS171" s="21">
        <f>EXP(-LN(2)/2)*FS170+(1-EXP(-LN(2)/2))/(LN(2)/2)*FM171*FP171*VLOOKUP('Données projet'!$B$16,Paramètres!$A$1:$I$89,3,0)*0.475*44/12</f>
        <v>4.1274031076265147E-20</v>
      </c>
      <c r="FT171" s="22">
        <f t="shared" si="184"/>
        <v>0.50658551008972674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-1.1368683772161603E-13</v>
      </c>
      <c r="GA171" s="17">
        <f>FZ171*VLOOKUP('Données projet'!$B$17,Paramètres!$A$1:$I$89,3,0)*VLOOKUP('Données projet'!$B$17,Paramètres!$A$1:$I$89,5,0)</f>
        <v>-5.3205440053716299E-14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215.23235148064941</v>
      </c>
      <c r="GF171" s="59">
        <f t="shared" si="158"/>
        <v>184.07239726900434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0.20382681187881038</v>
      </c>
      <c r="GM171" s="21">
        <f>EXP(-LN(2)/25)*GM170+(1-EXP(-LN(2)/25))/(LN(2)/25)*Calculateur!GH171*Calculateur!GJ171*VLOOKUP('Données projet'!$B$17,Paramètres!$A$1:$I$89,3,0)*0.475*44/12</f>
        <v>0.17119311178083488</v>
      </c>
      <c r="GN171" s="21">
        <f>EXP(-LN(2)/2)*GN170+(1-EXP(-LN(2)/2))/(LN(2)/2)*GH171*GK171*VLOOKUP('Données projet'!$B$17,Paramètres!$A$1:$I$89,3,0)*0.475*44/12</f>
        <v>1.6656354844059055E-20</v>
      </c>
      <c r="GO171" s="21">
        <f t="shared" si="187"/>
        <v>0.37501992365964526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-1.1368683772161603E-13</v>
      </c>
      <c r="GV171" s="17">
        <f>GU171*VLOOKUP('Données projet'!$B$18,Paramètres!$A$1:$I$89,3,0)*VLOOKUP('Données projet'!$B$18,Paramètres!$A$1:$I$89,5,0)</f>
        <v>-6.7984728957526396E-14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227.89848316900191</v>
      </c>
      <c r="HA171" s="59">
        <f t="shared" si="160"/>
        <v>239.85955661394541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0.51643300544040727</v>
      </c>
      <c r="HH171" s="21">
        <f>EXP(-LN(2)/25)*HH170+(1-EXP(-LN(2)/25))/(LN(2)/25)*Calculateur!HC171*Calculateur!HE171*VLOOKUP('Données projet'!$B$18,Paramètres!$A$1:$I$89,3,0)*0.475*44/12</f>
        <v>0.37360775441586475</v>
      </c>
      <c r="HI171" s="21">
        <f>EXP(-LN(2)/2)*HI170+(1-EXP(-LN(2)/2))/(LN(2)/2)*HC171*HF171*VLOOKUP('Données projet'!$B$18,Paramètres!$A$1:$I$89,3,0)*0.475*44/12</f>
        <v>1.1356290346223397E-20</v>
      </c>
      <c r="HJ171" s="22">
        <f t="shared" si="190"/>
        <v>0.89004075985627207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2.5420376914553347E-13</v>
      </c>
      <c r="P172" s="13">
        <f t="shared" si="141"/>
        <v>3.4258699088369875E-12</v>
      </c>
      <c r="Q172" s="20">
        <f t="shared" si="162"/>
        <v>6.4094616558195571E-12</v>
      </c>
      <c r="R172" s="59">
        <f t="shared" si="109"/>
        <v>293.33333333333974</v>
      </c>
      <c r="S172" s="59">
        <f ca="1">AVERAGE(OFFSET($R$3,0,0,'Données projet'!$E$9+1,1))-AVERAGE(OFFSET($H$3,0,0,'Données projet'!$E$9+1,1))</f>
        <v>370.69652285220093</v>
      </c>
      <c r="T172" s="59">
        <f t="shared" si="142"/>
        <v>376.53494965377718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0.65521566033119627</v>
      </c>
      <c r="AA172" s="21">
        <f>EXP(-LN(2)/25)*AA171+(1-EXP(-LN(2)/25))/(LN(2)/25)*Calculateur!V172*Calculateur!X172*VLOOKUP('Données projet'!$B$9,Paramètres!$A$1:$I$89,3,0)*0.475*44/12</f>
        <v>0.70809782924025955</v>
      </c>
      <c r="AB172" s="21">
        <f>EXP(-LN(2)/2)*AB171+(1-EXP(-LN(2)/2))/(LN(2)/2)*V172*Y172*VLOOKUP('Données projet'!$B$9,Paramètres!$A$1:$I$89,3,0)*0.475*44/12</f>
        <v>3.9206509766327842E-20</v>
      </c>
      <c r="AC172" s="22">
        <f t="shared" si="163"/>
        <v>1.3633134895714558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-5.6843418860808015E-13</v>
      </c>
      <c r="AJ172" s="13">
        <f>AI172*VLOOKUP('Données projet'!$B$10,Paramètres!$A$1:$I$89,3,0)*VLOOKUP('Données projet'!$B$10,Paramètres!$A$1:$I$89,5,0)</f>
        <v>-5.1431925385259092E-13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321.03881567735544</v>
      </c>
      <c r="AO172" s="59">
        <f t="shared" si="144"/>
        <v>234.87694492493506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0.15354548807761356</v>
      </c>
      <c r="AV172" s="21">
        <f>EXP(-LN(2)/25)*AV171+(1-EXP(-LN(2)/25))/(LN(2)/25)*Calculateur!AQ172*Calculateur!AS172*VLOOKUP('Données projet'!$B$10,Paramètres!$A$1:$I$89,3,0)*0.475*44/12</f>
        <v>0.28733540474499836</v>
      </c>
      <c r="AW172" s="21">
        <f>EXP(-LN(2)/2)*AW171+(1-EXP(-LN(2)/2))/(LN(2)/2)*AQ172*AT172*VLOOKUP('Données projet'!$B$10,Paramètres!$A$1:$I$89,3,0)*0.475*44/12</f>
        <v>2.604213140206187E-20</v>
      </c>
      <c r="AX172" s="21">
        <f t="shared" si="166"/>
        <v>0.44088089282261189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3.1036506698001181E-13</v>
      </c>
      <c r="BF172" s="13">
        <f t="shared" si="167"/>
        <v>4.086682523110923E-12</v>
      </c>
      <c r="BG172" s="20">
        <f t="shared" si="168"/>
        <v>7.6581912194083782E-12</v>
      </c>
      <c r="BH172" s="59">
        <f t="shared" si="116"/>
        <v>293.33333333334099</v>
      </c>
      <c r="BI172" s="59">
        <f ca="1">AVERAGE(OFFSET($BH$3,0,0,'Données projet'!$E$11+1,1))-AVERAGE(OFFSET($H$3,0,0,'Données projet'!$E$11+1,1))</f>
        <v>248.1486444660062</v>
      </c>
      <c r="BJ172" s="59">
        <f t="shared" si="146"/>
        <v>293.34458072322127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0.54301171004192139</v>
      </c>
      <c r="BQ172" s="21">
        <f>EXP(-LN(2)/25)*BQ171+(1-EXP(-LN(2)/25))/(LN(2)/25)*Calculateur!BL172*Calculateur!BN172*VLOOKUP('Données projet'!$B$11,Paramètres!$A$1:$I$89,3,0)*0.475*44/12</f>
        <v>0.72149601588227674</v>
      </c>
      <c r="BR172" s="21">
        <f>EXP(-LN(2)/2)*BR171+(1-EXP(-LN(2)/2))/(LN(2)/2)*BL172*BO172*VLOOKUP('Données projet'!$B$11,Paramètres!$A$1:$I$89,3,0)*0.475*44/12</f>
        <v>3.0165662639093674E-20</v>
      </c>
      <c r="BS172" s="22">
        <f t="shared" si="169"/>
        <v>1.2645077259241981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243.38048563215585</v>
      </c>
      <c r="CE172" s="59">
        <f t="shared" si="148"/>
        <v>372.1604147006675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0.46593113623551768</v>
      </c>
      <c r="CL172" s="21">
        <f>EXP(-LN(2)/25)*CL171+(1-EXP(-LN(2)/25))/(LN(2)/25)*Calculateur!CG172*Calculateur!CI172*VLOOKUP('Données projet'!$B$12,Paramètres!$A$1:$I$89,3,0)*0.475*44/12</f>
        <v>0.4104242865571579</v>
      </c>
      <c r="CM172" s="21">
        <f>EXP(-LN(2)/2)*CM171+(1-EXP(-LN(2)/2))/(LN(2)/2)*CG172*CJ172*VLOOKUP('Données projet'!$B$12,Paramètres!$A$1:$I$89,3,0)*0.475*44/12</f>
        <v>3.5115940082824089E-20</v>
      </c>
      <c r="CN172" s="22">
        <f t="shared" si="172"/>
        <v>0.87635542279267553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7.9580786405131221E-13</v>
      </c>
      <c r="CU172" s="17">
        <f>CT172*VLOOKUP('Données projet'!$B$13,Paramètres!$A$1:$I$89,3,0)*VLOOKUP('Données projet'!$B$13,Paramètres!$A$1:$I$89,5,0)</f>
        <v>3.8278358260868117E-13</v>
      </c>
      <c r="CV172" s="13">
        <f t="shared" si="173"/>
        <v>4.9186917125089072E-12</v>
      </c>
      <c r="CW172" s="20">
        <f t="shared" si="174"/>
        <v>9.2334028056631319E-12</v>
      </c>
      <c r="CX172" s="59">
        <f t="shared" si="122"/>
        <v>293.33333333334252</v>
      </c>
      <c r="CY172" s="59">
        <f ca="1">AVERAGE(OFFSET($CX$3,0,0,'Données projet'!$E$13+1,1))-AVERAGE(OFFSET($H$3,0,0,'Données projet'!$E$13+1,1))</f>
        <v>297.21955661193238</v>
      </c>
      <c r="CZ172" s="59">
        <f t="shared" si="150"/>
        <v>273.69206144662144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0.42955445284171462</v>
      </c>
      <c r="DG172" s="21">
        <f>EXP(-LN(2)/25)*DG171+(1-EXP(-LN(2)/25))/(LN(2)/25)*Calculateur!DB172*Calculateur!DD172*VLOOKUP('Données projet'!$B$13,Paramètres!$A$1:$I$89,3,0)*0.475*44/12</f>
        <v>0.28452944231280303</v>
      </c>
      <c r="DH172" s="21">
        <f>EXP(-LN(2)/2)*DH171+(1-EXP(-LN(2)/2))/(LN(2)/2)*DB172*DE172*VLOOKUP('Données projet'!$B$13,Paramètres!$A$1:$I$89,3,0)*0.475*44/12</f>
        <v>2.5051119652370757E-20</v>
      </c>
      <c r="DI172" s="22">
        <f t="shared" si="175"/>
        <v>0.71408389515451764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-4.0702161641092972E-13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260.20517190557814</v>
      </c>
      <c r="DU172" s="59">
        <f t="shared" si="152"/>
        <v>307.22009971147133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0.20801596545398462</v>
      </c>
      <c r="EB172" s="21">
        <f>EXP(-LN(2)/25)*EB171+(1-EXP(-LN(2)/25))/(LN(2)/25)*Calculateur!DW172*Calculateur!DY172*VLOOKUP('Données projet'!$B$14,Paramètres!$A$1:$I$89,3,0)*0.475*44/12</f>
        <v>0.43495284146822882</v>
      </c>
      <c r="EC172" s="21">
        <f>EXP(-LN(2)/2)*EC171+(1-EXP(-LN(2)/2))/(LN(2)/2)*DW172*DZ172*VLOOKUP('Données projet'!$B$14,Paramètres!$A$1:$I$89,3,0)*0.475*44/12</f>
        <v>2.87960101274835E-20</v>
      </c>
      <c r="ED172" s="22">
        <f t="shared" si="178"/>
        <v>0.64296880692221348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1.1368683772161603E-13</v>
      </c>
      <c r="EK172" s="17">
        <f>EJ172*VLOOKUP('Données projet'!$B$15,Paramètres!$A$1:$I$89,3,0)*VLOOKUP('Données projet'!$B$15,Paramètres!$A$1:$I$89,5,0)</f>
        <v>6.7984728957526396E-14</v>
      </c>
      <c r="EL172" s="13">
        <f t="shared" si="179"/>
        <v>1.0682447123141398E-12</v>
      </c>
      <c r="EM172" s="20">
        <f t="shared" si="180"/>
        <v>1.978932943548152E-12</v>
      </c>
      <c r="EN172" s="59">
        <f t="shared" si="128"/>
        <v>293.3333333333353</v>
      </c>
      <c r="EO172" s="59">
        <f ca="1">AVERAGE(OFFSET($EN$3,0,0,'Données projet'!$E$15+1,1))-AVERAGE(OFFSET($H$3,0,0,'Données projet'!$E$15+1,1))</f>
        <v>259.30247982593914</v>
      </c>
      <c r="EP172" s="59">
        <f t="shared" si="154"/>
        <v>275.24740346220779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0.38224474243950912</v>
      </c>
      <c r="EX172" s="21">
        <f>EXP(-LN(2)/2)*EX171+(1-EXP(-LN(2)/2))/(LN(2)/2)*ER172*EU172*VLOOKUP('Données projet'!$B$15,Paramètres!$A$1:$I$89,3,0)*0.475*44/12</f>
        <v>3.4355918841591775E-20</v>
      </c>
      <c r="EY172" s="22">
        <f t="shared" si="181"/>
        <v>0.38224474243950912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-5.6843418860808015E-13</v>
      </c>
      <c r="FF172" s="17">
        <f>FE172*VLOOKUP('Données projet'!$B$16,Paramètres!$A$1:$I$89,3,0)*VLOOKUP('Données projet'!$B$16,Paramètres!$A$1:$I$89,5,0)</f>
        <v>-5.763922672485933E-13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372.91317851957336</v>
      </c>
      <c r="FK172" s="59">
        <f t="shared" si="156"/>
        <v>269.69187715858413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0.1720768400869809</v>
      </c>
      <c r="FR172" s="21">
        <f>EXP(-LN(2)/25)*FR171+(1-EXP(-LN(2)/25))/(LN(2)/25)*Calculateur!FM172*Calculateur!FO172*VLOOKUP('Données projet'!$B$16,Paramètres!$A$1:$I$89,3,0)*0.475*44/12</f>
        <v>0.32201381566249793</v>
      </c>
      <c r="FS172" s="21">
        <f>EXP(-LN(2)/2)*FS171+(1-EXP(-LN(2)/2))/(LN(2)/2)*FM172*FP172*VLOOKUP('Données projet'!$B$16,Paramètres!$A$1:$I$89,3,0)*0.475*44/12</f>
        <v>2.9185147260931382E-20</v>
      </c>
      <c r="FT172" s="22">
        <f t="shared" si="184"/>
        <v>0.49409065574947886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-1.1368683772161603E-13</v>
      </c>
      <c r="GA172" s="17">
        <f>FZ172*VLOOKUP('Données projet'!$B$17,Paramètres!$A$1:$I$89,3,0)*VLOOKUP('Données projet'!$B$17,Paramètres!$A$1:$I$89,5,0)</f>
        <v>-5.3205440053716299E-14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215.23235148064941</v>
      </c>
      <c r="GF172" s="59">
        <f t="shared" si="158"/>
        <v>184.07239726900434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0.19982989241994636</v>
      </c>
      <c r="GM172" s="21">
        <f>EXP(-LN(2)/25)*GM171+(1-EXP(-LN(2)/25))/(LN(2)/25)*Calculateur!GH172*Calculateur!GJ172*VLOOKUP('Données projet'!$B$17,Paramètres!$A$1:$I$89,3,0)*0.475*44/12</f>
        <v>0.16651182713653348</v>
      </c>
      <c r="GN172" s="21">
        <f>EXP(-LN(2)/2)*GN171+(1-EXP(-LN(2)/2))/(LN(2)/2)*GH172*GK172*VLOOKUP('Données projet'!$B$17,Paramètres!$A$1:$I$89,3,0)*0.475*44/12</f>
        <v>1.1777821460083557E-20</v>
      </c>
      <c r="GO172" s="21">
        <f t="shared" si="187"/>
        <v>0.36634171955647987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-1.1368683772161603E-13</v>
      </c>
      <c r="GV172" s="17">
        <f>GU172*VLOOKUP('Données projet'!$B$18,Paramètres!$A$1:$I$89,3,0)*VLOOKUP('Données projet'!$B$18,Paramètres!$A$1:$I$89,5,0)</f>
        <v>-6.7984728957526396E-14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227.89848316900191</v>
      </c>
      <c r="HA172" s="59">
        <f t="shared" si="160"/>
        <v>239.85955661394541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0.50630606919675125</v>
      </c>
      <c r="HH172" s="21">
        <f>EXP(-LN(2)/25)*HH171+(1-EXP(-LN(2)/25))/(LN(2)/25)*Calculateur!HC172*Calculateur!HE172*VLOOKUP('Données projet'!$B$18,Paramètres!$A$1:$I$89,3,0)*0.475*44/12</f>
        <v>0.36339143072418501</v>
      </c>
      <c r="HI172" s="21">
        <f>EXP(-LN(2)/2)*HI171+(1-EXP(-LN(2)/2))/(LN(2)/2)*HC172*HF172*VLOOKUP('Données projet'!$B$18,Paramètres!$A$1:$I$89,3,0)*0.475*44/12</f>
        <v>8.0301099129378894E-21</v>
      </c>
      <c r="HJ172" s="22">
        <f t="shared" si="190"/>
        <v>0.86969749992093626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2.5420376914553347E-13</v>
      </c>
      <c r="P173" s="13">
        <f t="shared" si="141"/>
        <v>3.4258699088369875E-12</v>
      </c>
      <c r="Q173" s="20">
        <f t="shared" si="162"/>
        <v>6.4094616558195571E-12</v>
      </c>
      <c r="R173" s="59">
        <f t="shared" si="109"/>
        <v>293.33333333333974</v>
      </c>
      <c r="S173" s="59">
        <f ca="1">AVERAGE(OFFSET($R$3,0,0,'Données projet'!$E$9+1,1))-AVERAGE(OFFSET($H$3,0,0,'Données projet'!$E$9+1,1))</f>
        <v>370.69652285220093</v>
      </c>
      <c r="T173" s="59">
        <f t="shared" si="142"/>
        <v>376.53494965377718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0.64236728087419293</v>
      </c>
      <c r="AA173" s="21">
        <f>EXP(-LN(2)/25)*AA172+(1-EXP(-LN(2)/25))/(LN(2)/25)*Calculateur!V173*Calculateur!X173*VLOOKUP('Données projet'!$B$9,Paramètres!$A$1:$I$89,3,0)*0.475*44/12</f>
        <v>0.68873485686243818</v>
      </c>
      <c r="AB173" s="21">
        <f>EXP(-LN(2)/2)*AB172+(1-EXP(-LN(2)/2))/(LN(2)/2)*V173*Y173*VLOOKUP('Données projet'!$B$9,Paramètres!$A$1:$I$89,3,0)*0.475*44/12</f>
        <v>2.7723188922427019E-20</v>
      </c>
      <c r="AC173" s="22">
        <f t="shared" si="163"/>
        <v>1.331102137736631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-5.6843418860808015E-13</v>
      </c>
      <c r="AJ173" s="13">
        <f>AI173*VLOOKUP('Données projet'!$B$10,Paramètres!$A$1:$I$89,3,0)*VLOOKUP('Données projet'!$B$10,Paramètres!$A$1:$I$89,5,0)</f>
        <v>-5.1431925385259092E-13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321.03881567735544</v>
      </c>
      <c r="AO173" s="59">
        <f t="shared" si="144"/>
        <v>234.87694492493506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0.15053455470991178</v>
      </c>
      <c r="AV173" s="21">
        <f>EXP(-LN(2)/25)*AV172+(1-EXP(-LN(2)/25))/(LN(2)/25)*Calculateur!AQ173*Calculateur!AS173*VLOOKUP('Données projet'!$B$10,Paramètres!$A$1:$I$89,3,0)*0.475*44/12</f>
        <v>0.27947820299193415</v>
      </c>
      <c r="AW173" s="21">
        <f>EXP(-LN(2)/2)*AW172+(1-EXP(-LN(2)/2))/(LN(2)/2)*AQ173*AT173*VLOOKUP('Données projet'!$B$10,Paramètres!$A$1:$I$89,3,0)*0.475*44/12</f>
        <v>1.841456771094908E-20</v>
      </c>
      <c r="AX173" s="21">
        <f t="shared" si="166"/>
        <v>0.43001275770184594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3.1036506698001181E-13</v>
      </c>
      <c r="BF173" s="13">
        <f t="shared" si="167"/>
        <v>4.086682523110923E-12</v>
      </c>
      <c r="BG173" s="20">
        <f t="shared" si="168"/>
        <v>7.6581912194083782E-12</v>
      </c>
      <c r="BH173" s="59">
        <f t="shared" si="116"/>
        <v>293.33333333334099</v>
      </c>
      <c r="BI173" s="59">
        <f ca="1">AVERAGE(OFFSET($BH$3,0,0,'Données projet'!$E$11+1,1))-AVERAGE(OFFSET($H$3,0,0,'Données projet'!$E$11+1,1))</f>
        <v>248.1486444660062</v>
      </c>
      <c r="BJ173" s="59">
        <f t="shared" si="146"/>
        <v>293.34458072322127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0.53236358161243869</v>
      </c>
      <c r="BQ173" s="21">
        <f>EXP(-LN(2)/25)*BQ172+(1-EXP(-LN(2)/25))/(LN(2)/25)*Calculateur!BL173*Calculateur!BN173*VLOOKUP('Données projet'!$B$11,Paramètres!$A$1:$I$89,3,0)*0.475*44/12</f>
        <v>0.7017666693861494</v>
      </c>
      <c r="BR173" s="21">
        <f>EXP(-LN(2)/2)*BR172+(1-EXP(-LN(2)/2))/(LN(2)/2)*BL173*BO173*VLOOKUP('Données projet'!$B$11,Paramètres!$A$1:$I$89,3,0)*0.475*44/12</f>
        <v>2.1330344611088822E-20</v>
      </c>
      <c r="BS173" s="22">
        <f t="shared" si="169"/>
        <v>1.2341302509985881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243.38048563215585</v>
      </c>
      <c r="CE173" s="59">
        <f t="shared" si="148"/>
        <v>372.1604147006675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0.45679451084387085</v>
      </c>
      <c r="CL173" s="21">
        <f>EXP(-LN(2)/25)*CL172+(1-EXP(-LN(2)/25))/(LN(2)/25)*Calculateur!CG173*Calculateur!CI173*VLOOKUP('Données projet'!$B$12,Paramètres!$A$1:$I$89,3,0)*0.475*44/12</f>
        <v>0.39920121285797722</v>
      </c>
      <c r="CM173" s="21">
        <f>EXP(-LN(2)/2)*CM172+(1-EXP(-LN(2)/2))/(LN(2)/2)*CG173*CJ173*VLOOKUP('Données projet'!$B$12,Paramètres!$A$1:$I$89,3,0)*0.475*44/12</f>
        <v>2.4830719360305407E-20</v>
      </c>
      <c r="CN173" s="22">
        <f t="shared" si="172"/>
        <v>0.85599572370184807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7.9580786405131221E-13</v>
      </c>
      <c r="CU173" s="17">
        <f>CT173*VLOOKUP('Données projet'!$B$13,Paramètres!$A$1:$I$89,3,0)*VLOOKUP('Données projet'!$B$13,Paramètres!$A$1:$I$89,5,0)</f>
        <v>3.8278358260868117E-13</v>
      </c>
      <c r="CV173" s="13">
        <f t="shared" si="173"/>
        <v>4.9186917125089072E-12</v>
      </c>
      <c r="CW173" s="20">
        <f t="shared" si="174"/>
        <v>9.2334028056631319E-12</v>
      </c>
      <c r="CX173" s="59">
        <f t="shared" si="122"/>
        <v>293.33333333334252</v>
      </c>
      <c r="CY173" s="59">
        <f ca="1">AVERAGE(OFFSET($CX$3,0,0,'Données projet'!$E$13+1,1))-AVERAGE(OFFSET($H$3,0,0,'Données projet'!$E$13+1,1))</f>
        <v>297.21955661193238</v>
      </c>
      <c r="CZ173" s="59">
        <f t="shared" si="150"/>
        <v>273.69206144662144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0.42113115202383422</v>
      </c>
      <c r="DG173" s="21">
        <f>EXP(-LN(2)/25)*DG172+(1-EXP(-LN(2)/25))/(LN(2)/25)*Calculateur!DB173*Calculateur!DD173*VLOOKUP('Données projet'!$B$13,Paramètres!$A$1:$I$89,3,0)*0.475*44/12</f>
        <v>0.27674896975000635</v>
      </c>
      <c r="DH173" s="21">
        <f>EXP(-LN(2)/2)*DH172+(1-EXP(-LN(2)/2))/(LN(2)/2)*DB173*DE173*VLOOKUP('Données projet'!$B$13,Paramètres!$A$1:$I$89,3,0)*0.475*44/12</f>
        <v>1.7713816582506949E-20</v>
      </c>
      <c r="DI173" s="22">
        <f t="shared" si="175"/>
        <v>0.69788012177384062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-4.0702161641092972E-13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260.20517190557814</v>
      </c>
      <c r="DU173" s="59">
        <f t="shared" si="152"/>
        <v>307.22009971147133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0.20393689924864283</v>
      </c>
      <c r="EB173" s="21">
        <f>EXP(-LN(2)/25)*EB172+(1-EXP(-LN(2)/25))/(LN(2)/25)*Calculateur!DW173*Calculateur!DY173*VLOOKUP('Données projet'!$B$14,Paramètres!$A$1:$I$89,3,0)*0.475*44/12</f>
        <v>0.42305903314510429</v>
      </c>
      <c r="EC173" s="21">
        <f>EXP(-LN(2)/2)*EC172+(1-EXP(-LN(2)/2))/(LN(2)/2)*DW173*DZ173*VLOOKUP('Données projet'!$B$14,Paramètres!$A$1:$I$89,3,0)*0.475*44/12</f>
        <v>2.0361854032260082E-20</v>
      </c>
      <c r="ED173" s="22">
        <f t="shared" si="178"/>
        <v>0.62699593239374707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1.1368683772161603E-13</v>
      </c>
      <c r="EK173" s="17">
        <f>EJ173*VLOOKUP('Données projet'!$B$15,Paramètres!$A$1:$I$89,3,0)*VLOOKUP('Données projet'!$B$15,Paramètres!$A$1:$I$89,5,0)</f>
        <v>6.7984728957526396E-14</v>
      </c>
      <c r="EL173" s="13">
        <f t="shared" si="179"/>
        <v>1.0682447123141398E-12</v>
      </c>
      <c r="EM173" s="20">
        <f t="shared" si="180"/>
        <v>1.978932943548152E-12</v>
      </c>
      <c r="EN173" s="59">
        <f t="shared" si="128"/>
        <v>293.3333333333353</v>
      </c>
      <c r="EO173" s="59">
        <f ca="1">AVERAGE(OFFSET($EN$3,0,0,'Données projet'!$E$15+1,1))-AVERAGE(OFFSET($H$3,0,0,'Données projet'!$E$15+1,1))</f>
        <v>259.30247982593914</v>
      </c>
      <c r="EP173" s="59">
        <f t="shared" si="154"/>
        <v>275.24740346220779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0.37179223985612336</v>
      </c>
      <c r="EX173" s="21">
        <f>EXP(-LN(2)/2)*EX172+(1-EXP(-LN(2)/2))/(LN(2)/2)*ER173*EU173*VLOOKUP('Données projet'!$B$15,Paramètres!$A$1:$I$89,3,0)*0.475*44/12</f>
        <v>2.4293303186784221E-20</v>
      </c>
      <c r="EY173" s="22">
        <f t="shared" si="181"/>
        <v>0.37179223985612336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-5.6843418860808015E-13</v>
      </c>
      <c r="FF173" s="17">
        <f>FE173*VLOOKUP('Données projet'!$B$16,Paramètres!$A$1:$I$89,3,0)*VLOOKUP('Données projet'!$B$16,Paramètres!$A$1:$I$89,5,0)</f>
        <v>-5.763922672485933E-13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372.91317851957336</v>
      </c>
      <c r="FK173" s="59">
        <f t="shared" si="156"/>
        <v>269.69187715858413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0.16870251820938406</v>
      </c>
      <c r="FR173" s="21">
        <f>EXP(-LN(2)/25)*FR172+(1-EXP(-LN(2)/25))/(LN(2)/25)*Calculateur!FM173*Calculateur!FO173*VLOOKUP('Données projet'!$B$16,Paramètres!$A$1:$I$89,3,0)*0.475*44/12</f>
        <v>0.31320833093923633</v>
      </c>
      <c r="FS173" s="21">
        <f>EXP(-LN(2)/2)*FS172+(1-EXP(-LN(2)/2))/(LN(2)/2)*FM173*FP173*VLOOKUP('Données projet'!$B$16,Paramètres!$A$1:$I$89,3,0)*0.475*44/12</f>
        <v>2.0637015538132574E-20</v>
      </c>
      <c r="FT173" s="22">
        <f t="shared" si="184"/>
        <v>0.48191084914862037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-1.1368683772161603E-13</v>
      </c>
      <c r="GA173" s="17">
        <f>FZ173*VLOOKUP('Données projet'!$B$17,Paramètres!$A$1:$I$89,3,0)*VLOOKUP('Données projet'!$B$17,Paramètres!$A$1:$I$89,5,0)</f>
        <v>-5.3205440053716299E-14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215.23235148064941</v>
      </c>
      <c r="GF173" s="59">
        <f t="shared" si="158"/>
        <v>184.07239726900434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0.19591135011379052</v>
      </c>
      <c r="GM173" s="21">
        <f>EXP(-LN(2)/25)*GM172+(1-EXP(-LN(2)/25))/(LN(2)/25)*Calculateur!GH173*Calculateur!GJ173*VLOOKUP('Données projet'!$B$17,Paramètres!$A$1:$I$89,3,0)*0.475*44/12</f>
        <v>0.16195855246700855</v>
      </c>
      <c r="GN173" s="21">
        <f>EXP(-LN(2)/2)*GN172+(1-EXP(-LN(2)/2))/(LN(2)/2)*GH173*GK173*VLOOKUP('Données projet'!$B$17,Paramètres!$A$1:$I$89,3,0)*0.475*44/12</f>
        <v>8.3281774220295273E-21</v>
      </c>
      <c r="GO173" s="21">
        <f t="shared" si="187"/>
        <v>0.35786990258079909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-1.1368683772161603E-13</v>
      </c>
      <c r="GV173" s="17">
        <f>GU173*VLOOKUP('Données projet'!$B$18,Paramètres!$A$1:$I$89,3,0)*VLOOKUP('Données projet'!$B$18,Paramètres!$A$1:$I$89,5,0)</f>
        <v>-6.7984728957526396E-14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227.89848316900191</v>
      </c>
      <c r="HA173" s="59">
        <f t="shared" si="160"/>
        <v>239.85955661394541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0.4963777159960121</v>
      </c>
      <c r="HH173" s="21">
        <f>EXP(-LN(2)/25)*HH172+(1-EXP(-LN(2)/25))/(LN(2)/25)*Calculateur!HC173*Calculateur!HE173*VLOOKUP('Données projet'!$B$18,Paramètres!$A$1:$I$89,3,0)*0.475*44/12</f>
        <v>0.35345447294110738</v>
      </c>
      <c r="HI173" s="21">
        <f>EXP(-LN(2)/2)*HI172+(1-EXP(-LN(2)/2))/(LN(2)/2)*HC173*HF173*VLOOKUP('Données projet'!$B$18,Paramètres!$A$1:$I$89,3,0)*0.475*44/12</f>
        <v>5.6781451731116984E-21</v>
      </c>
      <c r="HJ173" s="22">
        <f t="shared" si="190"/>
        <v>0.84983218893711943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2.5420376914553347E-13</v>
      </c>
      <c r="P174" s="13">
        <f t="shared" si="141"/>
        <v>3.4258699088369875E-12</v>
      </c>
      <c r="Q174" s="20">
        <f t="shared" si="162"/>
        <v>6.4094616558195571E-12</v>
      </c>
      <c r="R174" s="59">
        <f t="shared" si="109"/>
        <v>293.33333333333974</v>
      </c>
      <c r="S174" s="59">
        <f ca="1">AVERAGE(OFFSET($R$3,0,0,'Données projet'!$E$9+1,1))-AVERAGE(OFFSET($H$3,0,0,'Données projet'!$E$9+1,1))</f>
        <v>370.69652285220093</v>
      </c>
      <c r="T174" s="59">
        <f t="shared" si="142"/>
        <v>376.53494965377718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0.62977085030160374</v>
      </c>
      <c r="AA174" s="21">
        <f>EXP(-LN(2)/25)*AA173+(1-EXP(-LN(2)/25))/(LN(2)/25)*Calculateur!V174*Calculateur!X174*VLOOKUP('Données projet'!$B$9,Paramètres!$A$1:$I$89,3,0)*0.475*44/12</f>
        <v>0.6699013659825428</v>
      </c>
      <c r="AB174" s="21">
        <f>EXP(-LN(2)/2)*AB173+(1-EXP(-LN(2)/2))/(LN(2)/2)*V174*Y174*VLOOKUP('Données projet'!$B$9,Paramètres!$A$1:$I$89,3,0)*0.475*44/12</f>
        <v>1.9603254883163921E-20</v>
      </c>
      <c r="AC174" s="22">
        <f t="shared" si="163"/>
        <v>1.2996722162841465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-5.6843418860808015E-13</v>
      </c>
      <c r="AJ174" s="13">
        <f>AI174*VLOOKUP('Données projet'!$B$10,Paramètres!$A$1:$I$89,3,0)*VLOOKUP('Données projet'!$B$10,Paramètres!$A$1:$I$89,5,0)</f>
        <v>-5.1431925385259092E-13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321.03881567735544</v>
      </c>
      <c r="AO174" s="59">
        <f t="shared" si="144"/>
        <v>234.87694492493506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0.14758266390906261</v>
      </c>
      <c r="AV174" s="21">
        <f>EXP(-LN(2)/25)*AV173+(1-EXP(-LN(2)/25))/(LN(2)/25)*Calculateur!AQ174*Calculateur!AS174*VLOOKUP('Données projet'!$B$10,Paramètres!$A$1:$I$89,3,0)*0.475*44/12</f>
        <v>0.2718358568339998</v>
      </c>
      <c r="AW174" s="21">
        <f>EXP(-LN(2)/2)*AW173+(1-EXP(-LN(2)/2))/(LN(2)/2)*AQ174*AT174*VLOOKUP('Données projet'!$B$10,Paramètres!$A$1:$I$89,3,0)*0.475*44/12</f>
        <v>1.3021065701030935E-20</v>
      </c>
      <c r="AX174" s="21">
        <f t="shared" si="166"/>
        <v>0.41941852074306241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3.1036506698001181E-13</v>
      </c>
      <c r="BF174" s="13">
        <f t="shared" si="167"/>
        <v>4.086682523110923E-12</v>
      </c>
      <c r="BG174" s="20">
        <f t="shared" si="168"/>
        <v>7.6581912194083782E-12</v>
      </c>
      <c r="BH174" s="59">
        <f t="shared" si="116"/>
        <v>293.33333333334099</v>
      </c>
      <c r="BI174" s="59">
        <f ca="1">AVERAGE(OFFSET($BH$3,0,0,'Données projet'!$E$11+1,1))-AVERAGE(OFFSET($H$3,0,0,'Données projet'!$E$11+1,1))</f>
        <v>248.1486444660062</v>
      </c>
      <c r="BJ174" s="59">
        <f t="shared" si="146"/>
        <v>293.34458072322127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0.52192425648674112</v>
      </c>
      <c r="BQ174" s="21">
        <f>EXP(-LN(2)/25)*BQ173+(1-EXP(-LN(2)/25))/(LN(2)/25)*Calculateur!BL174*Calculateur!BN174*VLOOKUP('Données projet'!$B$11,Paramètres!$A$1:$I$89,3,0)*0.475*44/12</f>
        <v>0.6825768229074799</v>
      </c>
      <c r="BR174" s="21">
        <f>EXP(-LN(2)/2)*BR173+(1-EXP(-LN(2)/2))/(LN(2)/2)*BL174*BO174*VLOOKUP('Données projet'!$B$11,Paramètres!$A$1:$I$89,3,0)*0.475*44/12</f>
        <v>1.5082831319546837E-20</v>
      </c>
      <c r="BS174" s="22">
        <f t="shared" si="169"/>
        <v>1.204501079394221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243.38048563215585</v>
      </c>
      <c r="CE174" s="59">
        <f t="shared" si="148"/>
        <v>372.1604147006675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0.44783704910336297</v>
      </c>
      <c r="CL174" s="21">
        <f>EXP(-LN(2)/25)*CL173+(1-EXP(-LN(2)/25))/(LN(2)/25)*Calculateur!CG174*Calculateur!CI174*VLOOKUP('Données projet'!$B$12,Paramètres!$A$1:$I$89,3,0)*0.475*44/12</f>
        <v>0.38828503469929643</v>
      </c>
      <c r="CM174" s="21">
        <f>EXP(-LN(2)/2)*CM173+(1-EXP(-LN(2)/2))/(LN(2)/2)*CG174*CJ174*VLOOKUP('Données projet'!$B$12,Paramètres!$A$1:$I$89,3,0)*0.475*44/12</f>
        <v>1.7557970041412044E-20</v>
      </c>
      <c r="CN174" s="22">
        <f t="shared" si="172"/>
        <v>0.8361220838026594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7.9580786405131221E-13</v>
      </c>
      <c r="CU174" s="17">
        <f>CT174*VLOOKUP('Données projet'!$B$13,Paramètres!$A$1:$I$89,3,0)*VLOOKUP('Données projet'!$B$13,Paramètres!$A$1:$I$89,5,0)</f>
        <v>3.8278358260868117E-13</v>
      </c>
      <c r="CV174" s="13">
        <f t="shared" si="173"/>
        <v>4.9186917125089072E-12</v>
      </c>
      <c r="CW174" s="20">
        <f t="shared" si="174"/>
        <v>9.2334028056631319E-12</v>
      </c>
      <c r="CX174" s="59">
        <f t="shared" si="122"/>
        <v>293.33333333334252</v>
      </c>
      <c r="CY174" s="59">
        <f ca="1">AVERAGE(OFFSET($CX$3,0,0,'Données projet'!$E$13+1,1))-AVERAGE(OFFSET($H$3,0,0,'Données projet'!$E$13+1,1))</f>
        <v>297.21955661193238</v>
      </c>
      <c r="CZ174" s="59">
        <f t="shared" si="150"/>
        <v>273.69206144662144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0.41287302699728629</v>
      </c>
      <c r="DG174" s="21">
        <f>EXP(-LN(2)/25)*DG173+(1-EXP(-LN(2)/25))/(LN(2)/25)*Calculateur!DB174*Calculateur!DD174*VLOOKUP('Données projet'!$B$13,Paramètres!$A$1:$I$89,3,0)*0.475*44/12</f>
        <v>0.2691812546185966</v>
      </c>
      <c r="DH174" s="21">
        <f>EXP(-LN(2)/2)*DH173+(1-EXP(-LN(2)/2))/(LN(2)/2)*DB174*DE174*VLOOKUP('Données projet'!$B$13,Paramètres!$A$1:$I$89,3,0)*0.475*44/12</f>
        <v>1.2525559826185379E-20</v>
      </c>
      <c r="DI174" s="22">
        <f t="shared" si="175"/>
        <v>0.68205428161588288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-4.0702161641092972E-13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260.20517190557814</v>
      </c>
      <c r="DU174" s="59">
        <f t="shared" si="152"/>
        <v>307.22009971147133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0.19993782104360308</v>
      </c>
      <c r="EB174" s="21">
        <f>EXP(-LN(2)/25)*EB173+(1-EXP(-LN(2)/25))/(LN(2)/25)*Calculateur!DW174*Calculateur!DY174*VLOOKUP('Données projet'!$B$14,Paramètres!$A$1:$I$89,3,0)*0.475*44/12</f>
        <v>0.4114904616360438</v>
      </c>
      <c r="EC174" s="21">
        <f>EXP(-LN(2)/2)*EC173+(1-EXP(-LN(2)/2))/(LN(2)/2)*DW174*DZ174*VLOOKUP('Données projet'!$B$14,Paramètres!$A$1:$I$89,3,0)*0.475*44/12</f>
        <v>1.439800506374175E-20</v>
      </c>
      <c r="ED174" s="22">
        <f t="shared" si="178"/>
        <v>0.61142828267964688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1.1368683772161603E-13</v>
      </c>
      <c r="EK174" s="17">
        <f>EJ174*VLOOKUP('Données projet'!$B$15,Paramètres!$A$1:$I$89,3,0)*VLOOKUP('Données projet'!$B$15,Paramètres!$A$1:$I$89,5,0)</f>
        <v>6.7984728957526396E-14</v>
      </c>
      <c r="EL174" s="13">
        <f t="shared" si="179"/>
        <v>1.0682447123141398E-12</v>
      </c>
      <c r="EM174" s="20">
        <f t="shared" si="180"/>
        <v>1.978932943548152E-12</v>
      </c>
      <c r="EN174" s="59">
        <f t="shared" si="128"/>
        <v>293.3333333333353</v>
      </c>
      <c r="EO174" s="59">
        <f ca="1">AVERAGE(OFFSET($EN$3,0,0,'Données projet'!$E$15+1,1))-AVERAGE(OFFSET($H$3,0,0,'Données projet'!$E$15+1,1))</f>
        <v>259.30247982593914</v>
      </c>
      <c r="EP174" s="59">
        <f t="shared" si="154"/>
        <v>275.24740346220779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0.36162556150555353</v>
      </c>
      <c r="EX174" s="21">
        <f>EXP(-LN(2)/2)*EX173+(1-EXP(-LN(2)/2))/(LN(2)/2)*ER174*EU174*VLOOKUP('Données projet'!$B$15,Paramètres!$A$1:$I$89,3,0)*0.475*44/12</f>
        <v>1.7177959420795888E-20</v>
      </c>
      <c r="EY174" s="22">
        <f t="shared" si="181"/>
        <v>0.36162556150555353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-5.6843418860808015E-13</v>
      </c>
      <c r="FF174" s="17">
        <f>FE174*VLOOKUP('Données projet'!$B$16,Paramètres!$A$1:$I$89,3,0)*VLOOKUP('Données projet'!$B$16,Paramètres!$A$1:$I$89,5,0)</f>
        <v>-5.763922672485933E-13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372.91317851957336</v>
      </c>
      <c r="FK174" s="59">
        <f t="shared" si="156"/>
        <v>269.69187715858413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0.16539436472567379</v>
      </c>
      <c r="FR174" s="21">
        <f>EXP(-LN(2)/25)*FR173+(1-EXP(-LN(2)/25))/(LN(2)/25)*Calculateur!FM174*Calculateur!FO174*VLOOKUP('Données projet'!$B$16,Paramètres!$A$1:$I$89,3,0)*0.475*44/12</f>
        <v>0.30464363265879263</v>
      </c>
      <c r="FS174" s="21">
        <f>EXP(-LN(2)/2)*FS173+(1-EXP(-LN(2)/2))/(LN(2)/2)*FM174*FP174*VLOOKUP('Données projet'!$B$16,Paramètres!$A$1:$I$89,3,0)*0.475*44/12</f>
        <v>1.4592573630465691E-20</v>
      </c>
      <c r="FT174" s="22">
        <f t="shared" si="184"/>
        <v>0.47003799738446639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-1.1368683772161603E-13</v>
      </c>
      <c r="GA174" s="17">
        <f>FZ174*VLOOKUP('Données projet'!$B$17,Paramètres!$A$1:$I$89,3,0)*VLOOKUP('Données projet'!$B$17,Paramètres!$A$1:$I$89,5,0)</f>
        <v>-5.3205440053716299E-14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215.23235148064941</v>
      </c>
      <c r="GF174" s="59">
        <f t="shared" si="158"/>
        <v>184.07239726900434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0.1920696480321836</v>
      </c>
      <c r="GM174" s="21">
        <f>EXP(-LN(2)/25)*GM173+(1-EXP(-LN(2)/25))/(LN(2)/25)*Calculateur!GH174*Calculateur!GJ174*VLOOKUP('Données projet'!$B$17,Paramètres!$A$1:$I$89,3,0)*0.475*44/12</f>
        <v>0.1575297873327681</v>
      </c>
      <c r="GN174" s="21">
        <f>EXP(-LN(2)/2)*GN173+(1-EXP(-LN(2)/2))/(LN(2)/2)*GH174*GK174*VLOOKUP('Données projet'!$B$17,Paramètres!$A$1:$I$89,3,0)*0.475*44/12</f>
        <v>5.8889107300417785E-21</v>
      </c>
      <c r="GO174" s="21">
        <f t="shared" si="187"/>
        <v>0.34959943536495169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-1.1368683772161603E-13</v>
      </c>
      <c r="GV174" s="17">
        <f>GU174*VLOOKUP('Données projet'!$B$18,Paramètres!$A$1:$I$89,3,0)*VLOOKUP('Données projet'!$B$18,Paramètres!$A$1:$I$89,5,0)</f>
        <v>-6.7984728957526396E-14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227.89848316900191</v>
      </c>
      <c r="HA174" s="59">
        <f t="shared" si="160"/>
        <v>239.85955661394541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0.48664405174584197</v>
      </c>
      <c r="HH174" s="21">
        <f>EXP(-LN(2)/25)*HH173+(1-EXP(-LN(2)/25))/(LN(2)/25)*Calculateur!HC174*Calculateur!HE174*VLOOKUP('Données projet'!$B$18,Paramètres!$A$1:$I$89,3,0)*0.475*44/12</f>
        <v>0.34378924179116988</v>
      </c>
      <c r="HI174" s="21">
        <f>EXP(-LN(2)/2)*HI173+(1-EXP(-LN(2)/2))/(LN(2)/2)*HC174*HF174*VLOOKUP('Données projet'!$B$18,Paramètres!$A$1:$I$89,3,0)*0.475*44/12</f>
        <v>4.0150549564689447E-21</v>
      </c>
      <c r="HJ174" s="22">
        <f t="shared" si="190"/>
        <v>0.83043329353701179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2.5420376914553347E-13</v>
      </c>
      <c r="P175" s="13">
        <f t="shared" si="141"/>
        <v>3.4258699088369875E-12</v>
      </c>
      <c r="Q175" s="20">
        <f t="shared" si="162"/>
        <v>6.4094616558195571E-12</v>
      </c>
      <c r="R175" s="59">
        <f t="shared" si="109"/>
        <v>293.33333333333974</v>
      </c>
      <c r="S175" s="59">
        <f ca="1">AVERAGE(OFFSET($R$3,0,0,'Données projet'!$E$9+1,1))-AVERAGE(OFFSET($H$3,0,0,'Données projet'!$E$9+1,1))</f>
        <v>370.69652285220093</v>
      </c>
      <c r="T175" s="59">
        <f t="shared" si="142"/>
        <v>376.53494965377718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0.61742142804947908</v>
      </c>
      <c r="AA175" s="21">
        <f>EXP(-LN(2)/25)*AA174+(1-EXP(-LN(2)/25))/(LN(2)/25)*Calculateur!V175*Calculateur!X175*VLOOKUP('Données projet'!$B$9,Paramètres!$A$1:$I$89,3,0)*0.475*44/12</f>
        <v>0.65158287790116842</v>
      </c>
      <c r="AB175" s="21">
        <f>EXP(-LN(2)/2)*AB174+(1-EXP(-LN(2)/2))/(LN(2)/2)*V175*Y175*VLOOKUP('Données projet'!$B$9,Paramètres!$A$1:$I$89,3,0)*0.475*44/12</f>
        <v>1.3861594461213509E-20</v>
      </c>
      <c r="AC175" s="22">
        <f t="shared" si="163"/>
        <v>1.2690043059506475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-5.6843418860808015E-13</v>
      </c>
      <c r="AJ175" s="13">
        <f>AI175*VLOOKUP('Données projet'!$B$10,Paramètres!$A$1:$I$89,3,0)*VLOOKUP('Données projet'!$B$10,Paramètres!$A$1:$I$89,5,0)</f>
        <v>-5.1431925385259092E-13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321.03881567735544</v>
      </c>
      <c r="AO175" s="59">
        <f t="shared" si="144"/>
        <v>234.87694492493506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0.14468865788634247</v>
      </c>
      <c r="AV175" s="21">
        <f>EXP(-LN(2)/25)*AV174+(1-EXP(-LN(2)/25))/(LN(2)/25)*Calculateur!AQ175*Calculateur!AS175*VLOOKUP('Données projet'!$B$10,Paramètres!$A$1:$I$89,3,0)*0.475*44/12</f>
        <v>0.26440249103364766</v>
      </c>
      <c r="AW175" s="21">
        <f>EXP(-LN(2)/2)*AW174+(1-EXP(-LN(2)/2))/(LN(2)/2)*AQ175*AT175*VLOOKUP('Données projet'!$B$10,Paramètres!$A$1:$I$89,3,0)*0.475*44/12</f>
        <v>9.2072838554745401E-21</v>
      </c>
      <c r="AX175" s="21">
        <f t="shared" si="166"/>
        <v>0.4090911489199901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3.1036506698001181E-13</v>
      </c>
      <c r="BF175" s="13">
        <f t="shared" si="167"/>
        <v>4.086682523110923E-12</v>
      </c>
      <c r="BG175" s="20">
        <f t="shared" si="168"/>
        <v>7.6581912194083782E-12</v>
      </c>
      <c r="BH175" s="59">
        <f t="shared" si="116"/>
        <v>293.33333333334099</v>
      </c>
      <c r="BI175" s="59">
        <f ca="1">AVERAGE(OFFSET($BH$3,0,0,'Données projet'!$E$11+1,1))-AVERAGE(OFFSET($H$3,0,0,'Données projet'!$E$11+1,1))</f>
        <v>248.1486444660062</v>
      </c>
      <c r="BJ175" s="59">
        <f t="shared" si="146"/>
        <v>293.34458072322127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0.51168964015939888</v>
      </c>
      <c r="BQ175" s="21">
        <f>EXP(-LN(2)/25)*BQ174+(1-EXP(-LN(2)/25))/(LN(2)/25)*Calculateur!BL175*Calculateur!BN175*VLOOKUP('Données projet'!$B$11,Paramètres!$A$1:$I$89,3,0)*0.475*44/12</f>
        <v>0.66391172378991981</v>
      </c>
      <c r="BR175" s="21">
        <f>EXP(-LN(2)/2)*BR174+(1-EXP(-LN(2)/2))/(LN(2)/2)*BL175*BO175*VLOOKUP('Données projet'!$B$11,Paramètres!$A$1:$I$89,3,0)*0.475*44/12</f>
        <v>1.0665172305544411E-20</v>
      </c>
      <c r="BS175" s="22">
        <f t="shared" si="169"/>
        <v>1.1756013639493186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243.38048563215585</v>
      </c>
      <c r="CE175" s="59">
        <f t="shared" si="148"/>
        <v>372.1604147006675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0.43905523772407429</v>
      </c>
      <c r="CL175" s="21">
        <f>EXP(-LN(2)/25)*CL174+(1-EXP(-LN(2)/25))/(LN(2)/25)*Calculateur!CG175*Calculateur!CI175*VLOOKUP('Données projet'!$B$12,Paramètres!$A$1:$I$89,3,0)*0.475*44/12</f>
        <v>0.37766736000642165</v>
      </c>
      <c r="CM175" s="21">
        <f>EXP(-LN(2)/2)*CM174+(1-EXP(-LN(2)/2))/(LN(2)/2)*CG175*CJ175*VLOOKUP('Données projet'!$B$12,Paramètres!$A$1:$I$89,3,0)*0.475*44/12</f>
        <v>1.2415359680152703E-20</v>
      </c>
      <c r="CN175" s="22">
        <f t="shared" si="172"/>
        <v>0.81672259773049594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7.9580786405131221E-13</v>
      </c>
      <c r="CU175" s="17">
        <f>CT175*VLOOKUP('Données projet'!$B$13,Paramètres!$A$1:$I$89,3,0)*VLOOKUP('Données projet'!$B$13,Paramètres!$A$1:$I$89,5,0)</f>
        <v>3.8278358260868117E-13</v>
      </c>
      <c r="CV175" s="13">
        <f t="shared" si="173"/>
        <v>4.9186917125089072E-12</v>
      </c>
      <c r="CW175" s="20">
        <f t="shared" si="174"/>
        <v>9.2334028056631319E-12</v>
      </c>
      <c r="CX175" s="59">
        <f t="shared" si="122"/>
        <v>293.33333333334252</v>
      </c>
      <c r="CY175" s="59">
        <f ca="1">AVERAGE(OFFSET($CX$3,0,0,'Données projet'!$E$13+1,1))-AVERAGE(OFFSET($H$3,0,0,'Données projet'!$E$13+1,1))</f>
        <v>297.21955661193238</v>
      </c>
      <c r="CZ175" s="59">
        <f t="shared" si="150"/>
        <v>273.69206144662144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0.40477683876555004</v>
      </c>
      <c r="DG175" s="21">
        <f>EXP(-LN(2)/25)*DG174+(1-EXP(-LN(2)/25))/(LN(2)/25)*Calculateur!DB175*Calculateur!DD175*VLOOKUP('Données projet'!$B$13,Paramètres!$A$1:$I$89,3,0)*0.475*44/12</f>
        <v>0.2618204790554241</v>
      </c>
      <c r="DH175" s="21">
        <f>EXP(-LN(2)/2)*DH174+(1-EXP(-LN(2)/2))/(LN(2)/2)*DB175*DE175*VLOOKUP('Données projet'!$B$13,Paramètres!$A$1:$I$89,3,0)*0.475*44/12</f>
        <v>8.8569082912534746E-21</v>
      </c>
      <c r="DI175" s="22">
        <f t="shared" si="175"/>
        <v>0.66659731782097409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-4.0702161641092972E-13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260.20517190557814</v>
      </c>
      <c r="DU175" s="59">
        <f t="shared" si="152"/>
        <v>307.22009971147133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0.19601716232296729</v>
      </c>
      <c r="EB175" s="21">
        <f>EXP(-LN(2)/25)*EB174+(1-EXP(-LN(2)/25))/(LN(2)/25)*Calculateur!DW175*Calculateur!DY175*VLOOKUP('Données projet'!$B$14,Paramètres!$A$1:$I$89,3,0)*0.475*44/12</f>
        <v>0.4002382333232633</v>
      </c>
      <c r="EC175" s="21">
        <f>EXP(-LN(2)/2)*EC174+(1-EXP(-LN(2)/2))/(LN(2)/2)*DW175*DZ175*VLOOKUP('Données projet'!$B$14,Paramètres!$A$1:$I$89,3,0)*0.475*44/12</f>
        <v>1.0180927016130041E-20</v>
      </c>
      <c r="ED175" s="22">
        <f t="shared" si="178"/>
        <v>0.59625539564623065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1.1368683772161603E-13</v>
      </c>
      <c r="EK175" s="17">
        <f>EJ175*VLOOKUP('Données projet'!$B$15,Paramètres!$A$1:$I$89,3,0)*VLOOKUP('Données projet'!$B$15,Paramètres!$A$1:$I$89,5,0)</f>
        <v>6.7984728957526396E-14</v>
      </c>
      <c r="EL175" s="13">
        <f t="shared" si="179"/>
        <v>1.0682447123141398E-12</v>
      </c>
      <c r="EM175" s="20">
        <f t="shared" si="180"/>
        <v>1.978932943548152E-12</v>
      </c>
      <c r="EN175" s="59">
        <f t="shared" si="128"/>
        <v>293.3333333333353</v>
      </c>
      <c r="EO175" s="59">
        <f ca="1">AVERAGE(OFFSET($EN$3,0,0,'Données projet'!$E$15+1,1))-AVERAGE(OFFSET($H$3,0,0,'Données projet'!$E$15+1,1))</f>
        <v>259.30247982593914</v>
      </c>
      <c r="EP175" s="59">
        <f t="shared" si="154"/>
        <v>275.24740346220779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0.35173689150912241</v>
      </c>
      <c r="EX175" s="21">
        <f>EXP(-LN(2)/2)*EX174+(1-EXP(-LN(2)/2))/(LN(2)/2)*ER175*EU175*VLOOKUP('Données projet'!$B$15,Paramètres!$A$1:$I$89,3,0)*0.475*44/12</f>
        <v>1.2146651593392111E-20</v>
      </c>
      <c r="EY175" s="22">
        <f t="shared" si="181"/>
        <v>0.35173689150912241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-5.6843418860808015E-13</v>
      </c>
      <c r="FF175" s="17">
        <f>FE175*VLOOKUP('Données projet'!$B$16,Paramètres!$A$1:$I$89,3,0)*VLOOKUP('Données projet'!$B$16,Paramètres!$A$1:$I$89,5,0)</f>
        <v>-5.763922672485933E-13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372.91317851957336</v>
      </c>
      <c r="FK175" s="59">
        <f t="shared" si="156"/>
        <v>269.69187715858413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0.16215108211400467</v>
      </c>
      <c r="FR175" s="21">
        <f>EXP(-LN(2)/25)*FR174+(1-EXP(-LN(2)/25))/(LN(2)/25)*Calculateur!FM175*Calculateur!FO175*VLOOKUP('Données projet'!$B$16,Paramètres!$A$1:$I$89,3,0)*0.475*44/12</f>
        <v>0.29631313650322555</v>
      </c>
      <c r="FS175" s="21">
        <f>EXP(-LN(2)/2)*FS174+(1-EXP(-LN(2)/2))/(LN(2)/2)*FM175*FP175*VLOOKUP('Données projet'!$B$16,Paramètres!$A$1:$I$89,3,0)*0.475*44/12</f>
        <v>1.0318507769066287E-20</v>
      </c>
      <c r="FT175" s="22">
        <f t="shared" si="184"/>
        <v>0.45846421861723019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-1.1368683772161603E-13</v>
      </c>
      <c r="GA175" s="17">
        <f>FZ175*VLOOKUP('Données projet'!$B$17,Paramètres!$A$1:$I$89,3,0)*VLOOKUP('Données projet'!$B$17,Paramètres!$A$1:$I$89,5,0)</f>
        <v>-5.3205440053716299E-14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215.23235148064941</v>
      </c>
      <c r="GF175" s="59">
        <f t="shared" si="158"/>
        <v>184.07239726900434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0.18830327938519009</v>
      </c>
      <c r="GM175" s="21">
        <f>EXP(-LN(2)/25)*GM174+(1-EXP(-LN(2)/25))/(LN(2)/25)*Calculateur!GH175*Calculateur!GJ175*VLOOKUP('Données projet'!$B$17,Paramètres!$A$1:$I$89,3,0)*0.475*44/12</f>
        <v>0.15322212701402207</v>
      </c>
      <c r="GN175" s="21">
        <f>EXP(-LN(2)/2)*GN174+(1-EXP(-LN(2)/2))/(LN(2)/2)*GH175*GK175*VLOOKUP('Données projet'!$B$17,Paramètres!$A$1:$I$89,3,0)*0.475*44/12</f>
        <v>4.1640887110147636E-21</v>
      </c>
      <c r="GO175" s="21">
        <f t="shared" si="187"/>
        <v>0.34152540639921214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-1.1368683772161603E-13</v>
      </c>
      <c r="GV175" s="17">
        <f>GU175*VLOOKUP('Données projet'!$B$18,Paramètres!$A$1:$I$89,3,0)*VLOOKUP('Données projet'!$B$18,Paramètres!$A$1:$I$89,5,0)</f>
        <v>-6.7984728957526396E-14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227.89848316900191</v>
      </c>
      <c r="HA175" s="59">
        <f t="shared" si="160"/>
        <v>239.85955661394541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0.47710125871466869</v>
      </c>
      <c r="HH175" s="21">
        <f>EXP(-LN(2)/25)*HH174+(1-EXP(-LN(2)/25))/(LN(2)/25)*Calculateur!HC175*Calculateur!HE175*VLOOKUP('Données projet'!$B$18,Paramètres!$A$1:$I$89,3,0)*0.475*44/12</f>
        <v>0.33438830689529986</v>
      </c>
      <c r="HI175" s="21">
        <f>EXP(-LN(2)/2)*HI174+(1-EXP(-LN(2)/2))/(LN(2)/2)*HC175*HF175*VLOOKUP('Données projet'!$B$18,Paramètres!$A$1:$I$89,3,0)*0.475*44/12</f>
        <v>2.8390725865558492E-21</v>
      </c>
      <c r="HJ175" s="22">
        <f t="shared" si="190"/>
        <v>0.81148956560996854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2.5420376914553347E-13</v>
      </c>
      <c r="P176" s="13">
        <f t="shared" si="141"/>
        <v>3.4258699088369875E-12</v>
      </c>
      <c r="Q176" s="20">
        <f t="shared" si="162"/>
        <v>6.4094616558195571E-12</v>
      </c>
      <c r="R176" s="59">
        <f t="shared" si="109"/>
        <v>293.33333333333974</v>
      </c>
      <c r="S176" s="59">
        <f ca="1">AVERAGE(OFFSET($R$3,0,0,'Données projet'!$E$9+1,1))-AVERAGE(OFFSET($H$3,0,0,'Données projet'!$E$9+1,1))</f>
        <v>370.69652285220093</v>
      </c>
      <c r="T176" s="59">
        <f t="shared" si="142"/>
        <v>376.53494965377718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0.60531417043531477</v>
      </c>
      <c r="AA176" s="21">
        <f>EXP(-LN(2)/25)*AA175+(1-EXP(-LN(2)/25))/(LN(2)/25)*Calculateur!V176*Calculateur!X176*VLOOKUP('Données projet'!$B$9,Paramètres!$A$1:$I$89,3,0)*0.475*44/12</f>
        <v>0.63376530983970658</v>
      </c>
      <c r="AB176" s="21">
        <f>EXP(-LN(2)/2)*AB175+(1-EXP(-LN(2)/2))/(LN(2)/2)*V176*Y176*VLOOKUP('Données projet'!$B$9,Paramètres!$A$1:$I$89,3,0)*0.475*44/12</f>
        <v>9.8016274415819605E-21</v>
      </c>
      <c r="AC176" s="22">
        <f t="shared" si="163"/>
        <v>1.2390794802750213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-5.6843418860808015E-13</v>
      </c>
      <c r="AJ176" s="13">
        <f>AI176*VLOOKUP('Données projet'!$B$10,Paramètres!$A$1:$I$89,3,0)*VLOOKUP('Données projet'!$B$10,Paramètres!$A$1:$I$89,5,0)</f>
        <v>-5.1431925385259092E-13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321.03881567735544</v>
      </c>
      <c r="AO176" s="59">
        <f t="shared" si="144"/>
        <v>234.87694492493506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0.14185140155655851</v>
      </c>
      <c r="AV176" s="21">
        <f>EXP(-LN(2)/25)*AV175+(1-EXP(-LN(2)/25))/(LN(2)/25)*Calculateur!AQ176*Calculateur!AS176*VLOOKUP('Données projet'!$B$10,Paramètres!$A$1:$I$89,3,0)*0.475*44/12</f>
        <v>0.25717239101200984</v>
      </c>
      <c r="AW176" s="21">
        <f>EXP(-LN(2)/2)*AW175+(1-EXP(-LN(2)/2))/(LN(2)/2)*AQ176*AT176*VLOOKUP('Données projet'!$B$10,Paramètres!$A$1:$I$89,3,0)*0.475*44/12</f>
        <v>6.5105328505154674E-21</v>
      </c>
      <c r="AX176" s="21">
        <f t="shared" si="166"/>
        <v>0.39902379256856835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3.1036506698001181E-13</v>
      </c>
      <c r="BF176" s="13">
        <f t="shared" si="167"/>
        <v>4.086682523110923E-12</v>
      </c>
      <c r="BG176" s="20">
        <f t="shared" si="168"/>
        <v>7.6581912194083782E-12</v>
      </c>
      <c r="BH176" s="59">
        <f t="shared" si="116"/>
        <v>293.33333333334099</v>
      </c>
      <c r="BI176" s="59">
        <f ca="1">AVERAGE(OFFSET($BH$3,0,0,'Données projet'!$E$11+1,1))-AVERAGE(OFFSET($H$3,0,0,'Données projet'!$E$11+1,1))</f>
        <v>248.1486444660062</v>
      </c>
      <c r="BJ176" s="59">
        <f t="shared" si="146"/>
        <v>293.34458072322127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0.50165571841573631</v>
      </c>
      <c r="BQ176" s="21">
        <f>EXP(-LN(2)/25)*BQ175+(1-EXP(-LN(2)/25))/(LN(2)/25)*Calculateur!BL176*Calculateur!BN176*VLOOKUP('Données projet'!$B$11,Paramètres!$A$1:$I$89,3,0)*0.475*44/12</f>
        <v>0.64575702278928426</v>
      </c>
      <c r="BR176" s="21">
        <f>EXP(-LN(2)/2)*BR175+(1-EXP(-LN(2)/2))/(LN(2)/2)*BL176*BO176*VLOOKUP('Données projet'!$B$11,Paramètres!$A$1:$I$89,3,0)*0.475*44/12</f>
        <v>7.5414156597734184E-21</v>
      </c>
      <c r="BS176" s="22">
        <f t="shared" si="169"/>
        <v>1.1474127412050206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243.38048563215585</v>
      </c>
      <c r="CE176" s="59">
        <f t="shared" si="148"/>
        <v>372.1604147006675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0.4304456323095574</v>
      </c>
      <c r="CL176" s="21">
        <f>EXP(-LN(2)/25)*CL175+(1-EXP(-LN(2)/25))/(LN(2)/25)*Calculateur!CG176*Calculateur!CI176*VLOOKUP('Données projet'!$B$12,Paramètres!$A$1:$I$89,3,0)*0.475*44/12</f>
        <v>0.36734002618638273</v>
      </c>
      <c r="CM176" s="21">
        <f>EXP(-LN(2)/2)*CM175+(1-EXP(-LN(2)/2))/(LN(2)/2)*CG176*CJ176*VLOOKUP('Données projet'!$B$12,Paramètres!$A$1:$I$89,3,0)*0.475*44/12</f>
        <v>8.7789850207060222E-21</v>
      </c>
      <c r="CN176" s="22">
        <f t="shared" si="172"/>
        <v>0.79778565849594019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7.9580786405131221E-13</v>
      </c>
      <c r="CU176" s="17">
        <f>CT176*VLOOKUP('Données projet'!$B$13,Paramètres!$A$1:$I$89,3,0)*VLOOKUP('Données projet'!$B$13,Paramètres!$A$1:$I$89,5,0)</f>
        <v>3.8278358260868117E-13</v>
      </c>
      <c r="CV176" s="13">
        <f t="shared" si="173"/>
        <v>4.9186917125089072E-12</v>
      </c>
      <c r="CW176" s="20">
        <f t="shared" si="174"/>
        <v>9.2334028056631319E-12</v>
      </c>
      <c r="CX176" s="59">
        <f t="shared" si="122"/>
        <v>293.33333333334252</v>
      </c>
      <c r="CY176" s="59">
        <f ca="1">AVERAGE(OFFSET($CX$3,0,0,'Données projet'!$E$13+1,1))-AVERAGE(OFFSET($H$3,0,0,'Données projet'!$E$13+1,1))</f>
        <v>297.21955661193238</v>
      </c>
      <c r="CZ176" s="59">
        <f t="shared" si="150"/>
        <v>273.69206144662144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0.39683941184685095</v>
      </c>
      <c r="DG176" s="21">
        <f>EXP(-LN(2)/25)*DG175+(1-EXP(-LN(2)/25))/(LN(2)/25)*Calculateur!DB176*Calculateur!DD176*VLOOKUP('Données projet'!$B$13,Paramètres!$A$1:$I$89,3,0)*0.475*44/12</f>
        <v>0.25466098428711292</v>
      </c>
      <c r="DH176" s="21">
        <f>EXP(-LN(2)/2)*DH175+(1-EXP(-LN(2)/2))/(LN(2)/2)*DB176*DE176*VLOOKUP('Données projet'!$B$13,Paramètres!$A$1:$I$89,3,0)*0.475*44/12</f>
        <v>6.2627799130926893E-21</v>
      </c>
      <c r="DI176" s="22">
        <f t="shared" si="175"/>
        <v>0.65150039613396382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-4.0702161641092972E-13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260.20517190557814</v>
      </c>
      <c r="DU176" s="59">
        <f t="shared" si="152"/>
        <v>307.22009971147133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0.19217338532847747</v>
      </c>
      <c r="EB176" s="21">
        <f>EXP(-LN(2)/25)*EB175+(1-EXP(-LN(2)/25))/(LN(2)/25)*Calculateur!DW176*Calculateur!DY176*VLOOKUP('Données projet'!$B$14,Paramètres!$A$1:$I$89,3,0)*0.475*44/12</f>
        <v>0.38929369778542472</v>
      </c>
      <c r="EC176" s="21">
        <f>EXP(-LN(2)/2)*EC175+(1-EXP(-LN(2)/2))/(LN(2)/2)*DW176*DZ176*VLOOKUP('Données projet'!$B$14,Paramètres!$A$1:$I$89,3,0)*0.475*44/12</f>
        <v>7.1990025318708749E-21</v>
      </c>
      <c r="ED176" s="22">
        <f t="shared" si="178"/>
        <v>0.58146708311390216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1.1368683772161603E-13</v>
      </c>
      <c r="EK176" s="17">
        <f>EJ176*VLOOKUP('Données projet'!$B$15,Paramètres!$A$1:$I$89,3,0)*VLOOKUP('Données projet'!$B$15,Paramètres!$A$1:$I$89,5,0)</f>
        <v>6.7984728957526396E-14</v>
      </c>
      <c r="EL176" s="13">
        <f t="shared" si="179"/>
        <v>1.0682447123141398E-12</v>
      </c>
      <c r="EM176" s="20">
        <f t="shared" si="180"/>
        <v>1.978932943548152E-12</v>
      </c>
      <c r="EN176" s="59">
        <f t="shared" si="128"/>
        <v>293.3333333333353</v>
      </c>
      <c r="EO176" s="59">
        <f ca="1">AVERAGE(OFFSET($EN$3,0,0,'Données projet'!$E$15+1,1))-AVERAGE(OFFSET($H$3,0,0,'Données projet'!$E$15+1,1))</f>
        <v>259.30247982593914</v>
      </c>
      <c r="EP176" s="59">
        <f t="shared" si="154"/>
        <v>275.24740346220779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0.34211862771376622</v>
      </c>
      <c r="EX176" s="21">
        <f>EXP(-LN(2)/2)*EX175+(1-EXP(-LN(2)/2))/(LN(2)/2)*ER176*EU176*VLOOKUP('Données projet'!$B$15,Paramètres!$A$1:$I$89,3,0)*0.475*44/12</f>
        <v>8.5889797103979438E-21</v>
      </c>
      <c r="EY176" s="22">
        <f t="shared" si="181"/>
        <v>0.34211862771376622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-5.6843418860808015E-13</v>
      </c>
      <c r="FF176" s="17">
        <f>FE176*VLOOKUP('Données projet'!$B$16,Paramètres!$A$1:$I$89,3,0)*VLOOKUP('Données projet'!$B$16,Paramètres!$A$1:$I$89,5,0)</f>
        <v>-5.763922672485933E-13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372.91317851957336</v>
      </c>
      <c r="FK176" s="59">
        <f t="shared" si="156"/>
        <v>269.69187715858413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0.15897139829614332</v>
      </c>
      <c r="FR176" s="21">
        <f>EXP(-LN(2)/25)*FR175+(1-EXP(-LN(2)/25))/(LN(2)/25)*Calculateur!FM176*Calculateur!FO176*VLOOKUP('Données projet'!$B$16,Paramètres!$A$1:$I$89,3,0)*0.475*44/12</f>
        <v>0.28821043820311421</v>
      </c>
      <c r="FS176" s="21">
        <f>EXP(-LN(2)/2)*FS175+(1-EXP(-LN(2)/2))/(LN(2)/2)*FM176*FP176*VLOOKUP('Données projet'!$B$16,Paramètres!$A$1:$I$89,3,0)*0.475*44/12</f>
        <v>7.2962868152328455E-21</v>
      </c>
      <c r="FT176" s="22">
        <f t="shared" si="184"/>
        <v>0.44718183649925752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-1.1368683772161603E-13</v>
      </c>
      <c r="GA176" s="17">
        <f>FZ176*VLOOKUP('Données projet'!$B$17,Paramètres!$A$1:$I$89,3,0)*VLOOKUP('Données projet'!$B$17,Paramètres!$A$1:$I$89,5,0)</f>
        <v>-5.3205440053716299E-14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215.23235148064941</v>
      </c>
      <c r="GF176" s="59">
        <f t="shared" si="158"/>
        <v>184.07239726900434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0.18461076693010608</v>
      </c>
      <c r="GM176" s="21">
        <f>EXP(-LN(2)/25)*GM175+(1-EXP(-LN(2)/25))/(LN(2)/25)*Calculateur!GH176*Calculateur!GJ176*VLOOKUP('Données projet'!$B$17,Paramètres!$A$1:$I$89,3,0)*0.475*44/12</f>
        <v>0.14903225989322216</v>
      </c>
      <c r="GN176" s="21">
        <f>EXP(-LN(2)/2)*GN175+(1-EXP(-LN(2)/2))/(LN(2)/2)*GH176*GK176*VLOOKUP('Données projet'!$B$17,Paramètres!$A$1:$I$89,3,0)*0.475*44/12</f>
        <v>2.9444553650208892E-21</v>
      </c>
      <c r="GO176" s="21">
        <f t="shared" si="187"/>
        <v>0.33364302682332825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-1.1368683772161603E-13</v>
      </c>
      <c r="GV176" s="17">
        <f>GU176*VLOOKUP('Données projet'!$B$18,Paramètres!$A$1:$I$89,3,0)*VLOOKUP('Données projet'!$B$18,Paramètres!$A$1:$I$89,5,0)</f>
        <v>-6.7984728957526396E-14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227.89848316900191</v>
      </c>
      <c r="HA176" s="59">
        <f t="shared" si="160"/>
        <v>239.85955661394541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0.46774559403430771</v>
      </c>
      <c r="HH176" s="21">
        <f>EXP(-LN(2)/25)*HH175+(1-EXP(-LN(2)/25))/(LN(2)/25)*Calculateur!HC176*Calculateur!HE176*VLOOKUP('Données projet'!$B$18,Paramètres!$A$1:$I$89,3,0)*0.475*44/12</f>
        <v>0.32524444105853106</v>
      </c>
      <c r="HI176" s="21">
        <f>EXP(-LN(2)/2)*HI175+(1-EXP(-LN(2)/2))/(LN(2)/2)*HC176*HF176*VLOOKUP('Données projet'!$B$18,Paramètres!$A$1:$I$89,3,0)*0.475*44/12</f>
        <v>2.0075274782344723E-21</v>
      </c>
      <c r="HJ176" s="22">
        <f t="shared" si="190"/>
        <v>0.79299003509283872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2.5420376914553347E-13</v>
      </c>
      <c r="P177" s="13">
        <f t="shared" si="141"/>
        <v>3.4258699088369875E-12</v>
      </c>
      <c r="Q177" s="20">
        <f t="shared" si="162"/>
        <v>6.4094616558195571E-12</v>
      </c>
      <c r="R177" s="59">
        <f t="shared" si="109"/>
        <v>293.33333333333974</v>
      </c>
      <c r="S177" s="59">
        <f ca="1">AVERAGE(OFFSET($R$3,0,0,'Données projet'!$E$9+1,1))-AVERAGE(OFFSET($H$3,0,0,'Données projet'!$E$9+1,1))</f>
        <v>370.69652285220093</v>
      </c>
      <c r="T177" s="59">
        <f t="shared" si="142"/>
        <v>376.53494965377718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0.59344432875826625</v>
      </c>
      <c r="AA177" s="21">
        <f>EXP(-LN(2)/25)*AA176+(1-EXP(-LN(2)/25))/(LN(2)/25)*Calculateur!V177*Calculateur!X177*VLOOKUP('Données projet'!$B$9,Paramètres!$A$1:$I$89,3,0)*0.475*44/12</f>
        <v>0.61643496411387066</v>
      </c>
      <c r="AB177" s="21">
        <f>EXP(-LN(2)/2)*AB176+(1-EXP(-LN(2)/2))/(LN(2)/2)*V177*Y177*VLOOKUP('Données projet'!$B$9,Paramètres!$A$1:$I$89,3,0)*0.475*44/12</f>
        <v>6.9307972306067547E-21</v>
      </c>
      <c r="AC177" s="22">
        <f t="shared" si="163"/>
        <v>1.2098792928721369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-5.6843418860808015E-13</v>
      </c>
      <c r="AJ177" s="13">
        <f>AI177*VLOOKUP('Données projet'!$B$10,Paramètres!$A$1:$I$89,3,0)*VLOOKUP('Données projet'!$B$10,Paramètres!$A$1:$I$89,5,0)</f>
        <v>-5.1431925385259092E-13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321.03881567735544</v>
      </c>
      <c r="AO177" s="59">
        <f t="shared" si="144"/>
        <v>234.87694492493506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0.13906978209284612</v>
      </c>
      <c r="AV177" s="21">
        <f>EXP(-LN(2)/25)*AV176+(1-EXP(-LN(2)/25))/(LN(2)/25)*Calculateur!AQ177*Calculateur!AS177*VLOOKUP('Données projet'!$B$10,Paramètres!$A$1:$I$89,3,0)*0.475*44/12</f>
        <v>0.25013999845567814</v>
      </c>
      <c r="AW177" s="21">
        <f>EXP(-LN(2)/2)*AW176+(1-EXP(-LN(2)/2))/(LN(2)/2)*AQ177*AT177*VLOOKUP('Données projet'!$B$10,Paramètres!$A$1:$I$89,3,0)*0.475*44/12</f>
        <v>4.6036419277372701E-21</v>
      </c>
      <c r="AX177" s="21">
        <f t="shared" si="166"/>
        <v>0.38920978054852429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3.1036506698001181E-13</v>
      </c>
      <c r="BF177" s="13">
        <f t="shared" si="167"/>
        <v>4.086682523110923E-12</v>
      </c>
      <c r="BG177" s="20">
        <f t="shared" si="168"/>
        <v>7.6581912194083782E-12</v>
      </c>
      <c r="BH177" s="59">
        <f t="shared" si="116"/>
        <v>293.33333333334099</v>
      </c>
      <c r="BI177" s="59">
        <f ca="1">AVERAGE(OFFSET($BH$3,0,0,'Données projet'!$E$11+1,1))-AVERAGE(OFFSET($H$3,0,0,'Données projet'!$E$11+1,1))</f>
        <v>248.1486444660062</v>
      </c>
      <c r="BJ177" s="59">
        <f t="shared" si="146"/>
        <v>293.34458072322127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0.49181855575737898</v>
      </c>
      <c r="BQ177" s="21">
        <f>EXP(-LN(2)/25)*BQ176+(1-EXP(-LN(2)/25))/(LN(2)/25)*Calculateur!BL177*Calculateur!BN177*VLOOKUP('Données projet'!$B$11,Paramètres!$A$1:$I$89,3,0)*0.475*44/12</f>
        <v>0.62809876304222534</v>
      </c>
      <c r="BR177" s="21">
        <f>EXP(-LN(2)/2)*BR176+(1-EXP(-LN(2)/2))/(LN(2)/2)*BL177*BO177*VLOOKUP('Données projet'!$B$11,Paramètres!$A$1:$I$89,3,0)*0.475*44/12</f>
        <v>5.3325861527722056E-21</v>
      </c>
      <c r="BS177" s="22">
        <f t="shared" si="169"/>
        <v>1.1199173187996043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243.38048563215585</v>
      </c>
      <c r="CE177" s="59">
        <f t="shared" si="148"/>
        <v>372.1604147006675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0.42200485600587845</v>
      </c>
      <c r="CL177" s="21">
        <f>EXP(-LN(2)/25)*CL176+(1-EXP(-LN(2)/25))/(LN(2)/25)*Calculateur!CG177*Calculateur!CI177*VLOOKUP('Données projet'!$B$12,Paramètres!$A$1:$I$89,3,0)*0.475*44/12</f>
        <v>0.35729509385274366</v>
      </c>
      <c r="CM177" s="21">
        <f>EXP(-LN(2)/2)*CM176+(1-EXP(-LN(2)/2))/(LN(2)/2)*CG177*CJ177*VLOOKUP('Données projet'!$B$12,Paramètres!$A$1:$I$89,3,0)*0.475*44/12</f>
        <v>6.2076798400763517E-21</v>
      </c>
      <c r="CN177" s="22">
        <f t="shared" si="172"/>
        <v>0.77929994985862217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7.9580786405131221E-13</v>
      </c>
      <c r="CU177" s="17">
        <f>CT177*VLOOKUP('Données projet'!$B$13,Paramètres!$A$1:$I$89,3,0)*VLOOKUP('Données projet'!$B$13,Paramètres!$A$1:$I$89,5,0)</f>
        <v>3.8278358260868117E-13</v>
      </c>
      <c r="CV177" s="13">
        <f t="shared" si="173"/>
        <v>4.9186917125089072E-12</v>
      </c>
      <c r="CW177" s="20">
        <f t="shared" si="174"/>
        <v>9.2334028056631319E-12</v>
      </c>
      <c r="CX177" s="59">
        <f t="shared" si="122"/>
        <v>293.33333333334252</v>
      </c>
      <c r="CY177" s="59">
        <f ca="1">AVERAGE(OFFSET($CX$3,0,0,'Données projet'!$E$13+1,1))-AVERAGE(OFFSET($H$3,0,0,'Données projet'!$E$13+1,1))</f>
        <v>297.21955661193238</v>
      </c>
      <c r="CZ177" s="59">
        <f t="shared" si="150"/>
        <v>273.69206144662144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0.38905763302867519</v>
      </c>
      <c r="DG177" s="21">
        <f>EXP(-LN(2)/25)*DG176+(1-EXP(-LN(2)/25))/(LN(2)/25)*Calculateur!DB177*Calculateur!DD177*VLOOKUP('Données projet'!$B$13,Paramètres!$A$1:$I$89,3,0)*0.475*44/12</f>
        <v>0.2476972662797427</v>
      </c>
      <c r="DH177" s="21">
        <f>EXP(-LN(2)/2)*DH176+(1-EXP(-LN(2)/2))/(LN(2)/2)*DB177*DE177*VLOOKUP('Données projet'!$B$13,Paramètres!$A$1:$I$89,3,0)*0.475*44/12</f>
        <v>4.4284541456267373E-21</v>
      </c>
      <c r="DI177" s="22">
        <f t="shared" si="175"/>
        <v>0.63675489930841789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-4.0702161641092972E-13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260.20517190557814</v>
      </c>
      <c r="DU177" s="59">
        <f t="shared" si="152"/>
        <v>307.22009971147133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0.18840498245637713</v>
      </c>
      <c r="EB177" s="21">
        <f>EXP(-LN(2)/25)*EB176+(1-EXP(-LN(2)/25))/(LN(2)/25)*Calculateur!DW177*Calculateur!DY177*VLOOKUP('Données projet'!$B$14,Paramètres!$A$1:$I$89,3,0)*0.475*44/12</f>
        <v>0.37864844114741647</v>
      </c>
      <c r="EC177" s="21">
        <f>EXP(-LN(2)/2)*EC176+(1-EXP(-LN(2)/2))/(LN(2)/2)*DW177*DZ177*VLOOKUP('Données projet'!$B$14,Paramètres!$A$1:$I$89,3,0)*0.475*44/12</f>
        <v>5.0904635080650204E-21</v>
      </c>
      <c r="ED177" s="22">
        <f t="shared" si="178"/>
        <v>0.56705342360379363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1.1368683772161603E-13</v>
      </c>
      <c r="EK177" s="17">
        <f>EJ177*VLOOKUP('Données projet'!$B$15,Paramètres!$A$1:$I$89,3,0)*VLOOKUP('Données projet'!$B$15,Paramètres!$A$1:$I$89,5,0)</f>
        <v>6.7984728957526396E-14</v>
      </c>
      <c r="EL177" s="13">
        <f t="shared" si="179"/>
        <v>1.0682447123141398E-12</v>
      </c>
      <c r="EM177" s="20">
        <f t="shared" si="180"/>
        <v>1.978932943548152E-12</v>
      </c>
      <c r="EN177" s="59">
        <f t="shared" si="128"/>
        <v>293.3333333333353</v>
      </c>
      <c r="EO177" s="59">
        <f ca="1">AVERAGE(OFFSET($EN$3,0,0,'Données projet'!$E$15+1,1))-AVERAGE(OFFSET($H$3,0,0,'Données projet'!$E$15+1,1))</f>
        <v>259.30247982593914</v>
      </c>
      <c r="EP177" s="59">
        <f t="shared" si="154"/>
        <v>275.24740346220779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0.33276337584769655</v>
      </c>
      <c r="EX177" s="21">
        <f>EXP(-LN(2)/2)*EX176+(1-EXP(-LN(2)/2))/(LN(2)/2)*ER177*EU177*VLOOKUP('Données projet'!$B$15,Paramètres!$A$1:$I$89,3,0)*0.475*44/12</f>
        <v>6.0733257966960553E-21</v>
      </c>
      <c r="EY177" s="22">
        <f t="shared" si="181"/>
        <v>0.33276337584769655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-5.6843418860808015E-13</v>
      </c>
      <c r="FF177" s="17">
        <f>FE177*VLOOKUP('Données projet'!$B$16,Paramètres!$A$1:$I$89,3,0)*VLOOKUP('Données projet'!$B$16,Paramètres!$A$1:$I$89,5,0)</f>
        <v>-5.763922672485933E-13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372.91317851957336</v>
      </c>
      <c r="FK177" s="59">
        <f t="shared" si="156"/>
        <v>269.69187715858413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0.15585406613853461</v>
      </c>
      <c r="FR177" s="21">
        <f>EXP(-LN(2)/25)*FR176+(1-EXP(-LN(2)/25))/(LN(2)/25)*Calculateur!FM177*Calculateur!FO177*VLOOKUP('Données projet'!$B$16,Paramètres!$A$1:$I$89,3,0)*0.475*44/12</f>
        <v>0.28032930861412181</v>
      </c>
      <c r="FS177" s="21">
        <f>EXP(-LN(2)/2)*FS176+(1-EXP(-LN(2)/2))/(LN(2)/2)*FM177*FP177*VLOOKUP('Données projet'!$B$16,Paramètres!$A$1:$I$89,3,0)*0.475*44/12</f>
        <v>5.1592538845331434E-21</v>
      </c>
      <c r="FT177" s="22">
        <f t="shared" si="184"/>
        <v>0.43618337475265645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-1.1368683772161603E-13</v>
      </c>
      <c r="GA177" s="17">
        <f>FZ177*VLOOKUP('Données projet'!$B$17,Paramètres!$A$1:$I$89,3,0)*VLOOKUP('Données projet'!$B$17,Paramètres!$A$1:$I$89,5,0)</f>
        <v>-5.3205440053716299E-14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215.23235148064941</v>
      </c>
      <c r="GF177" s="59">
        <f t="shared" si="158"/>
        <v>184.07239726900434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0.18099066239205605</v>
      </c>
      <c r="GM177" s="21">
        <f>EXP(-LN(2)/25)*GM176+(1-EXP(-LN(2)/25))/(LN(2)/25)*Calculateur!GH177*Calculateur!GJ177*VLOOKUP('Données projet'!$B$17,Paramètres!$A$1:$I$89,3,0)*0.475*44/12</f>
        <v>0.14495696490917606</v>
      </c>
      <c r="GN177" s="21">
        <f>EXP(-LN(2)/2)*GN176+(1-EXP(-LN(2)/2))/(LN(2)/2)*GH177*GK177*VLOOKUP('Données projet'!$B$17,Paramètres!$A$1:$I$89,3,0)*0.475*44/12</f>
        <v>2.0820443555073818E-21</v>
      </c>
      <c r="GO177" s="21">
        <f t="shared" si="187"/>
        <v>0.32594762730123211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-1.1368683772161603E-13</v>
      </c>
      <c r="GV177" s="17">
        <f>GU177*VLOOKUP('Données projet'!$B$18,Paramètres!$A$1:$I$89,3,0)*VLOOKUP('Données projet'!$B$18,Paramètres!$A$1:$I$89,5,0)</f>
        <v>-6.7984728957526396E-14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227.89848316900191</v>
      </c>
      <c r="HA177" s="59">
        <f t="shared" si="160"/>
        <v>239.85955661394541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0.45857338823193661</v>
      </c>
      <c r="HH177" s="21">
        <f>EXP(-LN(2)/25)*HH176+(1-EXP(-LN(2)/25))/(LN(2)/25)*Calculateur!HC177*Calculateur!HE177*VLOOKUP('Données projet'!$B$18,Paramètres!$A$1:$I$89,3,0)*0.475*44/12</f>
        <v>0.31635061471392373</v>
      </c>
      <c r="HI177" s="21">
        <f>EXP(-LN(2)/2)*HI176+(1-EXP(-LN(2)/2))/(LN(2)/2)*HC177*HF177*VLOOKUP('Données projet'!$B$18,Paramètres!$A$1:$I$89,3,0)*0.475*44/12</f>
        <v>1.4195362932779246E-21</v>
      </c>
      <c r="HJ177" s="22">
        <f t="shared" si="190"/>
        <v>0.77492400294586039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2.5420376914553347E-13</v>
      </c>
      <c r="P178" s="13">
        <f t="shared" si="141"/>
        <v>3.4258699088369875E-12</v>
      </c>
      <c r="Q178" s="20">
        <f t="shared" si="162"/>
        <v>6.4094616558195571E-12</v>
      </c>
      <c r="R178" s="59">
        <f t="shared" si="109"/>
        <v>293.33333333333974</v>
      </c>
      <c r="S178" s="59">
        <f ca="1">AVERAGE(OFFSET($R$3,0,0,'Données projet'!$E$9+1,1))-AVERAGE(OFFSET($H$3,0,0,'Données projet'!$E$9+1,1))</f>
        <v>370.69652285220093</v>
      </c>
      <c r="T178" s="59">
        <f t="shared" si="142"/>
        <v>376.53494965377718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0.58180724743661605</v>
      </c>
      <c r="AA178" s="21">
        <f>EXP(-LN(2)/25)*AA177+(1-EXP(-LN(2)/25))/(LN(2)/25)*Calculateur!V178*Calculateur!X178*VLOOKUP('Données projet'!$B$9,Paramètres!$A$1:$I$89,3,0)*0.475*44/12</f>
        <v>0.59957851760327097</v>
      </c>
      <c r="AB178" s="21">
        <f>EXP(-LN(2)/2)*AB177+(1-EXP(-LN(2)/2))/(LN(2)/2)*V178*Y178*VLOOKUP('Données projet'!$B$9,Paramètres!$A$1:$I$89,3,0)*0.475*44/12</f>
        <v>4.9008137207909803E-21</v>
      </c>
      <c r="AC178" s="22">
        <f t="shared" si="163"/>
        <v>1.1813857650398871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-5.6843418860808015E-13</v>
      </c>
      <c r="AJ178" s="13">
        <f>AI178*VLOOKUP('Données projet'!$B$10,Paramètres!$A$1:$I$89,3,0)*VLOOKUP('Données projet'!$B$10,Paramètres!$A$1:$I$89,5,0)</f>
        <v>-5.1431925385259092E-13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321.03881567735544</v>
      </c>
      <c r="AO178" s="59">
        <f t="shared" si="144"/>
        <v>234.87694492493506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0.13634270849019681</v>
      </c>
      <c r="AV178" s="21">
        <f>EXP(-LN(2)/25)*AV177+(1-EXP(-LN(2)/25))/(LN(2)/25)*Calculateur!AQ178*Calculateur!AS178*VLOOKUP('Données projet'!$B$10,Paramètres!$A$1:$I$89,3,0)*0.475*44/12</f>
        <v>0.24329990704361681</v>
      </c>
      <c r="AW178" s="21">
        <f>EXP(-LN(2)/2)*AW177+(1-EXP(-LN(2)/2))/(LN(2)/2)*AQ178*AT178*VLOOKUP('Données projet'!$B$10,Paramètres!$A$1:$I$89,3,0)*0.475*44/12</f>
        <v>3.2552664252577337E-21</v>
      </c>
      <c r="AX178" s="21">
        <f t="shared" si="166"/>
        <v>0.37964261553381362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3.1036506698001181E-13</v>
      </c>
      <c r="BF178" s="13">
        <f t="shared" si="167"/>
        <v>4.086682523110923E-12</v>
      </c>
      <c r="BG178" s="20">
        <f t="shared" si="168"/>
        <v>7.6581912194083782E-12</v>
      </c>
      <c r="BH178" s="59">
        <f t="shared" si="116"/>
        <v>293.33333333334099</v>
      </c>
      <c r="BI178" s="59">
        <f ca="1">AVERAGE(OFFSET($BH$3,0,0,'Données projet'!$E$11+1,1))-AVERAGE(OFFSET($H$3,0,0,'Données projet'!$E$11+1,1))</f>
        <v>248.1486444660062</v>
      </c>
      <c r="BJ178" s="59">
        <f t="shared" si="146"/>
        <v>293.34458072322127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0.48217429385867527</v>
      </c>
      <c r="BQ178" s="21">
        <f>EXP(-LN(2)/25)*BQ177+(1-EXP(-LN(2)/25))/(LN(2)/25)*Calculateur!BL178*Calculateur!BN178*VLOOKUP('Données projet'!$B$11,Paramètres!$A$1:$I$89,3,0)*0.475*44/12</f>
        <v>0.61092336933655733</v>
      </c>
      <c r="BR178" s="21">
        <f>EXP(-LN(2)/2)*BR177+(1-EXP(-LN(2)/2))/(LN(2)/2)*BL178*BO178*VLOOKUP('Données projet'!$B$11,Paramètres!$A$1:$I$89,3,0)*0.475*44/12</f>
        <v>3.7707078298867092E-21</v>
      </c>
      <c r="BS178" s="22">
        <f t="shared" si="169"/>
        <v>1.0930976631952327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243.38048563215585</v>
      </c>
      <c r="CE178" s="59">
        <f t="shared" si="148"/>
        <v>372.1604147006675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0.41372959817714944</v>
      </c>
      <c r="CL178" s="21">
        <f>EXP(-LN(2)/25)*CL177+(1-EXP(-LN(2)/25))/(LN(2)/25)*Calculateur!CG178*Calculateur!CI178*VLOOKUP('Données projet'!$B$12,Paramètres!$A$1:$I$89,3,0)*0.475*44/12</f>
        <v>0.34752484072200801</v>
      </c>
      <c r="CM178" s="21">
        <f>EXP(-LN(2)/2)*CM177+(1-EXP(-LN(2)/2))/(LN(2)/2)*CG178*CJ178*VLOOKUP('Données projet'!$B$12,Paramètres!$A$1:$I$89,3,0)*0.475*44/12</f>
        <v>4.3894925103530111E-21</v>
      </c>
      <c r="CN178" s="22">
        <f t="shared" si="172"/>
        <v>0.76125443889915745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7.9580786405131221E-13</v>
      </c>
      <c r="CU178" s="17">
        <f>CT178*VLOOKUP('Données projet'!$B$13,Paramètres!$A$1:$I$89,3,0)*VLOOKUP('Données projet'!$B$13,Paramètres!$A$1:$I$89,5,0)</f>
        <v>3.8278358260868117E-13</v>
      </c>
      <c r="CV178" s="13">
        <f t="shared" si="173"/>
        <v>4.9186917125089072E-12</v>
      </c>
      <c r="CW178" s="20">
        <f t="shared" si="174"/>
        <v>9.2334028056631319E-12</v>
      </c>
      <c r="CX178" s="59">
        <f t="shared" si="122"/>
        <v>293.33333333334252</v>
      </c>
      <c r="CY178" s="59">
        <f ca="1">AVERAGE(OFFSET($CX$3,0,0,'Données projet'!$E$13+1,1))-AVERAGE(OFFSET($H$3,0,0,'Données projet'!$E$13+1,1))</f>
        <v>297.21955661193238</v>
      </c>
      <c r="CZ178" s="59">
        <f t="shared" si="150"/>
        <v>273.69206144662144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0.3814284501467074</v>
      </c>
      <c r="DG178" s="21">
        <f>EXP(-LN(2)/25)*DG177+(1-EXP(-LN(2)/25))/(LN(2)/25)*Calculateur!DB178*Calculateur!DD178*VLOOKUP('Données projet'!$B$13,Paramètres!$A$1:$I$89,3,0)*0.475*44/12</f>
        <v>0.24092397150749001</v>
      </c>
      <c r="DH178" s="21">
        <f>EXP(-LN(2)/2)*DH177+(1-EXP(-LN(2)/2))/(LN(2)/2)*DB178*DE178*VLOOKUP('Données projet'!$B$13,Paramètres!$A$1:$I$89,3,0)*0.475*44/12</f>
        <v>3.1313899565463446E-21</v>
      </c>
      <c r="DI178" s="22">
        <f t="shared" si="175"/>
        <v>0.62235242165419735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-4.0702161641092972E-13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260.20517190557814</v>
      </c>
      <c r="DU178" s="59">
        <f t="shared" si="152"/>
        <v>307.22009971147133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0.18471047566609988</v>
      </c>
      <c r="EB178" s="21">
        <f>EXP(-LN(2)/25)*EB177+(1-EXP(-LN(2)/25))/(LN(2)/25)*Calculateur!DW178*Calculateur!DY178*VLOOKUP('Données projet'!$B$14,Paramètres!$A$1:$I$89,3,0)*0.475*44/12</f>
        <v>0.36829427961198424</v>
      </c>
      <c r="EC178" s="21">
        <f>EXP(-LN(2)/2)*EC177+(1-EXP(-LN(2)/2))/(LN(2)/2)*DW178*DZ178*VLOOKUP('Données projet'!$B$14,Paramètres!$A$1:$I$89,3,0)*0.475*44/12</f>
        <v>3.5995012659354375E-21</v>
      </c>
      <c r="ED178" s="22">
        <f t="shared" si="178"/>
        <v>0.55300475527808413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1.1368683772161603E-13</v>
      </c>
      <c r="EK178" s="17">
        <f>EJ178*VLOOKUP('Données projet'!$B$15,Paramètres!$A$1:$I$89,3,0)*VLOOKUP('Données projet'!$B$15,Paramètres!$A$1:$I$89,5,0)</f>
        <v>6.7984728957526396E-14</v>
      </c>
      <c r="EL178" s="13">
        <f t="shared" si="179"/>
        <v>1.0682447123141398E-12</v>
      </c>
      <c r="EM178" s="20">
        <f t="shared" si="180"/>
        <v>1.978932943548152E-12</v>
      </c>
      <c r="EN178" s="59">
        <f t="shared" si="128"/>
        <v>293.3333333333353</v>
      </c>
      <c r="EO178" s="59">
        <f ca="1">AVERAGE(OFFSET($EN$3,0,0,'Données projet'!$E$15+1,1))-AVERAGE(OFFSET($H$3,0,0,'Données projet'!$E$15+1,1))</f>
        <v>259.30247982593914</v>
      </c>
      <c r="EP178" s="59">
        <f t="shared" si="154"/>
        <v>275.24740346220779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0.32366394383587588</v>
      </c>
      <c r="EX178" s="21">
        <f>EXP(-LN(2)/2)*EX177+(1-EXP(-LN(2)/2))/(LN(2)/2)*ER178*EU178*VLOOKUP('Données projet'!$B$15,Paramètres!$A$1:$I$89,3,0)*0.475*44/12</f>
        <v>4.2944898551989719E-21</v>
      </c>
      <c r="EY178" s="22">
        <f t="shared" si="181"/>
        <v>0.32366394383587588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-5.6843418860808015E-13</v>
      </c>
      <c r="FF178" s="17">
        <f>FE178*VLOOKUP('Données projet'!$B$16,Paramètres!$A$1:$I$89,3,0)*VLOOKUP('Données projet'!$B$16,Paramètres!$A$1:$I$89,5,0)</f>
        <v>-5.763922672485933E-13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372.91317851957336</v>
      </c>
      <c r="FK178" s="59">
        <f t="shared" si="156"/>
        <v>269.69187715858413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0.15279786296315173</v>
      </c>
      <c r="FR178" s="21">
        <f>EXP(-LN(2)/25)*FR177+(1-EXP(-LN(2)/25))/(LN(2)/25)*Calculateur!FM178*Calculateur!FO178*VLOOKUP('Données projet'!$B$16,Paramètres!$A$1:$I$89,3,0)*0.475*44/12</f>
        <v>0.27266368892819098</v>
      </c>
      <c r="FS178" s="21">
        <f>EXP(-LN(2)/2)*FS177+(1-EXP(-LN(2)/2))/(LN(2)/2)*FM178*FP178*VLOOKUP('Données projet'!$B$16,Paramètres!$A$1:$I$89,3,0)*0.475*44/12</f>
        <v>3.6481434076164227E-21</v>
      </c>
      <c r="FT178" s="22">
        <f t="shared" si="184"/>
        <v>0.42546155189134272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-1.1368683772161603E-13</v>
      </c>
      <c r="GA178" s="17">
        <f>FZ178*VLOOKUP('Données projet'!$B$17,Paramètres!$A$1:$I$89,3,0)*VLOOKUP('Données projet'!$B$17,Paramètres!$A$1:$I$89,5,0)</f>
        <v>-5.3205440053716299E-14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215.23235148064941</v>
      </c>
      <c r="GF178" s="59">
        <f t="shared" si="158"/>
        <v>184.07239726900434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0.17744154589595146</v>
      </c>
      <c r="GM178" s="21">
        <f>EXP(-LN(2)/25)*GM177+(1-EXP(-LN(2)/25))/(LN(2)/25)*Calculateur!GH178*Calculateur!GJ178*VLOOKUP('Données projet'!$B$17,Paramètres!$A$1:$I$89,3,0)*0.475*44/12</f>
        <v>0.14099310908077917</v>
      </c>
      <c r="GN178" s="21">
        <f>EXP(-LN(2)/2)*GN177+(1-EXP(-LN(2)/2))/(LN(2)/2)*GH178*GK178*VLOOKUP('Données projet'!$B$17,Paramètres!$A$1:$I$89,3,0)*0.475*44/12</f>
        <v>1.4722276825104446E-21</v>
      </c>
      <c r="GO178" s="21">
        <f t="shared" si="187"/>
        <v>0.31843465497673062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-1.1368683772161603E-13</v>
      </c>
      <c r="GV178" s="17">
        <f>GU178*VLOOKUP('Données projet'!$B$18,Paramètres!$A$1:$I$89,3,0)*VLOOKUP('Données projet'!$B$18,Paramètres!$A$1:$I$89,5,0)</f>
        <v>-6.7984728957526396E-14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227.89848316900191</v>
      </c>
      <c r="HA178" s="59">
        <f t="shared" si="160"/>
        <v>239.85955661394541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0.44958104379085684</v>
      </c>
      <c r="HH178" s="21">
        <f>EXP(-LN(2)/25)*HH177+(1-EXP(-LN(2)/25))/(LN(2)/25)*Calculateur!HC178*Calculateur!HE178*VLOOKUP('Données projet'!$B$18,Paramètres!$A$1:$I$89,3,0)*0.475*44/12</f>
        <v>0.30769999051841568</v>
      </c>
      <c r="HI178" s="21">
        <f>EXP(-LN(2)/2)*HI177+(1-EXP(-LN(2)/2))/(LN(2)/2)*HC178*HF178*VLOOKUP('Données projet'!$B$18,Paramètres!$A$1:$I$89,3,0)*0.475*44/12</f>
        <v>1.0037637391172362E-21</v>
      </c>
      <c r="HJ178" s="22">
        <f t="shared" si="190"/>
        <v>0.75728103430927252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2.5420376914553347E-13</v>
      </c>
      <c r="P179" s="13">
        <f t="shared" si="141"/>
        <v>3.4258699088369875E-12</v>
      </c>
      <c r="Q179" s="20">
        <f t="shared" si="162"/>
        <v>6.4094616558195571E-12</v>
      </c>
      <c r="R179" s="59">
        <f t="shared" si="109"/>
        <v>293.33333333333974</v>
      </c>
      <c r="S179" s="59">
        <f ca="1">AVERAGE(OFFSET($R$3,0,0,'Données projet'!$E$9+1,1))-AVERAGE(OFFSET($H$3,0,0,'Données projet'!$E$9+1,1))</f>
        <v>370.69652285220093</v>
      </c>
      <c r="T179" s="59">
        <f t="shared" si="142"/>
        <v>376.53494965377718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0.57039836218176465</v>
      </c>
      <c r="AA179" s="21">
        <f>EXP(-LN(2)/25)*AA178+(1-EXP(-LN(2)/25))/(LN(2)/25)*Calculateur!V179*Calculateur!X179*VLOOKUP('Données projet'!$B$9,Paramètres!$A$1:$I$89,3,0)*0.475*44/12</f>
        <v>0.58318301150894558</v>
      </c>
      <c r="AB179" s="21">
        <f>EXP(-LN(2)/2)*AB178+(1-EXP(-LN(2)/2))/(LN(2)/2)*V179*Y179*VLOOKUP('Données projet'!$B$9,Paramètres!$A$1:$I$89,3,0)*0.475*44/12</f>
        <v>3.4653986153033774E-21</v>
      </c>
      <c r="AC179" s="22">
        <f t="shared" si="163"/>
        <v>1.1535813736907103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-5.6843418860808015E-13</v>
      </c>
      <c r="AJ179" s="13">
        <f>AI179*VLOOKUP('Données projet'!$B$10,Paramètres!$A$1:$I$89,3,0)*VLOOKUP('Données projet'!$B$10,Paramètres!$A$1:$I$89,5,0)</f>
        <v>-5.1431925385259092E-13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321.03881567735544</v>
      </c>
      <c r="AO179" s="59">
        <f t="shared" si="144"/>
        <v>234.87694492493506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0.13366911113754479</v>
      </c>
      <c r="AV179" s="21">
        <f>EXP(-LN(2)/25)*AV178+(1-EXP(-LN(2)/25))/(LN(2)/25)*Calculateur!AQ179*Calculateur!AS179*VLOOKUP('Données projet'!$B$10,Paramètres!$A$1:$I$89,3,0)*0.475*44/12</f>
        <v>0.23664685829092308</v>
      </c>
      <c r="AW179" s="21">
        <f>EXP(-LN(2)/2)*AW178+(1-EXP(-LN(2)/2))/(LN(2)/2)*AQ179*AT179*VLOOKUP('Données projet'!$B$10,Paramètres!$A$1:$I$89,3,0)*0.475*44/12</f>
        <v>2.301820963868635E-21</v>
      </c>
      <c r="AX179" s="21">
        <f t="shared" si="166"/>
        <v>0.37031596942846789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3.1036506698001181E-13</v>
      </c>
      <c r="BF179" s="13">
        <f t="shared" si="167"/>
        <v>4.086682523110923E-12</v>
      </c>
      <c r="BG179" s="20">
        <f t="shared" si="168"/>
        <v>7.6581912194083782E-12</v>
      </c>
      <c r="BH179" s="59">
        <f t="shared" si="116"/>
        <v>293.33333333334099</v>
      </c>
      <c r="BI179" s="59">
        <f ca="1">AVERAGE(OFFSET($BH$3,0,0,'Données projet'!$E$11+1,1))-AVERAGE(OFFSET($H$3,0,0,'Données projet'!$E$11+1,1))</f>
        <v>248.1486444660062</v>
      </c>
      <c r="BJ179" s="59">
        <f t="shared" si="146"/>
        <v>293.34458072322127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0.47271915005338622</v>
      </c>
      <c r="BQ179" s="21">
        <f>EXP(-LN(2)/25)*BQ178+(1-EXP(-LN(2)/25))/(LN(2)/25)*Calculateur!BL179*Calculateur!BN179*VLOOKUP('Données projet'!$B$11,Paramètres!$A$1:$I$89,3,0)*0.475*44/12</f>
        <v>0.59421763767498548</v>
      </c>
      <c r="BR179" s="21">
        <f>EXP(-LN(2)/2)*BR178+(1-EXP(-LN(2)/2))/(LN(2)/2)*BL179*BO179*VLOOKUP('Données projet'!$B$11,Paramètres!$A$1:$I$89,3,0)*0.475*44/12</f>
        <v>2.6662930763861028E-21</v>
      </c>
      <c r="BS179" s="22">
        <f t="shared" si="169"/>
        <v>1.0669367877283717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243.38048563215585</v>
      </c>
      <c r="CE179" s="59">
        <f t="shared" si="148"/>
        <v>372.1604147006675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0.4056166131070329</v>
      </c>
      <c r="CL179" s="21">
        <f>EXP(-LN(2)/25)*CL178+(1-EXP(-LN(2)/25))/(LN(2)/25)*Calculateur!CG179*Calculateur!CI179*VLOOKUP('Données projet'!$B$12,Paramètres!$A$1:$I$89,3,0)*0.475*44/12</f>
        <v>0.3380217556769276</v>
      </c>
      <c r="CM179" s="21">
        <f>EXP(-LN(2)/2)*CM178+(1-EXP(-LN(2)/2))/(LN(2)/2)*CG179*CJ179*VLOOKUP('Données projet'!$B$12,Paramètres!$A$1:$I$89,3,0)*0.475*44/12</f>
        <v>3.1038399200381758E-21</v>
      </c>
      <c r="CN179" s="22">
        <f t="shared" si="172"/>
        <v>0.7436383687839605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7.9580786405131221E-13</v>
      </c>
      <c r="CU179" s="17">
        <f>CT179*VLOOKUP('Données projet'!$B$13,Paramètres!$A$1:$I$89,3,0)*VLOOKUP('Données projet'!$B$13,Paramètres!$A$1:$I$89,5,0)</f>
        <v>3.8278358260868117E-13</v>
      </c>
      <c r="CV179" s="13">
        <f t="shared" si="173"/>
        <v>4.9186917125089072E-12</v>
      </c>
      <c r="CW179" s="20">
        <f t="shared" si="174"/>
        <v>9.2334028056631319E-12</v>
      </c>
      <c r="CX179" s="59">
        <f t="shared" si="122"/>
        <v>293.33333333334252</v>
      </c>
      <c r="CY179" s="59">
        <f ca="1">AVERAGE(OFFSET($CX$3,0,0,'Données projet'!$E$13+1,1))-AVERAGE(OFFSET($H$3,0,0,'Données projet'!$E$13+1,1))</f>
        <v>297.21955661193238</v>
      </c>
      <c r="CZ179" s="59">
        <f t="shared" si="150"/>
        <v>273.69206144662144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0.37394887088771295</v>
      </c>
      <c r="DG179" s="21">
        <f>EXP(-LN(2)/25)*DG178+(1-EXP(-LN(2)/25))/(LN(2)/25)*Calculateur!DB179*Calculateur!DD179*VLOOKUP('Données projet'!$B$13,Paramètres!$A$1:$I$89,3,0)*0.475*44/12</f>
        <v>0.23433589283697667</v>
      </c>
      <c r="DH179" s="21">
        <f>EXP(-LN(2)/2)*DH178+(1-EXP(-LN(2)/2))/(LN(2)/2)*DB179*DE179*VLOOKUP('Données projet'!$B$13,Paramètres!$A$1:$I$89,3,0)*0.475*44/12</f>
        <v>2.2142270728133687E-21</v>
      </c>
      <c r="DI179" s="22">
        <f t="shared" si="175"/>
        <v>0.60828476372468965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-4.0702161641092972E-13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260.20517190557814</v>
      </c>
      <c r="DU179" s="59">
        <f t="shared" si="152"/>
        <v>307.22009971147133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0.18108841590055336</v>
      </c>
      <c r="EB179" s="21">
        <f>EXP(-LN(2)/25)*EB178+(1-EXP(-LN(2)/25))/(LN(2)/25)*Calculateur!DW179*Calculateur!DY179*VLOOKUP('Données projet'!$B$14,Paramètres!$A$1:$I$89,3,0)*0.475*44/12</f>
        <v>0.35822325316824011</v>
      </c>
      <c r="EC179" s="21">
        <f>EXP(-LN(2)/2)*EC178+(1-EXP(-LN(2)/2))/(LN(2)/2)*DW179*DZ179*VLOOKUP('Données projet'!$B$14,Paramètres!$A$1:$I$89,3,0)*0.475*44/12</f>
        <v>2.5452317540325102E-21</v>
      </c>
      <c r="ED179" s="22">
        <f t="shared" si="178"/>
        <v>0.53931166906879346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1.1368683772161603E-13</v>
      </c>
      <c r="EK179" s="17">
        <f>EJ179*VLOOKUP('Données projet'!$B$15,Paramètres!$A$1:$I$89,3,0)*VLOOKUP('Données projet'!$B$15,Paramètres!$A$1:$I$89,5,0)</f>
        <v>6.7984728957526396E-14</v>
      </c>
      <c r="EL179" s="13">
        <f t="shared" si="179"/>
        <v>1.0682447123141398E-12</v>
      </c>
      <c r="EM179" s="20">
        <f t="shared" si="180"/>
        <v>1.978932943548152E-12</v>
      </c>
      <c r="EN179" s="59">
        <f t="shared" si="128"/>
        <v>293.3333333333353</v>
      </c>
      <c r="EO179" s="59">
        <f ca="1">AVERAGE(OFFSET($EN$3,0,0,'Données projet'!$E$15+1,1))-AVERAGE(OFFSET($H$3,0,0,'Données projet'!$E$15+1,1))</f>
        <v>259.30247982593914</v>
      </c>
      <c r="EP179" s="59">
        <f t="shared" si="154"/>
        <v>275.24740346220779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0.31481333627093677</v>
      </c>
      <c r="EX179" s="21">
        <f>EXP(-LN(2)/2)*EX178+(1-EXP(-LN(2)/2))/(LN(2)/2)*ER179*EU179*VLOOKUP('Données projet'!$B$15,Paramètres!$A$1:$I$89,3,0)*0.475*44/12</f>
        <v>3.0366628983480276E-21</v>
      </c>
      <c r="EY179" s="22">
        <f t="shared" si="181"/>
        <v>0.31481333627093677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-5.6843418860808015E-13</v>
      </c>
      <c r="FF179" s="17">
        <f>FE179*VLOOKUP('Données projet'!$B$16,Paramètres!$A$1:$I$89,3,0)*VLOOKUP('Données projet'!$B$16,Paramètres!$A$1:$I$89,5,0)</f>
        <v>-5.763922672485933E-13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372.91317851957336</v>
      </c>
      <c r="FK179" s="59">
        <f t="shared" si="156"/>
        <v>269.69187715858413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0.14980159006793825</v>
      </c>
      <c r="FR179" s="21">
        <f>EXP(-LN(2)/25)*FR178+(1-EXP(-LN(2)/25))/(LN(2)/25)*Calculateur!FM179*Calculateur!FO179*VLOOKUP('Données projet'!$B$16,Paramètres!$A$1:$I$89,3,0)*0.475*44/12</f>
        <v>0.26520768601568939</v>
      </c>
      <c r="FS179" s="21">
        <f>EXP(-LN(2)/2)*FS178+(1-EXP(-LN(2)/2))/(LN(2)/2)*FM179*FP179*VLOOKUP('Données projet'!$B$16,Paramètres!$A$1:$I$89,3,0)*0.475*44/12</f>
        <v>2.5796269422665717E-21</v>
      </c>
      <c r="FT179" s="22">
        <f t="shared" si="184"/>
        <v>0.41500927608362764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-1.1368683772161603E-13</v>
      </c>
      <c r="GA179" s="17">
        <f>FZ179*VLOOKUP('Données projet'!$B$17,Paramètres!$A$1:$I$89,3,0)*VLOOKUP('Données projet'!$B$17,Paramètres!$A$1:$I$89,5,0)</f>
        <v>-5.3205440053716299E-14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215.23235148064941</v>
      </c>
      <c r="GF179" s="59">
        <f t="shared" si="158"/>
        <v>184.07239726900434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0.17396202540958816</v>
      </c>
      <c r="GM179" s="21">
        <f>EXP(-LN(2)/25)*GM178+(1-EXP(-LN(2)/25))/(LN(2)/25)*Calculateur!GH179*Calculateur!GJ179*VLOOKUP('Données projet'!$B$17,Paramètres!$A$1:$I$89,3,0)*0.475*44/12</f>
        <v>0.13713764509845991</v>
      </c>
      <c r="GN179" s="21">
        <f>EXP(-LN(2)/2)*GN178+(1-EXP(-LN(2)/2))/(LN(2)/2)*GH179*GK179*VLOOKUP('Données projet'!$B$17,Paramètres!$A$1:$I$89,3,0)*0.475*44/12</f>
        <v>1.0410221777536909E-21</v>
      </c>
      <c r="GO179" s="21">
        <f t="shared" si="187"/>
        <v>0.3110996705080481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-1.1368683772161603E-13</v>
      </c>
      <c r="GV179" s="17">
        <f>GU179*VLOOKUP('Données projet'!$B$18,Paramètres!$A$1:$I$89,3,0)*VLOOKUP('Données projet'!$B$18,Paramètres!$A$1:$I$89,5,0)</f>
        <v>-6.7984728957526396E-14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227.89848316900191</v>
      </c>
      <c r="HA179" s="59">
        <f t="shared" si="160"/>
        <v>239.85955661394541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0.44076503373947812</v>
      </c>
      <c r="HH179" s="21">
        <f>EXP(-LN(2)/25)*HH178+(1-EXP(-LN(2)/25))/(LN(2)/25)*Calculateur!HC179*Calculateur!HE179*VLOOKUP('Données projet'!$B$18,Paramètres!$A$1:$I$89,3,0)*0.475*44/12</f>
        <v>0.29928591809645033</v>
      </c>
      <c r="HI179" s="21">
        <f>EXP(-LN(2)/2)*HI178+(1-EXP(-LN(2)/2))/(LN(2)/2)*HC179*HF179*VLOOKUP('Données projet'!$B$18,Paramètres!$A$1:$I$89,3,0)*0.475*44/12</f>
        <v>7.097681466389623E-22</v>
      </c>
      <c r="HJ179" s="22">
        <f t="shared" si="190"/>
        <v>0.74005095183592839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2.5420376914553347E-13</v>
      </c>
      <c r="P180" s="13">
        <f t="shared" si="141"/>
        <v>3.4258699088369875E-12</v>
      </c>
      <c r="Q180" s="20">
        <f t="shared" si="162"/>
        <v>6.4094616558195571E-12</v>
      </c>
      <c r="R180" s="59">
        <f t="shared" si="109"/>
        <v>293.33333333333974</v>
      </c>
      <c r="S180" s="59">
        <f ca="1">AVERAGE(OFFSET($R$3,0,0,'Données projet'!$E$9+1,1))-AVERAGE(OFFSET($H$3,0,0,'Données projet'!$E$9+1,1))</f>
        <v>370.69652285220093</v>
      </c>
      <c r="T180" s="59">
        <f t="shared" si="142"/>
        <v>376.53494965377718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0.55921319820802806</v>
      </c>
      <c r="AA180" s="21">
        <f>EXP(-LN(2)/25)*AA179+(1-EXP(-LN(2)/25))/(LN(2)/25)*Calculateur!V180*Calculateur!X180*VLOOKUP('Données projet'!$B$9,Paramètres!$A$1:$I$89,3,0)*0.475*44/12</f>
        <v>0.56723584139097172</v>
      </c>
      <c r="AB180" s="21">
        <f>EXP(-LN(2)/2)*AB179+(1-EXP(-LN(2)/2))/(LN(2)/2)*V180*Y180*VLOOKUP('Données projet'!$B$9,Paramètres!$A$1:$I$89,3,0)*0.475*44/12</f>
        <v>2.4504068603954901E-21</v>
      </c>
      <c r="AC180" s="22">
        <f t="shared" si="163"/>
        <v>1.1264490395989997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-5.6843418860808015E-13</v>
      </c>
      <c r="AJ180" s="13">
        <f>AI180*VLOOKUP('Données projet'!$B$10,Paramètres!$A$1:$I$89,3,0)*VLOOKUP('Données projet'!$B$10,Paramètres!$A$1:$I$89,5,0)</f>
        <v>-5.1431925385259092E-13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321.03881567735544</v>
      </c>
      <c r="AO180" s="59">
        <f t="shared" si="144"/>
        <v>234.87694492493506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0.13104794139824491</v>
      </c>
      <c r="AV180" s="21">
        <f>EXP(-LN(2)/25)*AV179+(1-EXP(-LN(2)/25))/(LN(2)/25)*Calculateur!AQ180*Calculateur!AS180*VLOOKUP('Données projet'!$B$10,Paramètres!$A$1:$I$89,3,0)*0.475*44/12</f>
        <v>0.23017573750624037</v>
      </c>
      <c r="AW180" s="21">
        <f>EXP(-LN(2)/2)*AW179+(1-EXP(-LN(2)/2))/(LN(2)/2)*AQ180*AT180*VLOOKUP('Données projet'!$B$10,Paramètres!$A$1:$I$89,3,0)*0.475*44/12</f>
        <v>1.6276332126288668E-21</v>
      </c>
      <c r="AX180" s="21">
        <f t="shared" si="166"/>
        <v>0.36122367890448526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3.1036506698001181E-13</v>
      </c>
      <c r="BF180" s="13">
        <f t="shared" si="167"/>
        <v>4.086682523110923E-12</v>
      </c>
      <c r="BG180" s="20">
        <f t="shared" si="168"/>
        <v>7.6581912194083782E-12</v>
      </c>
      <c r="BH180" s="59">
        <f t="shared" si="116"/>
        <v>293.33333333334099</v>
      </c>
      <c r="BI180" s="59">
        <f ca="1">AVERAGE(OFFSET($BH$3,0,0,'Données projet'!$E$11+1,1))-AVERAGE(OFFSET($H$3,0,0,'Données projet'!$E$11+1,1))</f>
        <v>248.1486444660062</v>
      </c>
      <c r="BJ180" s="59">
        <f t="shared" si="146"/>
        <v>293.34458072322127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0.46344941585105059</v>
      </c>
      <c r="BQ180" s="21">
        <f>EXP(-LN(2)/25)*BQ179+(1-EXP(-LN(2)/25))/(LN(2)/25)*Calculateur!BL180*Calculateur!BN180*VLOOKUP('Données projet'!$B$11,Paramètres!$A$1:$I$89,3,0)*0.475*44/12</f>
        <v>0.57796872512421549</v>
      </c>
      <c r="BR180" s="21">
        <f>EXP(-LN(2)/2)*BR179+(1-EXP(-LN(2)/2))/(LN(2)/2)*BL180*BO180*VLOOKUP('Données projet'!$B$11,Paramètres!$A$1:$I$89,3,0)*0.475*44/12</f>
        <v>1.8853539149433546E-21</v>
      </c>
      <c r="BS180" s="22">
        <f t="shared" si="169"/>
        <v>1.0414181409752661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243.38048563215585</v>
      </c>
      <c r="CE180" s="59">
        <f t="shared" si="148"/>
        <v>372.1604147006675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0.39766271872570907</v>
      </c>
      <c r="CL180" s="21">
        <f>EXP(-LN(2)/25)*CL179+(1-EXP(-LN(2)/25))/(LN(2)/25)*Calculateur!CG180*Calculateur!CI180*VLOOKUP('Données projet'!$B$12,Paramètres!$A$1:$I$89,3,0)*0.475*44/12</f>
        <v>0.32877853299215043</v>
      </c>
      <c r="CM180" s="21">
        <f>EXP(-LN(2)/2)*CM179+(1-EXP(-LN(2)/2))/(LN(2)/2)*CG180*CJ180*VLOOKUP('Données projet'!$B$12,Paramètres!$A$1:$I$89,3,0)*0.475*44/12</f>
        <v>2.1947462551765055E-21</v>
      </c>
      <c r="CN180" s="22">
        <f t="shared" si="172"/>
        <v>0.72644125171785956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7.9580786405131221E-13</v>
      </c>
      <c r="CU180" s="17">
        <f>CT180*VLOOKUP('Données projet'!$B$13,Paramètres!$A$1:$I$89,3,0)*VLOOKUP('Données projet'!$B$13,Paramètres!$A$1:$I$89,5,0)</f>
        <v>3.8278358260868117E-13</v>
      </c>
      <c r="CV180" s="13">
        <f t="shared" si="173"/>
        <v>4.9186917125089072E-12</v>
      </c>
      <c r="CW180" s="20">
        <f t="shared" si="174"/>
        <v>9.2334028056631319E-12</v>
      </c>
      <c r="CX180" s="59">
        <f t="shared" si="122"/>
        <v>293.33333333334252</v>
      </c>
      <c r="CY180" s="59">
        <f ca="1">AVERAGE(OFFSET($CX$3,0,0,'Données projet'!$E$13+1,1))-AVERAGE(OFFSET($H$3,0,0,'Données projet'!$E$13+1,1))</f>
        <v>297.21955661193238</v>
      </c>
      <c r="CZ180" s="59">
        <f t="shared" si="150"/>
        <v>273.69206144662144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0.36661596161589449</v>
      </c>
      <c r="DG180" s="21">
        <f>EXP(-LN(2)/25)*DG179+(1-EXP(-LN(2)/25))/(LN(2)/25)*Calculateur!DB180*Calculateur!DD180*VLOOKUP('Données projet'!$B$13,Paramètres!$A$1:$I$89,3,0)*0.475*44/12</f>
        <v>0.22792796552416053</v>
      </c>
      <c r="DH180" s="21">
        <f>EXP(-LN(2)/2)*DH179+(1-EXP(-LN(2)/2))/(LN(2)/2)*DB180*DE180*VLOOKUP('Données projet'!$B$13,Paramètres!$A$1:$I$89,3,0)*0.475*44/12</f>
        <v>1.5656949782731723E-21</v>
      </c>
      <c r="DI180" s="22">
        <f t="shared" si="175"/>
        <v>0.594543927140055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-4.0702161641092972E-13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260.20517190557814</v>
      </c>
      <c r="DU180" s="59">
        <f t="shared" si="152"/>
        <v>307.22009971147133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0.17753738251777088</v>
      </c>
      <c r="EB180" s="21">
        <f>EXP(-LN(2)/25)*EB179+(1-EXP(-LN(2)/25))/(LN(2)/25)*Calculateur!DW180*Calculateur!DY180*VLOOKUP('Données projet'!$B$14,Paramètres!$A$1:$I$89,3,0)*0.475*44/12</f>
        <v>0.3484276194722124</v>
      </c>
      <c r="EC180" s="21">
        <f>EXP(-LN(2)/2)*EC179+(1-EXP(-LN(2)/2))/(LN(2)/2)*DW180*DZ180*VLOOKUP('Données projet'!$B$14,Paramètres!$A$1:$I$89,3,0)*0.475*44/12</f>
        <v>1.7997506329677187E-21</v>
      </c>
      <c r="ED180" s="22">
        <f t="shared" si="178"/>
        <v>0.52596500198998331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1.1368683772161603E-13</v>
      </c>
      <c r="EK180" s="17">
        <f>EJ180*VLOOKUP('Données projet'!$B$15,Paramètres!$A$1:$I$89,3,0)*VLOOKUP('Données projet'!$B$15,Paramètres!$A$1:$I$89,5,0)</f>
        <v>6.7984728957526396E-14</v>
      </c>
      <c r="EL180" s="13">
        <f t="shared" si="179"/>
        <v>1.0682447123141398E-12</v>
      </c>
      <c r="EM180" s="20">
        <f t="shared" si="180"/>
        <v>1.978932943548152E-12</v>
      </c>
      <c r="EN180" s="59">
        <f t="shared" si="128"/>
        <v>293.3333333333353</v>
      </c>
      <c r="EO180" s="59">
        <f ca="1">AVERAGE(OFFSET($EN$3,0,0,'Données projet'!$E$15+1,1))-AVERAGE(OFFSET($H$3,0,0,'Données projet'!$E$15+1,1))</f>
        <v>259.30247982593914</v>
      </c>
      <c r="EP180" s="59">
        <f t="shared" si="154"/>
        <v>275.24740346220779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0.30620474903529415</v>
      </c>
      <c r="EX180" s="21">
        <f>EXP(-LN(2)/2)*EX179+(1-EXP(-LN(2)/2))/(LN(2)/2)*ER180*EU180*VLOOKUP('Données projet'!$B$15,Paramètres!$A$1:$I$89,3,0)*0.475*44/12</f>
        <v>2.147244927599486E-21</v>
      </c>
      <c r="EY180" s="22">
        <f t="shared" si="181"/>
        <v>0.30620474903529415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-5.6843418860808015E-13</v>
      </c>
      <c r="FF180" s="17">
        <f>FE180*VLOOKUP('Données projet'!$B$16,Paramètres!$A$1:$I$89,3,0)*VLOOKUP('Données projet'!$B$16,Paramètres!$A$1:$I$89,5,0)</f>
        <v>-5.763922672485933E-13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372.91317851957336</v>
      </c>
      <c r="FK180" s="59">
        <f t="shared" si="156"/>
        <v>269.69187715858413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0.14686407225665388</v>
      </c>
      <c r="FR180" s="21">
        <f>EXP(-LN(2)/25)*FR179+(1-EXP(-LN(2)/25))/(LN(2)/25)*Calculateur!FM180*Calculateur!FO180*VLOOKUP('Données projet'!$B$16,Paramètres!$A$1:$I$89,3,0)*0.475*44/12</f>
        <v>0.2579555678949243</v>
      </c>
      <c r="FS180" s="21">
        <f>EXP(-LN(2)/2)*FS179+(1-EXP(-LN(2)/2))/(LN(2)/2)*FM180*FP180*VLOOKUP('Données projet'!$B$16,Paramètres!$A$1:$I$89,3,0)*0.475*44/12</f>
        <v>1.8240717038082114E-21</v>
      </c>
      <c r="FT180" s="22">
        <f t="shared" si="184"/>
        <v>0.40481964015157818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-1.1368683772161603E-13</v>
      </c>
      <c r="GA180" s="17">
        <f>FZ180*VLOOKUP('Données projet'!$B$17,Paramètres!$A$1:$I$89,3,0)*VLOOKUP('Données projet'!$B$17,Paramètres!$A$1:$I$89,5,0)</f>
        <v>-5.3205440053716299E-14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215.23235148064941</v>
      </c>
      <c r="GF180" s="59">
        <f t="shared" si="158"/>
        <v>184.07239726900434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0.1705507361976645</v>
      </c>
      <c r="GM180" s="21">
        <f>EXP(-LN(2)/25)*GM179+(1-EXP(-LN(2)/25))/(LN(2)/25)*Calculateur!GH180*Calculateur!GJ180*VLOOKUP('Données projet'!$B$17,Paramètres!$A$1:$I$89,3,0)*0.475*44/12</f>
        <v>0.13338760898148719</v>
      </c>
      <c r="GN180" s="21">
        <f>EXP(-LN(2)/2)*GN179+(1-EXP(-LN(2)/2))/(LN(2)/2)*GH180*GK180*VLOOKUP('Données projet'!$B$17,Paramètres!$A$1:$I$89,3,0)*0.475*44/12</f>
        <v>7.3611384125522231E-22</v>
      </c>
      <c r="GO180" s="21">
        <f t="shared" si="187"/>
        <v>0.30393834517915169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-1.1368683772161603E-13</v>
      </c>
      <c r="GV180" s="17">
        <f>GU180*VLOOKUP('Données projet'!$B$18,Paramètres!$A$1:$I$89,3,0)*VLOOKUP('Données projet'!$B$18,Paramètres!$A$1:$I$89,5,0)</f>
        <v>-6.7984728957526396E-14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227.89848316900191</v>
      </c>
      <c r="HA180" s="59">
        <f t="shared" si="160"/>
        <v>239.85955661394541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0.43212190026797176</v>
      </c>
      <c r="HH180" s="21">
        <f>EXP(-LN(2)/25)*HH179+(1-EXP(-LN(2)/25))/(LN(2)/25)*Calculateur!HC180*Calculateur!HE180*VLOOKUP('Données projet'!$B$18,Paramètres!$A$1:$I$89,3,0)*0.475*44/12</f>
        <v>0.29110192892734049</v>
      </c>
      <c r="HI180" s="21">
        <f>EXP(-LN(2)/2)*HI179+(1-EXP(-LN(2)/2))/(LN(2)/2)*HC180*HF180*VLOOKUP('Données projet'!$B$18,Paramètres!$A$1:$I$89,3,0)*0.475*44/12</f>
        <v>5.0188186955861809E-22</v>
      </c>
      <c r="HJ180" s="22">
        <f t="shared" si="190"/>
        <v>0.72322382919531225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2.5420376914553347E-13</v>
      </c>
      <c r="P181" s="13">
        <f t="shared" si="141"/>
        <v>3.4258699088369875E-12</v>
      </c>
      <c r="Q181" s="20">
        <f t="shared" si="162"/>
        <v>6.4094616558195571E-12</v>
      </c>
      <c r="R181" s="59">
        <f t="shared" si="109"/>
        <v>293.33333333333974</v>
      </c>
      <c r="S181" s="59">
        <f ca="1">AVERAGE(OFFSET($R$3,0,0,'Données projet'!$E$9+1,1))-AVERAGE(OFFSET($H$3,0,0,'Données projet'!$E$9+1,1))</f>
        <v>370.69652285220093</v>
      </c>
      <c r="T181" s="59">
        <f t="shared" si="142"/>
        <v>376.53494965377718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0.54824736847754008</v>
      </c>
      <c r="AA181" s="21">
        <f>EXP(-LN(2)/25)*AA180+(1-EXP(-LN(2)/25))/(LN(2)/25)*Calculateur!V181*Calculateur!X181*VLOOKUP('Données projet'!$B$9,Paramètres!$A$1:$I$89,3,0)*0.475*44/12</f>
        <v>0.55172474747849909</v>
      </c>
      <c r="AB181" s="21">
        <f>EXP(-LN(2)/2)*AB180+(1-EXP(-LN(2)/2))/(LN(2)/2)*V181*Y181*VLOOKUP('Données projet'!$B$9,Paramètres!$A$1:$I$89,3,0)*0.475*44/12</f>
        <v>1.7326993076516887E-21</v>
      </c>
      <c r="AC181" s="22">
        <f t="shared" si="163"/>
        <v>1.0999721159560392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-5.6843418860808015E-13</v>
      </c>
      <c r="AJ181" s="13">
        <f>AI181*VLOOKUP('Données projet'!$B$10,Paramètres!$A$1:$I$89,3,0)*VLOOKUP('Données projet'!$B$10,Paramètres!$A$1:$I$89,5,0)</f>
        <v>-5.1431925385259092E-13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321.03881567735544</v>
      </c>
      <c r="AO181" s="59">
        <f t="shared" si="144"/>
        <v>234.87694492493506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0.12847817119877702</v>
      </c>
      <c r="AV181" s="21">
        <f>EXP(-LN(2)/25)*AV180+(1-EXP(-LN(2)/25))/(LN(2)/25)*Calculateur!AQ181*Calculateur!AS181*VLOOKUP('Données projet'!$B$10,Paramètres!$A$1:$I$89,3,0)*0.475*44/12</f>
        <v>0.22388156985971627</v>
      </c>
      <c r="AW181" s="21">
        <f>EXP(-LN(2)/2)*AW180+(1-EXP(-LN(2)/2))/(LN(2)/2)*AQ181*AT181*VLOOKUP('Données projet'!$B$10,Paramètres!$A$1:$I$89,3,0)*0.475*44/12</f>
        <v>1.1509104819343175E-21</v>
      </c>
      <c r="AX181" s="21">
        <f t="shared" si="166"/>
        <v>0.35235974105849333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3.1036506698001181E-13</v>
      </c>
      <c r="BF181" s="13">
        <f t="shared" si="167"/>
        <v>4.086682523110923E-12</v>
      </c>
      <c r="BG181" s="20">
        <f t="shared" si="168"/>
        <v>7.6581912194083782E-12</v>
      </c>
      <c r="BH181" s="59">
        <f t="shared" si="116"/>
        <v>293.33333333334099</v>
      </c>
      <c r="BI181" s="59">
        <f ca="1">AVERAGE(OFFSET($BH$3,0,0,'Données projet'!$E$11+1,1))-AVERAGE(OFFSET($H$3,0,0,'Données projet'!$E$11+1,1))</f>
        <v>248.1486444660062</v>
      </c>
      <c r="BJ181" s="59">
        <f t="shared" si="146"/>
        <v>293.34458072322127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0.45436145548244322</v>
      </c>
      <c r="BQ181" s="21">
        <f>EXP(-LN(2)/25)*BQ180+(1-EXP(-LN(2)/25))/(LN(2)/25)*Calculateur!BL181*Calculateur!BN181*VLOOKUP('Données projet'!$B$11,Paramètres!$A$1:$I$89,3,0)*0.475*44/12</f>
        <v>0.5621641399416395</v>
      </c>
      <c r="BR181" s="21">
        <f>EXP(-LN(2)/2)*BR180+(1-EXP(-LN(2)/2))/(LN(2)/2)*BL181*BO181*VLOOKUP('Données projet'!$B$11,Paramètres!$A$1:$I$89,3,0)*0.475*44/12</f>
        <v>1.3331465381930514E-21</v>
      </c>
      <c r="BS181" s="22">
        <f t="shared" si="169"/>
        <v>1.0165255954240826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243.38048563215585</v>
      </c>
      <c r="CE181" s="59">
        <f t="shared" si="148"/>
        <v>372.1604147006675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0.38986479536180652</v>
      </c>
      <c r="CL181" s="21">
        <f>EXP(-LN(2)/25)*CL180+(1-EXP(-LN(2)/25))/(LN(2)/25)*Calculateur!CG181*Calculateur!CI181*VLOOKUP('Données projet'!$B$12,Paramètres!$A$1:$I$89,3,0)*0.475*44/12</f>
        <v>0.31978806671776844</v>
      </c>
      <c r="CM181" s="21">
        <f>EXP(-LN(2)/2)*CM180+(1-EXP(-LN(2)/2))/(LN(2)/2)*CG181*CJ181*VLOOKUP('Données projet'!$B$12,Paramètres!$A$1:$I$89,3,0)*0.475*44/12</f>
        <v>1.5519199600190879E-21</v>
      </c>
      <c r="CN181" s="22">
        <f t="shared" si="172"/>
        <v>0.70965286207957501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7.9580786405131221E-13</v>
      </c>
      <c r="CU181" s="17">
        <f>CT181*VLOOKUP('Données projet'!$B$13,Paramètres!$A$1:$I$89,3,0)*VLOOKUP('Données projet'!$B$13,Paramètres!$A$1:$I$89,5,0)</f>
        <v>3.8278358260868117E-13</v>
      </c>
      <c r="CV181" s="13">
        <f t="shared" si="173"/>
        <v>4.9186917125089072E-12</v>
      </c>
      <c r="CW181" s="20">
        <f t="shared" si="174"/>
        <v>9.2334028056631319E-12</v>
      </c>
      <c r="CX181" s="59">
        <f t="shared" si="122"/>
        <v>293.33333333334252</v>
      </c>
      <c r="CY181" s="59">
        <f ca="1">AVERAGE(OFFSET($CX$3,0,0,'Données projet'!$E$13+1,1))-AVERAGE(OFFSET($H$3,0,0,'Données projet'!$E$13+1,1))</f>
        <v>297.21955661193238</v>
      </c>
      <c r="CZ181" s="59">
        <f t="shared" si="150"/>
        <v>273.69206144662144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0.3594268462222634</v>
      </c>
      <c r="DG181" s="21">
        <f>EXP(-LN(2)/25)*DG180+(1-EXP(-LN(2)/25))/(LN(2)/25)*Calculateur!DB181*Calculateur!DD181*VLOOKUP('Données projet'!$B$13,Paramètres!$A$1:$I$89,3,0)*0.475*44/12</f>
        <v>0.22169526332069159</v>
      </c>
      <c r="DH181" s="21">
        <f>EXP(-LN(2)/2)*DH180+(1-EXP(-LN(2)/2))/(LN(2)/2)*DB181*DE181*VLOOKUP('Données projet'!$B$13,Paramètres!$A$1:$I$89,3,0)*0.475*44/12</f>
        <v>1.1071135364066843E-21</v>
      </c>
      <c r="DI181" s="22">
        <f t="shared" si="175"/>
        <v>0.58112210954295496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-4.0702161641092972E-13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260.20517190557814</v>
      </c>
      <c r="DU181" s="59">
        <f t="shared" si="152"/>
        <v>307.22009971147133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0.17405598273370826</v>
      </c>
      <c r="EB181" s="21">
        <f>EXP(-LN(2)/25)*EB180+(1-EXP(-LN(2)/25))/(LN(2)/25)*Calculateur!DW181*Calculateur!DY181*VLOOKUP('Données projet'!$B$14,Paramètres!$A$1:$I$89,3,0)*0.475*44/12</f>
        <v>0.3388998478947326</v>
      </c>
      <c r="EC181" s="21">
        <f>EXP(-LN(2)/2)*EC180+(1-EXP(-LN(2)/2))/(LN(2)/2)*DW181*DZ181*VLOOKUP('Données projet'!$B$14,Paramètres!$A$1:$I$89,3,0)*0.475*44/12</f>
        <v>1.2726158770162551E-21</v>
      </c>
      <c r="ED181" s="22">
        <f t="shared" si="178"/>
        <v>0.51295583062844086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1.1368683772161603E-13</v>
      </c>
      <c r="EK181" s="17">
        <f>EJ181*VLOOKUP('Données projet'!$B$15,Paramètres!$A$1:$I$89,3,0)*VLOOKUP('Données projet'!$B$15,Paramètres!$A$1:$I$89,5,0)</f>
        <v>6.7984728957526396E-14</v>
      </c>
      <c r="EL181" s="13">
        <f t="shared" si="179"/>
        <v>1.0682447123141398E-12</v>
      </c>
      <c r="EM181" s="20">
        <f t="shared" si="180"/>
        <v>1.978932943548152E-12</v>
      </c>
      <c r="EN181" s="59">
        <f t="shared" si="128"/>
        <v>293.3333333333353</v>
      </c>
      <c r="EO181" s="59">
        <f ca="1">AVERAGE(OFFSET($EN$3,0,0,'Données projet'!$E$15+1,1))-AVERAGE(OFFSET($H$3,0,0,'Données projet'!$E$15+1,1))</f>
        <v>259.30247982593914</v>
      </c>
      <c r="EP181" s="59">
        <f t="shared" si="154"/>
        <v>275.24740346220779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0.29783156407031613</v>
      </c>
      <c r="EX181" s="21">
        <f>EXP(-LN(2)/2)*EX180+(1-EXP(-LN(2)/2))/(LN(2)/2)*ER181*EU181*VLOOKUP('Données projet'!$B$15,Paramètres!$A$1:$I$89,3,0)*0.475*44/12</f>
        <v>1.5183314491740138E-21</v>
      </c>
      <c r="EY181" s="22">
        <f t="shared" si="181"/>
        <v>0.29783156407031613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-5.6843418860808015E-13</v>
      </c>
      <c r="FF181" s="17">
        <f>FE181*VLOOKUP('Données projet'!$B$16,Paramètres!$A$1:$I$89,3,0)*VLOOKUP('Données projet'!$B$16,Paramètres!$A$1:$I$89,5,0)</f>
        <v>-5.763922672485933E-13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372.91317851957336</v>
      </c>
      <c r="FK181" s="59">
        <f t="shared" si="156"/>
        <v>269.69187715858413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0.14398415737793985</v>
      </c>
      <c r="FR181" s="21">
        <f>EXP(-LN(2)/25)*FR180+(1-EXP(-LN(2)/25))/(LN(2)/25)*Calculateur!FM181*Calculateur!FO181*VLOOKUP('Données projet'!$B$16,Paramètres!$A$1:$I$89,3,0)*0.475*44/12</f>
        <v>0.25090175932554382</v>
      </c>
      <c r="FS181" s="21">
        <f>EXP(-LN(2)/2)*FS180+(1-EXP(-LN(2)/2))/(LN(2)/2)*FM181*FP181*VLOOKUP('Données projet'!$B$16,Paramètres!$A$1:$I$89,3,0)*0.475*44/12</f>
        <v>1.2898134711332859E-21</v>
      </c>
      <c r="FT181" s="22">
        <f t="shared" si="184"/>
        <v>0.39488591670348366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-1.1368683772161603E-13</v>
      </c>
      <c r="GA181" s="17">
        <f>FZ181*VLOOKUP('Données projet'!$B$17,Paramètres!$A$1:$I$89,3,0)*VLOOKUP('Données projet'!$B$17,Paramètres!$A$1:$I$89,5,0)</f>
        <v>-5.3205440053716299E-14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215.23235148064941</v>
      </c>
      <c r="GF181" s="59">
        <f t="shared" si="158"/>
        <v>184.07239726900434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0.16720634028650569</v>
      </c>
      <c r="GM181" s="21">
        <f>EXP(-LN(2)/25)*GM180+(1-EXP(-LN(2)/25))/(LN(2)/25)*Calculateur!GH181*Calculateur!GJ181*VLOOKUP('Données projet'!$B$17,Paramètres!$A$1:$I$89,3,0)*0.475*44/12</f>
        <v>0.12974011779933892</v>
      </c>
      <c r="GN181" s="21">
        <f>EXP(-LN(2)/2)*GN180+(1-EXP(-LN(2)/2))/(LN(2)/2)*GH181*GK181*VLOOKUP('Données projet'!$B$17,Paramètres!$A$1:$I$89,3,0)*0.475*44/12</f>
        <v>5.2051108887684545E-22</v>
      </c>
      <c r="GO181" s="21">
        <f t="shared" si="187"/>
        <v>0.29694645808584463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-1.1368683772161603E-13</v>
      </c>
      <c r="GV181" s="17">
        <f>GU181*VLOOKUP('Données projet'!$B$18,Paramètres!$A$1:$I$89,3,0)*VLOOKUP('Données projet'!$B$18,Paramètres!$A$1:$I$89,5,0)</f>
        <v>-6.7984728957526396E-14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227.89848316900191</v>
      </c>
      <c r="HA181" s="59">
        <f t="shared" si="160"/>
        <v>239.85955661394541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0.42364825337205081</v>
      </c>
      <c r="HH181" s="21">
        <f>EXP(-LN(2)/25)*HH180+(1-EXP(-LN(2)/25))/(LN(2)/25)*Calculateur!HC181*Calculateur!HE181*VLOOKUP('Données projet'!$B$18,Paramètres!$A$1:$I$89,3,0)*0.475*44/12</f>
        <v>0.28314173137243726</v>
      </c>
      <c r="HI181" s="21">
        <f>EXP(-LN(2)/2)*HI180+(1-EXP(-LN(2)/2))/(LN(2)/2)*HC181*HF181*VLOOKUP('Données projet'!$B$18,Paramètres!$A$1:$I$89,3,0)*0.475*44/12</f>
        <v>3.5488407331948115E-22</v>
      </c>
      <c r="HJ181" s="22">
        <f t="shared" si="190"/>
        <v>0.70678998474448806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2.5420376914553347E-13</v>
      </c>
      <c r="P182" s="13">
        <f t="shared" si="141"/>
        <v>3.4258699088369875E-12</v>
      </c>
      <c r="Q182" s="20">
        <f t="shared" si="162"/>
        <v>6.4094616558195571E-12</v>
      </c>
      <c r="R182" s="59">
        <f t="shared" si="109"/>
        <v>293.33333333333974</v>
      </c>
      <c r="S182" s="59">
        <f ca="1">AVERAGE(OFFSET($R$3,0,0,'Données projet'!$E$9+1,1))-AVERAGE(OFFSET($H$3,0,0,'Données projet'!$E$9+1,1))</f>
        <v>370.69652285220093</v>
      </c>
      <c r="T182" s="59">
        <f t="shared" si="142"/>
        <v>376.53494965377718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0.53749657197957124</v>
      </c>
      <c r="AA182" s="21">
        <f>EXP(-LN(2)/25)*AA181+(1-EXP(-LN(2)/25))/(LN(2)/25)*Calculateur!V182*Calculateur!X182*VLOOKUP('Données projet'!$B$9,Paramètres!$A$1:$I$89,3,0)*0.475*44/12</f>
        <v>0.53663780524475602</v>
      </c>
      <c r="AB182" s="21">
        <f>EXP(-LN(2)/2)*AB181+(1-EXP(-LN(2)/2))/(LN(2)/2)*V182*Y182*VLOOKUP('Données projet'!$B$9,Paramètres!$A$1:$I$89,3,0)*0.475*44/12</f>
        <v>1.2252034301977451E-21</v>
      </c>
      <c r="AC182" s="22">
        <f t="shared" si="163"/>
        <v>1.0741343772243273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-5.6843418860808015E-13</v>
      </c>
      <c r="AJ182" s="13">
        <f>AI182*VLOOKUP('Données projet'!$B$10,Paramètres!$A$1:$I$89,3,0)*VLOOKUP('Données projet'!$B$10,Paramètres!$A$1:$I$89,5,0)</f>
        <v>-5.1431925385259092E-13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321.03881567735544</v>
      </c>
      <c r="AO182" s="59">
        <f t="shared" si="144"/>
        <v>234.87694492493506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0.12595879262551565</v>
      </c>
      <c r="AV182" s="21">
        <f>EXP(-LN(2)/25)*AV181+(1-EXP(-LN(2)/25))/(LN(2)/25)*Calculateur!AQ182*Calculateur!AS182*VLOOKUP('Données projet'!$B$10,Paramètres!$A$1:$I$89,3,0)*0.475*44/12</f>
        <v>0.21775951655848227</v>
      </c>
      <c r="AW182" s="21">
        <f>EXP(-LN(2)/2)*AW181+(1-EXP(-LN(2)/2))/(LN(2)/2)*AQ182*AT182*VLOOKUP('Données projet'!$B$10,Paramètres!$A$1:$I$89,3,0)*0.475*44/12</f>
        <v>8.1381660631443342E-22</v>
      </c>
      <c r="AX182" s="21">
        <f t="shared" si="166"/>
        <v>0.34371830918399793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3.1036506698001181E-13</v>
      </c>
      <c r="BF182" s="13">
        <f t="shared" si="167"/>
        <v>4.086682523110923E-12</v>
      </c>
      <c r="BG182" s="20">
        <f t="shared" si="168"/>
        <v>7.6581912194083782E-12</v>
      </c>
      <c r="BH182" s="59">
        <f t="shared" si="116"/>
        <v>293.33333333334099</v>
      </c>
      <c r="BI182" s="59">
        <f ca="1">AVERAGE(OFFSET($BH$3,0,0,'Données projet'!$E$11+1,1))-AVERAGE(OFFSET($H$3,0,0,'Données projet'!$E$11+1,1))</f>
        <v>248.1486444660062</v>
      </c>
      <c r="BJ182" s="59">
        <f t="shared" si="146"/>
        <v>293.34458072322127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0.44545170447355575</v>
      </c>
      <c r="BQ182" s="21">
        <f>EXP(-LN(2)/25)*BQ181+(1-EXP(-LN(2)/25))/(LN(2)/25)*Calculateur!BL182*Calculateur!BN182*VLOOKUP('Données projet'!$B$11,Paramètres!$A$1:$I$89,3,0)*0.475*44/12</f>
        <v>0.54679173197200803</v>
      </c>
      <c r="BR182" s="21">
        <f>EXP(-LN(2)/2)*BR181+(1-EXP(-LN(2)/2))/(LN(2)/2)*BL182*BO182*VLOOKUP('Données projet'!$B$11,Paramètres!$A$1:$I$89,3,0)*0.475*44/12</f>
        <v>9.426769574716773E-22</v>
      </c>
      <c r="BS182" s="22">
        <f t="shared" si="169"/>
        <v>0.99224343644556379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243.38048563215585</v>
      </c>
      <c r="CE182" s="59">
        <f t="shared" si="148"/>
        <v>372.1604147006675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0.38221978451880645</v>
      </c>
      <c r="CL182" s="21">
        <f>EXP(-LN(2)/25)*CL181+(1-EXP(-LN(2)/25))/(LN(2)/25)*Calculateur!CG182*Calculateur!CI182*VLOOKUP('Données projet'!$B$12,Paramètres!$A$1:$I$89,3,0)*0.475*44/12</f>
        <v>0.3110434452164475</v>
      </c>
      <c r="CM182" s="21">
        <f>EXP(-LN(2)/2)*CM181+(1-EXP(-LN(2)/2))/(LN(2)/2)*CG182*CJ182*VLOOKUP('Données projet'!$B$12,Paramètres!$A$1:$I$89,3,0)*0.475*44/12</f>
        <v>1.0973731275882528E-21</v>
      </c>
      <c r="CN182" s="22">
        <f t="shared" si="172"/>
        <v>0.69326322973525389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7.9580786405131221E-13</v>
      </c>
      <c r="CU182" s="17">
        <f>CT182*VLOOKUP('Données projet'!$B$13,Paramètres!$A$1:$I$89,3,0)*VLOOKUP('Données projet'!$B$13,Paramètres!$A$1:$I$89,5,0)</f>
        <v>3.8278358260868117E-13</v>
      </c>
      <c r="CV182" s="13">
        <f t="shared" si="173"/>
        <v>4.9186917125089072E-12</v>
      </c>
      <c r="CW182" s="20">
        <f t="shared" si="174"/>
        <v>9.2334028056631319E-12</v>
      </c>
      <c r="CX182" s="59">
        <f t="shared" si="122"/>
        <v>293.33333333334252</v>
      </c>
      <c r="CY182" s="59">
        <f ca="1">AVERAGE(OFFSET($CX$3,0,0,'Données projet'!$E$13+1,1))-AVERAGE(OFFSET($H$3,0,0,'Données projet'!$E$13+1,1))</f>
        <v>297.21955661193238</v>
      </c>
      <c r="CZ182" s="59">
        <f t="shared" si="150"/>
        <v>273.69206144662144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0.35237870499657398</v>
      </c>
      <c r="DG182" s="21">
        <f>EXP(-LN(2)/25)*DG181+(1-EXP(-LN(2)/25))/(LN(2)/25)*Calculateur!DB182*Calculateur!DD182*VLOOKUP('Données projet'!$B$13,Paramètres!$A$1:$I$89,3,0)*0.475*44/12</f>
        <v>0.21563299468674008</v>
      </c>
      <c r="DH182" s="21">
        <f>EXP(-LN(2)/2)*DH181+(1-EXP(-LN(2)/2))/(LN(2)/2)*DB182*DE182*VLOOKUP('Données projet'!$B$13,Paramètres!$A$1:$I$89,3,0)*0.475*44/12</f>
        <v>7.8284748913658616E-22</v>
      </c>
      <c r="DI182" s="22">
        <f t="shared" si="175"/>
        <v>0.568011699683314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-4.0702161641092972E-13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260.20517190557814</v>
      </c>
      <c r="DU182" s="59">
        <f t="shared" si="152"/>
        <v>307.22009971147133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0.17064285107596691</v>
      </c>
      <c r="EB182" s="21">
        <f>EXP(-LN(2)/25)*EB181+(1-EXP(-LN(2)/25))/(LN(2)/25)*Calculateur!DW182*Calculateur!DY182*VLOOKUP('Données projet'!$B$14,Paramètres!$A$1:$I$89,3,0)*0.475*44/12</f>
        <v>0.32963261373208269</v>
      </c>
      <c r="EC182" s="21">
        <f>EXP(-LN(2)/2)*EC181+(1-EXP(-LN(2)/2))/(LN(2)/2)*DW182*DZ182*VLOOKUP('Données projet'!$B$14,Paramètres!$A$1:$I$89,3,0)*0.475*44/12</f>
        <v>8.9987531648385936E-22</v>
      </c>
      <c r="ED182" s="22">
        <f t="shared" si="178"/>
        <v>0.50027546480804963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1.1368683772161603E-13</v>
      </c>
      <c r="EK182" s="17">
        <f>EJ182*VLOOKUP('Données projet'!$B$15,Paramètres!$A$1:$I$89,3,0)*VLOOKUP('Données projet'!$B$15,Paramètres!$A$1:$I$89,5,0)</f>
        <v>6.7984728957526396E-14</v>
      </c>
      <c r="EL182" s="13">
        <f t="shared" si="179"/>
        <v>1.0682447123141398E-12</v>
      </c>
      <c r="EM182" s="20">
        <f t="shared" si="180"/>
        <v>1.978932943548152E-12</v>
      </c>
      <c r="EN182" s="59">
        <f t="shared" si="128"/>
        <v>293.3333333333353</v>
      </c>
      <c r="EO182" s="59">
        <f ca="1">AVERAGE(OFFSET($EN$3,0,0,'Données projet'!$E$15+1,1))-AVERAGE(OFFSET($H$3,0,0,'Données projet'!$E$15+1,1))</f>
        <v>259.30247982593914</v>
      </c>
      <c r="EP182" s="59">
        <f t="shared" si="154"/>
        <v>275.24740346220779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0.2896873442885321</v>
      </c>
      <c r="EX182" s="21">
        <f>EXP(-LN(2)/2)*EX181+(1-EXP(-LN(2)/2))/(LN(2)/2)*ER182*EU182*VLOOKUP('Données projet'!$B$15,Paramètres!$A$1:$I$89,3,0)*0.475*44/12</f>
        <v>1.073622463799743E-21</v>
      </c>
      <c r="EY182" s="22">
        <f t="shared" si="181"/>
        <v>0.2896873442885321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-5.6843418860808015E-13</v>
      </c>
      <c r="FF182" s="17">
        <f>FE182*VLOOKUP('Données projet'!$B$16,Paramètres!$A$1:$I$89,3,0)*VLOOKUP('Données projet'!$B$16,Paramètres!$A$1:$I$89,5,0)</f>
        <v>-5.763922672485933E-13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372.91317851957336</v>
      </c>
      <c r="FK182" s="59">
        <f t="shared" si="156"/>
        <v>269.69187715858413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0.14116071587342277</v>
      </c>
      <c r="FR182" s="21">
        <f>EXP(-LN(2)/25)*FR181+(1-EXP(-LN(2)/25))/(LN(2)/25)*Calculateur!FM182*Calculateur!FO182*VLOOKUP('Données projet'!$B$16,Paramètres!$A$1:$I$89,3,0)*0.475*44/12</f>
        <v>0.24404083752243674</v>
      </c>
      <c r="FS182" s="21">
        <f>EXP(-LN(2)/2)*FS181+(1-EXP(-LN(2)/2))/(LN(2)/2)*FM182*FP182*VLOOKUP('Données projet'!$B$16,Paramètres!$A$1:$I$89,3,0)*0.475*44/12</f>
        <v>9.1203585190410569E-22</v>
      </c>
      <c r="FT182" s="22">
        <f t="shared" si="184"/>
        <v>0.38520155339585949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-1.1368683772161603E-13</v>
      </c>
      <c r="GA182" s="17">
        <f>FZ182*VLOOKUP('Données projet'!$B$17,Paramètres!$A$1:$I$89,3,0)*VLOOKUP('Données projet'!$B$17,Paramètres!$A$1:$I$89,5,0)</f>
        <v>-5.3205440053716299E-14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215.23235148064941</v>
      </c>
      <c r="GF182" s="59">
        <f t="shared" si="158"/>
        <v>184.07239726900434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0.16392752593928461</v>
      </c>
      <c r="GM182" s="21">
        <f>EXP(-LN(2)/25)*GM181+(1-EXP(-LN(2)/25))/(LN(2)/25)*Calculateur!GH182*Calculateur!GJ182*VLOOKUP('Données projet'!$B$17,Paramètres!$A$1:$I$89,3,0)*0.475*44/12</f>
        <v>0.12619236745537973</v>
      </c>
      <c r="GN182" s="21">
        <f>EXP(-LN(2)/2)*GN181+(1-EXP(-LN(2)/2))/(LN(2)/2)*GH182*GK182*VLOOKUP('Données projet'!$B$17,Paramètres!$A$1:$I$89,3,0)*0.475*44/12</f>
        <v>3.6805692062761116E-22</v>
      </c>
      <c r="GO182" s="21">
        <f t="shared" si="187"/>
        <v>0.29011989339466437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-1.1368683772161603E-13</v>
      </c>
      <c r="GV182" s="17">
        <f>GU182*VLOOKUP('Données projet'!$B$18,Paramètres!$A$1:$I$89,3,0)*VLOOKUP('Données projet'!$B$18,Paramètres!$A$1:$I$89,5,0)</f>
        <v>-6.7984728957526396E-14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227.89848316900191</v>
      </c>
      <c r="HA182" s="59">
        <f t="shared" si="160"/>
        <v>239.85955661394541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0.41534076952334459</v>
      </c>
      <c r="HH182" s="21">
        <f>EXP(-LN(2)/25)*HH181+(1-EXP(-LN(2)/25))/(LN(2)/25)*Calculateur!HC182*Calculateur!HE182*VLOOKUP('Données projet'!$B$18,Paramètres!$A$1:$I$89,3,0)*0.475*44/12</f>
        <v>0.27539920583828142</v>
      </c>
      <c r="HI182" s="21">
        <f>EXP(-LN(2)/2)*HI181+(1-EXP(-LN(2)/2))/(LN(2)/2)*HC182*HF182*VLOOKUP('Données projet'!$B$18,Paramètres!$A$1:$I$89,3,0)*0.475*44/12</f>
        <v>2.5094093477930904E-22</v>
      </c>
      <c r="HJ182" s="22">
        <f t="shared" si="190"/>
        <v>0.69073997536162601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2.5420376914553347E-13</v>
      </c>
      <c r="P183" s="13">
        <f t="shared" si="141"/>
        <v>3.4258699088369875E-12</v>
      </c>
      <c r="Q183" s="20">
        <f t="shared" si="162"/>
        <v>6.4094616558195571E-12</v>
      </c>
      <c r="R183" s="59">
        <f t="shared" si="109"/>
        <v>293.33333333333974</v>
      </c>
      <c r="S183" s="59">
        <f ca="1">AVERAGE(OFFSET($R$3,0,0,'Données projet'!$E$9+1,1))-AVERAGE(OFFSET($H$3,0,0,'Données projet'!$E$9+1,1))</f>
        <v>370.69652285220093</v>
      </c>
      <c r="T183" s="59">
        <f t="shared" si="142"/>
        <v>376.53494965377718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0.52695659204358913</v>
      </c>
      <c r="AA183" s="21">
        <f>EXP(-LN(2)/25)*AA182+(1-EXP(-LN(2)/25))/(LN(2)/25)*Calculateur!V183*Calculateur!X183*VLOOKUP('Données projet'!$B$9,Paramètres!$A$1:$I$89,3,0)*0.475*44/12</f>
        <v>0.52196341623978249</v>
      </c>
      <c r="AB183" s="21">
        <f>EXP(-LN(2)/2)*AB182+(1-EXP(-LN(2)/2))/(LN(2)/2)*V183*Y183*VLOOKUP('Données projet'!$B$9,Paramètres!$A$1:$I$89,3,0)*0.475*44/12</f>
        <v>8.6634965382584434E-22</v>
      </c>
      <c r="AC183" s="22">
        <f t="shared" si="163"/>
        <v>1.0489200082833716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-5.6843418860808015E-13</v>
      </c>
      <c r="AJ183" s="13">
        <f>AI183*VLOOKUP('Données projet'!$B$10,Paramètres!$A$1:$I$89,3,0)*VLOOKUP('Données projet'!$B$10,Paramètres!$A$1:$I$89,5,0)</f>
        <v>-5.1431925385259092E-13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321.03881567735544</v>
      </c>
      <c r="AO183" s="59">
        <f t="shared" si="144"/>
        <v>234.87694492493506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0.12348881752940673</v>
      </c>
      <c r="AV183" s="21">
        <f>EXP(-LN(2)/25)*AV182+(1-EXP(-LN(2)/25))/(LN(2)/25)*Calculateur!AQ183*Calculateur!AS183*VLOOKUP('Données projet'!$B$10,Paramètres!$A$1:$I$89,3,0)*0.475*44/12</f>
        <v>0.21180487112671531</v>
      </c>
      <c r="AW183" s="21">
        <f>EXP(-LN(2)/2)*AW182+(1-EXP(-LN(2)/2))/(LN(2)/2)*AQ183*AT183*VLOOKUP('Données projet'!$B$10,Paramètres!$A$1:$I$89,3,0)*0.475*44/12</f>
        <v>5.7545524096715876E-22</v>
      </c>
      <c r="AX183" s="21">
        <f t="shared" si="166"/>
        <v>0.33529368865612202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3.1036506698001181E-13</v>
      </c>
      <c r="BF183" s="13">
        <f t="shared" si="167"/>
        <v>4.086682523110923E-12</v>
      </c>
      <c r="BG183" s="20">
        <f t="shared" si="168"/>
        <v>7.6581912194083782E-12</v>
      </c>
      <c r="BH183" s="59">
        <f t="shared" si="116"/>
        <v>293.33333333334099</v>
      </c>
      <c r="BI183" s="59">
        <f ca="1">AVERAGE(OFFSET($BH$3,0,0,'Données projet'!$E$11+1,1))-AVERAGE(OFFSET($H$3,0,0,'Données projet'!$E$11+1,1))</f>
        <v>248.1486444660062</v>
      </c>
      <c r="BJ183" s="59">
        <f t="shared" si="146"/>
        <v>293.34458072322127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0.43671666824754102</v>
      </c>
      <c r="BQ183" s="21">
        <f>EXP(-LN(2)/25)*BQ182+(1-EXP(-LN(2)/25))/(LN(2)/25)*Calculateur!BL183*Calculateur!BN183*VLOOKUP('Données projet'!$B$11,Paramètres!$A$1:$I$89,3,0)*0.475*44/12</f>
        <v>0.53183968330670595</v>
      </c>
      <c r="BR183" s="21">
        <f>EXP(-LN(2)/2)*BR182+(1-EXP(-LN(2)/2))/(LN(2)/2)*BL183*BO183*VLOOKUP('Données projet'!$B$11,Paramètres!$A$1:$I$89,3,0)*0.475*44/12</f>
        <v>6.6657326909652569E-22</v>
      </c>
      <c r="BS183" s="22">
        <f t="shared" si="169"/>
        <v>0.96855635155424702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243.38048563215585</v>
      </c>
      <c r="CE183" s="59">
        <f t="shared" si="148"/>
        <v>372.1604147006675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0.37472468767544143</v>
      </c>
      <c r="CL183" s="21">
        <f>EXP(-LN(2)/25)*CL182+(1-EXP(-LN(2)/25))/(LN(2)/25)*Calculateur!CG183*Calculateur!CI183*VLOOKUP('Données projet'!$B$12,Paramètres!$A$1:$I$89,3,0)*0.475*44/12</f>
        <v>0.30253794584993987</v>
      </c>
      <c r="CM183" s="21">
        <f>EXP(-LN(2)/2)*CM182+(1-EXP(-LN(2)/2))/(LN(2)/2)*CG183*CJ183*VLOOKUP('Données projet'!$B$12,Paramètres!$A$1:$I$89,3,0)*0.475*44/12</f>
        <v>7.7595998000954396E-22</v>
      </c>
      <c r="CN183" s="22">
        <f t="shared" si="172"/>
        <v>0.6772626335253813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7.9580786405131221E-13</v>
      </c>
      <c r="CU183" s="17">
        <f>CT183*VLOOKUP('Données projet'!$B$13,Paramètres!$A$1:$I$89,3,0)*VLOOKUP('Données projet'!$B$13,Paramètres!$A$1:$I$89,5,0)</f>
        <v>3.8278358260868117E-13</v>
      </c>
      <c r="CV183" s="13">
        <f t="shared" si="173"/>
        <v>4.9186917125089072E-12</v>
      </c>
      <c r="CW183" s="20">
        <f t="shared" si="174"/>
        <v>9.2334028056631319E-12</v>
      </c>
      <c r="CX183" s="59">
        <f t="shared" si="122"/>
        <v>293.33333333334252</v>
      </c>
      <c r="CY183" s="59">
        <f ca="1">AVERAGE(OFFSET($CX$3,0,0,'Données projet'!$E$13+1,1))-AVERAGE(OFFSET($H$3,0,0,'Données projet'!$E$13+1,1))</f>
        <v>297.21955661193238</v>
      </c>
      <c r="CZ183" s="59">
        <f t="shared" si="150"/>
        <v>273.69206144662144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0.34546877352137867</v>
      </c>
      <c r="DG183" s="21">
        <f>EXP(-LN(2)/25)*DG182+(1-EXP(-LN(2)/25))/(LN(2)/25)*Calculateur!DB183*Calculateur!DD183*VLOOKUP('Données projet'!$B$13,Paramètres!$A$1:$I$89,3,0)*0.475*44/12</f>
        <v>0.20973649910738482</v>
      </c>
      <c r="DH183" s="21">
        <f>EXP(-LN(2)/2)*DH182+(1-EXP(-LN(2)/2))/(LN(2)/2)*DB183*DE183*VLOOKUP('Données projet'!$B$13,Paramètres!$A$1:$I$89,3,0)*0.475*44/12</f>
        <v>5.5355676820334216E-22</v>
      </c>
      <c r="DI183" s="22">
        <f t="shared" si="175"/>
        <v>0.55520527262876351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-4.0702161641092972E-13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260.20517190557814</v>
      </c>
      <c r="DU183" s="59">
        <f t="shared" si="152"/>
        <v>307.22009971147133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0.16729664884822912</v>
      </c>
      <c r="EB183" s="21">
        <f>EXP(-LN(2)/25)*EB182+(1-EXP(-LN(2)/25))/(LN(2)/25)*Calculateur!DW183*Calculateur!DY183*VLOOKUP('Données projet'!$B$14,Paramètres!$A$1:$I$89,3,0)*0.475*44/12</f>
        <v>0.32061879257495313</v>
      </c>
      <c r="EC183" s="21">
        <f>EXP(-LN(2)/2)*EC182+(1-EXP(-LN(2)/2))/(LN(2)/2)*DW183*DZ183*VLOOKUP('Données projet'!$B$14,Paramètres!$A$1:$I$89,3,0)*0.475*44/12</f>
        <v>6.3630793850812755E-22</v>
      </c>
      <c r="ED183" s="22">
        <f t="shared" si="178"/>
        <v>0.48791544142318222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1.1368683772161603E-13</v>
      </c>
      <c r="EK183" s="17">
        <f>EJ183*VLOOKUP('Données projet'!$B$15,Paramètres!$A$1:$I$89,3,0)*VLOOKUP('Données projet'!$B$15,Paramètres!$A$1:$I$89,5,0)</f>
        <v>6.7984728957526396E-14</v>
      </c>
      <c r="EL183" s="13">
        <f t="shared" si="179"/>
        <v>1.0682447123141398E-12</v>
      </c>
      <c r="EM183" s="20">
        <f t="shared" si="180"/>
        <v>1.978932943548152E-12</v>
      </c>
      <c r="EN183" s="59">
        <f t="shared" si="128"/>
        <v>293.3333333333353</v>
      </c>
      <c r="EO183" s="59">
        <f ca="1">AVERAGE(OFFSET($EN$3,0,0,'Données projet'!$E$15+1,1))-AVERAGE(OFFSET($H$3,0,0,'Données projet'!$E$15+1,1))</f>
        <v>259.30247982593914</v>
      </c>
      <c r="EP183" s="59">
        <f t="shared" si="154"/>
        <v>275.24740346220779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0.28176582862496685</v>
      </c>
      <c r="EX183" s="21">
        <f>EXP(-LN(2)/2)*EX182+(1-EXP(-LN(2)/2))/(LN(2)/2)*ER183*EU183*VLOOKUP('Données projet'!$B$15,Paramètres!$A$1:$I$89,3,0)*0.475*44/12</f>
        <v>7.5916572458700691E-22</v>
      </c>
      <c r="EY183" s="22">
        <f t="shared" si="181"/>
        <v>0.28176582862496685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-5.6843418860808015E-13</v>
      </c>
      <c r="FF183" s="17">
        <f>FE183*VLOOKUP('Données projet'!$B$16,Paramètres!$A$1:$I$89,3,0)*VLOOKUP('Données projet'!$B$16,Paramètres!$A$1:$I$89,5,0)</f>
        <v>-5.763922672485933E-13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372.91317851957336</v>
      </c>
      <c r="FK183" s="59">
        <f t="shared" si="156"/>
        <v>269.69187715858413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0.13839264033468002</v>
      </c>
      <c r="FR183" s="21">
        <f>EXP(-LN(2)/25)*FR182+(1-EXP(-LN(2)/25))/(LN(2)/25)*Calculateur!FM183*Calculateur!FO183*VLOOKUP('Données projet'!$B$16,Paramètres!$A$1:$I$89,3,0)*0.475*44/12</f>
        <v>0.23736752798683583</v>
      </c>
      <c r="FS183" s="21">
        <f>EXP(-LN(2)/2)*FS182+(1-EXP(-LN(2)/2))/(LN(2)/2)*FM183*FP183*VLOOKUP('Données projet'!$B$16,Paramètres!$A$1:$I$89,3,0)*0.475*44/12</f>
        <v>6.4490673556664293E-22</v>
      </c>
      <c r="FT183" s="22">
        <f t="shared" si="184"/>
        <v>0.37576016832151582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-1.1368683772161603E-13</v>
      </c>
      <c r="GA183" s="17">
        <f>FZ183*VLOOKUP('Données projet'!$B$17,Paramètres!$A$1:$I$89,3,0)*VLOOKUP('Données projet'!$B$17,Paramètres!$A$1:$I$89,5,0)</f>
        <v>-5.3205440053716299E-14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215.23235148064941</v>
      </c>
      <c r="GF183" s="59">
        <f t="shared" si="158"/>
        <v>184.07239726900434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0.16071300714153328</v>
      </c>
      <c r="GM183" s="21">
        <f>EXP(-LN(2)/25)*GM182+(1-EXP(-LN(2)/25))/(LN(2)/25)*Calculateur!GH183*Calculateur!GJ183*VLOOKUP('Données projet'!$B$17,Paramètres!$A$1:$I$89,3,0)*0.475*44/12</f>
        <v>0.12274163053114419</v>
      </c>
      <c r="GN183" s="21">
        <f>EXP(-LN(2)/2)*GN182+(1-EXP(-LN(2)/2))/(LN(2)/2)*GH183*GK183*VLOOKUP('Données projet'!$B$17,Paramètres!$A$1:$I$89,3,0)*0.475*44/12</f>
        <v>2.6025554443842273E-22</v>
      </c>
      <c r="GO183" s="21">
        <f t="shared" si="187"/>
        <v>0.28345463767267748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-1.1368683772161603E-13</v>
      </c>
      <c r="GV183" s="17">
        <f>GU183*VLOOKUP('Données projet'!$B$18,Paramètres!$A$1:$I$89,3,0)*VLOOKUP('Données projet'!$B$18,Paramètres!$A$1:$I$89,5,0)</f>
        <v>-6.7984728957526396E-14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227.89848316900191</v>
      </c>
      <c r="HA183" s="59">
        <f t="shared" si="160"/>
        <v>239.85955661394541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0.40719619036584664</v>
      </c>
      <c r="HH183" s="21">
        <f>EXP(-LN(2)/25)*HH182+(1-EXP(-LN(2)/25))/(LN(2)/25)*Calculateur!HC183*Calculateur!HE183*VLOOKUP('Données projet'!$B$18,Paramètres!$A$1:$I$89,3,0)*0.475*44/12</f>
        <v>0.26786840007201884</v>
      </c>
      <c r="HI183" s="21">
        <f>EXP(-LN(2)/2)*HI182+(1-EXP(-LN(2)/2))/(LN(2)/2)*HC183*HF183*VLOOKUP('Données projet'!$B$18,Paramètres!$A$1:$I$89,3,0)*0.475*44/12</f>
        <v>1.7744203665974057E-22</v>
      </c>
      <c r="HJ183" s="22">
        <f t="shared" si="190"/>
        <v>0.67506459043786549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2.5420376914553347E-13</v>
      </c>
      <c r="P184" s="13">
        <f t="shared" si="141"/>
        <v>3.4258699088369875E-12</v>
      </c>
      <c r="Q184" s="20">
        <f t="shared" si="162"/>
        <v>6.4094616558195571E-12</v>
      </c>
      <c r="R184" s="59">
        <f t="shared" si="109"/>
        <v>293.33333333333974</v>
      </c>
      <c r="S184" s="59">
        <f ca="1">AVERAGE(OFFSET($R$3,0,0,'Données projet'!$E$9+1,1))-AVERAGE(OFFSET($H$3,0,0,'Données projet'!$E$9+1,1))</f>
        <v>370.69652285220093</v>
      </c>
      <c r="T184" s="59">
        <f t="shared" si="142"/>
        <v>376.53494965377718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0.51662329468539869</v>
      </c>
      <c r="AA184" s="21">
        <f>EXP(-LN(2)/25)*AA183+(1-EXP(-LN(2)/25))/(LN(2)/25)*Calculateur!V184*Calculateur!X184*VLOOKUP('Données projet'!$B$9,Paramètres!$A$1:$I$89,3,0)*0.475*44/12</f>
        <v>0.50769029917384256</v>
      </c>
      <c r="AB184" s="21">
        <f>EXP(-LN(2)/2)*AB183+(1-EXP(-LN(2)/2))/(LN(2)/2)*V184*Y184*VLOOKUP('Données projet'!$B$9,Paramètres!$A$1:$I$89,3,0)*0.475*44/12</f>
        <v>6.1260171509887253E-22</v>
      </c>
      <c r="AC184" s="22">
        <f t="shared" si="163"/>
        <v>1.0243135938592411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-5.6843418860808015E-13</v>
      </c>
      <c r="AJ184" s="13">
        <f>AI184*VLOOKUP('Données projet'!$B$10,Paramètres!$A$1:$I$89,3,0)*VLOOKUP('Données projet'!$B$10,Paramètres!$A$1:$I$89,5,0)</f>
        <v>-5.1431925385259092E-13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321.03881567735544</v>
      </c>
      <c r="AO184" s="59">
        <f t="shared" si="144"/>
        <v>234.87694492493506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0.12106727713839645</v>
      </c>
      <c r="AV184" s="21">
        <f>EXP(-LN(2)/25)*AV183+(1-EXP(-LN(2)/25))/(LN(2)/25)*Calculateur!AQ184*Calculateur!AS184*VLOOKUP('Données projet'!$B$10,Paramètres!$A$1:$I$89,3,0)*0.475*44/12</f>
        <v>0.20601305578742118</v>
      </c>
      <c r="AW184" s="21">
        <f>EXP(-LN(2)/2)*AW183+(1-EXP(-LN(2)/2))/(LN(2)/2)*AQ184*AT184*VLOOKUP('Données projet'!$B$10,Paramètres!$A$1:$I$89,3,0)*0.475*44/12</f>
        <v>4.0690830315721671E-22</v>
      </c>
      <c r="AX184" s="21">
        <f t="shared" si="166"/>
        <v>0.32708033292581762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3.1036506698001181E-13</v>
      </c>
      <c r="BF184" s="13">
        <f t="shared" si="167"/>
        <v>4.086682523110923E-12</v>
      </c>
      <c r="BG184" s="20">
        <f t="shared" si="168"/>
        <v>7.6581912194083782E-12</v>
      </c>
      <c r="BH184" s="59">
        <f t="shared" si="116"/>
        <v>293.33333333334099</v>
      </c>
      <c r="BI184" s="59">
        <f ca="1">AVERAGE(OFFSET($BH$3,0,0,'Données projet'!$E$11+1,1))-AVERAGE(OFFSET($H$3,0,0,'Données projet'!$E$11+1,1))</f>
        <v>248.1486444660062</v>
      </c>
      <c r="BJ184" s="59">
        <f t="shared" si="146"/>
        <v>293.34458072322127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0.42815292075407241</v>
      </c>
      <c r="BQ184" s="21">
        <f>EXP(-LN(2)/25)*BQ183+(1-EXP(-LN(2)/25))/(LN(2)/25)*Calculateur!BL184*Calculateur!BN184*VLOOKUP('Données projet'!$B$11,Paramètres!$A$1:$I$89,3,0)*0.475*44/12</f>
        <v>0.51729649919845067</v>
      </c>
      <c r="BR184" s="21">
        <f>EXP(-LN(2)/2)*BR183+(1-EXP(-LN(2)/2))/(LN(2)/2)*BL184*BO184*VLOOKUP('Données projet'!$B$11,Paramètres!$A$1:$I$89,3,0)*0.475*44/12</f>
        <v>4.7133847873583865E-22</v>
      </c>
      <c r="BS184" s="22">
        <f t="shared" si="169"/>
        <v>0.94544941995252307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243.38048563215585</v>
      </c>
      <c r="CE184" s="59">
        <f t="shared" si="148"/>
        <v>372.1604147006675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0.36737656510961714</v>
      </c>
      <c r="CL184" s="21">
        <f>EXP(-LN(2)/25)*CL183+(1-EXP(-LN(2)/25))/(LN(2)/25)*Calculateur!CG184*Calculateur!CI184*VLOOKUP('Données projet'!$B$12,Paramètres!$A$1:$I$89,3,0)*0.475*44/12</f>
        <v>0.29426502981089414</v>
      </c>
      <c r="CM184" s="21">
        <f>EXP(-LN(2)/2)*CM183+(1-EXP(-LN(2)/2))/(LN(2)/2)*CG184*CJ184*VLOOKUP('Données projet'!$B$12,Paramètres!$A$1:$I$89,3,0)*0.475*44/12</f>
        <v>5.4868656379412638E-22</v>
      </c>
      <c r="CN184" s="22">
        <f t="shared" si="172"/>
        <v>0.66164159492051122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7.9580786405131221E-13</v>
      </c>
      <c r="CU184" s="17">
        <f>CT184*VLOOKUP('Données projet'!$B$13,Paramètres!$A$1:$I$89,3,0)*VLOOKUP('Données projet'!$B$13,Paramètres!$A$1:$I$89,5,0)</f>
        <v>3.8278358260868117E-13</v>
      </c>
      <c r="CV184" s="13">
        <f t="shared" si="173"/>
        <v>4.9186917125089072E-12</v>
      </c>
      <c r="CW184" s="20">
        <f t="shared" si="174"/>
        <v>9.2334028056631319E-12</v>
      </c>
      <c r="CX184" s="59">
        <f t="shared" si="122"/>
        <v>293.33333333334252</v>
      </c>
      <c r="CY184" s="59">
        <f ca="1">AVERAGE(OFFSET($CX$3,0,0,'Données projet'!$E$13+1,1))-AVERAGE(OFFSET($H$3,0,0,'Données projet'!$E$13+1,1))</f>
        <v>297.21955661193238</v>
      </c>
      <c r="CZ184" s="59">
        <f t="shared" si="150"/>
        <v>273.69206144662144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0.3386943415877699</v>
      </c>
      <c r="DG184" s="21">
        <f>EXP(-LN(2)/25)*DG183+(1-EXP(-LN(2)/25))/(LN(2)/25)*Calculateur!DB184*Calculateur!DD184*VLOOKUP('Données projet'!$B$13,Paramètres!$A$1:$I$89,3,0)*0.475*44/12</f>
        <v>0.20400124350973026</v>
      </c>
      <c r="DH184" s="21">
        <f>EXP(-LN(2)/2)*DH183+(1-EXP(-LN(2)/2))/(LN(2)/2)*DB184*DE184*VLOOKUP('Données projet'!$B$13,Paramètres!$A$1:$I$89,3,0)*0.475*44/12</f>
        <v>3.9142374456829308E-22</v>
      </c>
      <c r="DI184" s="22">
        <f t="shared" si="175"/>
        <v>0.54269558509750015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-4.0702161641092972E-13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260.20517190557814</v>
      </c>
      <c r="DU184" s="59">
        <f t="shared" si="152"/>
        <v>307.22009971147133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0.16401606360519544</v>
      </c>
      <c r="EB184" s="21">
        <f>EXP(-LN(2)/25)*EB183+(1-EXP(-LN(2)/25))/(LN(2)/25)*Calculateur!DW184*Calculateur!DY184*VLOOKUP('Données projet'!$B$14,Paramètres!$A$1:$I$89,3,0)*0.475*44/12</f>
        <v>0.31185145483138149</v>
      </c>
      <c r="EC184" s="21">
        <f>EXP(-LN(2)/2)*EC183+(1-EXP(-LN(2)/2))/(LN(2)/2)*DW184*DZ184*VLOOKUP('Données projet'!$B$14,Paramètres!$A$1:$I$89,3,0)*0.475*44/12</f>
        <v>4.4993765824192968E-22</v>
      </c>
      <c r="ED184" s="22">
        <f t="shared" si="178"/>
        <v>0.47586751843657693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1.1368683772161603E-13</v>
      </c>
      <c r="EK184" s="17">
        <f>EJ184*VLOOKUP('Données projet'!$B$15,Paramètres!$A$1:$I$89,3,0)*VLOOKUP('Données projet'!$B$15,Paramètres!$A$1:$I$89,5,0)</f>
        <v>6.7984728957526396E-14</v>
      </c>
      <c r="EL184" s="13">
        <f t="shared" si="179"/>
        <v>1.0682447123141398E-12</v>
      </c>
      <c r="EM184" s="20">
        <f t="shared" si="180"/>
        <v>1.978932943548152E-12</v>
      </c>
      <c r="EN184" s="59">
        <f t="shared" si="128"/>
        <v>293.3333333333353</v>
      </c>
      <c r="EO184" s="59">
        <f ca="1">AVERAGE(OFFSET($EN$3,0,0,'Données projet'!$E$15+1,1))-AVERAGE(OFFSET($H$3,0,0,'Données projet'!$E$15+1,1))</f>
        <v>259.30247982593914</v>
      </c>
      <c r="EP184" s="59">
        <f t="shared" si="154"/>
        <v>275.24740346220779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0.27406092722379621</v>
      </c>
      <c r="EX184" s="21">
        <f>EXP(-LN(2)/2)*EX183+(1-EXP(-LN(2)/2))/(LN(2)/2)*ER184*EU184*VLOOKUP('Données projet'!$B$15,Paramètres!$A$1:$I$89,3,0)*0.475*44/12</f>
        <v>5.3681123189987149E-22</v>
      </c>
      <c r="EY184" s="22">
        <f t="shared" si="181"/>
        <v>0.27406092722379621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-5.6843418860808015E-13</v>
      </c>
      <c r="FF184" s="17">
        <f>FE184*VLOOKUP('Données projet'!$B$16,Paramètres!$A$1:$I$89,3,0)*VLOOKUP('Données projet'!$B$16,Paramètres!$A$1:$I$89,5,0)</f>
        <v>-5.763922672485933E-13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372.91317851957336</v>
      </c>
      <c r="FK184" s="59">
        <f t="shared" si="156"/>
        <v>269.69187715858413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0.13567884506889263</v>
      </c>
      <c r="FR184" s="21">
        <f>EXP(-LN(2)/25)*FR183+(1-EXP(-LN(2)/25))/(LN(2)/25)*Calculateur!FM184*Calculateur!FO184*VLOOKUP('Données projet'!$B$16,Paramètres!$A$1:$I$89,3,0)*0.475*44/12</f>
        <v>0.23087670045142003</v>
      </c>
      <c r="FS184" s="21">
        <f>EXP(-LN(2)/2)*FS183+(1-EXP(-LN(2)/2))/(LN(2)/2)*FM184*FP184*VLOOKUP('Données projet'!$B$16,Paramètres!$A$1:$I$89,3,0)*0.475*44/12</f>
        <v>4.5601792595205284E-22</v>
      </c>
      <c r="FT184" s="22">
        <f t="shared" si="184"/>
        <v>0.36655554552031266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-1.1368683772161603E-13</v>
      </c>
      <c r="GA184" s="17">
        <f>FZ184*VLOOKUP('Données projet'!$B$17,Paramètres!$A$1:$I$89,3,0)*VLOOKUP('Données projet'!$B$17,Paramètres!$A$1:$I$89,5,0)</f>
        <v>-5.3205440053716299E-14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215.23235148064941</v>
      </c>
      <c r="GF184" s="59">
        <f t="shared" si="158"/>
        <v>184.07239726900434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0.15756152309674298</v>
      </c>
      <c r="GM184" s="21">
        <f>EXP(-LN(2)/25)*GM183+(1-EXP(-LN(2)/25))/(LN(2)/25)*Calculateur!GH184*Calculateur!GJ184*VLOOKUP('Données projet'!$B$17,Paramètres!$A$1:$I$89,3,0)*0.475*44/12</f>
        <v>0.11938525418956823</v>
      </c>
      <c r="GN184" s="21">
        <f>EXP(-LN(2)/2)*GN183+(1-EXP(-LN(2)/2))/(LN(2)/2)*GH184*GK184*VLOOKUP('Données projet'!$B$17,Paramètres!$A$1:$I$89,3,0)*0.475*44/12</f>
        <v>1.8402846031380558E-22</v>
      </c>
      <c r="GO184" s="21">
        <f t="shared" si="187"/>
        <v>0.27694677728631123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-1.1368683772161603E-13</v>
      </c>
      <c r="GV184" s="17">
        <f>GU184*VLOOKUP('Données projet'!$B$18,Paramètres!$A$1:$I$89,3,0)*VLOOKUP('Données projet'!$B$18,Paramètres!$A$1:$I$89,5,0)</f>
        <v>-6.7984728957526396E-14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227.89848316900191</v>
      </c>
      <c r="HA184" s="59">
        <f t="shared" si="160"/>
        <v>239.85955661394541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0.39921132143792448</v>
      </c>
      <c r="HH184" s="21">
        <f>EXP(-LN(2)/25)*HH183+(1-EXP(-LN(2)/25))/(LN(2)/25)*Calculateur!HC184*Calculateur!HE184*VLOOKUP('Données projet'!$B$18,Paramètres!$A$1:$I$89,3,0)*0.475*44/12</f>
        <v>0.26054352458546254</v>
      </c>
      <c r="HI184" s="21">
        <f>EXP(-LN(2)/2)*HI183+(1-EXP(-LN(2)/2))/(LN(2)/2)*HC184*HF184*VLOOKUP('Données projet'!$B$18,Paramètres!$A$1:$I$89,3,0)*0.475*44/12</f>
        <v>1.2547046738965452E-22</v>
      </c>
      <c r="HJ184" s="22">
        <f t="shared" si="190"/>
        <v>0.65975484602338708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2.5420376914553347E-13</v>
      </c>
      <c r="P185" s="13">
        <f t="shared" si="141"/>
        <v>3.4258699088369875E-12</v>
      </c>
      <c r="Q185" s="20">
        <f t="shared" si="162"/>
        <v>6.4094616558195571E-12</v>
      </c>
      <c r="R185" s="59">
        <f t="shared" si="109"/>
        <v>293.33333333333974</v>
      </c>
      <c r="S185" s="59">
        <f ca="1">AVERAGE(OFFSET($R$3,0,0,'Données projet'!$E$9+1,1))-AVERAGE(OFFSET($H$3,0,0,'Données projet'!$E$9+1,1))</f>
        <v>370.69652285220093</v>
      </c>
      <c r="T185" s="59">
        <f t="shared" si="142"/>
        <v>376.53494965377718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0.50649262698571329</v>
      </c>
      <c r="AA185" s="21">
        <f>EXP(-LN(2)/25)*AA184+(1-EXP(-LN(2)/25))/(LN(2)/25)*Calculateur!V185*Calculateur!X185*VLOOKUP('Données projet'!$B$9,Paramètres!$A$1:$I$89,3,0)*0.475*44/12</f>
        <v>0.49380748124466134</v>
      </c>
      <c r="AB185" s="21">
        <f>EXP(-LN(2)/2)*AB184+(1-EXP(-LN(2)/2))/(LN(2)/2)*V185*Y185*VLOOKUP('Données projet'!$B$9,Paramètres!$A$1:$I$89,3,0)*0.475*44/12</f>
        <v>4.3317482691292217E-22</v>
      </c>
      <c r="AC185" s="22">
        <f t="shared" si="163"/>
        <v>1.0003001082303746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-5.6843418860808015E-13</v>
      </c>
      <c r="AJ185" s="13">
        <f>AI185*VLOOKUP('Données projet'!$B$10,Paramètres!$A$1:$I$89,3,0)*VLOOKUP('Données projet'!$B$10,Paramètres!$A$1:$I$89,5,0)</f>
        <v>-5.1431925385259092E-13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321.03881567735544</v>
      </c>
      <c r="AO185" s="59">
        <f t="shared" si="144"/>
        <v>234.87694492493506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0.11869322167746009</v>
      </c>
      <c r="AV185" s="21">
        <f>EXP(-LN(2)/25)*AV184+(1-EXP(-LN(2)/25))/(LN(2)/25)*Calculateur!AQ185*Calculateur!AS185*VLOOKUP('Données projet'!$B$10,Paramètres!$A$1:$I$89,3,0)*0.475*44/12</f>
        <v>0.20037961794315839</v>
      </c>
      <c r="AW185" s="21">
        <f>EXP(-LN(2)/2)*AW184+(1-EXP(-LN(2)/2))/(LN(2)/2)*AQ185*AT185*VLOOKUP('Données projet'!$B$10,Paramètres!$A$1:$I$89,3,0)*0.475*44/12</f>
        <v>2.8772762048357938E-22</v>
      </c>
      <c r="AX185" s="21">
        <f t="shared" si="166"/>
        <v>0.3190728396206185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3.1036506698001181E-13</v>
      </c>
      <c r="BF185" s="13">
        <f t="shared" si="167"/>
        <v>4.086682523110923E-12</v>
      </c>
      <c r="BG185" s="20">
        <f t="shared" si="168"/>
        <v>7.6581912194083782E-12</v>
      </c>
      <c r="BH185" s="59">
        <f t="shared" si="116"/>
        <v>293.33333333334099</v>
      </c>
      <c r="BI185" s="59">
        <f ca="1">AVERAGE(OFFSET($BH$3,0,0,'Données projet'!$E$11+1,1))-AVERAGE(OFFSET($H$3,0,0,'Données projet'!$E$11+1,1))</f>
        <v>248.1486444660062</v>
      </c>
      <c r="BJ185" s="59">
        <f t="shared" si="146"/>
        <v>293.34458072322127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0.41975710312558051</v>
      </c>
      <c r="BQ185" s="21">
        <f>EXP(-LN(2)/25)*BQ184+(1-EXP(-LN(2)/25))/(LN(2)/25)*Calculateur!BL185*Calculateur!BN185*VLOOKUP('Données projet'!$B$11,Paramètres!$A$1:$I$89,3,0)*0.475*44/12</f>
        <v>0.50315099922442841</v>
      </c>
      <c r="BR185" s="21">
        <f>EXP(-LN(2)/2)*BR184+(1-EXP(-LN(2)/2))/(LN(2)/2)*BL185*BO185*VLOOKUP('Données projet'!$B$11,Paramètres!$A$1:$I$89,3,0)*0.475*44/12</f>
        <v>3.3328663454826285E-22</v>
      </c>
      <c r="BS185" s="22">
        <f t="shared" si="169"/>
        <v>0.92290810235000897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243.38048563215585</v>
      </c>
      <c r="CE185" s="59">
        <f t="shared" si="148"/>
        <v>372.1604147006675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0.36017253474539646</v>
      </c>
      <c r="CL185" s="21">
        <f>EXP(-LN(2)/25)*CL184+(1-EXP(-LN(2)/25))/(LN(2)/25)*Calculateur!CG185*Calculateur!CI185*VLOOKUP('Données projet'!$B$12,Paramètres!$A$1:$I$89,3,0)*0.475*44/12</f>
        <v>0.28621833709598987</v>
      </c>
      <c r="CM185" s="21">
        <f>EXP(-LN(2)/2)*CM184+(1-EXP(-LN(2)/2))/(LN(2)/2)*CG185*CJ185*VLOOKUP('Données projet'!$B$12,Paramètres!$A$1:$I$89,3,0)*0.475*44/12</f>
        <v>3.8797999000477198E-22</v>
      </c>
      <c r="CN185" s="22">
        <f t="shared" si="172"/>
        <v>0.64639087184138633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7.9580786405131221E-13</v>
      </c>
      <c r="CU185" s="17">
        <f>CT185*VLOOKUP('Données projet'!$B$13,Paramètres!$A$1:$I$89,3,0)*VLOOKUP('Données projet'!$B$13,Paramètres!$A$1:$I$89,5,0)</f>
        <v>3.8278358260868117E-13</v>
      </c>
      <c r="CV185" s="13">
        <f t="shared" si="173"/>
        <v>4.9186917125089072E-12</v>
      </c>
      <c r="CW185" s="20">
        <f t="shared" si="174"/>
        <v>9.2334028056631319E-12</v>
      </c>
      <c r="CX185" s="59">
        <f t="shared" si="122"/>
        <v>293.33333333334252</v>
      </c>
      <c r="CY185" s="59">
        <f ca="1">AVERAGE(OFFSET($CX$3,0,0,'Données projet'!$E$13+1,1))-AVERAGE(OFFSET($H$3,0,0,'Données projet'!$E$13+1,1))</f>
        <v>297.21955661193238</v>
      </c>
      <c r="CZ185" s="59">
        <f t="shared" si="150"/>
        <v>273.69206144662144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0.33205275213238372</v>
      </c>
      <c r="DG185" s="21">
        <f>EXP(-LN(2)/25)*DG184+(1-EXP(-LN(2)/25))/(LN(2)/25)*Calculateur!DB185*Calculateur!DD185*VLOOKUP('Données projet'!$B$13,Paramètres!$A$1:$I$89,3,0)*0.475*44/12</f>
        <v>0.19842281877799753</v>
      </c>
      <c r="DH185" s="21">
        <f>EXP(-LN(2)/2)*DH184+(1-EXP(-LN(2)/2))/(LN(2)/2)*DB185*DE185*VLOOKUP('Données projet'!$B$13,Paramètres!$A$1:$I$89,3,0)*0.475*44/12</f>
        <v>2.7677838410167108E-22</v>
      </c>
      <c r="DI185" s="22">
        <f t="shared" si="175"/>
        <v>0.53047557091038122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-4.0702161641092972E-13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260.20517190557814</v>
      </c>
      <c r="DU185" s="59">
        <f t="shared" si="152"/>
        <v>307.22009971147133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0.16079980863781823</v>
      </c>
      <c r="EB185" s="21">
        <f>EXP(-LN(2)/25)*EB184+(1-EXP(-LN(2)/25))/(LN(2)/25)*Calculateur!DW185*Calculateur!DY185*VLOOKUP('Données projet'!$B$14,Paramètres!$A$1:$I$89,3,0)*0.475*44/12</f>
        <v>0.30332386039946208</v>
      </c>
      <c r="EC185" s="21">
        <f>EXP(-LN(2)/2)*EC184+(1-EXP(-LN(2)/2))/(LN(2)/2)*DW185*DZ185*VLOOKUP('Données projet'!$B$14,Paramètres!$A$1:$I$89,3,0)*0.475*44/12</f>
        <v>3.1815396925406377E-22</v>
      </c>
      <c r="ED185" s="22">
        <f t="shared" si="178"/>
        <v>0.46412366903728031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1.1368683772161603E-13</v>
      </c>
      <c r="EK185" s="17">
        <f>EJ185*VLOOKUP('Données projet'!$B$15,Paramètres!$A$1:$I$89,3,0)*VLOOKUP('Données projet'!$B$15,Paramètres!$A$1:$I$89,5,0)</f>
        <v>6.7984728957526396E-14</v>
      </c>
      <c r="EL185" s="13">
        <f t="shared" si="179"/>
        <v>1.0682447123141398E-12</v>
      </c>
      <c r="EM185" s="20">
        <f t="shared" si="180"/>
        <v>1.978932943548152E-12</v>
      </c>
      <c r="EN185" s="59">
        <f t="shared" si="128"/>
        <v>293.3333333333353</v>
      </c>
      <c r="EO185" s="59">
        <f ca="1">AVERAGE(OFFSET($EN$3,0,0,'Données projet'!$E$15+1,1))-AVERAGE(OFFSET($H$3,0,0,'Données projet'!$E$15+1,1))</f>
        <v>259.30247982593914</v>
      </c>
      <c r="EP185" s="59">
        <f t="shared" si="154"/>
        <v>275.24740346220779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0.26656671675662374</v>
      </c>
      <c r="EX185" s="21">
        <f>EXP(-LN(2)/2)*EX184+(1-EXP(-LN(2)/2))/(LN(2)/2)*ER185*EU185*VLOOKUP('Données projet'!$B$15,Paramètres!$A$1:$I$89,3,0)*0.475*44/12</f>
        <v>3.7958286229350345E-22</v>
      </c>
      <c r="EY185" s="22">
        <f t="shared" si="181"/>
        <v>0.26656671675662374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-5.6843418860808015E-13</v>
      </c>
      <c r="FF185" s="17">
        <f>FE185*VLOOKUP('Données projet'!$B$16,Paramètres!$A$1:$I$89,3,0)*VLOOKUP('Données projet'!$B$16,Paramètres!$A$1:$I$89,5,0)</f>
        <v>-5.763922672485933E-13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372.91317851957336</v>
      </c>
      <c r="FK185" s="59">
        <f t="shared" si="156"/>
        <v>269.69187715858413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0.13301826567301567</v>
      </c>
      <c r="FR185" s="21">
        <f>EXP(-LN(2)/25)*FR184+(1-EXP(-LN(2)/25))/(LN(2)/25)*Calculateur!FM185*Calculateur!FO185*VLOOKUP('Données projet'!$B$16,Paramètres!$A$1:$I$89,3,0)*0.475*44/12</f>
        <v>0.22456336493629794</v>
      </c>
      <c r="FS185" s="21">
        <f>EXP(-LN(2)/2)*FS184+(1-EXP(-LN(2)/2))/(LN(2)/2)*FM185*FP185*VLOOKUP('Données projet'!$B$16,Paramètres!$A$1:$I$89,3,0)*0.475*44/12</f>
        <v>3.2245336778332146E-22</v>
      </c>
      <c r="FT185" s="22">
        <f t="shared" si="184"/>
        <v>0.35758163060931358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-1.1368683772161603E-13</v>
      </c>
      <c r="GA185" s="17">
        <f>FZ185*VLOOKUP('Données projet'!$B$17,Paramètres!$A$1:$I$89,3,0)*VLOOKUP('Données projet'!$B$17,Paramètres!$A$1:$I$89,5,0)</f>
        <v>-5.3205440053716299E-14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215.23235148064941</v>
      </c>
      <c r="GF185" s="59">
        <f t="shared" si="158"/>
        <v>184.07239726900434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0.15447183773185555</v>
      </c>
      <c r="GM185" s="21">
        <f>EXP(-LN(2)/25)*GM184+(1-EXP(-LN(2)/25))/(LN(2)/25)*Calculateur!GH185*Calculateur!GJ185*VLOOKUP('Données projet'!$B$17,Paramètres!$A$1:$I$89,3,0)*0.475*44/12</f>
        <v>0.11612065813555683</v>
      </c>
      <c r="GN185" s="21">
        <f>EXP(-LN(2)/2)*GN184+(1-EXP(-LN(2)/2))/(LN(2)/2)*GH185*GK185*VLOOKUP('Données projet'!$B$17,Paramètres!$A$1:$I$89,3,0)*0.475*44/12</f>
        <v>1.3012777221921136E-22</v>
      </c>
      <c r="GO185" s="21">
        <f t="shared" si="187"/>
        <v>0.27059249586741241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-1.1368683772161603E-13</v>
      </c>
      <c r="GV185" s="17">
        <f>GU185*VLOOKUP('Données projet'!$B$18,Paramètres!$A$1:$I$89,3,0)*VLOOKUP('Données projet'!$B$18,Paramètres!$A$1:$I$89,5,0)</f>
        <v>-6.7984728957526396E-14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227.89848316900191</v>
      </c>
      <c r="HA185" s="59">
        <f t="shared" si="160"/>
        <v>239.85955661394541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0.39138303091938975</v>
      </c>
      <c r="HH185" s="21">
        <f>EXP(-LN(2)/25)*HH184+(1-EXP(-LN(2)/25))/(LN(2)/25)*Calculateur!HC185*Calculateur!HE185*VLOOKUP('Données projet'!$B$18,Paramètres!$A$1:$I$89,3,0)*0.475*44/12</f>
        <v>0.25341894820428457</v>
      </c>
      <c r="HI185" s="21">
        <f>EXP(-LN(2)/2)*HI184+(1-EXP(-LN(2)/2))/(LN(2)/2)*HC185*HF185*VLOOKUP('Données projet'!$B$18,Paramètres!$A$1:$I$89,3,0)*0.475*44/12</f>
        <v>8.8721018329870287E-23</v>
      </c>
      <c r="HJ185" s="22">
        <f t="shared" si="190"/>
        <v>0.64480197912367432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2.5420376914553347E-13</v>
      </c>
      <c r="P186" s="13">
        <f t="shared" si="141"/>
        <v>3.4258699088369875E-12</v>
      </c>
      <c r="Q186" s="20">
        <f t="shared" si="162"/>
        <v>6.4094616558195571E-12</v>
      </c>
      <c r="R186" s="59">
        <f t="shared" si="109"/>
        <v>293.33333333333974</v>
      </c>
      <c r="S186" s="59">
        <f ca="1">AVERAGE(OFFSET($R$3,0,0,'Données projet'!$E$9+1,1))-AVERAGE(OFFSET($H$3,0,0,'Données projet'!$E$9+1,1))</f>
        <v>370.69652285220093</v>
      </c>
      <c r="T186" s="59">
        <f t="shared" si="142"/>
        <v>376.53494965377718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0.49656061550052161</v>
      </c>
      <c r="AA186" s="21">
        <f>EXP(-LN(2)/25)*AA185+(1-EXP(-LN(2)/25))/(LN(2)/25)*Calculateur!V186*Calculateur!X186*VLOOKUP('Données projet'!$B$9,Paramètres!$A$1:$I$89,3,0)*0.475*44/12</f>
        <v>0.48030428970181926</v>
      </c>
      <c r="AB186" s="21">
        <f>EXP(-LN(2)/2)*AB185+(1-EXP(-LN(2)/2))/(LN(2)/2)*V186*Y186*VLOOKUP('Données projet'!$B$9,Paramètres!$A$1:$I$89,3,0)*0.475*44/12</f>
        <v>3.0630085754943627E-22</v>
      </c>
      <c r="AC186" s="22">
        <f t="shared" si="163"/>
        <v>0.97686490520234082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-5.6843418860808015E-13</v>
      </c>
      <c r="AJ186" s="13">
        <f>AI186*VLOOKUP('Données projet'!$B$10,Paramètres!$A$1:$I$89,3,0)*VLOOKUP('Données projet'!$B$10,Paramètres!$A$1:$I$89,5,0)</f>
        <v>-5.1431925385259092E-13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321.03881567735544</v>
      </c>
      <c r="AO186" s="59">
        <f t="shared" si="144"/>
        <v>234.87694492493506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0.11636571999608183</v>
      </c>
      <c r="AV186" s="21">
        <f>EXP(-LN(2)/25)*AV185+(1-EXP(-LN(2)/25))/(LN(2)/25)*Calculateur!AQ186*Calculateur!AS186*VLOOKUP('Données projet'!$B$10,Paramètres!$A$1:$I$89,3,0)*0.475*44/12</f>
        <v>0.19490022675299659</v>
      </c>
      <c r="AW186" s="21">
        <f>EXP(-LN(2)/2)*AW185+(1-EXP(-LN(2)/2))/(LN(2)/2)*AQ186*AT186*VLOOKUP('Données projet'!$B$10,Paramètres!$A$1:$I$89,3,0)*0.475*44/12</f>
        <v>2.0345415157860836E-22</v>
      </c>
      <c r="AX186" s="21">
        <f t="shared" si="166"/>
        <v>0.31126594674907843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3.1036506698001181E-13</v>
      </c>
      <c r="BF186" s="13">
        <f t="shared" si="167"/>
        <v>4.086682523110923E-12</v>
      </c>
      <c r="BG186" s="20">
        <f t="shared" si="168"/>
        <v>7.6581912194083782E-12</v>
      </c>
      <c r="BH186" s="59">
        <f t="shared" si="116"/>
        <v>293.33333333334099</v>
      </c>
      <c r="BI186" s="59">
        <f ca="1">AVERAGE(OFFSET($BH$3,0,0,'Données projet'!$E$11+1,1))-AVERAGE(OFFSET($H$3,0,0,'Données projet'!$E$11+1,1))</f>
        <v>248.1486444660062</v>
      </c>
      <c r="BJ186" s="59">
        <f t="shared" si="146"/>
        <v>293.34458072322127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0.41152592235984026</v>
      </c>
      <c r="BQ186" s="21">
        <f>EXP(-LN(2)/25)*BQ185+(1-EXP(-LN(2)/25))/(LN(2)/25)*Calculateur!BL186*Calculateur!BN186*VLOOKUP('Données projet'!$B$11,Paramètres!$A$1:$I$89,3,0)*0.475*44/12</f>
        <v>0.48939230869107531</v>
      </c>
      <c r="BR186" s="21">
        <f>EXP(-LN(2)/2)*BR185+(1-EXP(-LN(2)/2))/(LN(2)/2)*BL186*BO186*VLOOKUP('Données projet'!$B$11,Paramètres!$A$1:$I$89,3,0)*0.475*44/12</f>
        <v>2.3566923936791933E-22</v>
      </c>
      <c r="BS186" s="22">
        <f t="shared" si="169"/>
        <v>0.90091823105091562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243.38048563215585</v>
      </c>
      <c r="CE186" s="59">
        <f t="shared" si="148"/>
        <v>372.1604147006675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0.3531097710225935</v>
      </c>
      <c r="CL186" s="21">
        <f>EXP(-LN(2)/25)*CL185+(1-EXP(-LN(2)/25))/(LN(2)/25)*Calculateur!CG186*Calculateur!CI186*VLOOKUP('Données projet'!$B$12,Paramètres!$A$1:$I$89,3,0)*0.475*44/12</f>
        <v>0.27839168161653183</v>
      </c>
      <c r="CM186" s="21">
        <f>EXP(-LN(2)/2)*CM185+(1-EXP(-LN(2)/2))/(LN(2)/2)*CG186*CJ186*VLOOKUP('Données projet'!$B$12,Paramètres!$A$1:$I$89,3,0)*0.475*44/12</f>
        <v>2.7434328189706319E-22</v>
      </c>
      <c r="CN186" s="22">
        <f t="shared" si="172"/>
        <v>0.63150145263912538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7.9580786405131221E-13</v>
      </c>
      <c r="CU186" s="17">
        <f>CT186*VLOOKUP('Données projet'!$B$13,Paramètres!$A$1:$I$89,3,0)*VLOOKUP('Données projet'!$B$13,Paramètres!$A$1:$I$89,5,0)</f>
        <v>3.8278358260868117E-13</v>
      </c>
      <c r="CV186" s="13">
        <f t="shared" si="173"/>
        <v>4.9186917125089072E-12</v>
      </c>
      <c r="CW186" s="20">
        <f t="shared" si="174"/>
        <v>9.2334028056631319E-12</v>
      </c>
      <c r="CX186" s="59">
        <f t="shared" si="122"/>
        <v>293.33333333334252</v>
      </c>
      <c r="CY186" s="59">
        <f ca="1">AVERAGE(OFFSET($CX$3,0,0,'Données projet'!$E$13+1,1))-AVERAGE(OFFSET($H$3,0,0,'Données projet'!$E$13+1,1))</f>
        <v>297.21955661193238</v>
      </c>
      <c r="CZ186" s="59">
        <f t="shared" si="150"/>
        <v>273.69206144662144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0.32554140019524808</v>
      </c>
      <c r="DG186" s="21">
        <f>EXP(-LN(2)/25)*DG185+(1-EXP(-LN(2)/25))/(LN(2)/25)*Calculateur!DB186*Calculateur!DD186*VLOOKUP('Données projet'!$B$13,Paramètres!$A$1:$I$89,3,0)*0.475*44/12</f>
        <v>0.19299693636391066</v>
      </c>
      <c r="DH186" s="21">
        <f>EXP(-LN(2)/2)*DH185+(1-EXP(-LN(2)/2))/(LN(2)/2)*DB186*DE186*VLOOKUP('Données projet'!$B$13,Paramètres!$A$1:$I$89,3,0)*0.475*44/12</f>
        <v>1.9571187228414654E-22</v>
      </c>
      <c r="DI186" s="22">
        <f t="shared" si="175"/>
        <v>0.51853833655915871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-4.0702161641092972E-13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260.20517190557814</v>
      </c>
      <c r="DU186" s="59">
        <f t="shared" si="152"/>
        <v>307.22009971147133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0.15764662246862945</v>
      </c>
      <c r="EB186" s="21">
        <f>EXP(-LN(2)/25)*EB185+(1-EXP(-LN(2)/25))/(LN(2)/25)*Calculateur!DW186*Calculateur!DY186*VLOOKUP('Données projet'!$B$14,Paramètres!$A$1:$I$89,3,0)*0.475*44/12</f>
        <v>0.29502945348573023</v>
      </c>
      <c r="EC186" s="21">
        <f>EXP(-LN(2)/2)*EC185+(1-EXP(-LN(2)/2))/(LN(2)/2)*DW186*DZ186*VLOOKUP('Données projet'!$B$14,Paramètres!$A$1:$I$89,3,0)*0.475*44/12</f>
        <v>2.2496882912096484E-22</v>
      </c>
      <c r="ED186" s="22">
        <f t="shared" si="178"/>
        <v>0.45267607595435966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1.1368683772161603E-13</v>
      </c>
      <c r="EK186" s="17">
        <f>EJ186*VLOOKUP('Données projet'!$B$15,Paramètres!$A$1:$I$89,3,0)*VLOOKUP('Données projet'!$B$15,Paramètres!$A$1:$I$89,5,0)</f>
        <v>6.7984728957526396E-14</v>
      </c>
      <c r="EL186" s="13">
        <f t="shared" si="179"/>
        <v>1.0682447123141398E-12</v>
      </c>
      <c r="EM186" s="20">
        <f t="shared" si="180"/>
        <v>1.978932943548152E-12</v>
      </c>
      <c r="EN186" s="59">
        <f t="shared" si="128"/>
        <v>293.3333333333353</v>
      </c>
      <c r="EO186" s="59">
        <f ca="1">AVERAGE(OFFSET($EN$3,0,0,'Données projet'!$E$15+1,1))-AVERAGE(OFFSET($H$3,0,0,'Données projet'!$E$15+1,1))</f>
        <v>259.30247982593914</v>
      </c>
      <c r="EP186" s="59">
        <f t="shared" si="154"/>
        <v>275.24740346220779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0.25927743586877949</v>
      </c>
      <c r="EX186" s="21">
        <f>EXP(-LN(2)/2)*EX185+(1-EXP(-LN(2)/2))/(LN(2)/2)*ER186*EU186*VLOOKUP('Données projet'!$B$15,Paramètres!$A$1:$I$89,3,0)*0.475*44/12</f>
        <v>2.6840561594993574E-22</v>
      </c>
      <c r="EY186" s="22">
        <f t="shared" si="181"/>
        <v>0.25927743586877949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-5.6843418860808015E-13</v>
      </c>
      <c r="FF186" s="17">
        <f>FE186*VLOOKUP('Données projet'!$B$16,Paramètres!$A$1:$I$89,3,0)*VLOOKUP('Données projet'!$B$16,Paramètres!$A$1:$I$89,5,0)</f>
        <v>-5.763922672485933E-13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372.91317851957336</v>
      </c>
      <c r="FK186" s="59">
        <f t="shared" si="156"/>
        <v>269.69187715858413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0.13040985861629867</v>
      </c>
      <c r="FR186" s="21">
        <f>EXP(-LN(2)/25)*FR185+(1-EXP(-LN(2)/25))/(LN(2)/25)*Calculateur!FM186*Calculateur!FO186*VLOOKUP('Données projet'!$B$16,Paramètres!$A$1:$I$89,3,0)*0.475*44/12</f>
        <v>0.21842266791284076</v>
      </c>
      <c r="FS186" s="21">
        <f>EXP(-LN(2)/2)*FS185+(1-EXP(-LN(2)/2))/(LN(2)/2)*FM186*FP186*VLOOKUP('Données projet'!$B$16,Paramètres!$A$1:$I$89,3,0)*0.475*44/12</f>
        <v>2.2800896297602642E-22</v>
      </c>
      <c r="FT186" s="22">
        <f t="shared" si="184"/>
        <v>0.34883252652913943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-1.1368683772161603E-13</v>
      </c>
      <c r="GA186" s="17">
        <f>FZ186*VLOOKUP('Données projet'!$B$17,Paramètres!$A$1:$I$89,3,0)*VLOOKUP('Données projet'!$B$17,Paramètres!$A$1:$I$89,5,0)</f>
        <v>-5.3205440053716299E-14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215.23235148064941</v>
      </c>
      <c r="GF186" s="59">
        <f t="shared" si="158"/>
        <v>184.07239726900434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0.15144273921245158</v>
      </c>
      <c r="GM186" s="21">
        <f>EXP(-LN(2)/25)*GM185+(1-EXP(-LN(2)/25))/(LN(2)/25)*Calculateur!GH186*Calculateur!GJ186*VLOOKUP('Données projet'!$B$17,Paramètres!$A$1:$I$89,3,0)*0.475*44/12</f>
        <v>0.11294533263232001</v>
      </c>
      <c r="GN186" s="21">
        <f>EXP(-LN(2)/2)*GN185+(1-EXP(-LN(2)/2))/(LN(2)/2)*GH186*GK186*VLOOKUP('Données projet'!$B$17,Paramètres!$A$1:$I$89,3,0)*0.475*44/12</f>
        <v>9.2014230156902789E-23</v>
      </c>
      <c r="GO186" s="21">
        <f t="shared" si="187"/>
        <v>0.26438807184477159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-1.1368683772161603E-13</v>
      </c>
      <c r="GV186" s="17">
        <f>GU186*VLOOKUP('Données projet'!$B$18,Paramètres!$A$1:$I$89,3,0)*VLOOKUP('Données projet'!$B$18,Paramètres!$A$1:$I$89,5,0)</f>
        <v>-6.7984728957526396E-14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227.89848316900191</v>
      </c>
      <c r="HA186" s="59">
        <f t="shared" si="160"/>
        <v>239.85955661394541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0.38370824840313772</v>
      </c>
      <c r="HH186" s="21">
        <f>EXP(-LN(2)/25)*HH185+(1-EXP(-LN(2)/25))/(LN(2)/25)*Calculateur!HC186*Calculateur!HE186*VLOOKUP('Données projet'!$B$18,Paramètres!$A$1:$I$89,3,0)*0.475*44/12</f>
        <v>0.24648919373891512</v>
      </c>
      <c r="HI186" s="21">
        <f>EXP(-LN(2)/2)*HI185+(1-EXP(-LN(2)/2))/(LN(2)/2)*HC186*HF186*VLOOKUP('Données projet'!$B$18,Paramètres!$A$1:$I$89,3,0)*0.475*44/12</f>
        <v>6.2735233694827261E-23</v>
      </c>
      <c r="HJ186" s="22">
        <f t="shared" si="190"/>
        <v>0.63019744214205287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2.5420376914553347E-13</v>
      </c>
      <c r="P187" s="13">
        <f t="shared" si="141"/>
        <v>3.4258699088369875E-12</v>
      </c>
      <c r="Q187" s="20">
        <f t="shared" si="162"/>
        <v>6.4094616558195571E-12</v>
      </c>
      <c r="R187" s="59">
        <f t="shared" si="109"/>
        <v>293.33333333333974</v>
      </c>
      <c r="S187" s="59">
        <f ca="1">AVERAGE(OFFSET($R$3,0,0,'Données projet'!$E$9+1,1))-AVERAGE(OFFSET($H$3,0,0,'Données projet'!$E$9+1,1))</f>
        <v>370.69652285220093</v>
      </c>
      <c r="T187" s="59">
        <f t="shared" si="142"/>
        <v>376.53494965377718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0.48682336470262572</v>
      </c>
      <c r="AA187" s="21">
        <f>EXP(-LN(2)/25)*AA186+(1-EXP(-LN(2)/25))/(LN(2)/25)*Calculateur!V187*Calculateur!X187*VLOOKUP('Données projet'!$B$9,Paramètres!$A$1:$I$89,3,0)*0.475*44/12</f>
        <v>0.4671703436418182</v>
      </c>
      <c r="AB187" s="21">
        <f>EXP(-LN(2)/2)*AB186+(1-EXP(-LN(2)/2))/(LN(2)/2)*V187*Y187*VLOOKUP('Données projet'!$B$9,Paramètres!$A$1:$I$89,3,0)*0.475*44/12</f>
        <v>2.1658741345646109E-22</v>
      </c>
      <c r="AC187" s="22">
        <f t="shared" si="163"/>
        <v>0.95399370834444386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-5.6843418860808015E-13</v>
      </c>
      <c r="AJ187" s="13">
        <f>AI187*VLOOKUP('Données projet'!$B$10,Paramètres!$A$1:$I$89,3,0)*VLOOKUP('Données projet'!$B$10,Paramètres!$A$1:$I$89,5,0)</f>
        <v>-5.1431925385259092E-13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321.03881567735544</v>
      </c>
      <c r="AO187" s="59">
        <f t="shared" si="144"/>
        <v>234.87694492493506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0.11408385920303957</v>
      </c>
      <c r="AV187" s="21">
        <f>EXP(-LN(2)/25)*AV186+(1-EXP(-LN(2)/25))/(LN(2)/25)*Calculateur!AQ187*Calculateur!AS187*VLOOKUP('Données projet'!$B$10,Paramètres!$A$1:$I$89,3,0)*0.475*44/12</f>
        <v>0.18957066980307843</v>
      </c>
      <c r="AW187" s="21">
        <f>EXP(-LN(2)/2)*AW186+(1-EXP(-LN(2)/2))/(LN(2)/2)*AQ187*AT187*VLOOKUP('Données projet'!$B$10,Paramètres!$A$1:$I$89,3,0)*0.475*44/12</f>
        <v>1.4386381024178969E-22</v>
      </c>
      <c r="AX187" s="21">
        <f t="shared" si="166"/>
        <v>0.303654529006118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3.1036506698001181E-13</v>
      </c>
      <c r="BF187" s="13">
        <f t="shared" si="167"/>
        <v>4.086682523110923E-12</v>
      </c>
      <c r="BG187" s="20">
        <f t="shared" si="168"/>
        <v>7.6581912194083782E-12</v>
      </c>
      <c r="BH187" s="59">
        <f t="shared" si="116"/>
        <v>293.33333333334099</v>
      </c>
      <c r="BI187" s="59">
        <f ca="1">AVERAGE(OFFSET($BH$3,0,0,'Données projet'!$E$11+1,1))-AVERAGE(OFFSET($H$3,0,0,'Données projet'!$E$11+1,1))</f>
        <v>248.1486444660062</v>
      </c>
      <c r="BJ187" s="59">
        <f t="shared" si="146"/>
        <v>293.34458072322127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0.40345615002839164</v>
      </c>
      <c r="BQ187" s="21">
        <f>EXP(-LN(2)/25)*BQ186+(1-EXP(-LN(2)/25))/(LN(2)/25)*Calculateur!BL187*Calculateur!BN187*VLOOKUP('Données projet'!$B$11,Paramètres!$A$1:$I$89,3,0)*0.475*44/12</f>
        <v>0.47600985027389486</v>
      </c>
      <c r="BR187" s="21">
        <f>EXP(-LN(2)/2)*BR186+(1-EXP(-LN(2)/2))/(LN(2)/2)*BL187*BO187*VLOOKUP('Données projet'!$B$11,Paramètres!$A$1:$I$89,3,0)*0.475*44/12</f>
        <v>1.6664331727413142E-22</v>
      </c>
      <c r="BS187" s="22">
        <f t="shared" si="169"/>
        <v>0.8794660003022865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243.38048563215585</v>
      </c>
      <c r="CE187" s="59">
        <f t="shared" si="148"/>
        <v>372.1604147006675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0.34618550378853419</v>
      </c>
      <c r="CL187" s="21">
        <f>EXP(-LN(2)/25)*CL186+(1-EXP(-LN(2)/25))/(LN(2)/25)*Calculateur!CG187*Calculateur!CI187*VLOOKUP('Données projet'!$B$12,Paramètres!$A$1:$I$89,3,0)*0.475*44/12</f>
        <v>0.27077904644274547</v>
      </c>
      <c r="CM187" s="21">
        <f>EXP(-LN(2)/2)*CM186+(1-EXP(-LN(2)/2))/(LN(2)/2)*CG187*CJ187*VLOOKUP('Données projet'!$B$12,Paramètres!$A$1:$I$89,3,0)*0.475*44/12</f>
        <v>1.9398999500238599E-22</v>
      </c>
      <c r="CN187" s="22">
        <f t="shared" si="172"/>
        <v>0.61696455023127972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7.9580786405131221E-13</v>
      </c>
      <c r="CU187" s="17">
        <f>CT187*VLOOKUP('Données projet'!$B$13,Paramètres!$A$1:$I$89,3,0)*VLOOKUP('Données projet'!$B$13,Paramètres!$A$1:$I$89,5,0)</f>
        <v>3.8278358260868117E-13</v>
      </c>
      <c r="CV187" s="13">
        <f t="shared" si="173"/>
        <v>4.9186917125089072E-12</v>
      </c>
      <c r="CW187" s="20">
        <f t="shared" si="174"/>
        <v>9.2334028056631319E-12</v>
      </c>
      <c r="CX187" s="59">
        <f t="shared" si="122"/>
        <v>293.33333333334252</v>
      </c>
      <c r="CY187" s="59">
        <f ca="1">AVERAGE(OFFSET($CX$3,0,0,'Données projet'!$E$13+1,1))-AVERAGE(OFFSET($H$3,0,0,'Données projet'!$E$13+1,1))</f>
        <v>297.21955661193238</v>
      </c>
      <c r="CZ187" s="59">
        <f t="shared" si="150"/>
        <v>273.69206144662144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0.31915773189806712</v>
      </c>
      <c r="DG187" s="21">
        <f>EXP(-LN(2)/25)*DG186+(1-EXP(-LN(2)/25))/(LN(2)/25)*Calculateur!DB187*Calculateur!DD187*VLOOKUP('Données projet'!$B$13,Paramètres!$A$1:$I$89,3,0)*0.475*44/12</f>
        <v>0.18771942498977173</v>
      </c>
      <c r="DH187" s="21">
        <f>EXP(-LN(2)/2)*DH186+(1-EXP(-LN(2)/2))/(LN(2)/2)*DB187*DE187*VLOOKUP('Données projet'!$B$13,Paramètres!$A$1:$I$89,3,0)*0.475*44/12</f>
        <v>1.3838919205083554E-22</v>
      </c>
      <c r="DI187" s="22">
        <f t="shared" si="175"/>
        <v>0.50687715688783885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-4.0702161641092972E-13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260.20517190557814</v>
      </c>
      <c r="DU187" s="59">
        <f t="shared" si="152"/>
        <v>307.22009971147133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0.15455526835696481</v>
      </c>
      <c r="EB187" s="21">
        <f>EXP(-LN(2)/25)*EB186+(1-EXP(-LN(2)/25))/(LN(2)/25)*Calculateur!DW187*Calculateur!DY187*VLOOKUP('Données projet'!$B$14,Paramètres!$A$1:$I$89,3,0)*0.475*44/12</f>
        <v>0.28696185756523829</v>
      </c>
      <c r="EC187" s="21">
        <f>EXP(-LN(2)/2)*EC186+(1-EXP(-LN(2)/2))/(LN(2)/2)*DW187*DZ187*VLOOKUP('Données projet'!$B$14,Paramètres!$A$1:$I$89,3,0)*0.475*44/12</f>
        <v>1.5907698462703189E-22</v>
      </c>
      <c r="ED187" s="22">
        <f t="shared" si="178"/>
        <v>0.4415171259222031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1.1368683772161603E-13</v>
      </c>
      <c r="EK187" s="17">
        <f>EJ187*VLOOKUP('Données projet'!$B$15,Paramètres!$A$1:$I$89,3,0)*VLOOKUP('Données projet'!$B$15,Paramètres!$A$1:$I$89,5,0)</f>
        <v>6.7984728957526396E-14</v>
      </c>
      <c r="EL187" s="13">
        <f t="shared" si="179"/>
        <v>1.0682447123141398E-12</v>
      </c>
      <c r="EM187" s="20">
        <f t="shared" si="180"/>
        <v>1.978932943548152E-12</v>
      </c>
      <c r="EN187" s="59">
        <f t="shared" si="128"/>
        <v>293.3333333333353</v>
      </c>
      <c r="EO187" s="59">
        <f ca="1">AVERAGE(OFFSET($EN$3,0,0,'Données projet'!$E$15+1,1))-AVERAGE(OFFSET($H$3,0,0,'Données projet'!$E$15+1,1))</f>
        <v>259.30247982593914</v>
      </c>
      <c r="EP187" s="59">
        <f t="shared" si="154"/>
        <v>275.24740346220779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0.25218748075013997</v>
      </c>
      <c r="EX187" s="21">
        <f>EXP(-LN(2)/2)*EX186+(1-EXP(-LN(2)/2))/(LN(2)/2)*ER187*EU187*VLOOKUP('Données projet'!$B$15,Paramètres!$A$1:$I$89,3,0)*0.475*44/12</f>
        <v>1.8979143114675173E-22</v>
      </c>
      <c r="EY187" s="22">
        <f t="shared" si="181"/>
        <v>0.25218748075013997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-5.6843418860808015E-13</v>
      </c>
      <c r="FF187" s="17">
        <f>FE187*VLOOKUP('Données projet'!$B$16,Paramètres!$A$1:$I$89,3,0)*VLOOKUP('Données projet'!$B$16,Paramètres!$A$1:$I$89,5,0)</f>
        <v>-5.763922672485933E-13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372.91317851957336</v>
      </c>
      <c r="FK187" s="59">
        <f t="shared" si="156"/>
        <v>269.69187715858413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0.12785260083099267</v>
      </c>
      <c r="FR187" s="21">
        <f>EXP(-LN(2)/25)*FR186+(1-EXP(-LN(2)/25))/(LN(2)/25)*Calculateur!FM187*Calculateur!FO187*VLOOKUP('Données projet'!$B$16,Paramètres!$A$1:$I$89,3,0)*0.475*44/12</f>
        <v>0.21244988857241523</v>
      </c>
      <c r="FS187" s="21">
        <f>EXP(-LN(2)/2)*FS186+(1-EXP(-LN(2)/2))/(LN(2)/2)*FM187*FP187*VLOOKUP('Données projet'!$B$16,Paramètres!$A$1:$I$89,3,0)*0.475*44/12</f>
        <v>1.6122668389166073E-22</v>
      </c>
      <c r="FT187" s="22">
        <f t="shared" si="184"/>
        <v>0.3403024894034079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-1.1368683772161603E-13</v>
      </c>
      <c r="GA187" s="17">
        <f>FZ187*VLOOKUP('Données projet'!$B$17,Paramètres!$A$1:$I$89,3,0)*VLOOKUP('Données projet'!$B$17,Paramètres!$A$1:$I$89,5,0)</f>
        <v>-5.3205440053716299E-14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215.23235148064941</v>
      </c>
      <c r="GF187" s="59">
        <f t="shared" si="158"/>
        <v>184.07239726900434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0.14847303946744544</v>
      </c>
      <c r="GM187" s="21">
        <f>EXP(-LN(2)/25)*GM186+(1-EXP(-LN(2)/25))/(LN(2)/25)*Calculateur!GH187*Calculateur!GJ187*VLOOKUP('Données projet'!$B$17,Paramètres!$A$1:$I$89,3,0)*0.475*44/12</f>
        <v>0.10985683657195232</v>
      </c>
      <c r="GN187" s="21">
        <f>EXP(-LN(2)/2)*GN186+(1-EXP(-LN(2)/2))/(LN(2)/2)*GH187*GK187*VLOOKUP('Données projet'!$B$17,Paramètres!$A$1:$I$89,3,0)*0.475*44/12</f>
        <v>6.5063886109605682E-23</v>
      </c>
      <c r="GO187" s="21">
        <f t="shared" si="187"/>
        <v>0.25832987603939778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-1.1368683772161603E-13</v>
      </c>
      <c r="GV187" s="17">
        <f>GU187*VLOOKUP('Données projet'!$B$18,Paramètres!$A$1:$I$89,3,0)*VLOOKUP('Données projet'!$B$18,Paramètres!$A$1:$I$89,5,0)</f>
        <v>-6.7984728957526396E-14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227.89848316900191</v>
      </c>
      <c r="HA187" s="59">
        <f t="shared" si="160"/>
        <v>239.85955661394541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0.37618396369087431</v>
      </c>
      <c r="HH187" s="21">
        <f>EXP(-LN(2)/25)*HH186+(1-EXP(-LN(2)/25))/(LN(2)/25)*Calculateur!HC187*Calculateur!HE187*VLOOKUP('Données projet'!$B$18,Paramètres!$A$1:$I$89,3,0)*0.475*44/12</f>
        <v>0.23974893377382114</v>
      </c>
      <c r="HI187" s="21">
        <f>EXP(-LN(2)/2)*HI186+(1-EXP(-LN(2)/2))/(LN(2)/2)*HC187*HF187*VLOOKUP('Données projet'!$B$18,Paramètres!$A$1:$I$89,3,0)*0.475*44/12</f>
        <v>4.4360509164935143E-23</v>
      </c>
      <c r="HJ187" s="22">
        <f t="shared" si="190"/>
        <v>0.61593289746469548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2.5420376914553347E-13</v>
      </c>
      <c r="P188" s="13">
        <f t="shared" si="141"/>
        <v>3.4258699088369875E-12</v>
      </c>
      <c r="Q188" s="20">
        <f t="shared" si="162"/>
        <v>6.4094616558195571E-12</v>
      </c>
      <c r="R188" s="59">
        <f t="shared" si="109"/>
        <v>293.33333333333974</v>
      </c>
      <c r="S188" s="59">
        <f ca="1">AVERAGE(OFFSET($R$3,0,0,'Données projet'!$E$9+1,1))-AVERAGE(OFFSET($H$3,0,0,'Données projet'!$E$9+1,1))</f>
        <v>370.69652285220093</v>
      </c>
      <c r="T188" s="59">
        <f t="shared" si="142"/>
        <v>376.53494965377718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0.47727705545374</v>
      </c>
      <c r="AA188" s="21">
        <f>EXP(-LN(2)/25)*AA187+(1-EXP(-LN(2)/25))/(LN(2)/25)*Calculateur!V188*Calculateur!X188*VLOOKUP('Données projet'!$B$9,Paramètres!$A$1:$I$89,3,0)*0.475*44/12</f>
        <v>0.45439554602751203</v>
      </c>
      <c r="AB188" s="21">
        <f>EXP(-LN(2)/2)*AB187+(1-EXP(-LN(2)/2))/(LN(2)/2)*V188*Y188*VLOOKUP('Données projet'!$B$9,Paramètres!$A$1:$I$89,3,0)*0.475*44/12</f>
        <v>1.5315042877471813E-22</v>
      </c>
      <c r="AC188" s="22">
        <f t="shared" si="163"/>
        <v>0.93167260148125197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-5.6843418860808015E-13</v>
      </c>
      <c r="AJ188" s="13">
        <f>AI188*VLOOKUP('Données projet'!$B$10,Paramètres!$A$1:$I$89,3,0)*VLOOKUP('Données projet'!$B$10,Paramètres!$A$1:$I$89,5,0)</f>
        <v>-5.1431925385259092E-13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321.03881567735544</v>
      </c>
      <c r="AO188" s="59">
        <f t="shared" si="144"/>
        <v>234.87694492493506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0.1118467443083512</v>
      </c>
      <c r="AV188" s="21">
        <f>EXP(-LN(2)/25)*AV187+(1-EXP(-LN(2)/25))/(LN(2)/25)*Calculateur!AQ188*Calculateur!AS188*VLOOKUP('Données projet'!$B$10,Paramètres!$A$1:$I$89,3,0)*0.475*44/12</f>
        <v>0.18438684986822501</v>
      </c>
      <c r="AW188" s="21">
        <f>EXP(-LN(2)/2)*AW187+(1-EXP(-LN(2)/2))/(LN(2)/2)*AQ188*AT188*VLOOKUP('Données projet'!$B$10,Paramètres!$A$1:$I$89,3,0)*0.475*44/12</f>
        <v>1.0172707578930418E-22</v>
      </c>
      <c r="AX188" s="21">
        <f t="shared" si="166"/>
        <v>0.29623359417657624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3.1036506698001181E-13</v>
      </c>
      <c r="BF188" s="13">
        <f t="shared" si="167"/>
        <v>4.086682523110923E-12</v>
      </c>
      <c r="BG188" s="20">
        <f t="shared" si="168"/>
        <v>7.6581912194083782E-12</v>
      </c>
      <c r="BH188" s="59">
        <f t="shared" si="116"/>
        <v>293.33333333334099</v>
      </c>
      <c r="BI188" s="59">
        <f ca="1">AVERAGE(OFFSET($BH$3,0,0,'Données projet'!$E$11+1,1))-AVERAGE(OFFSET($H$3,0,0,'Données projet'!$E$11+1,1))</f>
        <v>248.1486444660062</v>
      </c>
      <c r="BJ188" s="59">
        <f t="shared" si="146"/>
        <v>293.34458072322127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0.39554462101028764</v>
      </c>
      <c r="BQ188" s="21">
        <f>EXP(-LN(2)/25)*BQ187+(1-EXP(-LN(2)/25))/(LN(2)/25)*Calculateur!BL188*Calculateur!BN188*VLOOKUP('Données projet'!$B$11,Paramètres!$A$1:$I$89,3,0)*0.475*44/12</f>
        <v>0.46299333588588509</v>
      </c>
      <c r="BR188" s="21">
        <f>EXP(-LN(2)/2)*BR187+(1-EXP(-LN(2)/2))/(LN(2)/2)*BL188*BO188*VLOOKUP('Données projet'!$B$11,Paramètres!$A$1:$I$89,3,0)*0.475*44/12</f>
        <v>1.1783461968395966E-22</v>
      </c>
      <c r="BS188" s="22">
        <f t="shared" si="169"/>
        <v>0.85853795689617274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243.38048563215585</v>
      </c>
      <c r="CE188" s="59">
        <f t="shared" si="148"/>
        <v>372.1604147006675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0.3393970172115488</v>
      </c>
      <c r="CL188" s="21">
        <f>EXP(-LN(2)/25)*CL187+(1-EXP(-LN(2)/25))/(LN(2)/25)*Calculateur!CG188*Calculateur!CI188*VLOOKUP('Données projet'!$B$12,Paramètres!$A$1:$I$89,3,0)*0.475*44/12</f>
        <v>0.26337457917811741</v>
      </c>
      <c r="CM188" s="21">
        <f>EXP(-LN(2)/2)*CM187+(1-EXP(-LN(2)/2))/(LN(2)/2)*CG188*CJ188*VLOOKUP('Données projet'!$B$12,Paramètres!$A$1:$I$89,3,0)*0.475*44/12</f>
        <v>1.371716409485316E-22</v>
      </c>
      <c r="CN188" s="22">
        <f t="shared" si="172"/>
        <v>0.60277159638966626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7.9580786405131221E-13</v>
      </c>
      <c r="CU188" s="17">
        <f>CT188*VLOOKUP('Données projet'!$B$13,Paramètres!$A$1:$I$89,3,0)*VLOOKUP('Données projet'!$B$13,Paramètres!$A$1:$I$89,5,0)</f>
        <v>3.8278358260868117E-13</v>
      </c>
      <c r="CV188" s="13">
        <f t="shared" si="173"/>
        <v>4.9186917125089072E-12</v>
      </c>
      <c r="CW188" s="20">
        <f t="shared" si="174"/>
        <v>9.2334028056631319E-12</v>
      </c>
      <c r="CX188" s="59">
        <f t="shared" si="122"/>
        <v>293.33333333334252</v>
      </c>
      <c r="CY188" s="59">
        <f ca="1">AVERAGE(OFFSET($CX$3,0,0,'Données projet'!$E$13+1,1))-AVERAGE(OFFSET($H$3,0,0,'Données projet'!$E$13+1,1))</f>
        <v>297.21955661193238</v>
      </c>
      <c r="CZ188" s="59">
        <f t="shared" si="150"/>
        <v>273.69206144662144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0.31289924344254072</v>
      </c>
      <c r="DG188" s="21">
        <f>EXP(-LN(2)/25)*DG187+(1-EXP(-LN(2)/25))/(LN(2)/25)*Calculateur!DB188*Calculateur!DD188*VLOOKUP('Données projet'!$B$13,Paramètres!$A$1:$I$89,3,0)*0.475*44/12</f>
        <v>0.1825862274416909</v>
      </c>
      <c r="DH188" s="21">
        <f>EXP(-LN(2)/2)*DH187+(1-EXP(-LN(2)/2))/(LN(2)/2)*DB188*DE188*VLOOKUP('Données projet'!$B$13,Paramètres!$A$1:$I$89,3,0)*0.475*44/12</f>
        <v>9.785593614207327E-23</v>
      </c>
      <c r="DI188" s="22">
        <f t="shared" si="175"/>
        <v>0.49548547088423162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-4.0702161641092972E-13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260.20517190557814</v>
      </c>
      <c r="DU188" s="59">
        <f t="shared" si="152"/>
        <v>307.22009971147133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0.15152453381389011</v>
      </c>
      <c r="EB188" s="21">
        <f>EXP(-LN(2)/25)*EB187+(1-EXP(-LN(2)/25))/(LN(2)/25)*Calculateur!DW188*Calculateur!DY188*VLOOKUP('Données projet'!$B$14,Paramètres!$A$1:$I$89,3,0)*0.475*44/12</f>
        <v>0.27911487047944861</v>
      </c>
      <c r="EC188" s="21">
        <f>EXP(-LN(2)/2)*EC187+(1-EXP(-LN(2)/2))/(LN(2)/2)*DW188*DZ188*VLOOKUP('Données projet'!$B$14,Paramètres!$A$1:$I$89,3,0)*0.475*44/12</f>
        <v>1.1248441456048242E-22</v>
      </c>
      <c r="ED188" s="22">
        <f t="shared" si="178"/>
        <v>0.43063940429333869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1.1368683772161603E-13</v>
      </c>
      <c r="EK188" s="17">
        <f>EJ188*VLOOKUP('Données projet'!$B$15,Paramètres!$A$1:$I$89,3,0)*VLOOKUP('Données projet'!$B$15,Paramètres!$A$1:$I$89,5,0)</f>
        <v>6.7984728957526396E-14</v>
      </c>
      <c r="EL188" s="13">
        <f t="shared" si="179"/>
        <v>1.0682447123141398E-12</v>
      </c>
      <c r="EM188" s="20">
        <f t="shared" si="180"/>
        <v>1.978932943548152E-12</v>
      </c>
      <c r="EN188" s="59">
        <f t="shared" si="128"/>
        <v>293.3333333333353</v>
      </c>
      <c r="EO188" s="59">
        <f ca="1">AVERAGE(OFFSET($EN$3,0,0,'Données projet'!$E$15+1,1))-AVERAGE(OFFSET($H$3,0,0,'Données projet'!$E$15+1,1))</f>
        <v>259.30247982593914</v>
      </c>
      <c r="EP188" s="59">
        <f t="shared" si="154"/>
        <v>275.24740346220779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0.24529140082706416</v>
      </c>
      <c r="EX188" s="21">
        <f>EXP(-LN(2)/2)*EX187+(1-EXP(-LN(2)/2))/(LN(2)/2)*ER188*EU188*VLOOKUP('Données projet'!$B$15,Paramètres!$A$1:$I$89,3,0)*0.475*44/12</f>
        <v>1.3420280797496787E-22</v>
      </c>
      <c r="EY188" s="22">
        <f t="shared" si="181"/>
        <v>0.24529140082706416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-5.6843418860808015E-13</v>
      </c>
      <c r="FF188" s="17">
        <f>FE188*VLOOKUP('Données projet'!$B$16,Paramètres!$A$1:$I$89,3,0)*VLOOKUP('Données projet'!$B$16,Paramètres!$A$1:$I$89,5,0)</f>
        <v>-5.763922672485933E-13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372.91317851957336</v>
      </c>
      <c r="FK188" s="59">
        <f t="shared" si="156"/>
        <v>269.69187715858413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0.1253454893110833</v>
      </c>
      <c r="FR188" s="21">
        <f>EXP(-LN(2)/25)*FR187+(1-EXP(-LN(2)/25))/(LN(2)/25)*Calculateur!FM188*Calculateur!FO188*VLOOKUP('Données projet'!$B$16,Paramètres!$A$1:$I$89,3,0)*0.475*44/12</f>
        <v>0.20664043519714845</v>
      </c>
      <c r="FS188" s="21">
        <f>EXP(-LN(2)/2)*FS187+(1-EXP(-LN(2)/2))/(LN(2)/2)*FM188*FP188*VLOOKUP('Données projet'!$B$16,Paramètres!$A$1:$I$89,3,0)*0.475*44/12</f>
        <v>1.1400448148801321E-22</v>
      </c>
      <c r="FT188" s="22">
        <f t="shared" si="184"/>
        <v>0.33198592450823172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-1.1368683772161603E-13</v>
      </c>
      <c r="GA188" s="17">
        <f>FZ188*VLOOKUP('Données projet'!$B$17,Paramètres!$A$1:$I$89,3,0)*VLOOKUP('Données projet'!$B$17,Paramètres!$A$1:$I$89,5,0)</f>
        <v>-5.3205440053716299E-14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215.23235148064941</v>
      </c>
      <c r="GF188" s="59">
        <f t="shared" si="158"/>
        <v>184.07239726900434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0.14556157372310088</v>
      </c>
      <c r="GM188" s="21">
        <f>EXP(-LN(2)/25)*GM187+(1-EXP(-LN(2)/25))/(LN(2)/25)*Calculateur!GH188*Calculateur!GJ188*VLOOKUP('Données projet'!$B$17,Paramètres!$A$1:$I$89,3,0)*0.475*44/12</f>
        <v>0.10685279559877232</v>
      </c>
      <c r="GN188" s="21">
        <f>EXP(-LN(2)/2)*GN187+(1-EXP(-LN(2)/2))/(LN(2)/2)*GH188*GK188*VLOOKUP('Données projet'!$B$17,Paramètres!$A$1:$I$89,3,0)*0.475*44/12</f>
        <v>4.6007115078451394E-23</v>
      </c>
      <c r="GO188" s="21">
        <f t="shared" si="187"/>
        <v>0.25241436932187322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-1.1368683772161603E-13</v>
      </c>
      <c r="GV188" s="17">
        <f>GU188*VLOOKUP('Données projet'!$B$18,Paramètres!$A$1:$I$89,3,0)*VLOOKUP('Données projet'!$B$18,Paramètres!$A$1:$I$89,5,0)</f>
        <v>-6.7984728957526396E-14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227.89848316900191</v>
      </c>
      <c r="HA188" s="59">
        <f t="shared" si="160"/>
        <v>239.85955661394541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0.36880722561245788</v>
      </c>
      <c r="HH188" s="21">
        <f>EXP(-LN(2)/25)*HH187+(1-EXP(-LN(2)/25))/(LN(2)/25)*Calculateur!HC188*Calculateur!HE188*VLOOKUP('Données projet'!$B$18,Paramètres!$A$1:$I$89,3,0)*0.475*44/12</f>
        <v>0.23319298657192752</v>
      </c>
      <c r="HI188" s="21">
        <f>EXP(-LN(2)/2)*HI187+(1-EXP(-LN(2)/2))/(LN(2)/2)*HC188*HF188*VLOOKUP('Données projet'!$B$18,Paramètres!$A$1:$I$89,3,0)*0.475*44/12</f>
        <v>3.136761684741363E-23</v>
      </c>
      <c r="HJ188" s="22">
        <f t="shared" si="190"/>
        <v>0.60200021218438537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2.5420376914553347E-13</v>
      </c>
      <c r="P189" s="13">
        <f t="shared" si="141"/>
        <v>3.4258699088369875E-12</v>
      </c>
      <c r="Q189" s="20">
        <f t="shared" si="162"/>
        <v>6.4094616558195571E-12</v>
      </c>
      <c r="R189" s="59">
        <f t="shared" si="109"/>
        <v>293.33333333333974</v>
      </c>
      <c r="S189" s="59">
        <f ca="1">AVERAGE(OFFSET($R$3,0,0,'Données projet'!$E$9+1,1))-AVERAGE(OFFSET($H$3,0,0,'Données projet'!$E$9+1,1))</f>
        <v>370.69652285220093</v>
      </c>
      <c r="T189" s="59">
        <f t="shared" si="142"/>
        <v>376.53494965377718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0.46791794350655125</v>
      </c>
      <c r="AA189" s="21">
        <f>EXP(-LN(2)/25)*AA188+(1-EXP(-LN(2)/25))/(LN(2)/25)*Calculateur!V189*Calculateur!X189*VLOOKUP('Données projet'!$B$9,Paramètres!$A$1:$I$89,3,0)*0.475*44/12</f>
        <v>0.44197007592576648</v>
      </c>
      <c r="AB189" s="21">
        <f>EXP(-LN(2)/2)*AB188+(1-EXP(-LN(2)/2))/(LN(2)/2)*V189*Y189*VLOOKUP('Données projet'!$B$9,Paramètres!$A$1:$I$89,3,0)*0.475*44/12</f>
        <v>1.0829370672823054E-22</v>
      </c>
      <c r="AC189" s="22">
        <f t="shared" si="163"/>
        <v>0.90988801943231779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-5.6843418860808015E-13</v>
      </c>
      <c r="AJ189" s="13">
        <f>AI189*VLOOKUP('Données projet'!$B$10,Paramètres!$A$1:$I$89,3,0)*VLOOKUP('Données projet'!$B$10,Paramètres!$A$1:$I$89,5,0)</f>
        <v>-5.1431925385259092E-13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321.03881567735544</v>
      </c>
      <c r="AO189" s="59">
        <f t="shared" si="144"/>
        <v>234.87694492493506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0.10965349787224232</v>
      </c>
      <c r="AV189" s="21">
        <f>EXP(-LN(2)/25)*AV188+(1-EXP(-LN(2)/25))/(LN(2)/25)*Calculateur!AQ189*Calculateur!AS189*VLOOKUP('Données projet'!$B$10,Paramètres!$A$1:$I$89,3,0)*0.475*44/12</f>
        <v>0.1793447817620954</v>
      </c>
      <c r="AW189" s="21">
        <f>EXP(-LN(2)/2)*AW188+(1-EXP(-LN(2)/2))/(LN(2)/2)*AQ189*AT189*VLOOKUP('Données projet'!$B$10,Paramètres!$A$1:$I$89,3,0)*0.475*44/12</f>
        <v>7.1931905120894845E-23</v>
      </c>
      <c r="AX189" s="21">
        <f t="shared" si="166"/>
        <v>0.28899827963433772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3.1036506698001181E-13</v>
      </c>
      <c r="BF189" s="13">
        <f t="shared" si="167"/>
        <v>4.086682523110923E-12</v>
      </c>
      <c r="BG189" s="20">
        <f t="shared" si="168"/>
        <v>7.6581912194083782E-12</v>
      </c>
      <c r="BH189" s="59">
        <f t="shared" si="116"/>
        <v>293.33333333334099</v>
      </c>
      <c r="BI189" s="59">
        <f ca="1">AVERAGE(OFFSET($BH$3,0,0,'Données projet'!$E$11+1,1))-AVERAGE(OFFSET($H$3,0,0,'Données projet'!$E$11+1,1))</f>
        <v>248.1486444660062</v>
      </c>
      <c r="BJ189" s="59">
        <f t="shared" si="146"/>
        <v>293.34458072322127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0.38778823225067244</v>
      </c>
      <c r="BQ189" s="21">
        <f>EXP(-LN(2)/25)*BQ188+(1-EXP(-LN(2)/25))/(LN(2)/25)*Calculateur!BL189*Calculateur!BN189*VLOOKUP('Données projet'!$B$11,Paramètres!$A$1:$I$89,3,0)*0.475*44/12</f>
        <v>0.45033275876832424</v>
      </c>
      <c r="BR189" s="21">
        <f>EXP(-LN(2)/2)*BR188+(1-EXP(-LN(2)/2))/(LN(2)/2)*BL189*BO189*VLOOKUP('Données projet'!$B$11,Paramètres!$A$1:$I$89,3,0)*0.475*44/12</f>
        <v>8.3321658637065712E-23</v>
      </c>
      <c r="BS189" s="22">
        <f t="shared" si="169"/>
        <v>0.83812099101899662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243.38048563215585</v>
      </c>
      <c r="CE189" s="59">
        <f t="shared" si="148"/>
        <v>372.1604147006675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0.33274164871577011</v>
      </c>
      <c r="CL189" s="21">
        <f>EXP(-LN(2)/25)*CL188+(1-EXP(-LN(2)/25))/(LN(2)/25)*Calculateur!CG189*Calculateur!CI189*VLOOKUP('Données projet'!$B$12,Paramètres!$A$1:$I$89,3,0)*0.475*44/12</f>
        <v>0.25617258746022464</v>
      </c>
      <c r="CM189" s="21">
        <f>EXP(-LN(2)/2)*CM188+(1-EXP(-LN(2)/2))/(LN(2)/2)*CG189*CJ189*VLOOKUP('Données projet'!$B$12,Paramètres!$A$1:$I$89,3,0)*0.475*44/12</f>
        <v>9.6994997501192995E-23</v>
      </c>
      <c r="CN189" s="22">
        <f t="shared" si="172"/>
        <v>0.5889142361759947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7.9580786405131221E-13</v>
      </c>
      <c r="CU189" s="17">
        <f>CT189*VLOOKUP('Données projet'!$B$13,Paramètres!$A$1:$I$89,3,0)*VLOOKUP('Données projet'!$B$13,Paramètres!$A$1:$I$89,5,0)</f>
        <v>3.8278358260868117E-13</v>
      </c>
      <c r="CV189" s="13">
        <f t="shared" si="173"/>
        <v>4.9186917125089072E-12</v>
      </c>
      <c r="CW189" s="20">
        <f t="shared" si="174"/>
        <v>9.2334028056631319E-12</v>
      </c>
      <c r="CX189" s="59">
        <f t="shared" si="122"/>
        <v>293.33333333334252</v>
      </c>
      <c r="CY189" s="59">
        <f ca="1">AVERAGE(OFFSET($CX$3,0,0,'Données projet'!$E$13+1,1))-AVERAGE(OFFSET($H$3,0,0,'Données projet'!$E$13+1,1))</f>
        <v>297.21955661193238</v>
      </c>
      <c r="CZ189" s="59">
        <f t="shared" si="150"/>
        <v>273.69206144662144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0.30676348012832616</v>
      </c>
      <c r="DG189" s="21">
        <f>EXP(-LN(2)/25)*DG188+(1-EXP(-LN(2)/25))/(LN(2)/25)*Calculateur!DB189*Calculateur!DD189*VLOOKUP('Données projet'!$B$13,Paramètres!$A$1:$I$89,3,0)*0.475*44/12</f>
        <v>0.17759339745050545</v>
      </c>
      <c r="DH189" s="21">
        <f>EXP(-LN(2)/2)*DH188+(1-EXP(-LN(2)/2))/(LN(2)/2)*DB189*DE189*VLOOKUP('Données projet'!$B$13,Paramètres!$A$1:$I$89,3,0)*0.475*44/12</f>
        <v>6.919459602541777E-23</v>
      </c>
      <c r="DI189" s="22">
        <f t="shared" si="175"/>
        <v>0.48435687757883161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-4.0702161641092972E-13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260.20517190557814</v>
      </c>
      <c r="DU189" s="59">
        <f t="shared" si="152"/>
        <v>307.22009971147133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0.14855323012663954</v>
      </c>
      <c r="EB189" s="21">
        <f>EXP(-LN(2)/25)*EB188+(1-EXP(-LN(2)/25))/(LN(2)/25)*Calculateur!DW189*Calculateur!DY189*VLOOKUP('Données projet'!$B$14,Paramètres!$A$1:$I$89,3,0)*0.475*44/12</f>
        <v>0.27148245966817497</v>
      </c>
      <c r="EC189" s="21">
        <f>EXP(-LN(2)/2)*EC188+(1-EXP(-LN(2)/2))/(LN(2)/2)*DW189*DZ189*VLOOKUP('Données projet'!$B$14,Paramètres!$A$1:$I$89,3,0)*0.475*44/12</f>
        <v>7.9538492313515944E-23</v>
      </c>
      <c r="ED189" s="22">
        <f t="shared" si="178"/>
        <v>0.42003568979481454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1.1368683772161603E-13</v>
      </c>
      <c r="EK189" s="17">
        <f>EJ189*VLOOKUP('Données projet'!$B$15,Paramètres!$A$1:$I$89,3,0)*VLOOKUP('Données projet'!$B$15,Paramètres!$A$1:$I$89,5,0)</f>
        <v>6.7984728957526396E-14</v>
      </c>
      <c r="EL189" s="13">
        <f t="shared" si="179"/>
        <v>1.0682447123141398E-12</v>
      </c>
      <c r="EM189" s="20">
        <f t="shared" si="180"/>
        <v>1.978932943548152E-12</v>
      </c>
      <c r="EN189" s="59">
        <f t="shared" si="128"/>
        <v>293.3333333333353</v>
      </c>
      <c r="EO189" s="59">
        <f ca="1">AVERAGE(OFFSET($EN$3,0,0,'Données projet'!$E$15+1,1))-AVERAGE(OFFSET($H$3,0,0,'Données projet'!$E$15+1,1))</f>
        <v>259.30247982593914</v>
      </c>
      <c r="EP189" s="59">
        <f t="shared" si="154"/>
        <v>275.24740346220779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0.23858389457213394</v>
      </c>
      <c r="EX189" s="21">
        <f>EXP(-LN(2)/2)*EX188+(1-EXP(-LN(2)/2))/(LN(2)/2)*ER189*EU189*VLOOKUP('Données projet'!$B$15,Paramètres!$A$1:$I$89,3,0)*0.475*44/12</f>
        <v>9.4895715573375864E-23</v>
      </c>
      <c r="EY189" s="22">
        <f t="shared" si="181"/>
        <v>0.23858389457213394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-5.6843418860808015E-13</v>
      </c>
      <c r="FF189" s="17">
        <f>FE189*VLOOKUP('Données projet'!$B$16,Paramètres!$A$1:$I$89,3,0)*VLOOKUP('Données projet'!$B$16,Paramètres!$A$1:$I$89,5,0)</f>
        <v>-5.763922672485933E-13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372.91317851957336</v>
      </c>
      <c r="FK189" s="59">
        <f t="shared" si="156"/>
        <v>269.69187715858413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0.12288754071889231</v>
      </c>
      <c r="FR189" s="21">
        <f>EXP(-LN(2)/25)*FR188+(1-EXP(-LN(2)/25))/(LN(2)/25)*Calculateur!FM189*Calculateur!FO189*VLOOKUP('Données projet'!$B$16,Paramètres!$A$1:$I$89,3,0)*0.475*44/12</f>
        <v>0.20098984162993422</v>
      </c>
      <c r="FS189" s="21">
        <f>EXP(-LN(2)/2)*FS188+(1-EXP(-LN(2)/2))/(LN(2)/2)*FM189*FP189*VLOOKUP('Données projet'!$B$16,Paramètres!$A$1:$I$89,3,0)*0.475*44/12</f>
        <v>8.0613341945830366E-23</v>
      </c>
      <c r="FT189" s="22">
        <f t="shared" si="184"/>
        <v>0.32387738234882651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-1.1368683772161603E-13</v>
      </c>
      <c r="GA189" s="17">
        <f>FZ189*VLOOKUP('Données projet'!$B$17,Paramètres!$A$1:$I$89,3,0)*VLOOKUP('Données projet'!$B$17,Paramètres!$A$1:$I$89,5,0)</f>
        <v>-5.3205440053716299E-14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215.23235148064941</v>
      </c>
      <c r="GF189" s="59">
        <f t="shared" si="158"/>
        <v>184.07239726900434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0.14270720004618417</v>
      </c>
      <c r="GM189" s="21">
        <f>EXP(-LN(2)/25)*GM188+(1-EXP(-LN(2)/25))/(LN(2)/25)*Calculateur!GH189*Calculateur!GJ189*VLOOKUP('Données projet'!$B$17,Paramètres!$A$1:$I$89,3,0)*0.475*44/12</f>
        <v>0.10393090028397958</v>
      </c>
      <c r="GN189" s="21">
        <f>EXP(-LN(2)/2)*GN188+(1-EXP(-LN(2)/2))/(LN(2)/2)*GH189*GK189*VLOOKUP('Données projet'!$B$17,Paramètres!$A$1:$I$89,3,0)*0.475*44/12</f>
        <v>3.2531943054802841E-23</v>
      </c>
      <c r="GO189" s="21">
        <f t="shared" si="187"/>
        <v>0.24663810033016376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-1.1368683772161603E-13</v>
      </c>
      <c r="GV189" s="17">
        <f>GU189*VLOOKUP('Données projet'!$B$18,Paramètres!$A$1:$I$89,3,0)*VLOOKUP('Données projet'!$B$18,Paramètres!$A$1:$I$89,5,0)</f>
        <v>-6.7984728957526396E-14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227.89848316900191</v>
      </c>
      <c r="HA189" s="59">
        <f t="shared" si="160"/>
        <v>239.85955661394541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0.36157514086839321</v>
      </c>
      <c r="HH189" s="21">
        <f>EXP(-LN(2)/25)*HH188+(1-EXP(-LN(2)/25))/(LN(2)/25)*Calculateur!HC189*Calculateur!HE189*VLOOKUP('Données projet'!$B$18,Paramètres!$A$1:$I$89,3,0)*0.475*44/12</f>
        <v>0.22681631209103198</v>
      </c>
      <c r="HI189" s="21">
        <f>EXP(-LN(2)/2)*HI188+(1-EXP(-LN(2)/2))/(LN(2)/2)*HC189*HF189*VLOOKUP('Données projet'!$B$18,Paramètres!$A$1:$I$89,3,0)*0.475*44/12</f>
        <v>2.2180254582467572E-23</v>
      </c>
      <c r="HJ189" s="22">
        <f t="shared" si="190"/>
        <v>0.58839145295942519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2.5420376914553347E-13</v>
      </c>
      <c r="P190" s="13">
        <f t="shared" si="141"/>
        <v>3.4258699088369875E-12</v>
      </c>
      <c r="Q190" s="20">
        <f t="shared" si="162"/>
        <v>6.4094616558195571E-12</v>
      </c>
      <c r="R190" s="59">
        <f t="shared" si="109"/>
        <v>293.33333333333974</v>
      </c>
      <c r="S190" s="59">
        <f ca="1">AVERAGE(OFFSET($R$3,0,0,'Données projet'!$E$9+1,1))-AVERAGE(OFFSET($H$3,0,0,'Données projet'!$E$9+1,1))</f>
        <v>370.69652285220093</v>
      </c>
      <c r="T190" s="59">
        <f t="shared" si="142"/>
        <v>376.53494965377718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0.45874235803615221</v>
      </c>
      <c r="AA190" s="21">
        <f>EXP(-LN(2)/25)*AA189+(1-EXP(-LN(2)/25))/(LN(2)/25)*Calculateur!V190*Calculateur!X190*VLOOKUP('Données projet'!$B$9,Paramètres!$A$1:$I$89,3,0)*0.475*44/12</f>
        <v>0.42988438095738024</v>
      </c>
      <c r="AB190" s="21">
        <f>EXP(-LN(2)/2)*AB189+(1-EXP(-LN(2)/2))/(LN(2)/2)*V190*Y190*VLOOKUP('Données projet'!$B$9,Paramètres!$A$1:$I$89,3,0)*0.475*44/12</f>
        <v>7.6575214387359067E-23</v>
      </c>
      <c r="AC190" s="22">
        <f t="shared" si="163"/>
        <v>0.88862673899353251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-5.6843418860808015E-13</v>
      </c>
      <c r="AJ190" s="13">
        <f>AI190*VLOOKUP('Données projet'!$B$10,Paramètres!$A$1:$I$89,3,0)*VLOOKUP('Données projet'!$B$10,Paramètres!$A$1:$I$89,5,0)</f>
        <v>-5.1431925385259092E-13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321.03881567735544</v>
      </c>
      <c r="AO190" s="59">
        <f t="shared" si="144"/>
        <v>234.87694492493506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0.1075032596609973</v>
      </c>
      <c r="AV190" s="21">
        <f>EXP(-LN(2)/25)*AV189+(1-EXP(-LN(2)/25))/(LN(2)/25)*Calculateur!AQ190*Calculateur!AS190*VLOOKUP('Données projet'!$B$10,Paramètres!$A$1:$I$89,3,0)*0.475*44/12</f>
        <v>0.17444058927347872</v>
      </c>
      <c r="AW190" s="21">
        <f>EXP(-LN(2)/2)*AW189+(1-EXP(-LN(2)/2))/(LN(2)/2)*AQ190*AT190*VLOOKUP('Données projet'!$B$10,Paramètres!$A$1:$I$89,3,0)*0.475*44/12</f>
        <v>5.0863537894652089E-23</v>
      </c>
      <c r="AX190" s="21">
        <f t="shared" si="166"/>
        <v>0.28194384893447599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3.1036506698001181E-13</v>
      </c>
      <c r="BF190" s="13">
        <f t="shared" si="167"/>
        <v>4.086682523110923E-12</v>
      </c>
      <c r="BG190" s="20">
        <f t="shared" si="168"/>
        <v>7.6581912194083782E-12</v>
      </c>
      <c r="BH190" s="59">
        <f t="shared" si="116"/>
        <v>293.33333333334099</v>
      </c>
      <c r="BI190" s="59">
        <f ca="1">AVERAGE(OFFSET($BH$3,0,0,'Données projet'!$E$11+1,1))-AVERAGE(OFFSET($H$3,0,0,'Données projet'!$E$11+1,1))</f>
        <v>248.1486444660062</v>
      </c>
      <c r="BJ190" s="59">
        <f t="shared" si="146"/>
        <v>293.34458072322127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0.38018394154370327</v>
      </c>
      <c r="BQ190" s="21">
        <f>EXP(-LN(2)/25)*BQ189+(1-EXP(-LN(2)/25))/(LN(2)/25)*Calculateur!BL190*Calculateur!BN190*VLOOKUP('Données projet'!$B$11,Paramètres!$A$1:$I$89,3,0)*0.475*44/12</f>
        <v>0.43801838579783386</v>
      </c>
      <c r="BR190" s="21">
        <f>EXP(-LN(2)/2)*BR189+(1-EXP(-LN(2)/2))/(LN(2)/2)*BL190*BO190*VLOOKUP('Données projet'!$B$11,Paramètres!$A$1:$I$89,3,0)*0.475*44/12</f>
        <v>5.8917309841979832E-23</v>
      </c>
      <c r="BS190" s="22">
        <f t="shared" si="169"/>
        <v>0.81820232734153708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243.38048563215585</v>
      </c>
      <c r="CE190" s="59">
        <f t="shared" si="148"/>
        <v>372.1604147006675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0.32621678793681969</v>
      </c>
      <c r="CL190" s="21">
        <f>EXP(-LN(2)/25)*CL189+(1-EXP(-LN(2)/25))/(LN(2)/25)*Calculateur!CG190*Calculateur!CI190*VLOOKUP('Données projet'!$B$12,Paramètres!$A$1:$I$89,3,0)*0.475*44/12</f>
        <v>0.24916753458459392</v>
      </c>
      <c r="CM190" s="21">
        <f>EXP(-LN(2)/2)*CM189+(1-EXP(-LN(2)/2))/(LN(2)/2)*CG190*CJ190*VLOOKUP('Données projet'!$B$12,Paramètres!$A$1:$I$89,3,0)*0.475*44/12</f>
        <v>6.8585820474265798E-23</v>
      </c>
      <c r="CN190" s="22">
        <f t="shared" si="172"/>
        <v>0.57538432252141358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7.9580786405131221E-13</v>
      </c>
      <c r="CU190" s="17">
        <f>CT190*VLOOKUP('Données projet'!$B$13,Paramètres!$A$1:$I$89,3,0)*VLOOKUP('Données projet'!$B$13,Paramètres!$A$1:$I$89,5,0)</f>
        <v>3.8278358260868117E-13</v>
      </c>
      <c r="CV190" s="13">
        <f t="shared" si="173"/>
        <v>4.9186917125089072E-12</v>
      </c>
      <c r="CW190" s="20">
        <f t="shared" si="174"/>
        <v>9.2334028056631319E-12</v>
      </c>
      <c r="CX190" s="59">
        <f t="shared" si="122"/>
        <v>293.33333333334252</v>
      </c>
      <c r="CY190" s="59">
        <f ca="1">AVERAGE(OFFSET($CX$3,0,0,'Données projet'!$E$13+1,1))-AVERAGE(OFFSET($H$3,0,0,'Données projet'!$E$13+1,1))</f>
        <v>297.21955661193238</v>
      </c>
      <c r="CZ190" s="59">
        <f t="shared" si="150"/>
        <v>273.69206144662144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0.30074803539025724</v>
      </c>
      <c r="DG190" s="21">
        <f>EXP(-LN(2)/25)*DG189+(1-EXP(-LN(2)/25))/(LN(2)/25)*Calculateur!DB190*Calculateur!DD190*VLOOKUP('Données projet'!$B$13,Paramètres!$A$1:$I$89,3,0)*0.475*44/12</f>
        <v>0.1727370966579905</v>
      </c>
      <c r="DH190" s="21">
        <f>EXP(-LN(2)/2)*DH189+(1-EXP(-LN(2)/2))/(LN(2)/2)*DB190*DE190*VLOOKUP('Données projet'!$B$13,Paramètres!$A$1:$I$89,3,0)*0.475*44/12</f>
        <v>4.8927968071036635E-23</v>
      </c>
      <c r="DI190" s="22">
        <f t="shared" si="175"/>
        <v>0.47348513204824771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-4.0702161641092972E-13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260.20517190557814</v>
      </c>
      <c r="DU190" s="59">
        <f t="shared" si="152"/>
        <v>307.22009971147133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0.14564019189237967</v>
      </c>
      <c r="EB190" s="21">
        <f>EXP(-LN(2)/25)*EB189+(1-EXP(-LN(2)/25))/(LN(2)/25)*Calculateur!DW190*Calculateur!DY190*VLOOKUP('Données projet'!$B$14,Paramètres!$A$1:$I$89,3,0)*0.475*44/12</f>
        <v>0.26405875753190666</v>
      </c>
      <c r="EC190" s="21">
        <f>EXP(-LN(2)/2)*EC189+(1-EXP(-LN(2)/2))/(LN(2)/2)*DW190*DZ190*VLOOKUP('Données projet'!$B$14,Paramètres!$A$1:$I$89,3,0)*0.475*44/12</f>
        <v>5.624220728024121E-23</v>
      </c>
      <c r="ED190" s="22">
        <f t="shared" si="178"/>
        <v>0.40969894942428631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1.1368683772161603E-13</v>
      </c>
      <c r="EK190" s="17">
        <f>EJ190*VLOOKUP('Données projet'!$B$15,Paramètres!$A$1:$I$89,3,0)*VLOOKUP('Données projet'!$B$15,Paramètres!$A$1:$I$89,5,0)</f>
        <v>6.7984728957526396E-14</v>
      </c>
      <c r="EL190" s="13">
        <f t="shared" si="179"/>
        <v>1.0682447123141398E-12</v>
      </c>
      <c r="EM190" s="20">
        <f t="shared" si="180"/>
        <v>1.978932943548152E-12</v>
      </c>
      <c r="EN190" s="59">
        <f t="shared" si="128"/>
        <v>293.3333333333353</v>
      </c>
      <c r="EO190" s="59">
        <f ca="1">AVERAGE(OFFSET($EN$3,0,0,'Données projet'!$E$15+1,1))-AVERAGE(OFFSET($H$3,0,0,'Données projet'!$E$15+1,1))</f>
        <v>259.30247982593914</v>
      </c>
      <c r="EP190" s="59">
        <f t="shared" si="154"/>
        <v>275.24740346220779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0.23205980542847721</v>
      </c>
      <c r="EX190" s="21">
        <f>EXP(-LN(2)/2)*EX189+(1-EXP(-LN(2)/2))/(LN(2)/2)*ER190*EU190*VLOOKUP('Données projet'!$B$15,Paramètres!$A$1:$I$89,3,0)*0.475*44/12</f>
        <v>6.7101403987483936E-23</v>
      </c>
      <c r="EY190" s="22">
        <f t="shared" si="181"/>
        <v>0.23205980542847721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-5.6843418860808015E-13</v>
      </c>
      <c r="FF190" s="17">
        <f>FE190*VLOOKUP('Données projet'!$B$16,Paramètres!$A$1:$I$89,3,0)*VLOOKUP('Données projet'!$B$16,Paramètres!$A$1:$I$89,5,0)</f>
        <v>-5.763922672485933E-13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372.91317851957336</v>
      </c>
      <c r="FK190" s="59">
        <f t="shared" si="156"/>
        <v>269.69187715858413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0.12047779099939358</v>
      </c>
      <c r="FR190" s="21">
        <f>EXP(-LN(2)/25)*FR189+(1-EXP(-LN(2)/25))/(LN(2)/25)*Calculateur!FM190*Calculateur!FO190*VLOOKUP('Données projet'!$B$16,Paramètres!$A$1:$I$89,3,0)*0.475*44/12</f>
        <v>0.19549376384096726</v>
      </c>
      <c r="FS190" s="21">
        <f>EXP(-LN(2)/2)*FS189+(1-EXP(-LN(2)/2))/(LN(2)/2)*FM190*FP190*VLOOKUP('Données projet'!$B$16,Paramètres!$A$1:$I$89,3,0)*0.475*44/12</f>
        <v>5.7002240744006605E-23</v>
      </c>
      <c r="FT190" s="22">
        <f t="shared" si="184"/>
        <v>0.31597155484036082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-1.1368683772161603E-13</v>
      </c>
      <c r="GA190" s="17">
        <f>FZ190*VLOOKUP('Données projet'!$B$17,Paramètres!$A$1:$I$89,3,0)*VLOOKUP('Données projet'!$B$17,Paramètres!$A$1:$I$89,5,0)</f>
        <v>-5.3205440053716299E-14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215.23235148064941</v>
      </c>
      <c r="GF190" s="59">
        <f t="shared" si="158"/>
        <v>184.07239726900434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0.13990879889607577</v>
      </c>
      <c r="GM190" s="21">
        <f>EXP(-LN(2)/25)*GM189+(1-EXP(-LN(2)/25))/(LN(2)/25)*Calculateur!GH190*Calculateur!GJ190*VLOOKUP('Données projet'!$B$17,Paramètres!$A$1:$I$89,3,0)*0.475*44/12</f>
        <v>0.10108890435022565</v>
      </c>
      <c r="GN190" s="21">
        <f>EXP(-LN(2)/2)*GN189+(1-EXP(-LN(2)/2))/(LN(2)/2)*GH190*GK190*VLOOKUP('Données projet'!$B$17,Paramètres!$A$1:$I$89,3,0)*0.475*44/12</f>
        <v>2.3003557539225697E-23</v>
      </c>
      <c r="GO190" s="21">
        <f t="shared" si="187"/>
        <v>0.24099770324630143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-1.1368683772161603E-13</v>
      </c>
      <c r="GV190" s="17">
        <f>GU190*VLOOKUP('Données projet'!$B$18,Paramètres!$A$1:$I$89,3,0)*VLOOKUP('Données projet'!$B$18,Paramètres!$A$1:$I$89,5,0)</f>
        <v>-6.7984728957526396E-14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227.89848316900191</v>
      </c>
      <c r="HA190" s="59">
        <f t="shared" si="160"/>
        <v>239.85955661394541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0.35448487289502351</v>
      </c>
      <c r="HH190" s="21">
        <f>EXP(-LN(2)/25)*HH189+(1-EXP(-LN(2)/25))/(LN(2)/25)*Calculateur!HC190*Calculateur!HE190*VLOOKUP('Données projet'!$B$18,Paramètres!$A$1:$I$89,3,0)*0.475*44/12</f>
        <v>0.22061400810915124</v>
      </c>
      <c r="HI190" s="21">
        <f>EXP(-LN(2)/2)*HI189+(1-EXP(-LN(2)/2))/(LN(2)/2)*HC190*HF190*VLOOKUP('Données projet'!$B$18,Paramètres!$A$1:$I$89,3,0)*0.475*44/12</f>
        <v>1.5683808423706815E-23</v>
      </c>
      <c r="HJ190" s="22">
        <f t="shared" si="190"/>
        <v>0.57509888100417472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2.5420376914553347E-13</v>
      </c>
      <c r="P191" s="13">
        <f t="shared" si="141"/>
        <v>3.4258699088369875E-12</v>
      </c>
      <c r="Q191" s="20">
        <f t="shared" si="162"/>
        <v>6.4094616558195571E-12</v>
      </c>
      <c r="R191" s="59">
        <f t="shared" si="109"/>
        <v>293.33333333333974</v>
      </c>
      <c r="S191" s="59">
        <f ca="1">AVERAGE(OFFSET($R$3,0,0,'Données projet'!$E$9+1,1))-AVERAGE(OFFSET($H$3,0,0,'Données projet'!$E$9+1,1))</f>
        <v>370.69652285220093</v>
      </c>
      <c r="T191" s="59">
        <f t="shared" si="142"/>
        <v>376.53494965377718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0.44974670020027319</v>
      </c>
      <c r="AA191" s="21">
        <f>EXP(-LN(2)/25)*AA190+(1-EXP(-LN(2)/25))/(LN(2)/25)*Calculateur!V191*Calculateur!X191*VLOOKUP('Données projet'!$B$9,Paramètres!$A$1:$I$89,3,0)*0.475*44/12</f>
        <v>0.41812916995346361</v>
      </c>
      <c r="AB191" s="21">
        <f>EXP(-LN(2)/2)*AB190+(1-EXP(-LN(2)/2))/(LN(2)/2)*V191*Y191*VLOOKUP('Données projet'!$B$9,Paramètres!$A$1:$I$89,3,0)*0.475*44/12</f>
        <v>5.4146853364115271E-23</v>
      </c>
      <c r="AC191" s="22">
        <f t="shared" si="163"/>
        <v>0.86787587015373679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-5.6843418860808015E-13</v>
      </c>
      <c r="AJ191" s="13">
        <f>AI191*VLOOKUP('Données projet'!$B$10,Paramètres!$A$1:$I$89,3,0)*VLOOKUP('Données projet'!$B$10,Paramètres!$A$1:$I$89,5,0)</f>
        <v>-5.1431925385259092E-13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321.03881567735544</v>
      </c>
      <c r="AO191" s="59">
        <f t="shared" si="144"/>
        <v>234.87694492493506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0.10539518630955899</v>
      </c>
      <c r="AV191" s="21">
        <f>EXP(-LN(2)/25)*AV190+(1-EXP(-LN(2)/25))/(LN(2)/25)*Calculateur!AQ191*Calculateur!AS191*VLOOKUP('Données projet'!$B$10,Paramètres!$A$1:$I$89,3,0)*0.475*44/12</f>
        <v>0.16967050218636354</v>
      </c>
      <c r="AW191" s="21">
        <f>EXP(-LN(2)/2)*AW190+(1-EXP(-LN(2)/2))/(LN(2)/2)*AQ191*AT191*VLOOKUP('Données projet'!$B$10,Paramètres!$A$1:$I$89,3,0)*0.475*44/12</f>
        <v>3.5965952560447422E-23</v>
      </c>
      <c r="AX191" s="21">
        <f t="shared" si="166"/>
        <v>0.2750656884959225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3.1036506698001181E-13</v>
      </c>
      <c r="BF191" s="13">
        <f t="shared" si="167"/>
        <v>4.086682523110923E-12</v>
      </c>
      <c r="BG191" s="20">
        <f t="shared" si="168"/>
        <v>7.6581912194083782E-12</v>
      </c>
      <c r="BH191" s="59">
        <f t="shared" si="116"/>
        <v>293.33333333334099</v>
      </c>
      <c r="BI191" s="59">
        <f ca="1">AVERAGE(OFFSET($BH$3,0,0,'Données projet'!$E$11+1,1))-AVERAGE(OFFSET($H$3,0,0,'Données projet'!$E$11+1,1))</f>
        <v>248.1486444660062</v>
      </c>
      <c r="BJ191" s="59">
        <f t="shared" si="146"/>
        <v>293.34458072322127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0.37272876633933844</v>
      </c>
      <c r="BQ191" s="21">
        <f>EXP(-LN(2)/25)*BQ190+(1-EXP(-LN(2)/25))/(LN(2)/25)*Calculateur!BL191*Calculateur!BN191*VLOOKUP('Données projet'!$B$11,Paramètres!$A$1:$I$89,3,0)*0.475*44/12</f>
        <v>0.42604075000380631</v>
      </c>
      <c r="BR191" s="21">
        <f>EXP(-LN(2)/2)*BR190+(1-EXP(-LN(2)/2))/(LN(2)/2)*BL191*BO191*VLOOKUP('Données projet'!$B$11,Paramètres!$A$1:$I$89,3,0)*0.475*44/12</f>
        <v>4.1660829318532856E-23</v>
      </c>
      <c r="BS191" s="22">
        <f t="shared" si="169"/>
        <v>0.79876951634314475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243.38048563215585</v>
      </c>
      <c r="CE191" s="59">
        <f t="shared" si="148"/>
        <v>372.1604147006675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0.31981987569797238</v>
      </c>
      <c r="CL191" s="21">
        <f>EXP(-LN(2)/25)*CL190+(1-EXP(-LN(2)/25))/(LN(2)/25)*Calculateur!CG191*Calculateur!CI191*VLOOKUP('Données projet'!$B$12,Paramètres!$A$1:$I$89,3,0)*0.475*44/12</f>
        <v>0.24235403524822705</v>
      </c>
      <c r="CM191" s="21">
        <f>EXP(-LN(2)/2)*CM190+(1-EXP(-LN(2)/2))/(LN(2)/2)*CG191*CJ191*VLOOKUP('Données projet'!$B$12,Paramètres!$A$1:$I$89,3,0)*0.475*44/12</f>
        <v>4.8497498750596497E-23</v>
      </c>
      <c r="CN191" s="22">
        <f t="shared" si="172"/>
        <v>0.5621739109461994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7.9580786405131221E-13</v>
      </c>
      <c r="CU191" s="17">
        <f>CT191*VLOOKUP('Données projet'!$B$13,Paramètres!$A$1:$I$89,3,0)*VLOOKUP('Données projet'!$B$13,Paramètres!$A$1:$I$89,5,0)</f>
        <v>3.8278358260868117E-13</v>
      </c>
      <c r="CV191" s="13">
        <f t="shared" si="173"/>
        <v>4.9186917125089072E-12</v>
      </c>
      <c r="CW191" s="20">
        <f t="shared" si="174"/>
        <v>9.2334028056631319E-12</v>
      </c>
      <c r="CX191" s="59">
        <f t="shared" si="122"/>
        <v>293.33333333334252</v>
      </c>
      <c r="CY191" s="59">
        <f ca="1">AVERAGE(OFFSET($CX$3,0,0,'Données projet'!$E$13+1,1))-AVERAGE(OFFSET($H$3,0,0,'Données projet'!$E$13+1,1))</f>
        <v>297.21955661193238</v>
      </c>
      <c r="CZ191" s="59">
        <f t="shared" si="150"/>
        <v>273.69206144662144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0.29485054985444287</v>
      </c>
      <c r="DG191" s="21">
        <f>EXP(-LN(2)/25)*DG190+(1-EXP(-LN(2)/25))/(LN(2)/25)*Calculateur!DB191*Calculateur!DD191*VLOOKUP('Données projet'!$B$13,Paramètres!$A$1:$I$89,3,0)*0.475*44/12</f>
        <v>0.16801359166602864</v>
      </c>
      <c r="DH191" s="21">
        <f>EXP(-LN(2)/2)*DH190+(1-EXP(-LN(2)/2))/(LN(2)/2)*DB191*DE191*VLOOKUP('Données projet'!$B$13,Paramètres!$A$1:$I$89,3,0)*0.475*44/12</f>
        <v>3.4597298012708885E-23</v>
      </c>
      <c r="DI191" s="22">
        <f t="shared" si="175"/>
        <v>0.46286414152047151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-4.0702161641092972E-13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260.20517190557814</v>
      </c>
      <c r="DU191" s="59">
        <f t="shared" si="152"/>
        <v>307.22009971147133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0.14278427656111575</v>
      </c>
      <c r="EB191" s="21">
        <f>EXP(-LN(2)/25)*EB190+(1-EXP(-LN(2)/25))/(LN(2)/25)*Calculateur!DW191*Calculateur!DY191*VLOOKUP('Données projet'!$B$14,Paramètres!$A$1:$I$89,3,0)*0.475*44/12</f>
        <v>0.25683805692095013</v>
      </c>
      <c r="EC191" s="21">
        <f>EXP(-LN(2)/2)*EC190+(1-EXP(-LN(2)/2))/(LN(2)/2)*DW191*DZ191*VLOOKUP('Données projet'!$B$14,Paramètres!$A$1:$I$89,3,0)*0.475*44/12</f>
        <v>3.9769246156757972E-23</v>
      </c>
      <c r="ED191" s="22">
        <f t="shared" si="178"/>
        <v>0.39962233348206588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1.1368683772161603E-13</v>
      </c>
      <c r="EK191" s="17">
        <f>EJ191*VLOOKUP('Données projet'!$B$15,Paramètres!$A$1:$I$89,3,0)*VLOOKUP('Données projet'!$B$15,Paramètres!$A$1:$I$89,5,0)</f>
        <v>6.7984728957526396E-14</v>
      </c>
      <c r="EL191" s="13">
        <f t="shared" si="179"/>
        <v>1.0682447123141398E-12</v>
      </c>
      <c r="EM191" s="20">
        <f t="shared" si="180"/>
        <v>1.978932943548152E-12</v>
      </c>
      <c r="EN191" s="59">
        <f t="shared" si="128"/>
        <v>293.3333333333353</v>
      </c>
      <c r="EO191" s="59">
        <f ca="1">AVERAGE(OFFSET($EN$3,0,0,'Données projet'!$E$15+1,1))-AVERAGE(OFFSET($H$3,0,0,'Données projet'!$E$15+1,1))</f>
        <v>259.30247982593914</v>
      </c>
      <c r="EP191" s="59">
        <f t="shared" si="154"/>
        <v>275.24740346220779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0.22571411784554071</v>
      </c>
      <c r="EX191" s="21">
        <f>EXP(-LN(2)/2)*EX190+(1-EXP(-LN(2)/2))/(LN(2)/2)*ER191*EU191*VLOOKUP('Données projet'!$B$15,Paramètres!$A$1:$I$89,3,0)*0.475*44/12</f>
        <v>4.7447857786687932E-23</v>
      </c>
      <c r="EY191" s="22">
        <f t="shared" si="181"/>
        <v>0.22571411784554071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-5.6843418860808015E-13</v>
      </c>
      <c r="FF191" s="17">
        <f>FE191*VLOOKUP('Données projet'!$B$16,Paramètres!$A$1:$I$89,3,0)*VLOOKUP('Données projet'!$B$16,Paramètres!$A$1:$I$89,5,0)</f>
        <v>-5.763922672485933E-13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372.91317851957336</v>
      </c>
      <c r="FK191" s="59">
        <f t="shared" si="156"/>
        <v>269.69187715858413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0.11811529500209202</v>
      </c>
      <c r="FR191" s="21">
        <f>EXP(-LN(2)/25)*FR190+(1-EXP(-LN(2)/25))/(LN(2)/25)*Calculateur!FM191*Calculateur!FO191*VLOOKUP('Données projet'!$B$16,Paramètres!$A$1:$I$89,3,0)*0.475*44/12</f>
        <v>0.19014797658816576</v>
      </c>
      <c r="FS191" s="21">
        <f>EXP(-LN(2)/2)*FS190+(1-EXP(-LN(2)/2))/(LN(2)/2)*FM191*FP191*VLOOKUP('Données projet'!$B$16,Paramètres!$A$1:$I$89,3,0)*0.475*44/12</f>
        <v>4.0306670972915183E-23</v>
      </c>
      <c r="FT191" s="22">
        <f t="shared" si="184"/>
        <v>0.30826327159025779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-1.1368683772161603E-13</v>
      </c>
      <c r="GA191" s="17">
        <f>FZ191*VLOOKUP('Données projet'!$B$17,Paramètres!$A$1:$I$89,3,0)*VLOOKUP('Données projet'!$B$17,Paramètres!$A$1:$I$89,5,0)</f>
        <v>-5.3205440053716299E-14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215.23235148064941</v>
      </c>
      <c r="GF191" s="59">
        <f t="shared" si="158"/>
        <v>184.07239726900434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0.13716527268566484</v>
      </c>
      <c r="GM191" s="21">
        <f>EXP(-LN(2)/25)*GM190+(1-EXP(-LN(2)/25))/(LN(2)/25)*Calculateur!GH191*Calculateur!GJ191*VLOOKUP('Données projet'!$B$17,Paramètres!$A$1:$I$89,3,0)*0.475*44/12</f>
        <v>9.8324622944734291E-2</v>
      </c>
      <c r="GN191" s="21">
        <f>EXP(-LN(2)/2)*GN190+(1-EXP(-LN(2)/2))/(LN(2)/2)*GH191*GK191*VLOOKUP('Données projet'!$B$17,Paramètres!$A$1:$I$89,3,0)*0.475*44/12</f>
        <v>1.626597152740142E-23</v>
      </c>
      <c r="GO191" s="21">
        <f t="shared" si="187"/>
        <v>0.23548989563039913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-1.1368683772161603E-13</v>
      </c>
      <c r="GV191" s="17">
        <f>GU191*VLOOKUP('Données projet'!$B$18,Paramètres!$A$1:$I$89,3,0)*VLOOKUP('Données projet'!$B$18,Paramètres!$A$1:$I$89,5,0)</f>
        <v>-6.7984728957526396E-14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227.89848316900191</v>
      </c>
      <c r="HA191" s="59">
        <f t="shared" si="160"/>
        <v>239.85955661394541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0.34753364075197518</v>
      </c>
      <c r="HH191" s="21">
        <f>EXP(-LN(2)/25)*HH190+(1-EXP(-LN(2)/25))/(LN(2)/25)*Calculateur!HC191*Calculateur!HE191*VLOOKUP('Données projet'!$B$18,Paramètres!$A$1:$I$89,3,0)*0.475*44/12</f>
        <v>0.21458130645582005</v>
      </c>
      <c r="HI191" s="21">
        <f>EXP(-LN(2)/2)*HI190+(1-EXP(-LN(2)/2))/(LN(2)/2)*HC191*HF191*VLOOKUP('Données projet'!$B$18,Paramètres!$A$1:$I$89,3,0)*0.475*44/12</f>
        <v>1.1090127291233786E-23</v>
      </c>
      <c r="HJ191" s="22">
        <f t="shared" si="190"/>
        <v>0.5621149472077952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2.5420376914553347E-13</v>
      </c>
      <c r="P192" s="13">
        <f t="shared" si="141"/>
        <v>3.4258699088369875E-12</v>
      </c>
      <c r="Q192" s="20">
        <f t="shared" si="162"/>
        <v>6.4094616558195571E-12</v>
      </c>
      <c r="R192" s="59">
        <f t="shared" si="109"/>
        <v>293.33333333333974</v>
      </c>
      <c r="S192" s="59">
        <f ca="1">AVERAGE(OFFSET($R$3,0,0,'Données projet'!$E$9+1,1))-AVERAGE(OFFSET($H$3,0,0,'Données projet'!$E$9+1,1))</f>
        <v>370.69652285220093</v>
      </c>
      <c r="T192" s="59">
        <f t="shared" si="142"/>
        <v>376.53494965377718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0.44092744172774628</v>
      </c>
      <c r="AA192" s="21">
        <f>EXP(-LN(2)/25)*AA191+(1-EXP(-LN(2)/25))/(LN(2)/25)*Calculateur!V192*Calculateur!X192*VLOOKUP('Données projet'!$B$9,Paramètres!$A$1:$I$89,3,0)*0.475*44/12</f>
        <v>0.40669540581262875</v>
      </c>
      <c r="AB192" s="21">
        <f>EXP(-LN(2)/2)*AB191+(1-EXP(-LN(2)/2))/(LN(2)/2)*V192*Y192*VLOOKUP('Données projet'!$B$9,Paramètres!$A$1:$I$89,3,0)*0.475*44/12</f>
        <v>3.8287607193679533E-23</v>
      </c>
      <c r="AC192" s="22">
        <f t="shared" si="163"/>
        <v>0.84762284754037509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-5.6843418860808015E-13</v>
      </c>
      <c r="AJ192" s="13">
        <f>AI192*VLOOKUP('Données projet'!$B$10,Paramètres!$A$1:$I$89,3,0)*VLOOKUP('Données projet'!$B$10,Paramètres!$A$1:$I$89,5,0)</f>
        <v>-5.1431925385259092E-13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321.03881567735544</v>
      </c>
      <c r="AO192" s="59">
        <f t="shared" si="144"/>
        <v>234.87694492493506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0.1033284509907446</v>
      </c>
      <c r="AV192" s="21">
        <f>EXP(-LN(2)/25)*AV191+(1-EXP(-LN(2)/25))/(LN(2)/25)*Calculateur!AQ192*Calculateur!AS192*VLOOKUP('Données projet'!$B$10,Paramètres!$A$1:$I$89,3,0)*0.475*44/12</f>
        <v>0.16503085338149351</v>
      </c>
      <c r="AW192" s="21">
        <f>EXP(-LN(2)/2)*AW191+(1-EXP(-LN(2)/2))/(LN(2)/2)*AQ192*AT192*VLOOKUP('Données projet'!$B$10,Paramètres!$A$1:$I$89,3,0)*0.475*44/12</f>
        <v>2.5431768947326044E-23</v>
      </c>
      <c r="AX192" s="21">
        <f t="shared" si="166"/>
        <v>0.26835930437223809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3.1036506698001181E-13</v>
      </c>
      <c r="BF192" s="13">
        <f t="shared" si="167"/>
        <v>4.086682523110923E-12</v>
      </c>
      <c r="BG192" s="20">
        <f t="shared" si="168"/>
        <v>7.6581912194083782E-12</v>
      </c>
      <c r="BH192" s="59">
        <f t="shared" si="116"/>
        <v>293.33333333334099</v>
      </c>
      <c r="BI192" s="59">
        <f ca="1">AVERAGE(OFFSET($BH$3,0,0,'Données projet'!$E$11+1,1))-AVERAGE(OFFSET($H$3,0,0,'Données projet'!$E$11+1,1))</f>
        <v>248.1486444660062</v>
      </c>
      <c r="BJ192" s="59">
        <f t="shared" si="146"/>
        <v>293.34458072322127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0.36541978257352331</v>
      </c>
      <c r="BQ192" s="21">
        <f>EXP(-LN(2)/25)*BQ191+(1-EXP(-LN(2)/25))/(LN(2)/25)*Calculateur!BL192*Calculateur!BN192*VLOOKUP('Données projet'!$B$11,Paramètres!$A$1:$I$89,3,0)*0.475*44/12</f>
        <v>0.41439064329044289</v>
      </c>
      <c r="BR192" s="21">
        <f>EXP(-LN(2)/2)*BR191+(1-EXP(-LN(2)/2))/(LN(2)/2)*BL192*BO192*VLOOKUP('Données projet'!$B$11,Paramètres!$A$1:$I$89,3,0)*0.475*44/12</f>
        <v>2.9458654920989916E-23</v>
      </c>
      <c r="BS192" s="22">
        <f t="shared" si="169"/>
        <v>0.77981042586396621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243.38048563215585</v>
      </c>
      <c r="CE192" s="59">
        <f t="shared" si="148"/>
        <v>372.1604147006675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0.31354840300639769</v>
      </c>
      <c r="CL192" s="21">
        <f>EXP(-LN(2)/25)*CL191+(1-EXP(-LN(2)/25))/(LN(2)/25)*Calculateur!CG192*Calculateur!CI192*VLOOKUP('Données projet'!$B$12,Paramètres!$A$1:$I$89,3,0)*0.475*44/12</f>
        <v>0.23572685140951946</v>
      </c>
      <c r="CM192" s="21">
        <f>EXP(-LN(2)/2)*CM191+(1-EXP(-LN(2)/2))/(LN(2)/2)*CG192*CJ192*VLOOKUP('Données projet'!$B$12,Paramètres!$A$1:$I$89,3,0)*0.475*44/12</f>
        <v>3.4292910237132899E-23</v>
      </c>
      <c r="CN192" s="22">
        <f t="shared" si="172"/>
        <v>0.54927525441591718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7.9580786405131221E-13</v>
      </c>
      <c r="CU192" s="17">
        <f>CT192*VLOOKUP('Données projet'!$B$13,Paramètres!$A$1:$I$89,3,0)*VLOOKUP('Données projet'!$B$13,Paramètres!$A$1:$I$89,5,0)</f>
        <v>3.8278358260868117E-13</v>
      </c>
      <c r="CV192" s="13">
        <f t="shared" si="173"/>
        <v>4.9186917125089072E-12</v>
      </c>
      <c r="CW192" s="20">
        <f t="shared" si="174"/>
        <v>9.2334028056631319E-12</v>
      </c>
      <c r="CX192" s="59">
        <f t="shared" si="122"/>
        <v>293.33333333334252</v>
      </c>
      <c r="CY192" s="59">
        <f ca="1">AVERAGE(OFFSET($CX$3,0,0,'Données projet'!$E$13+1,1))-AVERAGE(OFFSET($H$3,0,0,'Données projet'!$E$13+1,1))</f>
        <v>297.21955661193238</v>
      </c>
      <c r="CZ192" s="59">
        <f t="shared" si="150"/>
        <v>273.69206144662144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0.2890687104128748</v>
      </c>
      <c r="DG192" s="21">
        <f>EXP(-LN(2)/25)*DG191+(1-EXP(-LN(2)/25))/(LN(2)/25)*Calculateur!DB192*Calculateur!DD192*VLOOKUP('Données projet'!$B$13,Paramètres!$A$1:$I$89,3,0)*0.475*44/12</f>
        <v>0.1634192511664703</v>
      </c>
      <c r="DH192" s="21">
        <f>EXP(-LN(2)/2)*DH191+(1-EXP(-LN(2)/2))/(LN(2)/2)*DB192*DE192*VLOOKUP('Données projet'!$B$13,Paramètres!$A$1:$I$89,3,0)*0.475*44/12</f>
        <v>2.4463984035518318E-23</v>
      </c>
      <c r="DI192" s="22">
        <f t="shared" si="175"/>
        <v>0.45248796157934512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-4.0702161641092972E-13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260.20517190557814</v>
      </c>
      <c r="DU192" s="59">
        <f t="shared" si="152"/>
        <v>307.22009971147133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0.13998436398756156</v>
      </c>
      <c r="EB192" s="21">
        <f>EXP(-LN(2)/25)*EB191+(1-EXP(-LN(2)/25))/(LN(2)/25)*Calculateur!DW192*Calculateur!DY192*VLOOKUP('Données projet'!$B$14,Paramètres!$A$1:$I$89,3,0)*0.475*44/12</f>
        <v>0.24981480674792034</v>
      </c>
      <c r="EC192" s="21">
        <f>EXP(-LN(2)/2)*EC191+(1-EXP(-LN(2)/2))/(LN(2)/2)*DW192*DZ192*VLOOKUP('Données projet'!$B$14,Paramètres!$A$1:$I$89,3,0)*0.475*44/12</f>
        <v>2.8121103640120605E-23</v>
      </c>
      <c r="ED192" s="22">
        <f t="shared" si="178"/>
        <v>0.38979917073548187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1.1368683772161603E-13</v>
      </c>
      <c r="EK192" s="17">
        <f>EJ192*VLOOKUP('Données projet'!$B$15,Paramètres!$A$1:$I$89,3,0)*VLOOKUP('Données projet'!$B$15,Paramètres!$A$1:$I$89,5,0)</f>
        <v>6.7984728957526396E-14</v>
      </c>
      <c r="EL192" s="13">
        <f t="shared" si="179"/>
        <v>1.0682447123141398E-12</v>
      </c>
      <c r="EM192" s="20">
        <f t="shared" si="180"/>
        <v>1.978932943548152E-12</v>
      </c>
      <c r="EN192" s="59">
        <f t="shared" si="128"/>
        <v>293.3333333333353</v>
      </c>
      <c r="EO192" s="59">
        <f ca="1">AVERAGE(OFFSET($EN$3,0,0,'Données projet'!$E$15+1,1))-AVERAGE(OFFSET($H$3,0,0,'Données projet'!$E$15+1,1))</f>
        <v>259.30247982593914</v>
      </c>
      <c r="EP192" s="59">
        <f t="shared" si="154"/>
        <v>275.24740346220779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0.21954195342326482</v>
      </c>
      <c r="EX192" s="21">
        <f>EXP(-LN(2)/2)*EX191+(1-EXP(-LN(2)/2))/(LN(2)/2)*ER192*EU192*VLOOKUP('Données projet'!$B$15,Paramètres!$A$1:$I$89,3,0)*0.475*44/12</f>
        <v>3.3550701993741968E-23</v>
      </c>
      <c r="EY192" s="22">
        <f t="shared" si="181"/>
        <v>0.21954195342326482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-5.6843418860808015E-13</v>
      </c>
      <c r="FF192" s="17">
        <f>FE192*VLOOKUP('Données projet'!$B$16,Paramètres!$A$1:$I$89,3,0)*VLOOKUP('Données projet'!$B$16,Paramètres!$A$1:$I$89,5,0)</f>
        <v>-5.763922672485933E-13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372.91317851957336</v>
      </c>
      <c r="FK192" s="59">
        <f t="shared" si="156"/>
        <v>269.69187715858413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0.11579912611031727</v>
      </c>
      <c r="FR192" s="21">
        <f>EXP(-LN(2)/25)*FR191+(1-EXP(-LN(2)/25))/(LN(2)/25)*Calculateur!FM192*Calculateur!FO192*VLOOKUP('Données projet'!$B$16,Paramètres!$A$1:$I$89,3,0)*0.475*44/12</f>
        <v>0.18494837016891488</v>
      </c>
      <c r="FS192" s="21">
        <f>EXP(-LN(2)/2)*FS191+(1-EXP(-LN(2)/2))/(LN(2)/2)*FM192*FP192*VLOOKUP('Données projet'!$B$16,Paramètres!$A$1:$I$89,3,0)*0.475*44/12</f>
        <v>2.8501120372003303E-23</v>
      </c>
      <c r="FT192" s="22">
        <f t="shared" si="184"/>
        <v>0.30074749627923214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-1.1368683772161603E-13</v>
      </c>
      <c r="GA192" s="17">
        <f>FZ192*VLOOKUP('Données projet'!$B$17,Paramètres!$A$1:$I$89,3,0)*VLOOKUP('Données projet'!$B$17,Paramètres!$A$1:$I$89,5,0)</f>
        <v>-5.3205440053716299E-14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215.23235148064941</v>
      </c>
      <c r="GF192" s="59">
        <f t="shared" si="158"/>
        <v>184.07239726900434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0.13447554535085429</v>
      </c>
      <c r="GM192" s="21">
        <f>EXP(-LN(2)/25)*GM191+(1-EXP(-LN(2)/25))/(LN(2)/25)*Calculateur!GH192*Calculateur!GJ192*VLOOKUP('Données projet'!$B$17,Paramètres!$A$1:$I$89,3,0)*0.475*44/12</f>
        <v>9.5635930959643331E-2</v>
      </c>
      <c r="GN192" s="21">
        <f>EXP(-LN(2)/2)*GN191+(1-EXP(-LN(2)/2))/(LN(2)/2)*GH192*GK192*VLOOKUP('Données projet'!$B$17,Paramètres!$A$1:$I$89,3,0)*0.475*44/12</f>
        <v>1.1501778769612849E-23</v>
      </c>
      <c r="GO192" s="21">
        <f t="shared" si="187"/>
        <v>0.23011147631049761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-1.1368683772161603E-13</v>
      </c>
      <c r="GV192" s="17">
        <f>GU192*VLOOKUP('Données projet'!$B$18,Paramètres!$A$1:$I$89,3,0)*VLOOKUP('Données projet'!$B$18,Paramètres!$A$1:$I$89,5,0)</f>
        <v>-6.7984728957526396E-14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227.89848316900191</v>
      </c>
      <c r="HA192" s="59">
        <f t="shared" si="160"/>
        <v>239.85955661394541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0.34071871803141907</v>
      </c>
      <c r="HH192" s="21">
        <f>EXP(-LN(2)/25)*HH191+(1-EXP(-LN(2)/25))/(LN(2)/25)*Calculateur!HC192*Calculateur!HE192*VLOOKUP('Données projet'!$B$18,Paramètres!$A$1:$I$89,3,0)*0.475*44/12</f>
        <v>0.20871356934644517</v>
      </c>
      <c r="HI192" s="21">
        <f>EXP(-LN(2)/2)*HI191+(1-EXP(-LN(2)/2))/(LN(2)/2)*HC192*HF192*VLOOKUP('Données projet'!$B$18,Paramètres!$A$1:$I$89,3,0)*0.475*44/12</f>
        <v>7.8419042118534076E-24</v>
      </c>
      <c r="HJ192" s="22">
        <f t="shared" si="190"/>
        <v>0.5494322873778642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2.5420376914553347E-13</v>
      </c>
      <c r="P193" s="13">
        <f t="shared" si="141"/>
        <v>3.4258699088369875E-12</v>
      </c>
      <c r="Q193" s="20">
        <f t="shared" si="162"/>
        <v>6.4094616558195571E-12</v>
      </c>
      <c r="R193" s="59">
        <f t="shared" si="109"/>
        <v>293.33333333333974</v>
      </c>
      <c r="S193" s="59">
        <f ca="1">AVERAGE(OFFSET($R$3,0,0,'Données projet'!$E$9+1,1))-AVERAGE(OFFSET($H$3,0,0,'Données projet'!$E$9+1,1))</f>
        <v>370.69652285220093</v>
      </c>
      <c r="T193" s="59">
        <f t="shared" si="142"/>
        <v>376.53494965377718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0.43228112353464909</v>
      </c>
      <c r="AA193" s="21">
        <f>EXP(-LN(2)/25)*AA192+(1-EXP(-LN(2)/25))/(LN(2)/25)*Calculateur!V193*Calculateur!X193*VLOOKUP('Données projet'!$B$9,Paramètres!$A$1:$I$89,3,0)*0.475*44/12</f>
        <v>0.39557429855350057</v>
      </c>
      <c r="AB193" s="21">
        <f>EXP(-LN(2)/2)*AB192+(1-EXP(-LN(2)/2))/(LN(2)/2)*V193*Y193*VLOOKUP('Données projet'!$B$9,Paramètres!$A$1:$I$89,3,0)*0.475*44/12</f>
        <v>2.7073426682057636E-23</v>
      </c>
      <c r="AC193" s="22">
        <f t="shared" si="163"/>
        <v>0.82785542208814966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-5.6843418860808015E-13</v>
      </c>
      <c r="AJ193" s="13">
        <f>AI193*VLOOKUP('Données projet'!$B$10,Paramètres!$A$1:$I$89,3,0)*VLOOKUP('Données projet'!$B$10,Paramètres!$A$1:$I$89,5,0)</f>
        <v>-5.1431925385259092E-13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321.03881567735544</v>
      </c>
      <c r="AO193" s="59">
        <f t="shared" si="144"/>
        <v>234.87694492493506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0.10130224309094808</v>
      </c>
      <c r="AV193" s="21">
        <f>EXP(-LN(2)/25)*AV192+(1-EXP(-LN(2)/25))/(LN(2)/25)*Calculateur!AQ193*Calculateur!AS193*VLOOKUP('Données projet'!$B$10,Paramètres!$A$1:$I$89,3,0)*0.475*44/12</f>
        <v>0.16051807601718118</v>
      </c>
      <c r="AW193" s="21">
        <f>EXP(-LN(2)/2)*AW192+(1-EXP(-LN(2)/2))/(LN(2)/2)*AQ193*AT193*VLOOKUP('Données projet'!$B$10,Paramètres!$A$1:$I$89,3,0)*0.475*44/12</f>
        <v>1.7982976280223711E-23</v>
      </c>
      <c r="AX193" s="21">
        <f t="shared" si="166"/>
        <v>0.26182031910812925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3.1036506698001181E-13</v>
      </c>
      <c r="BF193" s="13">
        <f t="shared" si="167"/>
        <v>4.086682523110923E-12</v>
      </c>
      <c r="BG193" s="20">
        <f t="shared" si="168"/>
        <v>7.6581912194083782E-12</v>
      </c>
      <c r="BH193" s="59">
        <f t="shared" si="116"/>
        <v>293.33333333334099</v>
      </c>
      <c r="BI193" s="59">
        <f ca="1">AVERAGE(OFFSET($BH$3,0,0,'Données projet'!$E$11+1,1))-AVERAGE(OFFSET($H$3,0,0,'Données projet'!$E$11+1,1))</f>
        <v>248.1486444660062</v>
      </c>
      <c r="BJ193" s="59">
        <f t="shared" si="146"/>
        <v>293.34458072322127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0.35825412352131591</v>
      </c>
      <c r="BQ193" s="21">
        <f>EXP(-LN(2)/25)*BQ192+(1-EXP(-LN(2)/25))/(LN(2)/25)*Calculateur!BL193*Calculateur!BN193*VLOOKUP('Données projet'!$B$11,Paramètres!$A$1:$I$89,3,0)*0.475*44/12</f>
        <v>0.40305910935780892</v>
      </c>
      <c r="BR193" s="21">
        <f>EXP(-LN(2)/2)*BR192+(1-EXP(-LN(2)/2))/(LN(2)/2)*BL193*BO193*VLOOKUP('Données projet'!$B$11,Paramètres!$A$1:$I$89,3,0)*0.475*44/12</f>
        <v>2.0830414659266428E-23</v>
      </c>
      <c r="BS193" s="22">
        <f t="shared" si="169"/>
        <v>0.76131323287912478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243.38048563215585</v>
      </c>
      <c r="CE193" s="59">
        <f t="shared" si="148"/>
        <v>372.1604147006675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0.30739991006908413</v>
      </c>
      <c r="CL193" s="21">
        <f>EXP(-LN(2)/25)*CL192+(1-EXP(-LN(2)/25))/(LN(2)/25)*Calculateur!CG193*Calculateur!CI193*VLOOKUP('Données projet'!$B$12,Paramètres!$A$1:$I$89,3,0)*0.475*44/12</f>
        <v>0.22928088826138979</v>
      </c>
      <c r="CM193" s="21">
        <f>EXP(-LN(2)/2)*CM192+(1-EXP(-LN(2)/2))/(LN(2)/2)*CG193*CJ193*VLOOKUP('Données projet'!$B$12,Paramètres!$A$1:$I$89,3,0)*0.475*44/12</f>
        <v>2.4248749375298249E-23</v>
      </c>
      <c r="CN193" s="22">
        <f t="shared" si="172"/>
        <v>0.53668079833047388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7.9580786405131221E-13</v>
      </c>
      <c r="CU193" s="17">
        <f>CT193*VLOOKUP('Données projet'!$B$13,Paramètres!$A$1:$I$89,3,0)*VLOOKUP('Données projet'!$B$13,Paramètres!$A$1:$I$89,5,0)</f>
        <v>3.8278358260868117E-13</v>
      </c>
      <c r="CV193" s="13">
        <f t="shared" si="173"/>
        <v>4.9186917125089072E-12</v>
      </c>
      <c r="CW193" s="20">
        <f t="shared" si="174"/>
        <v>9.2334028056631319E-12</v>
      </c>
      <c r="CX193" s="59">
        <f t="shared" si="122"/>
        <v>293.33333333334252</v>
      </c>
      <c r="CY193" s="59">
        <f ca="1">AVERAGE(OFFSET($CX$3,0,0,'Données projet'!$E$13+1,1))-AVERAGE(OFFSET($H$3,0,0,'Données projet'!$E$13+1,1))</f>
        <v>297.21955661193238</v>
      </c>
      <c r="CZ193" s="59">
        <f t="shared" si="150"/>
        <v>273.69206144662144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0.28340024931618207</v>
      </c>
      <c r="DG193" s="21">
        <f>EXP(-LN(2)/25)*DG192+(1-EXP(-LN(2)/25))/(LN(2)/25)*Calculateur!DB193*Calculateur!DD193*VLOOKUP('Données projet'!$B$13,Paramètres!$A$1:$I$89,3,0)*0.475*44/12</f>
        <v>0.15895054314947824</v>
      </c>
      <c r="DH193" s="21">
        <f>EXP(-LN(2)/2)*DH192+(1-EXP(-LN(2)/2))/(LN(2)/2)*DB193*DE193*VLOOKUP('Données projet'!$B$13,Paramètres!$A$1:$I$89,3,0)*0.475*44/12</f>
        <v>1.7298649006354443E-23</v>
      </c>
      <c r="DI193" s="22">
        <f t="shared" si="175"/>
        <v>0.44235079246566034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-4.0702161641092972E-13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260.20517190557814</v>
      </c>
      <c r="DU193" s="59">
        <f t="shared" si="152"/>
        <v>307.22009971147133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0.13723935599179674</v>
      </c>
      <c r="EB193" s="21">
        <f>EXP(-LN(2)/25)*EB192+(1-EXP(-LN(2)/25))/(LN(2)/25)*Calculateur!DW193*Calculateur!DY193*VLOOKUP('Données projet'!$B$14,Paramètres!$A$1:$I$89,3,0)*0.475*44/12</f>
        <v>0.24298360772020872</v>
      </c>
      <c r="EC193" s="21">
        <f>EXP(-LN(2)/2)*EC192+(1-EXP(-LN(2)/2))/(LN(2)/2)*DW193*DZ193*VLOOKUP('Données projet'!$B$14,Paramètres!$A$1:$I$89,3,0)*0.475*44/12</f>
        <v>1.9884623078378986E-23</v>
      </c>
      <c r="ED193" s="22">
        <f t="shared" si="178"/>
        <v>0.38022296371200548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1.1368683772161603E-13</v>
      </c>
      <c r="EK193" s="17">
        <f>EJ193*VLOOKUP('Données projet'!$B$15,Paramètres!$A$1:$I$89,3,0)*VLOOKUP('Données projet'!$B$15,Paramètres!$A$1:$I$89,5,0)</f>
        <v>6.7984728957526396E-14</v>
      </c>
      <c r="EL193" s="13">
        <f t="shared" si="179"/>
        <v>1.0682447123141398E-12</v>
      </c>
      <c r="EM193" s="20">
        <f t="shared" si="180"/>
        <v>1.978932943548152E-12</v>
      </c>
      <c r="EN193" s="59">
        <f t="shared" si="128"/>
        <v>293.3333333333353</v>
      </c>
      <c r="EO193" s="59">
        <f ca="1">AVERAGE(OFFSET($EN$3,0,0,'Données projet'!$E$15+1,1))-AVERAGE(OFFSET($H$3,0,0,'Données projet'!$E$15+1,1))</f>
        <v>259.30247982593914</v>
      </c>
      <c r="EP193" s="59">
        <f t="shared" si="154"/>
        <v>275.24740346220779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0.21353856716169609</v>
      </c>
      <c r="EX193" s="21">
        <f>EXP(-LN(2)/2)*EX192+(1-EXP(-LN(2)/2))/(LN(2)/2)*ER193*EU193*VLOOKUP('Données projet'!$B$15,Paramètres!$A$1:$I$89,3,0)*0.475*44/12</f>
        <v>2.3723928893343966E-23</v>
      </c>
      <c r="EY193" s="22">
        <f t="shared" si="181"/>
        <v>0.21353856716169609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-5.6843418860808015E-13</v>
      </c>
      <c r="FF193" s="17">
        <f>FE193*VLOOKUP('Données projet'!$B$16,Paramètres!$A$1:$I$89,3,0)*VLOOKUP('Données projet'!$B$16,Paramètres!$A$1:$I$89,5,0)</f>
        <v>-5.763922672485933E-13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372.91317851957336</v>
      </c>
      <c r="FK193" s="59">
        <f t="shared" si="156"/>
        <v>269.69187715858413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0.11352837587778669</v>
      </c>
      <c r="FR193" s="21">
        <f>EXP(-LN(2)/25)*FR192+(1-EXP(-LN(2)/25))/(LN(2)/25)*Calculateur!FM193*Calculateur!FO193*VLOOKUP('Données projet'!$B$16,Paramètres!$A$1:$I$89,3,0)*0.475*44/12</f>
        <v>0.17989094726063382</v>
      </c>
      <c r="FS193" s="21">
        <f>EXP(-LN(2)/2)*FS192+(1-EXP(-LN(2)/2))/(LN(2)/2)*FM193*FP193*VLOOKUP('Données projet'!$B$16,Paramètres!$A$1:$I$89,3,0)*0.475*44/12</f>
        <v>2.0153335486457591E-23</v>
      </c>
      <c r="FT193" s="22">
        <f t="shared" si="184"/>
        <v>0.29341932313842051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-1.1368683772161603E-13</v>
      </c>
      <c r="GA193" s="17">
        <f>FZ193*VLOOKUP('Données projet'!$B$17,Paramètres!$A$1:$I$89,3,0)*VLOOKUP('Données projet'!$B$17,Paramètres!$A$1:$I$89,5,0)</f>
        <v>-5.3205440053716299E-14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215.23235148064941</v>
      </c>
      <c r="GF193" s="59">
        <f t="shared" si="158"/>
        <v>184.07239726900434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0.13183856192850771</v>
      </c>
      <c r="GM193" s="21">
        <f>EXP(-LN(2)/25)*GM192+(1-EXP(-LN(2)/25))/(LN(2)/25)*Calculateur!GH193*Calculateur!GJ193*VLOOKUP('Données projet'!$B$17,Paramètres!$A$1:$I$89,3,0)*0.475*44/12</f>
        <v>9.3020761398276849E-2</v>
      </c>
      <c r="GN193" s="21">
        <f>EXP(-LN(2)/2)*GN192+(1-EXP(-LN(2)/2))/(LN(2)/2)*GH193*GK193*VLOOKUP('Données projet'!$B$17,Paramètres!$A$1:$I$89,3,0)*0.475*44/12</f>
        <v>8.1329857637007102E-24</v>
      </c>
      <c r="GO193" s="21">
        <f t="shared" si="187"/>
        <v>0.22485932332678454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-1.1368683772161603E-13</v>
      </c>
      <c r="GV193" s="17">
        <f>GU193*VLOOKUP('Données projet'!$B$18,Paramètres!$A$1:$I$89,3,0)*VLOOKUP('Données projet'!$B$18,Paramètres!$A$1:$I$89,5,0)</f>
        <v>-6.7984728957526396E-14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227.89848316900191</v>
      </c>
      <c r="HA193" s="59">
        <f t="shared" si="160"/>
        <v>239.85955661394541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0.33403743178872064</v>
      </c>
      <c r="HH193" s="21">
        <f>EXP(-LN(2)/25)*HH192+(1-EXP(-LN(2)/25))/(LN(2)/25)*Calculateur!HC193*Calculateur!HE193*VLOOKUP('Données projet'!$B$18,Paramètres!$A$1:$I$89,3,0)*0.475*44/12</f>
        <v>0.20300628581689703</v>
      </c>
      <c r="HI193" s="21">
        <f>EXP(-LN(2)/2)*HI192+(1-EXP(-LN(2)/2))/(LN(2)/2)*HC193*HF193*VLOOKUP('Données projet'!$B$18,Paramètres!$A$1:$I$89,3,0)*0.475*44/12</f>
        <v>5.5450636456168929E-24</v>
      </c>
      <c r="HJ193" s="22">
        <f t="shared" si="190"/>
        <v>0.53704371760561764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2.5420376914553347E-13</v>
      </c>
      <c r="P194" s="13">
        <f t="shared" si="141"/>
        <v>3.4258699088369875E-12</v>
      </c>
      <c r="Q194" s="20">
        <f t="shared" si="162"/>
        <v>6.4094616558195571E-12</v>
      </c>
      <c r="R194" s="59">
        <f t="shared" si="109"/>
        <v>293.33333333333974</v>
      </c>
      <c r="S194" s="59">
        <f ca="1">AVERAGE(OFFSET($R$3,0,0,'Données projet'!$E$9+1,1))-AVERAGE(OFFSET($H$3,0,0,'Données projet'!$E$9+1,1))</f>
        <v>370.69652285220093</v>
      </c>
      <c r="T194" s="59">
        <f t="shared" si="142"/>
        <v>376.53494965377718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0.42380435436758518</v>
      </c>
      <c r="AA194" s="21">
        <f>EXP(-LN(2)/25)*AA193+(1-EXP(-LN(2)/25))/(LN(2)/25)*Calculateur!V194*Calculateur!X194*VLOOKUP('Données projet'!$B$9,Paramètres!$A$1:$I$89,3,0)*0.475*44/12</f>
        <v>0.38475729855720681</v>
      </c>
      <c r="AB194" s="21">
        <f>EXP(-LN(2)/2)*AB193+(1-EXP(-LN(2)/2))/(LN(2)/2)*V194*Y194*VLOOKUP('Données projet'!$B$9,Paramètres!$A$1:$I$89,3,0)*0.475*44/12</f>
        <v>1.9143803596839767E-23</v>
      </c>
      <c r="AC194" s="22">
        <f t="shared" si="163"/>
        <v>0.80856165292479198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-5.6843418860808015E-13</v>
      </c>
      <c r="AJ194" s="13">
        <f>AI194*VLOOKUP('Données projet'!$B$10,Paramètres!$A$1:$I$89,3,0)*VLOOKUP('Données projet'!$B$10,Paramètres!$A$1:$I$89,5,0)</f>
        <v>-5.1431925385259092E-13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321.03881567735544</v>
      </c>
      <c r="AO194" s="59">
        <f t="shared" si="144"/>
        <v>234.87694492493506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9.9315767892201798E-2</v>
      </c>
      <c r="AV194" s="21">
        <f>EXP(-LN(2)/25)*AV193+(1-EXP(-LN(2)/25))/(LN(2)/25)*Calculateur!AQ194*Calculateur!AS194*VLOOKUP('Données projet'!$B$10,Paramètres!$A$1:$I$89,3,0)*0.475*44/12</f>
        <v>0.15612870078721261</v>
      </c>
      <c r="AW194" s="21">
        <f>EXP(-LN(2)/2)*AW193+(1-EXP(-LN(2)/2))/(LN(2)/2)*AQ194*AT194*VLOOKUP('Données projet'!$B$10,Paramètres!$A$1:$I$89,3,0)*0.475*44/12</f>
        <v>1.2715884473663022E-23</v>
      </c>
      <c r="AX194" s="21">
        <f t="shared" si="166"/>
        <v>0.25544446867941439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3.1036506698001181E-13</v>
      </c>
      <c r="BF194" s="13">
        <f t="shared" si="167"/>
        <v>4.086682523110923E-12</v>
      </c>
      <c r="BG194" s="20">
        <f t="shared" si="168"/>
        <v>7.6581912194083782E-12</v>
      </c>
      <c r="BH194" s="59">
        <f t="shared" si="116"/>
        <v>293.33333333334099</v>
      </c>
      <c r="BI194" s="59">
        <f ca="1">AVERAGE(OFFSET($BH$3,0,0,'Données projet'!$E$11+1,1))-AVERAGE(OFFSET($H$3,0,0,'Données projet'!$E$11+1,1))</f>
        <v>248.1486444660062</v>
      </c>
      <c r="BJ194" s="59">
        <f t="shared" si="146"/>
        <v>293.34458072322127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0.35122897867250186</v>
      </c>
      <c r="BQ194" s="21">
        <f>EXP(-LN(2)/25)*BQ193+(1-EXP(-LN(2)/25))/(LN(2)/25)*Calculateur!BL194*Calculateur!BN194*VLOOKUP('Données projet'!$B$11,Paramètres!$A$1:$I$89,3,0)*0.475*44/12</f>
        <v>0.3920374368164623</v>
      </c>
      <c r="BR194" s="21">
        <f>EXP(-LN(2)/2)*BR193+(1-EXP(-LN(2)/2))/(LN(2)/2)*BL194*BO194*VLOOKUP('Données projet'!$B$11,Paramètres!$A$1:$I$89,3,0)*0.475*44/12</f>
        <v>1.4729327460494958E-23</v>
      </c>
      <c r="BS194" s="22">
        <f t="shared" si="169"/>
        <v>0.74326641548896411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243.38048563215585</v>
      </c>
      <c r="CE194" s="59">
        <f t="shared" si="148"/>
        <v>372.1604147006675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0.30137198532806087</v>
      </c>
      <c r="CL194" s="21">
        <f>EXP(-LN(2)/25)*CL193+(1-EXP(-LN(2)/25))/(LN(2)/25)*Calculateur!CG194*Calculateur!CI194*VLOOKUP('Données projet'!$B$12,Paramètres!$A$1:$I$89,3,0)*0.475*44/12</f>
        <v>0.22301119031452421</v>
      </c>
      <c r="CM194" s="21">
        <f>EXP(-LN(2)/2)*CM193+(1-EXP(-LN(2)/2))/(LN(2)/2)*CG194*CJ194*VLOOKUP('Données projet'!$B$12,Paramètres!$A$1:$I$89,3,0)*0.475*44/12</f>
        <v>1.714645511856645E-23</v>
      </c>
      <c r="CN194" s="22">
        <f t="shared" si="172"/>
        <v>0.52438317564258508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7.9580786405131221E-13</v>
      </c>
      <c r="CU194" s="17">
        <f>CT194*VLOOKUP('Données projet'!$B$13,Paramètres!$A$1:$I$89,3,0)*VLOOKUP('Données projet'!$B$13,Paramètres!$A$1:$I$89,5,0)</f>
        <v>3.8278358260868117E-13</v>
      </c>
      <c r="CV194" s="13">
        <f t="shared" si="173"/>
        <v>4.9186917125089072E-12</v>
      </c>
      <c r="CW194" s="20">
        <f t="shared" si="174"/>
        <v>9.2334028056631319E-12</v>
      </c>
      <c r="CX194" s="59">
        <f t="shared" si="122"/>
        <v>293.33333333334252</v>
      </c>
      <c r="CY194" s="59">
        <f ca="1">AVERAGE(OFFSET($CX$3,0,0,'Données projet'!$E$13+1,1))-AVERAGE(OFFSET($H$3,0,0,'Données projet'!$E$13+1,1))</f>
        <v>297.21955661193238</v>
      </c>
      <c r="CZ194" s="59">
        <f t="shared" si="150"/>
        <v>273.69206144662144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0.27784294328417558</v>
      </c>
      <c r="DG194" s="21">
        <f>EXP(-LN(2)/25)*DG193+(1-EXP(-LN(2)/25))/(LN(2)/25)*Calculateur!DB194*Calculateur!DD194*VLOOKUP('Données projet'!$B$13,Paramètres!$A$1:$I$89,3,0)*0.475*44/12</f>
        <v>0.15460403218820998</v>
      </c>
      <c r="DH194" s="21">
        <f>EXP(-LN(2)/2)*DH193+(1-EXP(-LN(2)/2))/(LN(2)/2)*DB194*DE194*VLOOKUP('Données projet'!$B$13,Paramètres!$A$1:$I$89,3,0)*0.475*44/12</f>
        <v>1.2231992017759159E-23</v>
      </c>
      <c r="DI194" s="22">
        <f t="shared" si="175"/>
        <v>0.43244697547238553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-4.0702161641092972E-13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260.20517190557814</v>
      </c>
      <c r="DU194" s="59">
        <f t="shared" si="152"/>
        <v>307.22009971147133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0.13454817592853929</v>
      </c>
      <c r="EB194" s="21">
        <f>EXP(-LN(2)/25)*EB193+(1-EXP(-LN(2)/25))/(LN(2)/25)*Calculateur!DW194*Calculateur!DY194*VLOOKUP('Données projet'!$B$14,Paramètres!$A$1:$I$89,3,0)*0.475*44/12</f>
        <v>0.23633920818914703</v>
      </c>
      <c r="EC194" s="21">
        <f>EXP(-LN(2)/2)*EC193+(1-EXP(-LN(2)/2))/(LN(2)/2)*DW194*DZ194*VLOOKUP('Données projet'!$B$14,Paramètres!$A$1:$I$89,3,0)*0.475*44/12</f>
        <v>1.4060551820060303E-23</v>
      </c>
      <c r="ED194" s="22">
        <f t="shared" si="178"/>
        <v>0.37088738411768629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1.1368683772161603E-13</v>
      </c>
      <c r="EK194" s="17">
        <f>EJ194*VLOOKUP('Données projet'!$B$15,Paramètres!$A$1:$I$89,3,0)*VLOOKUP('Données projet'!$B$15,Paramètres!$A$1:$I$89,5,0)</f>
        <v>6.7984728957526396E-14</v>
      </c>
      <c r="EL194" s="13">
        <f t="shared" si="179"/>
        <v>1.0682447123141398E-12</v>
      </c>
      <c r="EM194" s="20">
        <f t="shared" si="180"/>
        <v>1.978932943548152E-12</v>
      </c>
      <c r="EN194" s="59">
        <f t="shared" si="128"/>
        <v>293.3333333333353</v>
      </c>
      <c r="EO194" s="59">
        <f ca="1">AVERAGE(OFFSET($EN$3,0,0,'Données projet'!$E$15+1,1))-AVERAGE(OFFSET($H$3,0,0,'Données projet'!$E$15+1,1))</f>
        <v>259.30247982593914</v>
      </c>
      <c r="EP194" s="59">
        <f t="shared" si="154"/>
        <v>275.24740346220779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0.2076993438131543</v>
      </c>
      <c r="EX194" s="21">
        <f>EXP(-LN(2)/2)*EX193+(1-EXP(-LN(2)/2))/(LN(2)/2)*ER194*EU194*VLOOKUP('Données projet'!$B$15,Paramètres!$A$1:$I$89,3,0)*0.475*44/12</f>
        <v>1.6775350996870984E-23</v>
      </c>
      <c r="EY194" s="22">
        <f t="shared" si="181"/>
        <v>0.2076993438131543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-5.6843418860808015E-13</v>
      </c>
      <c r="FF194" s="17">
        <f>FE194*VLOOKUP('Données projet'!$B$16,Paramètres!$A$1:$I$89,3,0)*VLOOKUP('Données projet'!$B$16,Paramètres!$A$1:$I$89,5,0)</f>
        <v>-5.763922672485933E-13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372.91317851957336</v>
      </c>
      <c r="FK194" s="59">
        <f t="shared" si="156"/>
        <v>269.69187715858413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0.11130215367229515</v>
      </c>
      <c r="FR194" s="21">
        <f>EXP(-LN(2)/25)*FR193+(1-EXP(-LN(2)/25))/(LN(2)/25)*Calculateur!FM194*Calculateur!FO194*VLOOKUP('Données projet'!$B$16,Paramètres!$A$1:$I$89,3,0)*0.475*44/12</f>
        <v>0.17497181984773802</v>
      </c>
      <c r="FS194" s="21">
        <f>EXP(-LN(2)/2)*FS193+(1-EXP(-LN(2)/2))/(LN(2)/2)*FM194*FP194*VLOOKUP('Données projet'!$B$16,Paramètres!$A$1:$I$89,3,0)*0.475*44/12</f>
        <v>1.4250560186001651E-23</v>
      </c>
      <c r="FT194" s="22">
        <f t="shared" si="184"/>
        <v>0.28627397352003314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-1.1368683772161603E-13</v>
      </c>
      <c r="GA194" s="17">
        <f>FZ194*VLOOKUP('Données projet'!$B$17,Paramètres!$A$1:$I$89,3,0)*VLOOKUP('Données projet'!$B$17,Paramètres!$A$1:$I$89,5,0)</f>
        <v>-5.3205440053716299E-14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215.23235148064941</v>
      </c>
      <c r="GF194" s="59">
        <f t="shared" si="158"/>
        <v>184.07239726900434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0.12925328814267226</v>
      </c>
      <c r="GM194" s="21">
        <f>EXP(-LN(2)/25)*GM193+(1-EXP(-LN(2)/25))/(LN(2)/25)*Calculateur!GH194*Calculateur!GJ194*VLOOKUP('Données projet'!$B$17,Paramètres!$A$1:$I$89,3,0)*0.475*44/12</f>
        <v>9.0477103786091723E-2</v>
      </c>
      <c r="GN194" s="21">
        <f>EXP(-LN(2)/2)*GN193+(1-EXP(-LN(2)/2))/(LN(2)/2)*GH194*GK194*VLOOKUP('Données projet'!$B$17,Paramètres!$A$1:$I$89,3,0)*0.475*44/12</f>
        <v>5.7508893848064243E-24</v>
      </c>
      <c r="GO194" s="21">
        <f t="shared" si="187"/>
        <v>0.21973039192876398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-1.1368683772161603E-13</v>
      </c>
      <c r="GV194" s="17">
        <f>GU194*VLOOKUP('Données projet'!$B$18,Paramètres!$A$1:$I$89,3,0)*VLOOKUP('Données projet'!$B$18,Paramètres!$A$1:$I$89,5,0)</f>
        <v>-6.7984728957526396E-14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227.89848316900191</v>
      </c>
      <c r="HA194" s="59">
        <f t="shared" si="160"/>
        <v>239.85955661394541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0.32748716149405932</v>
      </c>
      <c r="HH194" s="21">
        <f>EXP(-LN(2)/25)*HH193+(1-EXP(-LN(2)/25))/(LN(2)/25)*Calculateur!HC194*Calculateur!HE194*VLOOKUP('Données projet'!$B$18,Paramètres!$A$1:$I$89,3,0)*0.475*44/12</f>
        <v>0.19745506825559739</v>
      </c>
      <c r="HI194" s="21">
        <f>EXP(-LN(2)/2)*HI193+(1-EXP(-LN(2)/2))/(LN(2)/2)*HC194*HF194*VLOOKUP('Données projet'!$B$18,Paramètres!$A$1:$I$89,3,0)*0.475*44/12</f>
        <v>3.9209521059267038E-24</v>
      </c>
      <c r="HJ194" s="22">
        <f t="shared" si="190"/>
        <v>0.52494222974965665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2.5420376914553347E-13</v>
      </c>
      <c r="P195" s="13">
        <f t="shared" si="141"/>
        <v>3.4258699088369875E-12</v>
      </c>
      <c r="Q195" s="20">
        <f t="shared" si="162"/>
        <v>6.4094616558195571E-12</v>
      </c>
      <c r="R195" s="59">
        <f t="shared" ref="R195:R203" si="191">Q195+(I195+J195)*44/12</f>
        <v>293.33333333333974</v>
      </c>
      <c r="S195" s="59">
        <f ca="1">AVERAGE(OFFSET($R$3,0,0,'Données projet'!$E$9+1,1))-AVERAGE(OFFSET($H$3,0,0,'Données projet'!$E$9+1,1))</f>
        <v>370.69652285220093</v>
      </c>
      <c r="T195" s="59">
        <f t="shared" si="142"/>
        <v>376.53494965377718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0.41549380947356873</v>
      </c>
      <c r="AA195" s="21">
        <f>EXP(-LN(2)/25)*AA194+(1-EXP(-LN(2)/25))/(LN(2)/25)*Calculateur!V195*Calculateur!X195*VLOOKUP('Données projet'!$B$9,Paramètres!$A$1:$I$89,3,0)*0.475*44/12</f>
        <v>0.37423608999465302</v>
      </c>
      <c r="AB195" s="21">
        <f>EXP(-LN(2)/2)*AB194+(1-EXP(-LN(2)/2))/(LN(2)/2)*V195*Y195*VLOOKUP('Données projet'!$B$9,Paramètres!$A$1:$I$89,3,0)*0.475*44/12</f>
        <v>1.3536713341028818E-23</v>
      </c>
      <c r="AC195" s="22">
        <f t="shared" si="163"/>
        <v>0.78972989946822181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-5.6843418860808015E-13</v>
      </c>
      <c r="AJ195" s="13">
        <f>AI195*VLOOKUP('Données projet'!$B$10,Paramètres!$A$1:$I$89,3,0)*VLOOKUP('Données projet'!$B$10,Paramètres!$A$1:$I$89,5,0)</f>
        <v>-5.1431925385259092E-13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321.03881567735544</v>
      </c>
      <c r="AO195" s="59">
        <f t="shared" si="144"/>
        <v>234.87694492493506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9.7368246260472691E-2</v>
      </c>
      <c r="AV195" s="21">
        <f>EXP(-LN(2)/25)*AV194+(1-EXP(-LN(2)/25))/(LN(2)/25)*Calculateur!AQ195*Calculateur!AS195*VLOOKUP('Données projet'!$B$10,Paramètres!$A$1:$I$89,3,0)*0.475*44/12</f>
        <v>0.15185935325373473</v>
      </c>
      <c r="AW195" s="21">
        <f>EXP(-LN(2)/2)*AW194+(1-EXP(-LN(2)/2))/(LN(2)/2)*AQ195*AT195*VLOOKUP('Données projet'!$B$10,Paramètres!$A$1:$I$89,3,0)*0.475*44/12</f>
        <v>8.9914881401118556E-24</v>
      </c>
      <c r="AX195" s="21">
        <f t="shared" si="166"/>
        <v>0.24922759951420742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3.1036506698001181E-13</v>
      </c>
      <c r="BF195" s="13">
        <f t="shared" si="167"/>
        <v>4.086682523110923E-12</v>
      </c>
      <c r="BG195" s="20">
        <f t="shared" si="168"/>
        <v>7.6581912194083782E-12</v>
      </c>
      <c r="BH195" s="59">
        <f t="shared" si="116"/>
        <v>293.33333333334099</v>
      </c>
      <c r="BI195" s="59">
        <f ca="1">AVERAGE(OFFSET($BH$3,0,0,'Données projet'!$E$11+1,1))-AVERAGE(OFFSET($H$3,0,0,'Données projet'!$E$11+1,1))</f>
        <v>248.1486444660062</v>
      </c>
      <c r="BJ195" s="59">
        <f t="shared" si="146"/>
        <v>293.34458072322127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0.34434159262925779</v>
      </c>
      <c r="BQ195" s="21">
        <f>EXP(-LN(2)/25)*BQ194+(1-EXP(-LN(2)/25))/(LN(2)/25)*Calculateur!BL195*Calculateur!BN195*VLOOKUP('Données projet'!$B$11,Paramètres!$A$1:$I$89,3,0)*0.475*44/12</f>
        <v>0.38131715249036335</v>
      </c>
      <c r="BR195" s="21">
        <f>EXP(-LN(2)/2)*BR194+(1-EXP(-LN(2)/2))/(LN(2)/2)*BL195*BO195*VLOOKUP('Données projet'!$B$11,Paramètres!$A$1:$I$89,3,0)*0.475*44/12</f>
        <v>1.0415207329633214E-23</v>
      </c>
      <c r="BS195" s="22">
        <f t="shared" si="169"/>
        <v>0.72565874511962114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243.38048563215585</v>
      </c>
      <c r="CE195" s="59">
        <f t="shared" si="148"/>
        <v>372.1604147006675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0.29546226451453805</v>
      </c>
      <c r="CL195" s="21">
        <f>EXP(-LN(2)/25)*CL194+(1-EXP(-LN(2)/25))/(LN(2)/25)*Calculateur!CG195*Calculateur!CI195*VLOOKUP('Données projet'!$B$12,Paramètres!$A$1:$I$89,3,0)*0.475*44/12</f>
        <v>0.21691293758772476</v>
      </c>
      <c r="CM195" s="21">
        <f>EXP(-LN(2)/2)*CM194+(1-EXP(-LN(2)/2))/(LN(2)/2)*CG195*CJ195*VLOOKUP('Données projet'!$B$12,Paramètres!$A$1:$I$89,3,0)*0.475*44/12</f>
        <v>1.2124374687649124E-23</v>
      </c>
      <c r="CN195" s="22">
        <f t="shared" si="172"/>
        <v>0.51237520210226284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7.9580786405131221E-13</v>
      </c>
      <c r="CU195" s="17">
        <f>CT195*VLOOKUP('Données projet'!$B$13,Paramètres!$A$1:$I$89,3,0)*VLOOKUP('Données projet'!$B$13,Paramètres!$A$1:$I$89,5,0)</f>
        <v>3.8278358260868117E-13</v>
      </c>
      <c r="CV195" s="13">
        <f t="shared" si="173"/>
        <v>4.9186917125089072E-12</v>
      </c>
      <c r="CW195" s="20">
        <f t="shared" si="174"/>
        <v>9.2334028056631319E-12</v>
      </c>
      <c r="CX195" s="59">
        <f t="shared" si="122"/>
        <v>293.33333333334252</v>
      </c>
      <c r="CY195" s="59">
        <f ca="1">AVERAGE(OFFSET($CX$3,0,0,'Données projet'!$E$13+1,1))-AVERAGE(OFFSET($H$3,0,0,'Données projet'!$E$13+1,1))</f>
        <v>297.21955661193238</v>
      </c>
      <c r="CZ195" s="59">
        <f t="shared" si="150"/>
        <v>273.69206144662144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0.2723946126338348</v>
      </c>
      <c r="DG195" s="21">
        <f>EXP(-LN(2)/25)*DG194+(1-EXP(-LN(2)/25))/(LN(2)/25)*Calculateur!DB195*Calculateur!DD195*VLOOKUP('Données projet'!$B$13,Paramètres!$A$1:$I$89,3,0)*0.475*44/12</f>
        <v>0.15037637679775068</v>
      </c>
      <c r="DH195" s="21">
        <f>EXP(-LN(2)/2)*DH194+(1-EXP(-LN(2)/2))/(LN(2)/2)*DB195*DE195*VLOOKUP('Données projet'!$B$13,Paramètres!$A$1:$I$89,3,0)*0.475*44/12</f>
        <v>8.6493245031772213E-24</v>
      </c>
      <c r="DI195" s="22">
        <f t="shared" si="175"/>
        <v>0.42277098943158548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-4.0702161641092972E-13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260.20517190557814</v>
      </c>
      <c r="DU195" s="59">
        <f t="shared" si="152"/>
        <v>307.22009971147133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0.13190976826486459</v>
      </c>
      <c r="EB195" s="21">
        <f>EXP(-LN(2)/25)*EB194+(1-EXP(-LN(2)/25))/(LN(2)/25)*Calculateur!DW195*Calculateur!DY195*VLOOKUP('Données projet'!$B$14,Paramètres!$A$1:$I$89,3,0)*0.475*44/12</f>
        <v>0.22987650011267599</v>
      </c>
      <c r="EC195" s="21">
        <f>EXP(-LN(2)/2)*EC194+(1-EXP(-LN(2)/2))/(LN(2)/2)*DW195*DZ195*VLOOKUP('Données projet'!$B$14,Paramètres!$A$1:$I$89,3,0)*0.475*44/12</f>
        <v>9.942311539189493E-24</v>
      </c>
      <c r="ED195" s="22">
        <f t="shared" si="178"/>
        <v>0.36178626837754058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1.1368683772161603E-13</v>
      </c>
      <c r="EK195" s="17">
        <f>EJ195*VLOOKUP('Données projet'!$B$15,Paramètres!$A$1:$I$89,3,0)*VLOOKUP('Données projet'!$B$15,Paramètres!$A$1:$I$89,5,0)</f>
        <v>6.7984728957526396E-14</v>
      </c>
      <c r="EL195" s="13">
        <f t="shared" si="179"/>
        <v>1.0682447123141398E-12</v>
      </c>
      <c r="EM195" s="20">
        <f t="shared" si="180"/>
        <v>1.978932943548152E-12</v>
      </c>
      <c r="EN195" s="59">
        <f t="shared" si="128"/>
        <v>293.3333333333353</v>
      </c>
      <c r="EO195" s="59">
        <f ca="1">AVERAGE(OFFSET($EN$3,0,0,'Données projet'!$E$15+1,1))-AVERAGE(OFFSET($H$3,0,0,'Données projet'!$E$15+1,1))</f>
        <v>259.30247982593914</v>
      </c>
      <c r="EP195" s="59">
        <f t="shared" si="154"/>
        <v>275.24740346220779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0.20201979433414982</v>
      </c>
      <c r="EX195" s="21">
        <f>EXP(-LN(2)/2)*EX194+(1-EXP(-LN(2)/2))/(LN(2)/2)*ER195*EU195*VLOOKUP('Données projet'!$B$15,Paramètres!$A$1:$I$89,3,0)*0.475*44/12</f>
        <v>1.1861964446671983E-23</v>
      </c>
      <c r="EY195" s="22">
        <f t="shared" si="181"/>
        <v>0.20201979433414982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-5.6843418860808015E-13</v>
      </c>
      <c r="FF195" s="17">
        <f>FE195*VLOOKUP('Données projet'!$B$16,Paramètres!$A$1:$I$89,3,0)*VLOOKUP('Données projet'!$B$16,Paramètres!$A$1:$I$89,5,0)</f>
        <v>-5.763922672485933E-13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372.91317851957336</v>
      </c>
      <c r="FK195" s="59">
        <f t="shared" si="156"/>
        <v>269.69187715858413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0.10911958632639183</v>
      </c>
      <c r="FR195" s="21">
        <f>EXP(-LN(2)/25)*FR194+(1-EXP(-LN(2)/25))/(LN(2)/25)*Calculateur!FM195*Calculateur!FO195*VLOOKUP('Données projet'!$B$16,Paramètres!$A$1:$I$89,3,0)*0.475*44/12</f>
        <v>0.17018720623263353</v>
      </c>
      <c r="FS195" s="21">
        <f>EXP(-LN(2)/2)*FS194+(1-EXP(-LN(2)/2))/(LN(2)/2)*FM195*FP195*VLOOKUP('Données projet'!$B$16,Paramètres!$A$1:$I$89,3,0)*0.475*44/12</f>
        <v>1.0076667743228796E-23</v>
      </c>
      <c r="FT195" s="22">
        <f t="shared" si="184"/>
        <v>0.27930679255902535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-1.1368683772161603E-13</v>
      </c>
      <c r="GA195" s="17">
        <f>FZ195*VLOOKUP('Données projet'!$B$17,Paramètres!$A$1:$I$89,3,0)*VLOOKUP('Données projet'!$B$17,Paramètres!$A$1:$I$89,5,0)</f>
        <v>-5.3205440053716299E-14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215.23235148064941</v>
      </c>
      <c r="GF195" s="59">
        <f t="shared" si="158"/>
        <v>184.07239726900434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0.12671870999891574</v>
      </c>
      <c r="GM195" s="21">
        <f>EXP(-LN(2)/25)*GM194+(1-EXP(-LN(2)/25))/(LN(2)/25)*Calculateur!GH195*Calculateur!GJ195*VLOOKUP('Données projet'!$B$17,Paramètres!$A$1:$I$89,3,0)*0.475*44/12</f>
        <v>8.8003002625076945E-2</v>
      </c>
      <c r="GN195" s="21">
        <f>EXP(-LN(2)/2)*GN194+(1-EXP(-LN(2)/2))/(LN(2)/2)*GH195*GK195*VLOOKUP('Données projet'!$B$17,Paramètres!$A$1:$I$89,3,0)*0.475*44/12</f>
        <v>4.0664928818503551E-24</v>
      </c>
      <c r="GO195" s="21">
        <f t="shared" si="187"/>
        <v>0.2147217126239927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-1.1368683772161603E-13</v>
      </c>
      <c r="GV195" s="17">
        <f>GU195*VLOOKUP('Données projet'!$B$18,Paramètres!$A$1:$I$89,3,0)*VLOOKUP('Données projet'!$B$18,Paramètres!$A$1:$I$89,5,0)</f>
        <v>-6.7984728957526396E-14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227.89848316900191</v>
      </c>
      <c r="HA195" s="59">
        <f t="shared" si="160"/>
        <v>239.85955661394541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0.3210653380046059</v>
      </c>
      <c r="HH195" s="21">
        <f>EXP(-LN(2)/25)*HH194+(1-EXP(-LN(2)/25))/(LN(2)/25)*Calculateur!HC195*Calculateur!HE195*VLOOKUP('Données projet'!$B$18,Paramètres!$A$1:$I$89,3,0)*0.475*44/12</f>
        <v>0.19205564903043731</v>
      </c>
      <c r="HI195" s="21">
        <f>EXP(-LN(2)/2)*HI194+(1-EXP(-LN(2)/2))/(LN(2)/2)*HC195*HF195*VLOOKUP('Données projet'!$B$18,Paramètres!$A$1:$I$89,3,0)*0.475*44/12</f>
        <v>2.7725318228084465E-24</v>
      </c>
      <c r="HJ195" s="22">
        <f t="shared" si="190"/>
        <v>0.51312098703504327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2.5420376914553347E-13</v>
      </c>
      <c r="P196" s="13">
        <f t="shared" si="141"/>
        <v>3.4258699088369875E-12</v>
      </c>
      <c r="Q196" s="20">
        <f t="shared" si="162"/>
        <v>6.4094616558195571E-12</v>
      </c>
      <c r="R196" s="59">
        <f t="shared" si="191"/>
        <v>293.33333333333974</v>
      </c>
      <c r="S196" s="59">
        <f ca="1">AVERAGE(OFFSET($R$3,0,0,'Données projet'!$E$9+1,1))-AVERAGE(OFFSET($H$3,0,0,'Données projet'!$E$9+1,1))</f>
        <v>370.69652285220093</v>
      </c>
      <c r="T196" s="59">
        <f t="shared" si="142"/>
        <v>376.53494965377718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0.40734622929599207</v>
      </c>
      <c r="AA196" s="21">
        <f>EXP(-LN(2)/25)*AA195+(1-EXP(-LN(2)/25))/(LN(2)/25)*Calculateur!V196*Calculateur!X196*VLOOKUP('Données projet'!$B$9,Paramètres!$A$1:$I$89,3,0)*0.475*44/12</f>
        <v>0.36400258443352856</v>
      </c>
      <c r="AB196" s="21">
        <f>EXP(-LN(2)/2)*AB195+(1-EXP(-LN(2)/2))/(LN(2)/2)*V196*Y196*VLOOKUP('Données projet'!$B$9,Paramètres!$A$1:$I$89,3,0)*0.475*44/12</f>
        <v>9.5719017984198833E-24</v>
      </c>
      <c r="AC196" s="22">
        <f t="shared" si="163"/>
        <v>0.77134881372952058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-5.6843418860808015E-13</v>
      </c>
      <c r="AJ196" s="13">
        <f>AI196*VLOOKUP('Données projet'!$B$10,Paramètres!$A$1:$I$89,3,0)*VLOOKUP('Données projet'!$B$10,Paramètres!$A$1:$I$89,5,0)</f>
        <v>-5.1431925385259092E-13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321.03881567735544</v>
      </c>
      <c r="AO196" s="59">
        <f t="shared" si="144"/>
        <v>234.87694492493506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9.545891434007088E-2</v>
      </c>
      <c r="AV196" s="21">
        <f>EXP(-LN(2)/25)*AV195+(1-EXP(-LN(2)/25))/(LN(2)/25)*Calculateur!AQ196*Calculateur!AS196*VLOOKUP('Données projet'!$B$10,Paramètres!$A$1:$I$89,3,0)*0.475*44/12</f>
        <v>0.14770675125307506</v>
      </c>
      <c r="AW196" s="21">
        <f>EXP(-LN(2)/2)*AW195+(1-EXP(-LN(2)/2))/(LN(2)/2)*AQ196*AT196*VLOOKUP('Données projet'!$B$10,Paramètres!$A$1:$I$89,3,0)*0.475*44/12</f>
        <v>6.3579422368315111E-24</v>
      </c>
      <c r="AX196" s="21">
        <f t="shared" si="166"/>
        <v>0.24316566559314595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3.1036506698001181E-13</v>
      </c>
      <c r="BF196" s="13">
        <f t="shared" si="167"/>
        <v>4.086682523110923E-12</v>
      </c>
      <c r="BG196" s="20">
        <f t="shared" si="168"/>
        <v>7.6581912194083782E-12</v>
      </c>
      <c r="BH196" s="59">
        <f t="shared" ref="BH196:BH203" si="194">BG196+(AY196+AZ196)*44/12</f>
        <v>293.33333333334099</v>
      </c>
      <c r="BI196" s="59">
        <f ca="1">AVERAGE(OFFSET($BH$3,0,0,'Données projet'!$E$11+1,1))-AVERAGE(OFFSET($H$3,0,0,'Données projet'!$E$11+1,1))</f>
        <v>248.1486444660062</v>
      </c>
      <c r="BJ196" s="59">
        <f t="shared" si="146"/>
        <v>293.34458072322127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0.33758926402543105</v>
      </c>
      <c r="BQ196" s="21">
        <f>EXP(-LN(2)/25)*BQ195+(1-EXP(-LN(2)/25))/(LN(2)/25)*Calculateur!BL196*Calculateur!BN196*VLOOKUP('Données projet'!$B$11,Paramètres!$A$1:$I$89,3,0)*0.475*44/12</f>
        <v>0.37089001490291684</v>
      </c>
      <c r="BR196" s="21">
        <f>EXP(-LN(2)/2)*BR195+(1-EXP(-LN(2)/2))/(LN(2)/2)*BL196*BO196*VLOOKUP('Données projet'!$B$11,Paramètres!$A$1:$I$89,3,0)*0.475*44/12</f>
        <v>7.3646637302474789E-24</v>
      </c>
      <c r="BS196" s="22">
        <f t="shared" si="169"/>
        <v>0.70847927892834783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243.38048563215585</v>
      </c>
      <c r="CE196" s="59">
        <f t="shared" si="148"/>
        <v>372.1604147006675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0.28966842972159462</v>
      </c>
      <c r="CL196" s="21">
        <f>EXP(-LN(2)/25)*CL195+(1-EXP(-LN(2)/25))/(LN(2)/25)*Calculateur!CG196*Calculateur!CI196*VLOOKUP('Données projet'!$B$12,Paramètres!$A$1:$I$89,3,0)*0.475*44/12</f>
        <v>0.21098144190243279</v>
      </c>
      <c r="CM196" s="21">
        <f>EXP(-LN(2)/2)*CM195+(1-EXP(-LN(2)/2))/(LN(2)/2)*CG196*CJ196*VLOOKUP('Données projet'!$B$12,Paramètres!$A$1:$I$89,3,0)*0.475*44/12</f>
        <v>8.5732275592832248E-24</v>
      </c>
      <c r="CN196" s="22">
        <f t="shared" si="172"/>
        <v>0.50064987162402741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7.9580786405131221E-13</v>
      </c>
      <c r="CU196" s="17">
        <f>CT196*VLOOKUP('Données projet'!$B$13,Paramètres!$A$1:$I$89,3,0)*VLOOKUP('Données projet'!$B$13,Paramètres!$A$1:$I$89,5,0)</f>
        <v>3.8278358260868117E-13</v>
      </c>
      <c r="CV196" s="13">
        <f t="shared" si="173"/>
        <v>4.9186917125089072E-12</v>
      </c>
      <c r="CW196" s="20">
        <f t="shared" si="174"/>
        <v>9.2334028056631319E-12</v>
      </c>
      <c r="CX196" s="59">
        <f t="shared" ref="CX196:CX203" si="196">CW196+(CO196+CP196)*44/12</f>
        <v>293.33333333334252</v>
      </c>
      <c r="CY196" s="59">
        <f ca="1">AVERAGE(OFFSET($CX$3,0,0,'Données projet'!$E$13+1,1))-AVERAGE(OFFSET($H$3,0,0,'Données projet'!$E$13+1,1))</f>
        <v>297.21955661193238</v>
      </c>
      <c r="CZ196" s="59">
        <f t="shared" si="150"/>
        <v>273.69206144662144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0.26705312042439361</v>
      </c>
      <c r="DG196" s="21">
        <f>EXP(-LN(2)/25)*DG195+(1-EXP(-LN(2)/25))/(LN(2)/25)*Calculateur!DB196*Calculateur!DD196*VLOOKUP('Données projet'!$B$13,Paramètres!$A$1:$I$89,3,0)*0.475*44/12</f>
        <v>0.14626432686626623</v>
      </c>
      <c r="DH196" s="21">
        <f>EXP(-LN(2)/2)*DH195+(1-EXP(-LN(2)/2))/(LN(2)/2)*DB196*DE196*VLOOKUP('Données projet'!$B$13,Paramètres!$A$1:$I$89,3,0)*0.475*44/12</f>
        <v>6.1159960088795794E-24</v>
      </c>
      <c r="DI196" s="22">
        <f t="shared" si="175"/>
        <v>0.41331744729065983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-4.0702161641092972E-13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260.20517190557814</v>
      </c>
      <c r="DU196" s="59">
        <f t="shared" si="152"/>
        <v>307.22009971147133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0.12932309816620477</v>
      </c>
      <c r="EB196" s="21">
        <f>EXP(-LN(2)/25)*EB195+(1-EXP(-LN(2)/25))/(LN(2)/25)*Calculateur!DW196*Calculateur!DY196*VLOOKUP('Données projet'!$B$14,Paramètres!$A$1:$I$89,3,0)*0.475*44/12</f>
        <v>0.2235905151284151</v>
      </c>
      <c r="EC196" s="21">
        <f>EXP(-LN(2)/2)*EC195+(1-EXP(-LN(2)/2))/(LN(2)/2)*DW196*DZ196*VLOOKUP('Données projet'!$B$14,Paramètres!$A$1:$I$89,3,0)*0.475*44/12</f>
        <v>7.0302759100301513E-24</v>
      </c>
      <c r="ED196" s="22">
        <f t="shared" si="178"/>
        <v>0.3529136132946199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1.1368683772161603E-13</v>
      </c>
      <c r="EK196" s="17">
        <f>EJ196*VLOOKUP('Données projet'!$B$15,Paramètres!$A$1:$I$89,3,0)*VLOOKUP('Données projet'!$B$15,Paramètres!$A$1:$I$89,5,0)</f>
        <v>6.7984728957526396E-14</v>
      </c>
      <c r="EL196" s="13">
        <f t="shared" si="179"/>
        <v>1.0682447123141398E-12</v>
      </c>
      <c r="EM196" s="20">
        <f t="shared" si="180"/>
        <v>1.978932943548152E-12</v>
      </c>
      <c r="EN196" s="59">
        <f t="shared" ref="EN196:EN203" si="198">EM196+(EE196+EF196)*44/12</f>
        <v>293.3333333333353</v>
      </c>
      <c r="EO196" s="59">
        <f ca="1">AVERAGE(OFFSET($EN$3,0,0,'Données projet'!$E$15+1,1))-AVERAGE(OFFSET($H$3,0,0,'Données projet'!$E$15+1,1))</f>
        <v>259.30247982593914</v>
      </c>
      <c r="EP196" s="59">
        <f t="shared" si="154"/>
        <v>275.24740346220779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0.19649555243432323</v>
      </c>
      <c r="EX196" s="21">
        <f>EXP(-LN(2)/2)*EX195+(1-EXP(-LN(2)/2))/(LN(2)/2)*ER196*EU196*VLOOKUP('Données projet'!$B$15,Paramètres!$A$1:$I$89,3,0)*0.475*44/12</f>
        <v>8.387675498435492E-24</v>
      </c>
      <c r="EY196" s="22">
        <f t="shared" si="181"/>
        <v>0.19649555243432323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-5.6843418860808015E-13</v>
      </c>
      <c r="FF196" s="17">
        <f>FE196*VLOOKUP('Données projet'!$B$16,Paramètres!$A$1:$I$89,3,0)*VLOOKUP('Données projet'!$B$16,Paramètres!$A$1:$I$89,5,0)</f>
        <v>-5.763922672485933E-13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372.91317851957336</v>
      </c>
      <c r="FK196" s="59">
        <f t="shared" si="156"/>
        <v>269.69187715858413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0.10697981779490705</v>
      </c>
      <c r="FR196" s="21">
        <f>EXP(-LN(2)/25)*FR195+(1-EXP(-LN(2)/25))/(LN(2)/25)*Calculateur!FM196*Calculateur!FO196*VLOOKUP('Données projet'!$B$16,Paramètres!$A$1:$I$89,3,0)*0.475*44/12</f>
        <v>0.16553342812844596</v>
      </c>
      <c r="FS196" s="21">
        <f>EXP(-LN(2)/2)*FS195+(1-EXP(-LN(2)/2))/(LN(2)/2)*FM196*FP196*VLOOKUP('Données projet'!$B$16,Paramètres!$A$1:$I$89,3,0)*0.475*44/12</f>
        <v>7.1252800930008257E-24</v>
      </c>
      <c r="FT196" s="22">
        <f t="shared" si="184"/>
        <v>0.27251324592335302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-1.1368683772161603E-13</v>
      </c>
      <c r="GA196" s="17">
        <f>FZ196*VLOOKUP('Données projet'!$B$17,Paramètres!$A$1:$I$89,3,0)*VLOOKUP('Données projet'!$B$17,Paramètres!$A$1:$I$89,5,0)</f>
        <v>-5.3205440053716299E-14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215.23235148064941</v>
      </c>
      <c r="GF196" s="59">
        <f t="shared" si="158"/>
        <v>184.07239726900434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0.12423383338661827</v>
      </c>
      <c r="GM196" s="21">
        <f>EXP(-LN(2)/25)*GM195+(1-EXP(-LN(2)/25))/(LN(2)/25)*Calculateur!GH196*Calculateur!GJ196*VLOOKUP('Données projet'!$B$17,Paramètres!$A$1:$I$89,3,0)*0.475*44/12</f>
        <v>8.5596555890417439E-2</v>
      </c>
      <c r="GN196" s="21">
        <f>EXP(-LN(2)/2)*GN195+(1-EXP(-LN(2)/2))/(LN(2)/2)*GH196*GK196*VLOOKUP('Données projet'!$B$17,Paramètres!$A$1:$I$89,3,0)*0.475*44/12</f>
        <v>2.8754446924032122E-24</v>
      </c>
      <c r="GO196" s="21">
        <f t="shared" si="187"/>
        <v>0.20983038927703571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-1.1368683772161603E-13</v>
      </c>
      <c r="GV196" s="17">
        <f>GU196*VLOOKUP('Données projet'!$B$18,Paramètres!$A$1:$I$89,3,0)*VLOOKUP('Données projet'!$B$18,Paramètres!$A$1:$I$89,5,0)</f>
        <v>-6.7984728957526396E-14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227.89848316900191</v>
      </c>
      <c r="HA196" s="59">
        <f t="shared" si="160"/>
        <v>239.85955661394541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0.31476944255685513</v>
      </c>
      <c r="HH196" s="21">
        <f>EXP(-LN(2)/25)*HH195+(1-EXP(-LN(2)/25))/(LN(2)/25)*Calculateur!HC196*Calculateur!HE196*VLOOKUP('Données projet'!$B$18,Paramètres!$A$1:$I$89,3,0)*0.475*44/12</f>
        <v>0.18680387720793237</v>
      </c>
      <c r="HI196" s="21">
        <f>EXP(-LN(2)/2)*HI195+(1-EXP(-LN(2)/2))/(LN(2)/2)*HC196*HF196*VLOOKUP('Données projet'!$B$18,Paramètres!$A$1:$I$89,3,0)*0.475*44/12</f>
        <v>1.9604760529633519E-24</v>
      </c>
      <c r="HJ196" s="22">
        <f t="shared" si="190"/>
        <v>0.50157331976478747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2.5420376914553347E-13</v>
      </c>
      <c r="P197" s="13">
        <f t="shared" ref="P197:P203" si="203">EXP(-1.0587+0.8836*LN(O197)+0.284)</f>
        <v>3.4258699088369875E-12</v>
      </c>
      <c r="Q197" s="20">
        <f t="shared" si="162"/>
        <v>6.4094616558195571E-12</v>
      </c>
      <c r="R197" s="59">
        <f t="shared" si="191"/>
        <v>293.33333333333974</v>
      </c>
      <c r="S197" s="59">
        <f ca="1">AVERAGE(OFFSET($R$3,0,0,'Données projet'!$E$9+1,1))-AVERAGE(OFFSET($H$3,0,0,'Données projet'!$E$9+1,1))</f>
        <v>370.69652285220093</v>
      </c>
      <c r="T197" s="59">
        <f t="shared" ref="T197:T203" si="204">$T$3</f>
        <v>376.53494965377718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0.39935841819616447</v>
      </c>
      <c r="AA197" s="21">
        <f>EXP(-LN(2)/25)*AA196+(1-EXP(-LN(2)/25))/(LN(2)/25)*Calculateur!V197*Calculateur!X197*VLOOKUP('Données projet'!$B$9,Paramètres!$A$1:$I$89,3,0)*0.475*44/12</f>
        <v>0.35404891462012977</v>
      </c>
      <c r="AB197" s="21">
        <f>EXP(-LN(2)/2)*AB196+(1-EXP(-LN(2)/2))/(LN(2)/2)*V197*Y197*VLOOKUP('Données projet'!$B$9,Paramètres!$A$1:$I$89,3,0)*0.475*44/12</f>
        <v>6.7683566705144089E-24</v>
      </c>
      <c r="AC197" s="22">
        <f t="shared" si="163"/>
        <v>0.75340733281629424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-5.6843418860808015E-13</v>
      </c>
      <c r="AJ197" s="13">
        <f>AI197*VLOOKUP('Données projet'!$B$10,Paramètres!$A$1:$I$89,3,0)*VLOOKUP('Données projet'!$B$10,Paramètres!$A$1:$I$89,5,0)</f>
        <v>-5.1431925385259092E-13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321.03881567735544</v>
      </c>
      <c r="AO197" s="59">
        <f t="shared" ref="AO197:AO203" si="205">$AO$3</f>
        <v>234.87694492493506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9.3587023254050675E-2</v>
      </c>
      <c r="AV197" s="21">
        <f>EXP(-LN(2)/25)*AV196+(1-EXP(-LN(2)/25))/(LN(2)/25)*Calculateur!AQ197*Calculateur!AS197*VLOOKUP('Données projet'!$B$10,Paramètres!$A$1:$I$89,3,0)*0.475*44/12</f>
        <v>0.14366770237249926</v>
      </c>
      <c r="AW197" s="21">
        <f>EXP(-LN(2)/2)*AW196+(1-EXP(-LN(2)/2))/(LN(2)/2)*AQ197*AT197*VLOOKUP('Données projet'!$B$10,Paramètres!$A$1:$I$89,3,0)*0.475*44/12</f>
        <v>4.4957440700559278E-24</v>
      </c>
      <c r="AX197" s="21">
        <f t="shared" si="166"/>
        <v>0.23725472562654992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3.1036506698001181E-13</v>
      </c>
      <c r="BF197" s="13">
        <f t="shared" si="167"/>
        <v>4.086682523110923E-12</v>
      </c>
      <c r="BG197" s="20">
        <f t="shared" si="168"/>
        <v>7.6581912194083782E-12</v>
      </c>
      <c r="BH197" s="59">
        <f t="shared" si="194"/>
        <v>293.33333333334099</v>
      </c>
      <c r="BI197" s="59">
        <f ca="1">AVERAGE(OFFSET($BH$3,0,0,'Données projet'!$E$11+1,1))-AVERAGE(OFFSET($H$3,0,0,'Données projet'!$E$11+1,1))</f>
        <v>248.1486444660062</v>
      </c>
      <c r="BJ197" s="59">
        <f t="shared" ref="BJ197:BJ203" si="206">$BJ$3</f>
        <v>293.34458072322127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0.33096934446701154</v>
      </c>
      <c r="BQ197" s="21">
        <f>EXP(-LN(2)/25)*BQ196+(1-EXP(-LN(2)/25))/(LN(2)/25)*Calculateur!BL197*Calculateur!BN197*VLOOKUP('Données projet'!$B$11,Paramètres!$A$1:$I$89,3,0)*0.475*44/12</f>
        <v>0.36074800794113837</v>
      </c>
      <c r="BR197" s="21">
        <f>EXP(-LN(2)/2)*BR196+(1-EXP(-LN(2)/2))/(LN(2)/2)*BL197*BO197*VLOOKUP('Données projet'!$B$11,Paramètres!$A$1:$I$89,3,0)*0.475*44/12</f>
        <v>5.207603664816607E-24</v>
      </c>
      <c r="BS197" s="22">
        <f t="shared" si="169"/>
        <v>0.69171735240814991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243.38048563215585</v>
      </c>
      <c r="CE197" s="59">
        <f t="shared" ref="CE197:CE203" si="207">$CE$3</f>
        <v>372.1604147006675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0.28398820849505058</v>
      </c>
      <c r="CL197" s="21">
        <f>EXP(-LN(2)/25)*CL196+(1-EXP(-LN(2)/25))/(LN(2)/25)*Calculateur!CG197*Calculateur!CI197*VLOOKUP('Données projet'!$B$12,Paramètres!$A$1:$I$89,3,0)*0.475*44/12</f>
        <v>0.20521214327857895</v>
      </c>
      <c r="CM197" s="21">
        <f>EXP(-LN(2)/2)*CM196+(1-EXP(-LN(2)/2))/(LN(2)/2)*CG197*CJ197*VLOOKUP('Données projet'!$B$12,Paramètres!$A$1:$I$89,3,0)*0.475*44/12</f>
        <v>6.0621873438245622E-24</v>
      </c>
      <c r="CN197" s="22">
        <f t="shared" si="172"/>
        <v>0.48920035177362953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7.9580786405131221E-13</v>
      </c>
      <c r="CU197" s="17">
        <f>CT197*VLOOKUP('Données projet'!$B$13,Paramètres!$A$1:$I$89,3,0)*VLOOKUP('Données projet'!$B$13,Paramètres!$A$1:$I$89,5,0)</f>
        <v>3.8278358260868117E-13</v>
      </c>
      <c r="CV197" s="13">
        <f t="shared" si="173"/>
        <v>4.9186917125089072E-12</v>
      </c>
      <c r="CW197" s="20">
        <f t="shared" si="174"/>
        <v>9.2334028056631319E-12</v>
      </c>
      <c r="CX197" s="59">
        <f t="shared" si="196"/>
        <v>293.33333333334252</v>
      </c>
      <c r="CY197" s="59">
        <f ca="1">AVERAGE(OFFSET($CX$3,0,0,'Données projet'!$E$13+1,1))-AVERAGE(OFFSET($H$3,0,0,'Données projet'!$E$13+1,1))</f>
        <v>297.21955661193238</v>
      </c>
      <c r="CZ197" s="59">
        <f t="shared" ref="CZ197:CZ203" si="208">$CZ$3</f>
        <v>273.69206144662144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0.26181637161919102</v>
      </c>
      <c r="DG197" s="21">
        <f>EXP(-LN(2)/25)*DG196+(1-EXP(-LN(2)/25))/(LN(2)/25)*Calculateur!DB197*Calculateur!DD197*VLOOKUP('Données projet'!$B$13,Paramètres!$A$1:$I$89,3,0)*0.475*44/12</f>
        <v>0.14226472115640151</v>
      </c>
      <c r="DH197" s="21">
        <f>EXP(-LN(2)/2)*DH196+(1-EXP(-LN(2)/2))/(LN(2)/2)*DB197*DE197*VLOOKUP('Données projet'!$B$13,Paramètres!$A$1:$I$89,3,0)*0.475*44/12</f>
        <v>4.3246622515886107E-24</v>
      </c>
      <c r="DI197" s="22">
        <f t="shared" si="175"/>
        <v>0.40408109277559257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-4.0702161641092972E-13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260.20517190557814</v>
      </c>
      <c r="DU197" s="59">
        <f t="shared" ref="DU197:DU203" si="209">$DU$3</f>
        <v>307.22009971147133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0.1267871510904667</v>
      </c>
      <c r="EB197" s="21">
        <f>EXP(-LN(2)/25)*EB196+(1-EXP(-LN(2)/25))/(LN(2)/25)*Calculateur!DW197*Calculateur!DY197*VLOOKUP('Données projet'!$B$14,Paramètres!$A$1:$I$89,3,0)*0.475*44/12</f>
        <v>0.21747642073411441</v>
      </c>
      <c r="EC197" s="21">
        <f>EXP(-LN(2)/2)*EC196+(1-EXP(-LN(2)/2))/(LN(2)/2)*DW197*DZ197*VLOOKUP('Données projet'!$B$14,Paramètres!$A$1:$I$89,3,0)*0.475*44/12</f>
        <v>4.9711557695947465E-24</v>
      </c>
      <c r="ED197" s="22">
        <f t="shared" si="178"/>
        <v>0.34426357182458112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1.1368683772161603E-13</v>
      </c>
      <c r="EK197" s="17">
        <f>EJ197*VLOOKUP('Données projet'!$B$15,Paramètres!$A$1:$I$89,3,0)*VLOOKUP('Données projet'!$B$15,Paramètres!$A$1:$I$89,5,0)</f>
        <v>6.7984728957526396E-14</v>
      </c>
      <c r="EL197" s="13">
        <f t="shared" si="179"/>
        <v>1.0682447123141398E-12</v>
      </c>
      <c r="EM197" s="20">
        <f t="shared" si="180"/>
        <v>1.978932943548152E-12</v>
      </c>
      <c r="EN197" s="59">
        <f t="shared" si="198"/>
        <v>293.3333333333353</v>
      </c>
      <c r="EO197" s="59">
        <f ca="1">AVERAGE(OFFSET($EN$3,0,0,'Données projet'!$E$15+1,1))-AVERAGE(OFFSET($H$3,0,0,'Données projet'!$E$15+1,1))</f>
        <v>259.30247982593914</v>
      </c>
      <c r="EP197" s="59">
        <f t="shared" ref="EP197:EP203" si="210">$EP$3</f>
        <v>275.24740346220779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0.19112237121975467</v>
      </c>
      <c r="EX197" s="21">
        <f>EXP(-LN(2)/2)*EX196+(1-EXP(-LN(2)/2))/(LN(2)/2)*ER197*EU197*VLOOKUP('Données projet'!$B$15,Paramètres!$A$1:$I$89,3,0)*0.475*44/12</f>
        <v>5.9309822233359915E-24</v>
      </c>
      <c r="EY197" s="22">
        <f t="shared" si="181"/>
        <v>0.19112237121975467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-5.6843418860808015E-13</v>
      </c>
      <c r="FF197" s="17">
        <f>FE197*VLOOKUP('Données projet'!$B$16,Paramètres!$A$1:$I$89,3,0)*VLOOKUP('Données projet'!$B$16,Paramètres!$A$1:$I$89,5,0)</f>
        <v>-5.763922672485933E-13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372.91317851957336</v>
      </c>
      <c r="FK197" s="59">
        <f t="shared" ref="FK197:FK203" si="211">$FK$3</f>
        <v>269.69187715858413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0.10488200881919475</v>
      </c>
      <c r="FR197" s="21">
        <f>EXP(-LN(2)/25)*FR196+(1-EXP(-LN(2)/25))/(LN(2)/25)*Calculateur!FM197*Calculateur!FO197*VLOOKUP('Données projet'!$B$16,Paramètres!$A$1:$I$89,3,0)*0.475*44/12</f>
        <v>0.16100690783124896</v>
      </c>
      <c r="FS197" s="21">
        <f>EXP(-LN(2)/2)*FS196+(1-EXP(-LN(2)/2))/(LN(2)/2)*FM197*FP197*VLOOKUP('Données projet'!$B$16,Paramètres!$A$1:$I$89,3,0)*0.475*44/12</f>
        <v>5.0383338716143979E-24</v>
      </c>
      <c r="FT197" s="22">
        <f t="shared" si="184"/>
        <v>0.26588891665044373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-1.1368683772161603E-13</v>
      </c>
      <c r="GA197" s="17">
        <f>FZ197*VLOOKUP('Données projet'!$B$17,Paramètres!$A$1:$I$89,3,0)*VLOOKUP('Données projet'!$B$17,Paramètres!$A$1:$I$89,5,0)</f>
        <v>-5.3205440053716299E-14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215.23235148064941</v>
      </c>
      <c r="GF197" s="59">
        <f t="shared" ref="GF197:GF203" si="212">$GF$3</f>
        <v>184.07239726900434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0.12179768368906288</v>
      </c>
      <c r="GM197" s="21">
        <f>EXP(-LN(2)/25)*GM196+(1-EXP(-LN(2)/25))/(LN(2)/25)*Calculateur!GH197*Calculateur!GJ197*VLOOKUP('Données projet'!$B$17,Paramètres!$A$1:$I$89,3,0)*0.475*44/12</f>
        <v>8.325591356826674E-2</v>
      </c>
      <c r="GN197" s="21">
        <f>EXP(-LN(2)/2)*GN196+(1-EXP(-LN(2)/2))/(LN(2)/2)*GH197*GK197*VLOOKUP('Données projet'!$B$17,Paramètres!$A$1:$I$89,3,0)*0.475*44/12</f>
        <v>2.0332464409251776E-24</v>
      </c>
      <c r="GO197" s="21">
        <f t="shared" si="187"/>
        <v>0.20505359725732963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-1.1368683772161603E-13</v>
      </c>
      <c r="GV197" s="17">
        <f>GU197*VLOOKUP('Données projet'!$B$18,Paramètres!$A$1:$I$89,3,0)*VLOOKUP('Données projet'!$B$18,Paramètres!$A$1:$I$89,5,0)</f>
        <v>-6.7984728957526396E-14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227.89848316900191</v>
      </c>
      <c r="HA197" s="59">
        <f t="shared" ref="HA197:HA203" si="213">$HA$3</f>
        <v>239.85955661394541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0.30859700577871768</v>
      </c>
      <c r="HH197" s="21">
        <f>EXP(-LN(2)/25)*HH196+(1-EXP(-LN(2)/25))/(LN(2)/25)*Calculateur!HC197*Calculateur!HE197*VLOOKUP('Données projet'!$B$18,Paramètres!$A$1:$I$89,3,0)*0.475*44/12</f>
        <v>0.1816957153620925</v>
      </c>
      <c r="HI197" s="21">
        <f>EXP(-LN(2)/2)*HI196+(1-EXP(-LN(2)/2))/(LN(2)/2)*HC197*HF197*VLOOKUP('Données projet'!$B$18,Paramètres!$A$1:$I$89,3,0)*0.475*44/12</f>
        <v>1.3862659114042232E-24</v>
      </c>
      <c r="HJ197" s="22">
        <f t="shared" si="190"/>
        <v>0.49029272114081018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2.5420376914553347E-13</v>
      </c>
      <c r="P198" s="13">
        <f t="shared" si="203"/>
        <v>3.4258699088369875E-12</v>
      </c>
      <c r="Q198" s="20">
        <f t="shared" si="162"/>
        <v>6.4094616558195571E-12</v>
      </c>
      <c r="R198" s="59">
        <f t="shared" si="191"/>
        <v>293.33333333333974</v>
      </c>
      <c r="S198" s="59">
        <f ca="1">AVERAGE(OFFSET($R$3,0,0,'Données projet'!$E$9+1,1))-AVERAGE(OFFSET($H$3,0,0,'Données projet'!$E$9+1,1))</f>
        <v>370.69652285220093</v>
      </c>
      <c r="T198" s="59">
        <f t="shared" si="204"/>
        <v>376.53494965377718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0.39152724319992083</v>
      </c>
      <c r="AA198" s="21">
        <f>EXP(-LN(2)/25)*AA197+(1-EXP(-LN(2)/25))/(LN(2)/25)*Calculateur!V198*Calculateur!X198*VLOOKUP('Données projet'!$B$9,Paramètres!$A$1:$I$89,3,0)*0.475*44/12</f>
        <v>0.34436742843121909</v>
      </c>
      <c r="AB198" s="21">
        <f>EXP(-LN(2)/2)*AB197+(1-EXP(-LN(2)/2))/(LN(2)/2)*V198*Y198*VLOOKUP('Données projet'!$B$9,Paramètres!$A$1:$I$89,3,0)*0.475*44/12</f>
        <v>4.7859508992099417E-24</v>
      </c>
      <c r="AC198" s="22">
        <f t="shared" si="163"/>
        <v>0.73589467163113986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-5.6843418860808015E-13</v>
      </c>
      <c r="AJ198" s="13">
        <f>AI198*VLOOKUP('Données projet'!$B$10,Paramètres!$A$1:$I$89,3,0)*VLOOKUP('Données projet'!$B$10,Paramètres!$A$1:$I$89,5,0)</f>
        <v>-5.1431925385259092E-13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321.03881567735544</v>
      </c>
      <c r="AO198" s="59">
        <f t="shared" si="205"/>
        <v>234.87694492493506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9.17518388104865E-2</v>
      </c>
      <c r="AV198" s="21">
        <f>EXP(-LN(2)/25)*AV197+(1-EXP(-LN(2)/25))/(LN(2)/25)*Calculateur!AQ198*Calculateur!AS198*VLOOKUP('Données projet'!$B$10,Paramètres!$A$1:$I$89,3,0)*0.475*44/12</f>
        <v>0.13973910149596716</v>
      </c>
      <c r="AW198" s="21">
        <f>EXP(-LN(2)/2)*AW197+(1-EXP(-LN(2)/2))/(LN(2)/2)*AQ198*AT198*VLOOKUP('Données projet'!$B$10,Paramètres!$A$1:$I$89,3,0)*0.475*44/12</f>
        <v>3.1789711184157556E-24</v>
      </c>
      <c r="AX198" s="21">
        <f t="shared" si="166"/>
        <v>0.23149094030645367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3.1036506698001181E-13</v>
      </c>
      <c r="BF198" s="13">
        <f t="shared" si="167"/>
        <v>4.086682523110923E-12</v>
      </c>
      <c r="BG198" s="20">
        <f t="shared" si="168"/>
        <v>7.6581912194083782E-12</v>
      </c>
      <c r="BH198" s="59">
        <f t="shared" si="194"/>
        <v>293.33333333334099</v>
      </c>
      <c r="BI198" s="59">
        <f ca="1">AVERAGE(OFFSET($BH$3,0,0,'Données projet'!$E$11+1,1))-AVERAGE(OFFSET($H$3,0,0,'Données projet'!$E$11+1,1))</f>
        <v>248.1486444660062</v>
      </c>
      <c r="BJ198" s="59">
        <f t="shared" si="206"/>
        <v>293.34458072322127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0.32447923749338042</v>
      </c>
      <c r="BQ198" s="21">
        <f>EXP(-LN(2)/25)*BQ197+(1-EXP(-LN(2)/25))/(LN(2)/25)*Calculateur!BL198*Calculateur!BN198*VLOOKUP('Données projet'!$B$11,Paramètres!$A$1:$I$89,3,0)*0.475*44/12</f>
        <v>0.3508833346930747</v>
      </c>
      <c r="BR198" s="21">
        <f>EXP(-LN(2)/2)*BR197+(1-EXP(-LN(2)/2))/(LN(2)/2)*BL198*BO198*VLOOKUP('Données projet'!$B$11,Paramètres!$A$1:$I$89,3,0)*0.475*44/12</f>
        <v>3.6823318651237395E-24</v>
      </c>
      <c r="BS198" s="22">
        <f t="shared" si="169"/>
        <v>0.67536257218645512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243.38048563215585</v>
      </c>
      <c r="CE198" s="59">
        <f t="shared" si="207"/>
        <v>372.1604147006675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0.27841937294216618</v>
      </c>
      <c r="CL198" s="21">
        <f>EXP(-LN(2)/25)*CL197+(1-EXP(-LN(2)/25))/(LN(2)/25)*Calculateur!CG198*Calculateur!CI198*VLOOKUP('Données projet'!$B$12,Paramètres!$A$1:$I$89,3,0)*0.475*44/12</f>
        <v>0.19960060642898861</v>
      </c>
      <c r="CM198" s="21">
        <f>EXP(-LN(2)/2)*CM197+(1-EXP(-LN(2)/2))/(LN(2)/2)*CG198*CJ198*VLOOKUP('Données projet'!$B$12,Paramètres!$A$1:$I$89,3,0)*0.475*44/12</f>
        <v>4.2866137796416124E-24</v>
      </c>
      <c r="CN198" s="22">
        <f t="shared" si="172"/>
        <v>0.47801997937115481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7.9580786405131221E-13</v>
      </c>
      <c r="CU198" s="17">
        <f>CT198*VLOOKUP('Données projet'!$B$13,Paramètres!$A$1:$I$89,3,0)*VLOOKUP('Données projet'!$B$13,Paramètres!$A$1:$I$89,5,0)</f>
        <v>3.8278358260868117E-13</v>
      </c>
      <c r="CV198" s="13">
        <f t="shared" si="173"/>
        <v>4.9186917125089072E-12</v>
      </c>
      <c r="CW198" s="20">
        <f t="shared" si="174"/>
        <v>9.2334028056631319E-12</v>
      </c>
      <c r="CX198" s="59">
        <f t="shared" si="196"/>
        <v>293.33333333334252</v>
      </c>
      <c r="CY198" s="59">
        <f ca="1">AVERAGE(OFFSET($CX$3,0,0,'Données projet'!$E$13+1,1))-AVERAGE(OFFSET($H$3,0,0,'Données projet'!$E$13+1,1))</f>
        <v>297.21955661193238</v>
      </c>
      <c r="CZ198" s="59">
        <f t="shared" si="208"/>
        <v>273.69206144662144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0.2566823122639571</v>
      </c>
      <c r="DG198" s="21">
        <f>EXP(-LN(2)/25)*DG197+(1-EXP(-LN(2)/25))/(LN(2)/25)*Calculateur!DB198*Calculateur!DD198*VLOOKUP('Données projet'!$B$13,Paramètres!$A$1:$I$89,3,0)*0.475*44/12</f>
        <v>0.13837448487500317</v>
      </c>
      <c r="DH198" s="21">
        <f>EXP(-LN(2)/2)*DH197+(1-EXP(-LN(2)/2))/(LN(2)/2)*DB198*DE198*VLOOKUP('Données projet'!$B$13,Paramètres!$A$1:$I$89,3,0)*0.475*44/12</f>
        <v>3.0579980044397897E-24</v>
      </c>
      <c r="DI198" s="22">
        <f t="shared" si="175"/>
        <v>0.39505679713896025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-4.0702161641092972E-13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260.20517190557814</v>
      </c>
      <c r="DU198" s="59">
        <f t="shared" si="209"/>
        <v>307.22009971147133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0.12430093239010886</v>
      </c>
      <c r="EB198" s="21">
        <f>EXP(-LN(2)/25)*EB197+(1-EXP(-LN(2)/25))/(LN(2)/25)*Calculateur!DW198*Calculateur!DY198*VLOOKUP('Données projet'!$B$14,Paramètres!$A$1:$I$89,3,0)*0.475*44/12</f>
        <v>0.21152951657255215</v>
      </c>
      <c r="EC198" s="21">
        <f>EXP(-LN(2)/2)*EC197+(1-EXP(-LN(2)/2))/(LN(2)/2)*DW198*DZ198*VLOOKUP('Données projet'!$B$14,Paramètres!$A$1:$I$89,3,0)*0.475*44/12</f>
        <v>3.5151379550150756E-24</v>
      </c>
      <c r="ED198" s="22">
        <f t="shared" si="178"/>
        <v>0.33583044896266101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1.1368683772161603E-13</v>
      </c>
      <c r="EK198" s="17">
        <f>EJ198*VLOOKUP('Données projet'!$B$15,Paramètres!$A$1:$I$89,3,0)*VLOOKUP('Données projet'!$B$15,Paramètres!$A$1:$I$89,5,0)</f>
        <v>6.7984728957526396E-14</v>
      </c>
      <c r="EL198" s="13">
        <f t="shared" si="179"/>
        <v>1.0682447123141398E-12</v>
      </c>
      <c r="EM198" s="20">
        <f t="shared" si="180"/>
        <v>1.978932943548152E-12</v>
      </c>
      <c r="EN198" s="59">
        <f t="shared" si="198"/>
        <v>293.3333333333353</v>
      </c>
      <c r="EO198" s="59">
        <f ca="1">AVERAGE(OFFSET($EN$3,0,0,'Données projet'!$E$15+1,1))-AVERAGE(OFFSET($H$3,0,0,'Données projet'!$E$15+1,1))</f>
        <v>259.30247982593914</v>
      </c>
      <c r="EP198" s="59">
        <f t="shared" si="210"/>
        <v>275.24740346220779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0.18589611992806179</v>
      </c>
      <c r="EX198" s="21">
        <f>EXP(-LN(2)/2)*EX197+(1-EXP(-LN(2)/2))/(LN(2)/2)*ER198*EU198*VLOOKUP('Données projet'!$B$15,Paramètres!$A$1:$I$89,3,0)*0.475*44/12</f>
        <v>4.193837749217746E-24</v>
      </c>
      <c r="EY198" s="22">
        <f t="shared" si="181"/>
        <v>0.18589611992806179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-5.6843418860808015E-13</v>
      </c>
      <c r="FF198" s="17">
        <f>FE198*VLOOKUP('Données projet'!$B$16,Paramètres!$A$1:$I$89,3,0)*VLOOKUP('Données projet'!$B$16,Paramètres!$A$1:$I$89,5,0)</f>
        <v>-5.763922672485933E-13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372.91317851957336</v>
      </c>
      <c r="FK198" s="59">
        <f t="shared" si="211"/>
        <v>269.69187715858413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0.10282533659795905</v>
      </c>
      <c r="FR198" s="21">
        <f>EXP(-LN(2)/25)*FR197+(1-EXP(-LN(2)/25))/(LN(2)/25)*Calculateur!FM198*Calculateur!FO198*VLOOKUP('Données projet'!$B$16,Paramètres!$A$1:$I$89,3,0)*0.475*44/12</f>
        <v>0.15660416546961817</v>
      </c>
      <c r="FS198" s="21">
        <f>EXP(-LN(2)/2)*FS197+(1-EXP(-LN(2)/2))/(LN(2)/2)*FM198*FP198*VLOOKUP('Données projet'!$B$16,Paramètres!$A$1:$I$89,3,0)*0.475*44/12</f>
        <v>3.5626400465004128E-24</v>
      </c>
      <c r="FT198" s="22">
        <f t="shared" si="184"/>
        <v>0.2594295020675772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-1.1368683772161603E-13</v>
      </c>
      <c r="GA198" s="17">
        <f>FZ198*VLOOKUP('Données projet'!$B$17,Paramètres!$A$1:$I$89,3,0)*VLOOKUP('Données projet'!$B$17,Paramètres!$A$1:$I$89,5,0)</f>
        <v>-5.3205440053716299E-14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215.23235148064941</v>
      </c>
      <c r="GF198" s="59">
        <f t="shared" si="212"/>
        <v>184.07239726900434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0.11940930540117195</v>
      </c>
      <c r="GM198" s="21">
        <f>EXP(-LN(2)/25)*GM197+(1-EXP(-LN(2)/25))/(LN(2)/25)*Calculateur!GH198*Calculateur!GJ198*VLOOKUP('Données projet'!$B$17,Paramètres!$A$1:$I$89,3,0)*0.475*44/12</f>
        <v>8.0979276233504274E-2</v>
      </c>
      <c r="GN198" s="21">
        <f>EXP(-LN(2)/2)*GN197+(1-EXP(-LN(2)/2))/(LN(2)/2)*GH198*GK198*VLOOKUP('Données projet'!$B$17,Paramètres!$A$1:$I$89,3,0)*0.475*44/12</f>
        <v>1.4377223462016061E-24</v>
      </c>
      <c r="GO198" s="21">
        <f t="shared" si="187"/>
        <v>0.20038858163467621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-1.1368683772161603E-13</v>
      </c>
      <c r="GV198" s="17">
        <f>GU198*VLOOKUP('Données projet'!$B$18,Paramètres!$A$1:$I$89,3,0)*VLOOKUP('Données projet'!$B$18,Paramètres!$A$1:$I$89,5,0)</f>
        <v>-6.7984728957526396E-14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227.89848316900191</v>
      </c>
      <c r="HA198" s="59">
        <f t="shared" si="213"/>
        <v>239.85955661394541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0.30254560672098479</v>
      </c>
      <c r="HH198" s="21">
        <f>EXP(-LN(2)/25)*HH197+(1-EXP(-LN(2)/25))/(LN(2)/25)*Calculateur!HC198*Calculateur!HE198*VLOOKUP('Données projet'!$B$18,Paramètres!$A$1:$I$89,3,0)*0.475*44/12</f>
        <v>0.17672723647055369</v>
      </c>
      <c r="HI198" s="21">
        <f>EXP(-LN(2)/2)*HI197+(1-EXP(-LN(2)/2))/(LN(2)/2)*HC198*HF198*VLOOKUP('Données projet'!$B$18,Paramètres!$A$1:$I$89,3,0)*0.475*44/12</f>
        <v>9.8023802648167595E-25</v>
      </c>
      <c r="HJ198" s="22">
        <f t="shared" si="190"/>
        <v>0.47927284319153851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2.5420376914553347E-13</v>
      </c>
      <c r="P199" s="13">
        <f t="shared" si="203"/>
        <v>3.4258699088369875E-12</v>
      </c>
      <c r="Q199" s="20">
        <f t="shared" si="162"/>
        <v>6.4094616558195571E-12</v>
      </c>
      <c r="R199" s="59">
        <f t="shared" si="191"/>
        <v>293.33333333333974</v>
      </c>
      <c r="S199" s="59">
        <f ca="1">AVERAGE(OFFSET($R$3,0,0,'Données projet'!$E$9+1,1))-AVERAGE(OFFSET($H$3,0,0,'Données projet'!$E$9+1,1))</f>
        <v>370.69652285220093</v>
      </c>
      <c r="T199" s="59">
        <f t="shared" si="204"/>
        <v>376.53494965377718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0.3838496327688084</v>
      </c>
      <c r="AA199" s="21">
        <f>EXP(-LN(2)/25)*AA198+(1-EXP(-LN(2)/25))/(LN(2)/25)*Calculateur!V199*Calculateur!X199*VLOOKUP('Données projet'!$B$9,Paramètres!$A$1:$I$89,3,0)*0.475*44/12</f>
        <v>0.3349506829912714</v>
      </c>
      <c r="AB199" s="21">
        <f>EXP(-LN(2)/2)*AB198+(1-EXP(-LN(2)/2))/(LN(2)/2)*V199*Y199*VLOOKUP('Données projet'!$B$9,Paramètres!$A$1:$I$89,3,0)*0.475*44/12</f>
        <v>3.3841783352572045E-24</v>
      </c>
      <c r="AC199" s="22">
        <f t="shared" si="163"/>
        <v>0.71880031576007974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-5.6843418860808015E-13</v>
      </c>
      <c r="AJ199" s="13">
        <f>AI199*VLOOKUP('Données projet'!$B$10,Paramètres!$A$1:$I$89,3,0)*VLOOKUP('Données projet'!$B$10,Paramètres!$A$1:$I$89,5,0)</f>
        <v>-5.1431925385259092E-13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321.03881567735544</v>
      </c>
      <c r="AO199" s="59">
        <f t="shared" si="205"/>
        <v>234.87694492493506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8.9952641214508633E-2</v>
      </c>
      <c r="AV199" s="21">
        <f>EXP(-LN(2)/25)*AV198+(1-EXP(-LN(2)/25))/(LN(2)/25)*Calculateur!AQ199*Calculateur!AS199*VLOOKUP('Données projet'!$B$10,Paramètres!$A$1:$I$89,3,0)*0.475*44/12</f>
        <v>0.13591792841699996</v>
      </c>
      <c r="AW199" s="21">
        <f>EXP(-LN(2)/2)*AW198+(1-EXP(-LN(2)/2))/(LN(2)/2)*AQ199*AT199*VLOOKUP('Données projet'!$B$10,Paramètres!$A$1:$I$89,3,0)*0.475*44/12</f>
        <v>2.2478720350279639E-24</v>
      </c>
      <c r="AX199" s="21">
        <f t="shared" si="166"/>
        <v>0.22587056963150859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3.1036506698001181E-13</v>
      </c>
      <c r="BF199" s="13">
        <f t="shared" si="167"/>
        <v>4.086682523110923E-12</v>
      </c>
      <c r="BG199" s="20">
        <f t="shared" si="168"/>
        <v>7.6581912194083782E-12</v>
      </c>
      <c r="BH199" s="59">
        <f t="shared" si="194"/>
        <v>293.33333333334099</v>
      </c>
      <c r="BI199" s="59">
        <f ca="1">AVERAGE(OFFSET($BH$3,0,0,'Données projet'!$E$11+1,1))-AVERAGE(OFFSET($H$3,0,0,'Données projet'!$E$11+1,1))</f>
        <v>248.1486444660062</v>
      </c>
      <c r="BJ199" s="59">
        <f t="shared" si="206"/>
        <v>293.34458072322127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0.31811639755892784</v>
      </c>
      <c r="BQ199" s="21">
        <f>EXP(-LN(2)/25)*BQ198+(1-EXP(-LN(2)/25))/(LN(2)/25)*Calculateur!BL199*Calculateur!BN199*VLOOKUP('Données projet'!$B$11,Paramètres!$A$1:$I$89,3,0)*0.475*44/12</f>
        <v>0.34128841145373995</v>
      </c>
      <c r="BR199" s="21">
        <f>EXP(-LN(2)/2)*BR198+(1-EXP(-LN(2)/2))/(LN(2)/2)*BL199*BO199*VLOOKUP('Données projet'!$B$11,Paramètres!$A$1:$I$89,3,0)*0.475*44/12</f>
        <v>2.6038018324083035E-24</v>
      </c>
      <c r="BS199" s="22">
        <f t="shared" si="169"/>
        <v>0.65940480901266785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243.38048563215585</v>
      </c>
      <c r="CE199" s="59">
        <f t="shared" si="207"/>
        <v>372.1604147006675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0.27295973885781954</v>
      </c>
      <c r="CL199" s="21">
        <f>EXP(-LN(2)/25)*CL198+(1-EXP(-LN(2)/25))/(LN(2)/25)*Calculateur!CG199*Calculateur!CI199*VLOOKUP('Données projet'!$B$12,Paramètres!$A$1:$I$89,3,0)*0.475*44/12</f>
        <v>0.19414251734964821</v>
      </c>
      <c r="CM199" s="21">
        <f>EXP(-LN(2)/2)*CM198+(1-EXP(-LN(2)/2))/(LN(2)/2)*CG199*CJ199*VLOOKUP('Données projet'!$B$12,Paramètres!$A$1:$I$89,3,0)*0.475*44/12</f>
        <v>3.0310936719122811E-24</v>
      </c>
      <c r="CN199" s="22">
        <f t="shared" si="172"/>
        <v>0.46710225620746776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7.9580786405131221E-13</v>
      </c>
      <c r="CU199" s="17">
        <f>CT199*VLOOKUP('Données projet'!$B$13,Paramètres!$A$1:$I$89,3,0)*VLOOKUP('Données projet'!$B$13,Paramètres!$A$1:$I$89,5,0)</f>
        <v>3.8278358260868117E-13</v>
      </c>
      <c r="CV199" s="13">
        <f t="shared" si="173"/>
        <v>4.9186917125089072E-12</v>
      </c>
      <c r="CW199" s="20">
        <f t="shared" si="174"/>
        <v>9.2334028056631319E-12</v>
      </c>
      <c r="CX199" s="59">
        <f t="shared" si="196"/>
        <v>293.33333333334252</v>
      </c>
      <c r="CY199" s="59">
        <f ca="1">AVERAGE(OFFSET($CX$3,0,0,'Données projet'!$E$13+1,1))-AVERAGE(OFFSET($H$3,0,0,'Données projet'!$E$13+1,1))</f>
        <v>297.21955661193238</v>
      </c>
      <c r="CZ199" s="59">
        <f t="shared" si="208"/>
        <v>273.69206144662144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0.2516489286812123</v>
      </c>
      <c r="DG199" s="21">
        <f>EXP(-LN(2)/25)*DG198+(1-EXP(-LN(2)/25))/(LN(2)/25)*Calculateur!DB199*Calculateur!DD199*VLOOKUP('Données projet'!$B$13,Paramètres!$A$1:$I$89,3,0)*0.475*44/12</f>
        <v>0.1345906273092983</v>
      </c>
      <c r="DH199" s="21">
        <f>EXP(-LN(2)/2)*DH198+(1-EXP(-LN(2)/2))/(LN(2)/2)*DB199*DE199*VLOOKUP('Données projet'!$B$13,Paramètres!$A$1:$I$89,3,0)*0.475*44/12</f>
        <v>2.1623311257943053E-24</v>
      </c>
      <c r="DI199" s="22">
        <f t="shared" si="175"/>
        <v>0.38623955599051063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-4.0702161641092972E-13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260.20517190557814</v>
      </c>
      <c r="DU199" s="59">
        <f t="shared" si="209"/>
        <v>307.22009971147133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0.12186346692202137</v>
      </c>
      <c r="EB199" s="21">
        <f>EXP(-LN(2)/25)*EB198+(1-EXP(-LN(2)/25))/(LN(2)/25)*Calculateur!DW199*Calculateur!DY199*VLOOKUP('Données projet'!$B$14,Paramètres!$A$1:$I$89,3,0)*0.475*44/12</f>
        <v>0.2057452308180219</v>
      </c>
      <c r="EC199" s="21">
        <f>EXP(-LN(2)/2)*EC198+(1-EXP(-LN(2)/2))/(LN(2)/2)*DW199*DZ199*VLOOKUP('Données projet'!$B$14,Paramètres!$A$1:$I$89,3,0)*0.475*44/12</f>
        <v>2.4855778847973732E-24</v>
      </c>
      <c r="ED199" s="22">
        <f t="shared" si="178"/>
        <v>0.32760869774004325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1.1368683772161603E-13</v>
      </c>
      <c r="EK199" s="17">
        <f>EJ199*VLOOKUP('Données projet'!$B$15,Paramètres!$A$1:$I$89,3,0)*VLOOKUP('Données projet'!$B$15,Paramètres!$A$1:$I$89,5,0)</f>
        <v>6.7984728957526396E-14</v>
      </c>
      <c r="EL199" s="13">
        <f t="shared" si="179"/>
        <v>1.0682447123141398E-12</v>
      </c>
      <c r="EM199" s="20">
        <f t="shared" si="180"/>
        <v>1.978932943548152E-12</v>
      </c>
      <c r="EN199" s="59">
        <f t="shared" si="198"/>
        <v>293.3333333333353</v>
      </c>
      <c r="EO199" s="59">
        <f ca="1">AVERAGE(OFFSET($EN$3,0,0,'Données projet'!$E$15+1,1))-AVERAGE(OFFSET($H$3,0,0,'Données projet'!$E$15+1,1))</f>
        <v>259.30247982593914</v>
      </c>
      <c r="EP199" s="59">
        <f t="shared" si="210"/>
        <v>275.24740346220779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0.18081278075277687</v>
      </c>
      <c r="EX199" s="21">
        <f>EXP(-LN(2)/2)*EX198+(1-EXP(-LN(2)/2))/(LN(2)/2)*ER199*EU199*VLOOKUP('Données projet'!$B$15,Paramètres!$A$1:$I$89,3,0)*0.475*44/12</f>
        <v>2.9654911116679957E-24</v>
      </c>
      <c r="EY199" s="22">
        <f t="shared" si="181"/>
        <v>0.18081278075277687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-5.6843418860808015E-13</v>
      </c>
      <c r="FF199" s="17">
        <f>FE199*VLOOKUP('Données projet'!$B$16,Paramètres!$A$1:$I$89,3,0)*VLOOKUP('Données projet'!$B$16,Paramètres!$A$1:$I$89,5,0)</f>
        <v>-5.763922672485933E-13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372.91317851957336</v>
      </c>
      <c r="FK199" s="59">
        <f t="shared" si="211"/>
        <v>269.69187715858413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0.10080899446453558</v>
      </c>
      <c r="FR199" s="21">
        <f>EXP(-LN(2)/25)*FR198+(1-EXP(-LN(2)/25))/(LN(2)/25)*Calculateur!FM199*Calculateur!FO199*VLOOKUP('Données projet'!$B$16,Paramètres!$A$1:$I$89,3,0)*0.475*44/12</f>
        <v>0.15232181632939631</v>
      </c>
      <c r="FS199" s="21">
        <f>EXP(-LN(2)/2)*FS198+(1-EXP(-LN(2)/2))/(LN(2)/2)*FM199*FP199*VLOOKUP('Données projet'!$B$16,Paramètres!$A$1:$I$89,3,0)*0.475*44/12</f>
        <v>2.5191669358071989E-24</v>
      </c>
      <c r="FT199" s="22">
        <f t="shared" si="184"/>
        <v>0.2531308107939319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-1.1368683772161603E-13</v>
      </c>
      <c r="GA199" s="17">
        <f>FZ199*VLOOKUP('Données projet'!$B$17,Paramètres!$A$1:$I$89,3,0)*VLOOKUP('Données projet'!$B$17,Paramètres!$A$1:$I$89,5,0)</f>
        <v>-5.3205440053716299E-14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215.23235148064941</v>
      </c>
      <c r="GF199" s="59">
        <f t="shared" si="212"/>
        <v>184.07239726900434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0.11706776175473965</v>
      </c>
      <c r="GM199" s="21">
        <f>EXP(-LN(2)/25)*GM198+(1-EXP(-LN(2)/25))/(LN(2)/25)*Calculateur!GH199*Calculateur!GJ199*VLOOKUP('Données projet'!$B$17,Paramètres!$A$1:$I$89,3,0)*0.475*44/12</f>
        <v>7.8764893666384048E-2</v>
      </c>
      <c r="GN199" s="21">
        <f>EXP(-LN(2)/2)*GN198+(1-EXP(-LN(2)/2))/(LN(2)/2)*GH199*GK199*VLOOKUP('Données projet'!$B$17,Paramètres!$A$1:$I$89,3,0)*0.475*44/12</f>
        <v>1.0166232204625888E-24</v>
      </c>
      <c r="GO199" s="21">
        <f t="shared" si="187"/>
        <v>0.19583265542112371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-1.1368683772161603E-13</v>
      </c>
      <c r="GV199" s="17">
        <f>GU199*VLOOKUP('Données projet'!$B$18,Paramètres!$A$1:$I$89,3,0)*VLOOKUP('Données projet'!$B$18,Paramètres!$A$1:$I$89,5,0)</f>
        <v>-6.7984728957526396E-14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227.89848316900191</v>
      </c>
      <c r="HA199" s="59">
        <f t="shared" si="213"/>
        <v>239.85955661394541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0.29661287190778513</v>
      </c>
      <c r="HH199" s="21">
        <f>EXP(-LN(2)/25)*HH198+(1-EXP(-LN(2)/25))/(LN(2)/25)*Calculateur!HC199*Calculateur!HE199*VLOOKUP('Données projet'!$B$18,Paramètres!$A$1:$I$89,3,0)*0.475*44/12</f>
        <v>0.17189462089558494</v>
      </c>
      <c r="HI199" s="21">
        <f>EXP(-LN(2)/2)*HI198+(1-EXP(-LN(2)/2))/(LN(2)/2)*HC199*HF199*VLOOKUP('Données projet'!$B$18,Paramètres!$A$1:$I$89,3,0)*0.475*44/12</f>
        <v>6.9313295570211162E-25</v>
      </c>
      <c r="HJ199" s="22">
        <f t="shared" si="190"/>
        <v>0.46850749280337006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2.5420376914553347E-13</v>
      </c>
      <c r="P200" s="13">
        <f t="shared" si="203"/>
        <v>3.4258699088369875E-12</v>
      </c>
      <c r="Q200" s="20">
        <f t="shared" si="162"/>
        <v>6.4094616558195571E-12</v>
      </c>
      <c r="R200" s="59">
        <f t="shared" si="191"/>
        <v>293.33333333333974</v>
      </c>
      <c r="S200" s="59">
        <f ca="1">AVERAGE(OFFSET($R$3,0,0,'Données projet'!$E$9+1,1))-AVERAGE(OFFSET($H$3,0,0,'Données projet'!$E$9+1,1))</f>
        <v>370.69652285220093</v>
      </c>
      <c r="T200" s="59">
        <f t="shared" si="204"/>
        <v>376.53494965377718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0.37632257559537013</v>
      </c>
      <c r="AA200" s="21">
        <f>EXP(-LN(2)/25)*AA199+(1-EXP(-LN(2)/25))/(LN(2)/25)*Calculateur!V200*Calculateur!X200*VLOOKUP('Données projet'!$B$9,Paramètres!$A$1:$I$89,3,0)*0.475*44/12</f>
        <v>0.32579143895058421</v>
      </c>
      <c r="AB200" s="21">
        <f>EXP(-LN(2)/2)*AB199+(1-EXP(-LN(2)/2))/(LN(2)/2)*V200*Y200*VLOOKUP('Données projet'!$B$9,Paramètres!$A$1:$I$89,3,0)*0.475*44/12</f>
        <v>2.3929754496049708E-24</v>
      </c>
      <c r="AC200" s="22">
        <f t="shared" si="163"/>
        <v>0.70211401454595435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-5.6843418860808015E-13</v>
      </c>
      <c r="AJ200" s="13">
        <f>AI200*VLOOKUP('Données projet'!$B$10,Paramètres!$A$1:$I$89,3,0)*VLOOKUP('Données projet'!$B$10,Paramètres!$A$1:$I$89,5,0)</f>
        <v>-5.1431925385259092E-13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321.03881567735544</v>
      </c>
      <c r="AO200" s="59">
        <f t="shared" si="205"/>
        <v>234.87694492493506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8.8188724785985717E-2</v>
      </c>
      <c r="AV200" s="21">
        <f>EXP(-LN(2)/25)*AV199+(1-EXP(-LN(2)/25))/(LN(2)/25)*Calculateur!AQ200*Calculateur!AS200*VLOOKUP('Données projet'!$B$10,Paramètres!$A$1:$I$89,3,0)*0.475*44/12</f>
        <v>0.13220124551682388</v>
      </c>
      <c r="AW200" s="21">
        <f>EXP(-LN(2)/2)*AW199+(1-EXP(-LN(2)/2))/(LN(2)/2)*AQ200*AT200*VLOOKUP('Données projet'!$B$10,Paramètres!$A$1:$I$89,3,0)*0.475*44/12</f>
        <v>1.5894855592078778E-24</v>
      </c>
      <c r="AX200" s="21">
        <f t="shared" si="166"/>
        <v>0.2203899703028096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3.1036506698001181E-13</v>
      </c>
      <c r="BF200" s="13">
        <f t="shared" si="167"/>
        <v>4.086682523110923E-12</v>
      </c>
      <c r="BG200" s="20">
        <f t="shared" si="168"/>
        <v>7.6581912194083782E-12</v>
      </c>
      <c r="BH200" s="59">
        <f t="shared" si="194"/>
        <v>293.33333333334099</v>
      </c>
      <c r="BI200" s="59">
        <f ca="1">AVERAGE(OFFSET($BH$3,0,0,'Données projet'!$E$11+1,1))-AVERAGE(OFFSET($H$3,0,0,'Données projet'!$E$11+1,1))</f>
        <v>248.1486444660062</v>
      </c>
      <c r="BJ200" s="59">
        <f t="shared" si="206"/>
        <v>293.34458072322127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0.31187832903464074</v>
      </c>
      <c r="BQ200" s="21">
        <f>EXP(-LN(2)/25)*BQ199+(1-EXP(-LN(2)/25))/(LN(2)/25)*Calculateur!BL200*Calculateur!BN200*VLOOKUP('Données projet'!$B$11,Paramètres!$A$1:$I$89,3,0)*0.475*44/12</f>
        <v>0.3319558618949599</v>
      </c>
      <c r="BR200" s="21">
        <f>EXP(-LN(2)/2)*BR199+(1-EXP(-LN(2)/2))/(LN(2)/2)*BL200*BO200*VLOOKUP('Données projet'!$B$11,Paramètres!$A$1:$I$89,3,0)*0.475*44/12</f>
        <v>1.8411659325618697E-24</v>
      </c>
      <c r="BS200" s="22">
        <f t="shared" si="169"/>
        <v>0.64383419092960059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243.38048563215585</v>
      </c>
      <c r="CE200" s="59">
        <f t="shared" si="207"/>
        <v>372.1604147006675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0.26760716486781899</v>
      </c>
      <c r="CL200" s="21">
        <f>EXP(-LN(2)/25)*CL199+(1-EXP(-LN(2)/25))/(LN(2)/25)*Calculateur!CG200*Calculateur!CI200*VLOOKUP('Données projet'!$B$12,Paramètres!$A$1:$I$89,3,0)*0.475*44/12</f>
        <v>0.18883368000321082</v>
      </c>
      <c r="CM200" s="21">
        <f>EXP(-LN(2)/2)*CM199+(1-EXP(-LN(2)/2))/(LN(2)/2)*CG200*CJ200*VLOOKUP('Données projet'!$B$12,Paramètres!$A$1:$I$89,3,0)*0.475*44/12</f>
        <v>2.1433068898208062E-24</v>
      </c>
      <c r="CN200" s="22">
        <f t="shared" si="172"/>
        <v>0.45644084487102982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7.9580786405131221E-13</v>
      </c>
      <c r="CU200" s="17">
        <f>CT200*VLOOKUP('Données projet'!$B$13,Paramètres!$A$1:$I$89,3,0)*VLOOKUP('Données projet'!$B$13,Paramètres!$A$1:$I$89,5,0)</f>
        <v>3.8278358260868117E-13</v>
      </c>
      <c r="CV200" s="13">
        <f t="shared" si="173"/>
        <v>4.9186917125089072E-12</v>
      </c>
      <c r="CW200" s="20">
        <f t="shared" si="174"/>
        <v>9.2334028056631319E-12</v>
      </c>
      <c r="CX200" s="59">
        <f t="shared" si="196"/>
        <v>293.33333333334252</v>
      </c>
      <c r="CY200" s="59">
        <f ca="1">AVERAGE(OFFSET($CX$3,0,0,'Données projet'!$E$13+1,1))-AVERAGE(OFFSET($H$3,0,0,'Données projet'!$E$13+1,1))</f>
        <v>297.21955661193238</v>
      </c>
      <c r="CZ200" s="59">
        <f t="shared" si="208"/>
        <v>273.69206144662144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0.24671424668046427</v>
      </c>
      <c r="DG200" s="21">
        <f>EXP(-LN(2)/25)*DG199+(1-EXP(-LN(2)/25))/(LN(2)/25)*Calculateur!DB200*Calculateur!DD200*VLOOKUP('Données projet'!$B$13,Paramètres!$A$1:$I$89,3,0)*0.475*44/12</f>
        <v>0.13091023952771205</v>
      </c>
      <c r="DH200" s="21">
        <f>EXP(-LN(2)/2)*DH199+(1-EXP(-LN(2)/2))/(LN(2)/2)*DB200*DE200*VLOOKUP('Données projet'!$B$13,Paramètres!$A$1:$I$89,3,0)*0.475*44/12</f>
        <v>1.5289990022198948E-24</v>
      </c>
      <c r="DI200" s="22">
        <f t="shared" si="175"/>
        <v>0.37762448620817635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-4.0702161641092972E-13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260.20517190557814</v>
      </c>
      <c r="DU200" s="59">
        <f t="shared" si="209"/>
        <v>307.22009971147133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0.11947379866505593</v>
      </c>
      <c r="EB200" s="21">
        <f>EXP(-LN(2)/25)*EB199+(1-EXP(-LN(2)/25))/(LN(2)/25)*Calculateur!DW200*Calculateur!DY200*VLOOKUP('Données projet'!$B$14,Paramètres!$A$1:$I$89,3,0)*0.475*44/12</f>
        <v>0.20011911666163165</v>
      </c>
      <c r="EC200" s="21">
        <f>EXP(-LN(2)/2)*EC199+(1-EXP(-LN(2)/2))/(LN(2)/2)*DW200*DZ200*VLOOKUP('Données projet'!$B$14,Paramètres!$A$1:$I$89,3,0)*0.475*44/12</f>
        <v>1.7575689775075378E-24</v>
      </c>
      <c r="ED200" s="22">
        <f t="shared" si="178"/>
        <v>0.3195929153266876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1.1368683772161603E-13</v>
      </c>
      <c r="EK200" s="17">
        <f>EJ200*VLOOKUP('Données projet'!$B$15,Paramètres!$A$1:$I$89,3,0)*VLOOKUP('Données projet'!$B$15,Paramètres!$A$1:$I$89,5,0)</f>
        <v>6.7984728957526396E-14</v>
      </c>
      <c r="EL200" s="13">
        <f t="shared" si="179"/>
        <v>1.0682447123141398E-12</v>
      </c>
      <c r="EM200" s="20">
        <f t="shared" si="180"/>
        <v>1.978932943548152E-12</v>
      </c>
      <c r="EN200" s="59">
        <f t="shared" si="198"/>
        <v>293.3333333333353</v>
      </c>
      <c r="EO200" s="59">
        <f ca="1">AVERAGE(OFFSET($EN$3,0,0,'Données projet'!$E$15+1,1))-AVERAGE(OFFSET($H$3,0,0,'Données projet'!$E$15+1,1))</f>
        <v>259.30247982593914</v>
      </c>
      <c r="EP200" s="59">
        <f t="shared" si="210"/>
        <v>275.24740346220779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0.17586844575456131</v>
      </c>
      <c r="EX200" s="21">
        <f>EXP(-LN(2)/2)*EX199+(1-EXP(-LN(2)/2))/(LN(2)/2)*ER200*EU200*VLOOKUP('Données projet'!$B$15,Paramètres!$A$1:$I$89,3,0)*0.475*44/12</f>
        <v>2.096918874608873E-24</v>
      </c>
      <c r="EY200" s="22">
        <f t="shared" si="181"/>
        <v>0.17586844575456131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-5.6843418860808015E-13</v>
      </c>
      <c r="FF200" s="17">
        <f>FE200*VLOOKUP('Données projet'!$B$16,Paramètres!$A$1:$I$89,3,0)*VLOOKUP('Données projet'!$B$16,Paramètres!$A$1:$I$89,5,0)</f>
        <v>-5.763922672485933E-13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372.91317851957336</v>
      </c>
      <c r="FK200" s="59">
        <f t="shared" si="211"/>
        <v>269.69187715858413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9.8832191570501285E-2</v>
      </c>
      <c r="FR200" s="21">
        <f>EXP(-LN(2)/25)*FR199+(1-EXP(-LN(2)/25))/(LN(2)/25)*Calculateur!FM200*Calculateur!FO200*VLOOKUP('Données projet'!$B$16,Paramètres!$A$1:$I$89,3,0)*0.475*44/12</f>
        <v>0.14815656825161277</v>
      </c>
      <c r="FS200" s="21">
        <f>EXP(-LN(2)/2)*FS199+(1-EXP(-LN(2)/2))/(LN(2)/2)*FM200*FP200*VLOOKUP('Données projet'!$B$16,Paramètres!$A$1:$I$89,3,0)*0.475*44/12</f>
        <v>1.7813200232502064E-24</v>
      </c>
      <c r="FT200" s="22">
        <f t="shared" si="184"/>
        <v>0.24698875982211405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-1.1368683772161603E-13</v>
      </c>
      <c r="GA200" s="17">
        <f>FZ200*VLOOKUP('Données projet'!$B$17,Paramètres!$A$1:$I$89,3,0)*VLOOKUP('Données projet'!$B$17,Paramètres!$A$1:$I$89,5,0)</f>
        <v>-5.3205440053716299E-14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215.23235148064941</v>
      </c>
      <c r="GF200" s="59">
        <f t="shared" si="212"/>
        <v>184.07239726900434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0.11477213435101329</v>
      </c>
      <c r="GM200" s="21">
        <f>EXP(-LN(2)/25)*GM199+(1-EXP(-LN(2)/25))/(LN(2)/25)*Calculateur!GH200*Calculateur!GJ200*VLOOKUP('Données projet'!$B$17,Paramètres!$A$1:$I$89,3,0)*0.475*44/12</f>
        <v>7.6611063507011037E-2</v>
      </c>
      <c r="GN200" s="21">
        <f>EXP(-LN(2)/2)*GN199+(1-EXP(-LN(2)/2))/(LN(2)/2)*GH200*GK200*VLOOKUP('Données projet'!$B$17,Paramètres!$A$1:$I$89,3,0)*0.475*44/12</f>
        <v>7.1886117310080304E-25</v>
      </c>
      <c r="GO200" s="21">
        <f t="shared" si="187"/>
        <v>0.19138319785802432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-1.1368683772161603E-13</v>
      </c>
      <c r="GV200" s="17">
        <f>GU200*VLOOKUP('Données projet'!$B$18,Paramètres!$A$1:$I$89,3,0)*VLOOKUP('Données projet'!$B$18,Paramètres!$A$1:$I$89,5,0)</f>
        <v>-6.7984728957526396E-14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227.89848316900191</v>
      </c>
      <c r="HA200" s="59">
        <f t="shared" si="213"/>
        <v>239.85955661394541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0.29079647440566136</v>
      </c>
      <c r="HH200" s="21">
        <f>EXP(-LN(2)/25)*HH199+(1-EXP(-LN(2)/25))/(LN(2)/25)*Calculateur!HC200*Calculateur!HE200*VLOOKUP('Données projet'!$B$18,Paramètres!$A$1:$I$89,3,0)*0.475*44/12</f>
        <v>0.16719415344764993</v>
      </c>
      <c r="HI200" s="21">
        <f>EXP(-LN(2)/2)*HI199+(1-EXP(-LN(2)/2))/(LN(2)/2)*HC200*HF200*VLOOKUP('Données projet'!$B$18,Paramètres!$A$1:$I$89,3,0)*0.475*44/12</f>
        <v>4.9011901324083798E-25</v>
      </c>
      <c r="HJ200" s="22">
        <f t="shared" si="190"/>
        <v>0.45799062785331129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2.5420376914553347E-13</v>
      </c>
      <c r="P201" s="13">
        <f t="shared" si="203"/>
        <v>3.4258699088369875E-12</v>
      </c>
      <c r="Q201" s="20">
        <f t="shared" si="162"/>
        <v>6.4094616558195571E-12</v>
      </c>
      <c r="R201" s="59">
        <f t="shared" si="191"/>
        <v>293.33333333333974</v>
      </c>
      <c r="S201" s="59">
        <f ca="1">AVERAGE(OFFSET($R$3,0,0,'Données projet'!$E$9+1,1))-AVERAGE(OFFSET($H$3,0,0,'Données projet'!$E$9+1,1))</f>
        <v>370.69652285220093</v>
      </c>
      <c r="T201" s="59">
        <f t="shared" si="204"/>
        <v>376.53494965377718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0.36894311942205144</v>
      </c>
      <c r="AA201" s="21">
        <f>EXP(-LN(2)/25)*AA200+(1-EXP(-LN(2)/25))/(LN(2)/25)*Calculateur!V201*Calculateur!X201*VLOOKUP('Données projet'!$B$9,Paramètres!$A$1:$I$89,3,0)*0.475*44/12</f>
        <v>0.31688265491985329</v>
      </c>
      <c r="AB201" s="21">
        <f>EXP(-LN(2)/2)*AB200+(1-EXP(-LN(2)/2))/(LN(2)/2)*V201*Y201*VLOOKUP('Données projet'!$B$9,Paramètres!$A$1:$I$89,3,0)*0.475*44/12</f>
        <v>1.6920891676286022E-24</v>
      </c>
      <c r="AC201" s="22">
        <f t="shared" si="163"/>
        <v>0.68582577434190473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-5.6843418860808015E-13</v>
      </c>
      <c r="AJ201" s="13">
        <f>AI201*VLOOKUP('Données projet'!$B$10,Paramètres!$A$1:$I$89,3,0)*VLOOKUP('Données projet'!$B$10,Paramètres!$A$1:$I$89,5,0)</f>
        <v>-5.1431925385259092E-13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321.03881567735544</v>
      </c>
      <c r="AO201" s="59">
        <f t="shared" si="205"/>
        <v>234.87694492493506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8.6459397682743355E-2</v>
      </c>
      <c r="AV201" s="21">
        <f>EXP(-LN(2)/25)*AV200+(1-EXP(-LN(2)/25))/(LN(2)/25)*Calculateur!AQ201*Calculateur!AS201*VLOOKUP('Données projet'!$B$10,Paramètres!$A$1:$I$89,3,0)*0.475*44/12</f>
        <v>0.12858619550600497</v>
      </c>
      <c r="AW201" s="21">
        <f>EXP(-LN(2)/2)*AW200+(1-EXP(-LN(2)/2))/(LN(2)/2)*AQ201*AT201*VLOOKUP('Données projet'!$B$10,Paramètres!$A$1:$I$89,3,0)*0.475*44/12</f>
        <v>1.1239360175139819E-24</v>
      </c>
      <c r="AX201" s="21">
        <f t="shared" si="166"/>
        <v>0.21504559318874833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3.1036506698001181E-13</v>
      </c>
      <c r="BF201" s="13">
        <f t="shared" si="167"/>
        <v>4.086682523110923E-12</v>
      </c>
      <c r="BG201" s="20">
        <f t="shared" si="168"/>
        <v>7.6581912194083782E-12</v>
      </c>
      <c r="BH201" s="59">
        <f t="shared" si="194"/>
        <v>293.33333333334099</v>
      </c>
      <c r="BI201" s="59">
        <f ca="1">AVERAGE(OFFSET($BH$3,0,0,'Données projet'!$E$11+1,1))-AVERAGE(OFFSET($H$3,0,0,'Données projet'!$E$11+1,1))</f>
        <v>248.1486444660062</v>
      </c>
      <c r="BJ201" s="59">
        <f t="shared" si="206"/>
        <v>293.34458072322127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0.3057625852292688</v>
      </c>
      <c r="BQ201" s="21">
        <f>EXP(-LN(2)/25)*BQ200+(1-EXP(-LN(2)/25))/(LN(2)/25)*Calculateur!BL201*Calculateur!BN201*VLOOKUP('Données projet'!$B$11,Paramètres!$A$1:$I$89,3,0)*0.475*44/12</f>
        <v>0.32287851139464213</v>
      </c>
      <c r="BR201" s="21">
        <f>EXP(-LN(2)/2)*BR200+(1-EXP(-LN(2)/2))/(LN(2)/2)*BL201*BO201*VLOOKUP('Données projet'!$B$11,Paramètres!$A$1:$I$89,3,0)*0.475*44/12</f>
        <v>1.3019009162041517E-24</v>
      </c>
      <c r="BS201" s="22">
        <f t="shared" si="169"/>
        <v>0.62864109662391088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243.38048563215585</v>
      </c>
      <c r="CE201" s="59">
        <f t="shared" si="207"/>
        <v>372.1604147006675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0.26235955158901458</v>
      </c>
      <c r="CL201" s="21">
        <f>EXP(-LN(2)/25)*CL200+(1-EXP(-LN(2)/25))/(LN(2)/25)*Calculateur!CG201*Calculateur!CI201*VLOOKUP('Données projet'!$B$12,Paramètres!$A$1:$I$89,3,0)*0.475*44/12</f>
        <v>0.18367001309319136</v>
      </c>
      <c r="CM201" s="21">
        <f>EXP(-LN(2)/2)*CM200+(1-EXP(-LN(2)/2))/(LN(2)/2)*CG201*CJ201*VLOOKUP('Données projet'!$B$12,Paramètres!$A$1:$I$89,3,0)*0.475*44/12</f>
        <v>1.5155468359561405E-24</v>
      </c>
      <c r="CN201" s="22">
        <f t="shared" si="172"/>
        <v>0.44602956468220595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7.9580786405131221E-13</v>
      </c>
      <c r="CU201" s="17">
        <f>CT201*VLOOKUP('Données projet'!$B$13,Paramètres!$A$1:$I$89,3,0)*VLOOKUP('Données projet'!$B$13,Paramètres!$A$1:$I$89,5,0)</f>
        <v>3.8278358260868117E-13</v>
      </c>
      <c r="CV201" s="13">
        <f t="shared" si="173"/>
        <v>4.9186917125089072E-12</v>
      </c>
      <c r="CW201" s="20">
        <f t="shared" si="174"/>
        <v>9.2334028056631319E-12</v>
      </c>
      <c r="CX201" s="59">
        <f t="shared" si="196"/>
        <v>293.33333333334252</v>
      </c>
      <c r="CY201" s="59">
        <f ca="1">AVERAGE(OFFSET($CX$3,0,0,'Données projet'!$E$13+1,1))-AVERAGE(OFFSET($H$3,0,0,'Données projet'!$E$13+1,1))</f>
        <v>297.21955661193238</v>
      </c>
      <c r="CZ201" s="59">
        <f t="shared" si="208"/>
        <v>273.69206144662144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0.24187633078389209</v>
      </c>
      <c r="DG201" s="21">
        <f>EXP(-LN(2)/25)*DG200+(1-EXP(-LN(2)/25))/(LN(2)/25)*Calculateur!DB201*Calculateur!DD201*VLOOKUP('Données projet'!$B$13,Paramètres!$A$1:$I$89,3,0)*0.475*44/12</f>
        <v>0.12733049214355646</v>
      </c>
      <c r="DH201" s="21">
        <f>EXP(-LN(2)/2)*DH200+(1-EXP(-LN(2)/2))/(LN(2)/2)*DB201*DE201*VLOOKUP('Données projet'!$B$13,Paramètres!$A$1:$I$89,3,0)*0.475*44/12</f>
        <v>1.0811655628971527E-24</v>
      </c>
      <c r="DI201" s="22">
        <f t="shared" si="175"/>
        <v>0.36920682292744855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-4.0702161641092972E-13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260.20517190557814</v>
      </c>
      <c r="DU201" s="59">
        <f t="shared" si="209"/>
        <v>307.22009971147133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0.11713099034505588</v>
      </c>
      <c r="EB201" s="21">
        <f>EXP(-LN(2)/25)*EB200+(1-EXP(-LN(2)/25))/(LN(2)/25)*Calculateur!DW201*Calculateur!DY201*VLOOKUP('Données projet'!$B$14,Paramètres!$A$1:$I$89,3,0)*0.475*44/12</f>
        <v>0.19464684889271236</v>
      </c>
      <c r="EC201" s="21">
        <f>EXP(-LN(2)/2)*EC200+(1-EXP(-LN(2)/2))/(LN(2)/2)*DW201*DZ201*VLOOKUP('Données projet'!$B$14,Paramètres!$A$1:$I$89,3,0)*0.475*44/12</f>
        <v>1.2427889423986866E-24</v>
      </c>
      <c r="ED201" s="22">
        <f t="shared" si="178"/>
        <v>0.31177783923776825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1.1368683772161603E-13</v>
      </c>
      <c r="EK201" s="17">
        <f>EJ201*VLOOKUP('Données projet'!$B$15,Paramètres!$A$1:$I$89,3,0)*VLOOKUP('Données projet'!$B$15,Paramètres!$A$1:$I$89,5,0)</f>
        <v>6.7984728957526396E-14</v>
      </c>
      <c r="EL201" s="13">
        <f t="shared" si="179"/>
        <v>1.0682447123141398E-12</v>
      </c>
      <c r="EM201" s="20">
        <f t="shared" si="180"/>
        <v>1.978932943548152E-12</v>
      </c>
      <c r="EN201" s="59">
        <f t="shared" si="198"/>
        <v>293.3333333333353</v>
      </c>
      <c r="EO201" s="59">
        <f ca="1">AVERAGE(OFFSET($EN$3,0,0,'Données projet'!$E$15+1,1))-AVERAGE(OFFSET($H$3,0,0,'Données projet'!$E$15+1,1))</f>
        <v>259.30247982593914</v>
      </c>
      <c r="EP201" s="59">
        <f t="shared" si="210"/>
        <v>275.24740346220779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0.17105931385688322</v>
      </c>
      <c r="EX201" s="21">
        <f>EXP(-LN(2)/2)*EX200+(1-EXP(-LN(2)/2))/(LN(2)/2)*ER201*EU201*VLOOKUP('Données projet'!$B$15,Paramètres!$A$1:$I$89,3,0)*0.475*44/12</f>
        <v>1.4827455558339979E-24</v>
      </c>
      <c r="EY201" s="22">
        <f t="shared" si="181"/>
        <v>0.17105931385688322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-5.6843418860808015E-13</v>
      </c>
      <c r="FF201" s="17">
        <f>FE201*VLOOKUP('Données projet'!$B$16,Paramètres!$A$1:$I$89,3,0)*VLOOKUP('Données projet'!$B$16,Paramètres!$A$1:$I$89,5,0)</f>
        <v>-5.763922672485933E-13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372.91317851957336</v>
      </c>
      <c r="FK201" s="59">
        <f t="shared" si="211"/>
        <v>269.69187715858413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9.6894152575488293E-2</v>
      </c>
      <c r="FR201" s="21">
        <f>EXP(-LN(2)/25)*FR200+(1-EXP(-LN(2)/25))/(LN(2)/25)*Calculateur!FM201*Calculateur!FO201*VLOOKUP('Données projet'!$B$16,Paramètres!$A$1:$I$89,3,0)*0.475*44/12</f>
        <v>0.1441052191015571</v>
      </c>
      <c r="FS201" s="21">
        <f>EXP(-LN(2)/2)*FS200+(1-EXP(-LN(2)/2))/(LN(2)/2)*FM201*FP201*VLOOKUP('Données projet'!$B$16,Paramètres!$A$1:$I$89,3,0)*0.475*44/12</f>
        <v>1.2595834679035995E-24</v>
      </c>
      <c r="FT201" s="22">
        <f t="shared" si="184"/>
        <v>0.24099937167704538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-1.1368683772161603E-13</v>
      </c>
      <c r="GA201" s="17">
        <f>FZ201*VLOOKUP('Données projet'!$B$17,Paramètres!$A$1:$I$89,3,0)*VLOOKUP('Données projet'!$B$17,Paramètres!$A$1:$I$89,5,0)</f>
        <v>-5.3205440053716299E-14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215.23235148064941</v>
      </c>
      <c r="GF201" s="59">
        <f t="shared" si="212"/>
        <v>184.07239726900434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0.11252152280047954</v>
      </c>
      <c r="GM201" s="21">
        <f>EXP(-LN(2)/25)*GM200+(1-EXP(-LN(2)/25))/(LN(2)/25)*Calculateur!GH201*Calculateur!GJ201*VLOOKUP('Données projet'!$B$17,Paramètres!$A$1:$I$89,3,0)*0.475*44/12</f>
        <v>7.4516129946611082E-2</v>
      </c>
      <c r="GN201" s="21">
        <f>EXP(-LN(2)/2)*GN200+(1-EXP(-LN(2)/2))/(LN(2)/2)*GH201*GK201*VLOOKUP('Données projet'!$B$17,Paramètres!$A$1:$I$89,3,0)*0.475*44/12</f>
        <v>5.0831161023129439E-25</v>
      </c>
      <c r="GO201" s="21">
        <f t="shared" si="187"/>
        <v>0.18703765274709061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-1.1368683772161603E-13</v>
      </c>
      <c r="GV201" s="17">
        <f>GU201*VLOOKUP('Données projet'!$B$18,Paramètres!$A$1:$I$89,3,0)*VLOOKUP('Données projet'!$B$18,Paramètres!$A$1:$I$89,5,0)</f>
        <v>-6.7984728957526396E-14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227.89848316900191</v>
      </c>
      <c r="HA201" s="59">
        <f t="shared" si="213"/>
        <v>239.85955661394541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0.28509413291090208</v>
      </c>
      <c r="HH201" s="21">
        <f>EXP(-LN(2)/25)*HH200+(1-EXP(-LN(2)/25))/(LN(2)/25)*Calculateur!HC201*Calculateur!HE201*VLOOKUP('Données projet'!$B$18,Paramètres!$A$1:$I$89,3,0)*0.475*44/12</f>
        <v>0.16262222052926553</v>
      </c>
      <c r="HI201" s="21">
        <f>EXP(-LN(2)/2)*HI200+(1-EXP(-LN(2)/2))/(LN(2)/2)*HC201*HF201*VLOOKUP('Données projet'!$B$18,Paramètres!$A$1:$I$89,3,0)*0.475*44/12</f>
        <v>3.4656647785105581E-25</v>
      </c>
      <c r="HJ201" s="22">
        <f t="shared" si="190"/>
        <v>0.44771635344016758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2.5420376914553347E-13</v>
      </c>
      <c r="P202" s="13">
        <f t="shared" si="203"/>
        <v>3.4258699088369875E-12</v>
      </c>
      <c r="Q202" s="20">
        <f t="shared" si="162"/>
        <v>6.4094616558195571E-12</v>
      </c>
      <c r="R202" s="59">
        <f t="shared" si="191"/>
        <v>293.33333333333974</v>
      </c>
      <c r="S202" s="59">
        <f ca="1">AVERAGE(OFFSET($R$3,0,0,'Données projet'!$E$9+1,1))-AVERAGE(OFFSET($H$3,0,0,'Données projet'!$E$9+1,1))</f>
        <v>370.69652285220093</v>
      </c>
      <c r="T202" s="59">
        <f t="shared" si="204"/>
        <v>376.53494965377718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0.36170836988326766</v>
      </c>
      <c r="AA202" s="21">
        <f>EXP(-LN(2)/25)*AA201+(1-EXP(-LN(2)/25))/(LN(2)/25)*Calculateur!V202*Calculateur!X202*VLOOKUP('Données projet'!$B$9,Paramètres!$A$1:$I$89,3,0)*0.475*44/12</f>
        <v>0.30821748205693533</v>
      </c>
      <c r="AB202" s="21">
        <f>EXP(-LN(2)/2)*AB201+(1-EXP(-LN(2)/2))/(LN(2)/2)*V202*Y202*VLOOKUP('Données projet'!$B$9,Paramètres!$A$1:$I$89,3,0)*0.475*44/12</f>
        <v>1.1964877248024854E-24</v>
      </c>
      <c r="AC202" s="22">
        <f t="shared" si="163"/>
        <v>0.66992585194020293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-5.6843418860808015E-13</v>
      </c>
      <c r="AJ202" s="13">
        <f>AI202*VLOOKUP('Données projet'!$B$10,Paramètres!$A$1:$I$89,3,0)*VLOOKUP('Données projet'!$B$10,Paramètres!$A$1:$I$89,5,0)</f>
        <v>-5.1431925385259092E-13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321.03881567735544</v>
      </c>
      <c r="AO202" s="59">
        <f t="shared" si="205"/>
        <v>234.87694492493506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8.47639816292102E-2</v>
      </c>
      <c r="AV202" s="21">
        <f>EXP(-LN(2)/25)*AV201+(1-EXP(-LN(2)/25))/(LN(2)/25)*Calculateur!AQ202*Calculateur!AS202*VLOOKUP('Données projet'!$B$10,Paramètres!$A$1:$I$89,3,0)*0.475*44/12</f>
        <v>0.12506999922783912</v>
      </c>
      <c r="AW202" s="21">
        <f>EXP(-LN(2)/2)*AW201+(1-EXP(-LN(2)/2))/(LN(2)/2)*AQ202*AT202*VLOOKUP('Données projet'!$B$10,Paramètres!$A$1:$I$89,3,0)*0.475*44/12</f>
        <v>7.9474277960393889E-25</v>
      </c>
      <c r="AX202" s="21">
        <f t="shared" si="166"/>
        <v>0.20983398085704932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3.1036506698001181E-13</v>
      </c>
      <c r="BF202" s="13">
        <f t="shared" si="167"/>
        <v>4.086682523110923E-12</v>
      </c>
      <c r="BG202" s="20">
        <f t="shared" si="168"/>
        <v>7.6581912194083782E-12</v>
      </c>
      <c r="BH202" s="59">
        <f t="shared" si="194"/>
        <v>293.33333333334099</v>
      </c>
      <c r="BI202" s="59">
        <f ca="1">AVERAGE(OFFSET($BH$3,0,0,'Données projet'!$E$11+1,1))-AVERAGE(OFFSET($H$3,0,0,'Données projet'!$E$11+1,1))</f>
        <v>248.1486444660062</v>
      </c>
      <c r="BJ202" s="59">
        <f t="shared" si="206"/>
        <v>293.34458072322127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0.29976676742968478</v>
      </c>
      <c r="BQ202" s="21">
        <f>EXP(-LN(2)/25)*BQ201+(1-EXP(-LN(2)/25))/(LN(2)/25)*Calculateur!BL202*Calculateur!BN202*VLOOKUP('Données projet'!$B$11,Paramètres!$A$1:$I$89,3,0)*0.475*44/12</f>
        <v>0.31404938152111267</v>
      </c>
      <c r="BR202" s="21">
        <f>EXP(-LN(2)/2)*BR201+(1-EXP(-LN(2)/2))/(LN(2)/2)*BL202*BO202*VLOOKUP('Données projet'!$B$11,Paramètres!$A$1:$I$89,3,0)*0.475*44/12</f>
        <v>9.2058296628093487E-25</v>
      </c>
      <c r="BS202" s="22">
        <f t="shared" si="169"/>
        <v>0.61381614895079739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243.38048563215585</v>
      </c>
      <c r="CE202" s="59">
        <f t="shared" si="207"/>
        <v>372.1604147006675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0.25721484080587947</v>
      </c>
      <c r="CL202" s="21">
        <f>EXP(-LN(2)/25)*CL201+(1-EXP(-LN(2)/25))/(LN(2)/25)*Calculateur!CG202*Calculateur!CI202*VLOOKUP('Données projet'!$B$12,Paramètres!$A$1:$I$89,3,0)*0.475*44/12</f>
        <v>0.17864754692637183</v>
      </c>
      <c r="CM202" s="21">
        <f>EXP(-LN(2)/2)*CM201+(1-EXP(-LN(2)/2))/(LN(2)/2)*CG202*CJ202*VLOOKUP('Données projet'!$B$12,Paramètres!$A$1:$I$89,3,0)*0.475*44/12</f>
        <v>1.0716534449104031E-24</v>
      </c>
      <c r="CN202" s="22">
        <f t="shared" si="172"/>
        <v>0.43586238773225128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7.9580786405131221E-13</v>
      </c>
      <c r="CU202" s="17">
        <f>CT202*VLOOKUP('Données projet'!$B$13,Paramètres!$A$1:$I$89,3,0)*VLOOKUP('Données projet'!$B$13,Paramètres!$A$1:$I$89,5,0)</f>
        <v>3.8278358260868117E-13</v>
      </c>
      <c r="CV202" s="13">
        <f t="shared" si="173"/>
        <v>4.9186917125089072E-12</v>
      </c>
      <c r="CW202" s="20">
        <f t="shared" si="174"/>
        <v>9.2334028056631319E-12</v>
      </c>
      <c r="CX202" s="59">
        <f t="shared" si="196"/>
        <v>293.33333333334252</v>
      </c>
      <c r="CY202" s="59">
        <f ca="1">AVERAGE(OFFSET($CX$3,0,0,'Données projet'!$E$13+1,1))-AVERAGE(OFFSET($H$3,0,0,'Données projet'!$E$13+1,1))</f>
        <v>297.21955661193238</v>
      </c>
      <c r="CZ202" s="59">
        <f t="shared" si="208"/>
        <v>273.69206144662144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0.23713328346721438</v>
      </c>
      <c r="DG202" s="21">
        <f>EXP(-LN(2)/25)*DG201+(1-EXP(-LN(2)/25))/(LN(2)/25)*Calculateur!DB202*Calculateur!DD202*VLOOKUP('Données projet'!$B$13,Paramètres!$A$1:$I$89,3,0)*0.475*44/12</f>
        <v>0.12384863313987135</v>
      </c>
      <c r="DH202" s="21">
        <f>EXP(-LN(2)/2)*DH201+(1-EXP(-LN(2)/2))/(LN(2)/2)*DB202*DE202*VLOOKUP('Données projet'!$B$13,Paramètres!$A$1:$I$89,3,0)*0.475*44/12</f>
        <v>7.6449950110994742E-25</v>
      </c>
      <c r="DI202" s="22">
        <f t="shared" si="175"/>
        <v>0.36098191660708573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-4.0702161641092972E-13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260.20517190557814</v>
      </c>
      <c r="DU202" s="59">
        <f t="shared" si="209"/>
        <v>307.22009971147133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0.11483412306723904</v>
      </c>
      <c r="EB202" s="21">
        <f>EXP(-LN(2)/25)*EB201+(1-EXP(-LN(2)/25))/(LN(2)/25)*Calculateur!DW202*Calculateur!DY202*VLOOKUP('Données projet'!$B$14,Paramètres!$A$1:$I$89,3,0)*0.475*44/12</f>
        <v>0.18932422057370824</v>
      </c>
      <c r="EC202" s="21">
        <f>EXP(-LN(2)/2)*EC201+(1-EXP(-LN(2)/2))/(LN(2)/2)*DW202*DZ202*VLOOKUP('Données projet'!$B$14,Paramètres!$A$1:$I$89,3,0)*0.475*44/12</f>
        <v>8.7878448875376891E-25</v>
      </c>
      <c r="ED202" s="22">
        <f t="shared" si="178"/>
        <v>0.30415834364094729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1.1368683772161603E-13</v>
      </c>
      <c r="EK202" s="17">
        <f>EJ202*VLOOKUP('Données projet'!$B$15,Paramètres!$A$1:$I$89,3,0)*VLOOKUP('Données projet'!$B$15,Paramètres!$A$1:$I$89,5,0)</f>
        <v>6.7984728957526396E-14</v>
      </c>
      <c r="EL202" s="13">
        <f t="shared" si="179"/>
        <v>1.0682447123141398E-12</v>
      </c>
      <c r="EM202" s="20">
        <f t="shared" si="180"/>
        <v>1.978932943548152E-12</v>
      </c>
      <c r="EN202" s="59">
        <f t="shared" si="198"/>
        <v>293.3333333333353</v>
      </c>
      <c r="EO202" s="59">
        <f ca="1">AVERAGE(OFFSET($EN$3,0,0,'Données projet'!$E$15+1,1))-AVERAGE(OFFSET($H$3,0,0,'Données projet'!$E$15+1,1))</f>
        <v>259.30247982593914</v>
      </c>
      <c r="EP202" s="59">
        <f t="shared" si="210"/>
        <v>275.24740346220779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0.16638168792384839</v>
      </c>
      <c r="EX202" s="21">
        <f>EXP(-LN(2)/2)*EX201+(1-EXP(-LN(2)/2))/(LN(2)/2)*ER202*EU202*VLOOKUP('Données projet'!$B$15,Paramètres!$A$1:$I$89,3,0)*0.475*44/12</f>
        <v>1.0484594373044365E-24</v>
      </c>
      <c r="EY202" s="22">
        <f t="shared" si="181"/>
        <v>0.16638168792384839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-5.6843418860808015E-13</v>
      </c>
      <c r="FF202" s="17">
        <f>FE202*VLOOKUP('Données projet'!$B$16,Paramètres!$A$1:$I$89,3,0)*VLOOKUP('Données projet'!$B$16,Paramètres!$A$1:$I$89,5,0)</f>
        <v>-5.763922672485933E-13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372.91317851957336</v>
      </c>
      <c r="FK202" s="59">
        <f t="shared" si="211"/>
        <v>269.69187715858413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9.4994117343080442E-2</v>
      </c>
      <c r="FR202" s="21">
        <f>EXP(-LN(2)/25)*FR201+(1-EXP(-LN(2)/25))/(LN(2)/25)*Calculateur!FM202*Calculateur!FO202*VLOOKUP('Données projet'!$B$16,Paramètres!$A$1:$I$89,3,0)*0.475*44/12</f>
        <v>0.1401646543070609</v>
      </c>
      <c r="FS202" s="21">
        <f>EXP(-LN(2)/2)*FS201+(1-EXP(-LN(2)/2))/(LN(2)/2)*FM202*FP202*VLOOKUP('Données projet'!$B$16,Paramètres!$A$1:$I$89,3,0)*0.475*44/12</f>
        <v>8.9066001162510321E-25</v>
      </c>
      <c r="FT202" s="22">
        <f t="shared" si="184"/>
        <v>0.23515877165014135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-1.1368683772161603E-13</v>
      </c>
      <c r="GA202" s="17">
        <f>FZ202*VLOOKUP('Données projet'!$B$17,Paramètres!$A$1:$I$89,3,0)*VLOOKUP('Données projet'!$B$17,Paramètres!$A$1:$I$89,5,0)</f>
        <v>-5.3205440053716299E-14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215.23235148064941</v>
      </c>
      <c r="GF202" s="59">
        <f t="shared" si="212"/>
        <v>184.07239726900434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0.11031504436971426</v>
      </c>
      <c r="GM202" s="21">
        <f>EXP(-LN(2)/25)*GM201+(1-EXP(-LN(2)/25))/(LN(2)/25)*Calculateur!GH202*Calculateur!GJ202*VLOOKUP('Données projet'!$B$17,Paramètres!$A$1:$I$89,3,0)*0.475*44/12</f>
        <v>7.2478482454588031E-2</v>
      </c>
      <c r="GN202" s="21">
        <f>EXP(-LN(2)/2)*GN201+(1-EXP(-LN(2)/2))/(LN(2)/2)*GH202*GK202*VLOOKUP('Données projet'!$B$17,Paramètres!$A$1:$I$89,3,0)*0.475*44/12</f>
        <v>3.5943058655040152E-25</v>
      </c>
      <c r="GO202" s="21">
        <f t="shared" si="187"/>
        <v>0.18279352682430228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-1.1368683772161603E-13</v>
      </c>
      <c r="GV202" s="17">
        <f>GU202*VLOOKUP('Données projet'!$B$18,Paramètres!$A$1:$I$89,3,0)*VLOOKUP('Données projet'!$B$18,Paramètres!$A$1:$I$89,5,0)</f>
        <v>-6.7984728957526396E-14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227.89848316900191</v>
      </c>
      <c r="HA202" s="59">
        <f t="shared" si="213"/>
        <v>239.85955661394541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0.2795036108547701</v>
      </c>
      <c r="HH202" s="21">
        <f>EXP(-LN(2)/25)*HH201+(1-EXP(-LN(2)/25))/(LN(2)/25)*Calculateur!HC202*Calculateur!HE202*VLOOKUP('Données projet'!$B$18,Paramètres!$A$1:$I$89,3,0)*0.475*44/12</f>
        <v>0.15817530735696186</v>
      </c>
      <c r="HI202" s="21">
        <f>EXP(-LN(2)/2)*HI201+(1-EXP(-LN(2)/2))/(LN(2)/2)*HC202*HF202*VLOOKUP('Données projet'!$B$18,Paramètres!$A$1:$I$89,3,0)*0.475*44/12</f>
        <v>2.4505950662041899E-25</v>
      </c>
      <c r="HJ202" s="22">
        <f t="shared" si="190"/>
        <v>0.43767891821173199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2.5420376914553347E-13</v>
      </c>
      <c r="P203" s="13">
        <f t="shared" si="203"/>
        <v>3.4258699088369875E-12</v>
      </c>
      <c r="Q203" s="20">
        <f t="shared" si="162"/>
        <v>6.4094616558195571E-12</v>
      </c>
      <c r="R203" s="59">
        <f t="shared" si="191"/>
        <v>293.33333333333974</v>
      </c>
      <c r="S203" s="59">
        <f ca="1">AVERAGE(OFFSET($R$3,0,0,'Données projet'!$E$9+1,1))-AVERAGE(OFFSET($H$3,0,0,'Données projet'!$E$9+1,1))</f>
        <v>370.69652285220093</v>
      </c>
      <c r="T203" s="59">
        <f t="shared" si="204"/>
        <v>376.53494965377718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0.35461548937017795</v>
      </c>
      <c r="AA203" s="21">
        <f>EXP(-LN(2)/25)*AA202+(1-EXP(-LN(2)/25))/(LN(2)/25)*Calculateur!V203*Calculateur!X203*VLOOKUP('Données projet'!$B$9,Paramètres!$A$1:$I$89,3,0)*0.475*44/12</f>
        <v>0.29978925880163548</v>
      </c>
      <c r="AB203" s="21">
        <f>EXP(-LN(2)/2)*AB202+(1-EXP(-LN(2)/2))/(LN(2)/2)*V203*Y203*VLOOKUP('Données projet'!$B$9,Paramètres!$A$1:$I$89,3,0)*0.475*44/12</f>
        <v>8.4604458381430112E-25</v>
      </c>
      <c r="AC203" s="22">
        <f t="shared" si="163"/>
        <v>0.65440474817181338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-5.6843418860808015E-13</v>
      </c>
      <c r="AJ203" s="13">
        <f>AI203*VLOOKUP('Données projet'!$B$10,Paramètres!$A$1:$I$89,3,0)*VLOOKUP('Données projet'!$B$10,Paramètres!$A$1:$I$89,5,0)</f>
        <v>-5.1431925385259092E-13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321.03881567735544</v>
      </c>
      <c r="AO203" s="59">
        <f t="shared" si="205"/>
        <v>234.87694492493506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8.3101811650385146E-2</v>
      </c>
      <c r="AV203" s="21">
        <f>EXP(-LN(2)/25)*AV202+(1-EXP(-LN(2)/25))/(LN(2)/25)*Calculateur!AQ203*Calculateur!AS203*VLOOKUP('Données projet'!$B$10,Paramètres!$A$1:$I$89,3,0)*0.475*44/12</f>
        <v>0.12164995352180845</v>
      </c>
      <c r="AW203" s="21">
        <f>EXP(-LN(2)/2)*AW202+(1-EXP(-LN(2)/2))/(LN(2)/2)*AQ203*AT203*VLOOKUP('Données projet'!$B$10,Paramètres!$A$1:$I$89,3,0)*0.475*44/12</f>
        <v>5.6196800875699097E-25</v>
      </c>
      <c r="AX203" s="21">
        <f t="shared" si="166"/>
        <v>0.20475176517219359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3.1036506698001181E-13</v>
      </c>
      <c r="BF203" s="13">
        <f t="shared" si="167"/>
        <v>4.086682523110923E-12</v>
      </c>
      <c r="BG203" s="20">
        <f t="shared" si="168"/>
        <v>7.6581912194083782E-12</v>
      </c>
      <c r="BH203" s="59">
        <f t="shared" si="194"/>
        <v>293.33333333334099</v>
      </c>
      <c r="BI203" s="59">
        <f ca="1">AVERAGE(OFFSET($BH$3,0,0,'Données projet'!$E$11+1,1))-AVERAGE(OFFSET($H$3,0,0,'Données projet'!$E$11+1,1))</f>
        <v>248.1486444660062</v>
      </c>
      <c r="BJ203" s="59">
        <f t="shared" si="206"/>
        <v>293.34458072322127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0.29388852396006288</v>
      </c>
      <c r="BQ203" s="21">
        <f>EXP(-LN(2)/25)*BQ202+(1-EXP(-LN(2)/25))/(LN(2)/25)*Calculateur!BL203*Calculateur!BN203*VLOOKUP('Données projet'!$B$11,Paramètres!$A$1:$I$89,3,0)*0.475*44/12</f>
        <v>0.30546168466827867</v>
      </c>
      <c r="BR203" s="21">
        <f>EXP(-LN(2)/2)*BR202+(1-EXP(-LN(2)/2))/(LN(2)/2)*BL203*BO203*VLOOKUP('Données projet'!$B$11,Paramètres!$A$1:$I$89,3,0)*0.475*44/12</f>
        <v>6.5095045810207587E-25</v>
      </c>
      <c r="BS203" s="22">
        <f t="shared" si="169"/>
        <v>0.59935020862834154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243.38048563215585</v>
      </c>
      <c r="CE203" s="59">
        <f t="shared" si="207"/>
        <v>372.1604147006675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0.25217101466323788</v>
      </c>
      <c r="CL203" s="21">
        <f>EXP(-LN(2)/25)*CL202+(1-EXP(-LN(2)/25))/(LN(2)/25)*Calculateur!CG203*Calculateur!CI203*VLOOKUP('Données projet'!$B$12,Paramètres!$A$1:$I$89,3,0)*0.475*44/12</f>
        <v>0.17376242036100401</v>
      </c>
      <c r="CM203" s="21">
        <f>EXP(-LN(2)/2)*CM202+(1-EXP(-LN(2)/2))/(LN(2)/2)*CG203*CJ203*VLOOKUP('Données projet'!$B$12,Paramètres!$A$1:$I$89,3,0)*0.475*44/12</f>
        <v>7.5777341797807027E-25</v>
      </c>
      <c r="CN203" s="22">
        <f t="shared" si="172"/>
        <v>0.42593343502424186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7.9580786405131221E-13</v>
      </c>
      <c r="CU203" s="17">
        <f>CT203*VLOOKUP('Données projet'!$B$13,Paramètres!$A$1:$I$89,3,0)*VLOOKUP('Données projet'!$B$13,Paramètres!$A$1:$I$89,5,0)</f>
        <v>3.8278358260868117E-13</v>
      </c>
      <c r="CV203" s="13">
        <f t="shared" si="173"/>
        <v>4.9186917125089072E-12</v>
      </c>
      <c r="CW203" s="20">
        <f t="shared" si="174"/>
        <v>9.2334028056631319E-12</v>
      </c>
      <c r="CX203" s="59">
        <f t="shared" si="196"/>
        <v>293.33333333334252</v>
      </c>
      <c r="CY203" s="59">
        <f ca="1">AVERAGE(OFFSET($CX$3,0,0,'Données projet'!$E$13+1,1))-AVERAGE(OFFSET($H$3,0,0,'Données projet'!$E$13+1,1))</f>
        <v>297.21955661193238</v>
      </c>
      <c r="CZ203" s="59">
        <f t="shared" si="208"/>
        <v>273.69206144662144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0.23248324441544349</v>
      </c>
      <c r="DG203" s="21">
        <f>EXP(-LN(2)/25)*DG202+(1-EXP(-LN(2)/25))/(LN(2)/25)*Calculateur!DB203*Calculateur!DD203*VLOOKUP('Données projet'!$B$13,Paramètres!$A$1:$I$89,3,0)*0.475*44/12</f>
        <v>0.120461985753745</v>
      </c>
      <c r="DH203" s="21">
        <f>EXP(-LN(2)/2)*DH202+(1-EXP(-LN(2)/2))/(LN(2)/2)*DB203*DE203*VLOOKUP('Données projet'!$B$13,Paramètres!$A$1:$I$89,3,0)*0.475*44/12</f>
        <v>5.4058278144857633E-25</v>
      </c>
      <c r="DI203" s="22">
        <f t="shared" si="175"/>
        <v>0.3529452301691885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-4.0702161641092972E-13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260.20517190557814</v>
      </c>
      <c r="DU203" s="59">
        <f t="shared" si="209"/>
        <v>307.22009971147133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0.11258229595578949</v>
      </c>
      <c r="EB203" s="21">
        <f>EXP(-LN(2)/25)*EB202+(1-EXP(-LN(2)/25))/(LN(2)/25)*Calculateur!DW203*Calculateur!DY203*VLOOKUP('Données projet'!$B$14,Paramètres!$A$1:$I$89,3,0)*0.475*44/12</f>
        <v>0.18414713980599212</v>
      </c>
      <c r="EC203" s="21">
        <f>EXP(-LN(2)/2)*EC202+(1-EXP(-LN(2)/2))/(LN(2)/2)*DW203*DZ203*VLOOKUP('Données projet'!$B$14,Paramètres!$A$1:$I$89,3,0)*0.475*44/12</f>
        <v>6.2139447119934331E-25</v>
      </c>
      <c r="ED203" s="22">
        <f t="shared" si="178"/>
        <v>0.29672943576178162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1.1368683772161603E-13</v>
      </c>
      <c r="EK203" s="17">
        <f>EJ203*VLOOKUP('Données projet'!$B$15,Paramètres!$A$1:$I$89,3,0)*VLOOKUP('Données projet'!$B$15,Paramètres!$A$1:$I$89,5,0)</f>
        <v>6.7984728957526396E-14</v>
      </c>
      <c r="EL203" s="13">
        <f t="shared" si="179"/>
        <v>1.0682447123141398E-12</v>
      </c>
      <c r="EM203" s="20">
        <f t="shared" si="180"/>
        <v>1.978932943548152E-12</v>
      </c>
      <c r="EN203" s="59">
        <f t="shared" si="198"/>
        <v>293.3333333333353</v>
      </c>
      <c r="EO203" s="59">
        <f ca="1">AVERAGE(OFFSET($EN$3,0,0,'Données projet'!$E$15+1,1))-AVERAGE(OFFSET($H$3,0,0,'Données projet'!$E$15+1,1))</f>
        <v>259.30247982593914</v>
      </c>
      <c r="EP203" s="59">
        <f t="shared" si="210"/>
        <v>275.24740346220779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0.16183197191793805</v>
      </c>
      <c r="EX203" s="21">
        <f>EXP(-LN(2)/2)*EX202+(1-EXP(-LN(2)/2))/(LN(2)/2)*ER203*EU203*VLOOKUP('Données projet'!$B$15,Paramètres!$A$1:$I$89,3,0)*0.475*44/12</f>
        <v>7.4137277791699894E-25</v>
      </c>
      <c r="EY203" s="22">
        <f t="shared" si="181"/>
        <v>0.16183197191793805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-5.6843418860808015E-13</v>
      </c>
      <c r="FF203" s="17">
        <f>FE203*VLOOKUP('Données projet'!$B$16,Paramètres!$A$1:$I$89,3,0)*VLOOKUP('Données projet'!$B$16,Paramètres!$A$1:$I$89,5,0)</f>
        <v>-5.763922672485933E-13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372.91317851957336</v>
      </c>
      <c r="FK203" s="59">
        <f t="shared" si="211"/>
        <v>269.69187715858413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9.3131340642673047E-2</v>
      </c>
      <c r="FR203" s="21">
        <f>EXP(-LN(2)/25)*FR202+(1-EXP(-LN(2)/25))/(LN(2)/25)*Calculateur!FM203*Calculateur!FO203*VLOOKUP('Données projet'!$B$16,Paramètres!$A$1:$I$89,3,0)*0.475*44/12</f>
        <v>0.13633184446409549</v>
      </c>
      <c r="FS203" s="21">
        <f>EXP(-LN(2)/2)*FS202+(1-EXP(-LN(2)/2))/(LN(2)/2)*FM203*FP203*VLOOKUP('Données projet'!$B$16,Paramètres!$A$1:$I$89,3,0)*0.475*44/12</f>
        <v>6.2979173395179973E-25</v>
      </c>
      <c r="FT203" s="22">
        <f t="shared" si="184"/>
        <v>0.22946318510676855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-1.1368683772161603E-13</v>
      </c>
      <c r="GA203" s="17">
        <f>FZ203*VLOOKUP('Données projet'!$B$17,Paramètres!$A$1:$I$89,3,0)*VLOOKUP('Données projet'!$B$17,Paramètres!$A$1:$I$89,5,0)</f>
        <v>-5.3205440053716299E-14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215.23235148064941</v>
      </c>
      <c r="GF203" s="59">
        <f t="shared" si="212"/>
        <v>184.07239726900434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0.10815183363515733</v>
      </c>
      <c r="GM203" s="21">
        <f>EXP(-LN(2)/25)*GM202+(1-EXP(-LN(2)/25))/(LN(2)/25)*Calculateur!GH203*Calculateur!GJ203*VLOOKUP('Données projet'!$B$17,Paramètres!$A$1:$I$89,3,0)*0.475*44/12</f>
        <v>7.0496554540389583E-2</v>
      </c>
      <c r="GN203" s="21">
        <f>EXP(-LN(2)/2)*GN202+(1-EXP(-LN(2)/2))/(LN(2)/2)*GH203*GK203*VLOOKUP('Données projet'!$B$17,Paramètres!$A$1:$I$89,3,0)*0.475*44/12</f>
        <v>2.5415580511564719E-25</v>
      </c>
      <c r="GO203" s="21">
        <f t="shared" si="187"/>
        <v>0.1786483881755469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-1.1368683772161603E-13</v>
      </c>
      <c r="GV203" s="17">
        <f>GU203*VLOOKUP('Données projet'!$B$18,Paramètres!$A$1:$I$89,3,0)*VLOOKUP('Données projet'!$B$18,Paramètres!$A$1:$I$89,5,0)</f>
        <v>-6.7984728957526396E-14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227.89848316900191</v>
      </c>
      <c r="HA203" s="59">
        <f t="shared" si="213"/>
        <v>239.85955661394541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0.27402271552627716</v>
      </c>
      <c r="HH203" s="21">
        <f>EXP(-LN(2)/25)*HH202+(1-EXP(-LN(2)/25))/(LN(2)/25)*Calculateur!HC203*Calculateur!HE203*VLOOKUP('Données projet'!$B$18,Paramètres!$A$1:$I$89,3,0)*0.475*44/12</f>
        <v>0.15384999525920784</v>
      </c>
      <c r="HI203" s="21">
        <f>EXP(-LN(2)/2)*HI202+(1-EXP(-LN(2)/2))/(LN(2)/2)*HC203*HF203*VLOOKUP('Données projet'!$B$18,Paramètres!$A$1:$I$89,3,0)*0.475*44/12</f>
        <v>1.732832389255279E-25</v>
      </c>
      <c r="HJ203" s="22">
        <f t="shared" si="190"/>
        <v>0.427872710785485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1.3492828476735632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1.2595519038446648</v>
      </c>
      <c r="BA205" s="82">
        <f>EXP(LN('Données projet'!B88)/'Données projet'!A88)</f>
        <v>1.4816888666071193</v>
      </c>
      <c r="BV205" s="82">
        <f>EXP(LN('Données projet'!B114)/'Données projet'!A114)</f>
        <v>1.3467943429205997</v>
      </c>
      <c r="CQ205" s="82">
        <f>EXP(LN('Données projet'!B140)/'Données projet'!A140)</f>
        <v>1.2563584400948855</v>
      </c>
      <c r="DL205" s="82">
        <f>EXP(LN('Données projet'!B166)/'Données projet'!A166)</f>
        <v>1.2709816152101407</v>
      </c>
      <c r="EG205" s="82">
        <f>EXP(LN('Données projet'!B192)/'Données projet'!A192)</f>
        <v>1.2715047635013723</v>
      </c>
      <c r="FB205" s="82">
        <f>EXP(LN('Données projet'!B218)/'Données projet'!A218)</f>
        <v>1.2595519038446648</v>
      </c>
      <c r="FW205" s="82">
        <f>EXP(LN('Données projet'!B244)/'Données projet'!A244)</f>
        <v>1.2880503926580862</v>
      </c>
      <c r="GR205" s="82">
        <f>EXP(LN('Données projet'!B270)/'Données projet'!A270)</f>
        <v>1.3758248603770518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4" sqref="J2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14.972324279244061</v>
      </c>
      <c r="C6" s="147">
        <f ca="1">IF(OR('Données projet'!B9="",'Données projet'!C9="",'Données projet'!C9=0%),0,Calculateur!S3)</f>
        <v>370.69652285220093</v>
      </c>
      <c r="D6" s="147">
        <f>IF(OR('Données projet'!B9="",'Données projet'!C9="",'Données projet'!C9=0%),0,Calculateur!T3)</f>
        <v>376.53494965377718</v>
      </c>
      <c r="E6" s="147">
        <f ca="1">MIN(C6,D6)</f>
        <v>370.69652285220093</v>
      </c>
      <c r="F6" s="147">
        <f ca="1">E6*B6</f>
        <v>5550.1885493313594</v>
      </c>
      <c r="G6" s="147">
        <f ca="1">F6*(100%-'Données projet'!$C$24)*(100%-'Données projet'!$C$25)*(100%-'Données projet'!$C$26)*(100%-'Données projet'!$C$27)</f>
        <v>4995.1696943982233</v>
      </c>
      <c r="H6" s="148">
        <f>IF(OR('Données projet'!B9="",'Données projet'!C9="",'Données projet'!C9=0%),0,AVERAGE(Calculateur!$AC$3:$AC$33)*B6)</f>
        <v>152.34266700727431</v>
      </c>
      <c r="I6" s="149">
        <f>H6*(100%-'Données projet'!$C$24)*(100%-'Données projet'!$C$25)*(100%-'Données projet'!$C$26)*(100%-'Données projet'!$C$27)</f>
        <v>137.10840030654688</v>
      </c>
      <c r="J6" s="150">
        <f>IF(OR('Données projet'!B9="",'Données projet'!C9="",'Données projet'!C9=0%),0,SUM(Calculateur!$V$3:$V$33)*VLOOKUP('Données projet'!$B$9,Paramètres!$A$1:$I$89,9,0)*B6)</f>
        <v>1352.0008824157387</v>
      </c>
      <c r="K6" s="151">
        <f>J6*(100%-'Données projet'!$C$24)*(100%-'Données projet'!$C$25)*(100%-'Données projet'!$C$26)*(100%-'Données projet'!$C$27)</f>
        <v>1216.8007941741648</v>
      </c>
      <c r="L6" s="152">
        <f ca="1">G6+I6+K6</f>
        <v>6349.0788888789357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3.6093827064767066</v>
      </c>
      <c r="C7" s="147">
        <f ca="1">IF(OR('Données projet'!B10="",'Données projet'!C10="",'Données projet'!C10=0%),0,Calculateur!AN3)</f>
        <v>321.03881567735544</v>
      </c>
      <c r="D7" s="147">
        <f>IF(OR('Données projet'!B10="",'Données projet'!C10="",'Données projet'!C10=0%),0,Calculateur!AO3)</f>
        <v>234.87694492493506</v>
      </c>
      <c r="E7" s="147">
        <f t="shared" ref="E7:E15" ca="1" si="0">MIN(C7,D7)</f>
        <v>234.87694492493506</v>
      </c>
      <c r="F7" s="147">
        <f t="shared" ref="F7:F15" ca="1" si="1">E7*B7</f>
        <v>847.7607831621425</v>
      </c>
      <c r="G7" s="147">
        <f ca="1">F7*(100%-'Données projet'!$C$24)*(100%-'Données projet'!$C$25)*(100%-'Données projet'!$C$26)*(100%-'Données projet'!$C$27)</f>
        <v>762.98470484592826</v>
      </c>
      <c r="H7" s="155">
        <f>IF(OR('Données projet'!B10="",'Données projet'!C10="",'Données projet'!C10=0%),0,AVERAGE(Calculateur!$AX$3:$AX$33)*B7)</f>
        <v>10.938787329175325</v>
      </c>
      <c r="I7" s="149">
        <f>H7*(100%-'Données projet'!$C$24)*(100%-'Données projet'!$C$25)*(100%-'Données projet'!$C$26)*(100%-'Données projet'!$C$27)</f>
        <v>9.8449085962577918</v>
      </c>
      <c r="J7" s="150">
        <f>IF(OR('Données projet'!B10="",'Données projet'!C10="",'Données projet'!C10=0%),0,SUM(Calculateur!$AQ$3:$AQ$33)*VLOOKUP('Données projet'!$B$10,Paramètres!$A$1:$I$89,9,0)*B7)</f>
        <v>81.211110895725895</v>
      </c>
      <c r="K7" s="151">
        <f>J7*(100%-'Données projet'!$C$24)*(100%-'Données projet'!$C$25)*(100%-'Données projet'!$C$26)*(100%-'Données projet'!$C$27)</f>
        <v>73.089999806153301</v>
      </c>
      <c r="L7" s="152">
        <f t="shared" ref="L7:L15" ca="1" si="2">G7+I7+K7</f>
        <v>845.91961324833937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Mélèze hybride</v>
      </c>
      <c r="B8" s="154">
        <f>'Données projet'!D11</f>
        <v>3.3914501680438294</v>
      </c>
      <c r="C8" s="147">
        <f ca="1">IF(OR('Données projet'!B11="",'Données projet'!C11="",'Données projet'!C11=0%),0,Calculateur!BI3)</f>
        <v>248.1486444660062</v>
      </c>
      <c r="D8" s="147">
        <f>IF(OR('Données projet'!B11="",'Données projet'!C11="",'Données projet'!C11=0%),0,Calculateur!BJ3)</f>
        <v>293.34458072322127</v>
      </c>
      <c r="E8" s="147">
        <f t="shared" ca="1" si="0"/>
        <v>248.1486444660062</v>
      </c>
      <c r="F8" s="147">
        <f t="shared" ca="1" si="1"/>
        <v>841.58376197408518</v>
      </c>
      <c r="G8" s="147">
        <f ca="1">F8*(100%-'Données projet'!$C$24)*(100%-'Données projet'!$C$25)*(100%-'Données projet'!$C$26)*(100%-'Données projet'!$C$27)</f>
        <v>757.42538577667665</v>
      </c>
      <c r="H8" s="155">
        <f>IF(OR('Données projet'!B11="",'Données projet'!C11="",'Données projet'!C11=0%),0,AVERAGE(Calculateur!$BS$3:$BS$33)*B8)</f>
        <v>42.790999264912514</v>
      </c>
      <c r="I8" s="149">
        <f>H8*(100%-'Données projet'!$C$24)*(100%-'Données projet'!$C$25)*(100%-'Données projet'!$C$26)*(100%-'Données projet'!$C$27)</f>
        <v>38.511899338421266</v>
      </c>
      <c r="J8" s="150">
        <f>IF(OR('Données projet'!B11="",'Données projet'!C11="",'Données projet'!C11=0%),0,SUM(Calculateur!$BL$3:$BL$33)*VLOOKUP('Données projet'!$B$11,Paramètres!$A$1:$I$89,9,0)*B8)</f>
        <v>297.49800874080472</v>
      </c>
      <c r="K8" s="151">
        <f>J8*(100%-'Données projet'!$C$24)*(100%-'Données projet'!$C$25)*(100%-'Données projet'!$C$26)*(100%-'Données projet'!$C$27)</f>
        <v>267.74820786672427</v>
      </c>
      <c r="L8" s="152">
        <f t="shared" ca="1" si="2"/>
        <v>1063.6854929818221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rouge d'Amérique</v>
      </c>
      <c r="B9" s="154">
        <f>'Données projet'!D12</f>
        <v>3.8407290926191799</v>
      </c>
      <c r="C9" s="147">
        <f ca="1">IF(OR('Données projet'!B12="",'Données projet'!C12="",'Données projet'!C12=0%),0,Calculateur!CD3)</f>
        <v>243.38048563215585</v>
      </c>
      <c r="D9" s="147">
        <f>IF(OR('Données projet'!B12="",'Données projet'!C12="",'Données projet'!C12=0%),0,Calculateur!CE3)</f>
        <v>372.1604147006675</v>
      </c>
      <c r="E9" s="147">
        <f t="shared" ca="1" si="0"/>
        <v>243.38048563215585</v>
      </c>
      <c r="F9" s="147">
        <f t="shared" ca="1" si="1"/>
        <v>934.7585117432053</v>
      </c>
      <c r="G9" s="147">
        <f ca="1">F9*(100%-'Données projet'!$C$24)*(100%-'Données projet'!$C$25)*(100%-'Données projet'!$C$26)*(100%-'Données projet'!$C$27)</f>
        <v>841.28266056888481</v>
      </c>
      <c r="H9" s="155">
        <f>IF(OR('Données projet'!B12="",'Données projet'!C12="",'Données projet'!C12=0%),0,AVERAGE(Calculateur!$CN$3:$CN$33)*B9)</f>
        <v>20.613706692820458</v>
      </c>
      <c r="I9" s="149">
        <f>H9*(100%-'Données projet'!$C$24)*(100%-'Données projet'!$C$25)*(100%-'Données projet'!$C$26)*(100%-'Données projet'!$C$27)</f>
        <v>18.552336023538412</v>
      </c>
      <c r="J9" s="150">
        <f>IF(OR('Données projet'!B12="",'Données projet'!C12="",'Données projet'!C12=0%),0,SUM(Calculateur!$CG$3:$CG$33)*VLOOKUP('Données projet'!$B$12,Paramètres!$A$1:$I$89,9,0)*B9)</f>
        <v>145.94770551952882</v>
      </c>
      <c r="K9" s="151">
        <f>J9*(100%-'Données projet'!$C$24)*(100%-'Données projet'!$C$25)*(100%-'Données projet'!$C$26)*(100%-'Données projet'!$C$27)</f>
        <v>131.35293496757595</v>
      </c>
      <c r="L9" s="152">
        <f t="shared" ca="1" si="2"/>
        <v>991.18793155999913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Sapin de Nordmann</v>
      </c>
      <c r="B10" s="154">
        <f>'Données projet'!D13</f>
        <v>2.0033798487132852</v>
      </c>
      <c r="C10" s="147">
        <f ca="1">IF(OR('Données projet'!B13="",'Données projet'!C13="",'Données projet'!C13=0%),0,Calculateur!CY3)</f>
        <v>297.21955661193238</v>
      </c>
      <c r="D10" s="147">
        <f>IF(OR('Données projet'!B13="",'Données projet'!C13="",'Données projet'!C13=0%),0,Calculateur!CZ3)</f>
        <v>273.69206144662144</v>
      </c>
      <c r="E10" s="147">
        <f t="shared" ca="1" si="0"/>
        <v>273.69206144662144</v>
      </c>
      <c r="F10" s="147">
        <f t="shared" ca="1" si="1"/>
        <v>548.30916065495967</v>
      </c>
      <c r="G10" s="147">
        <f ca="1">F10*(100%-'Données projet'!$C$24)*(100%-'Données projet'!$C$25)*(100%-'Données projet'!$C$26)*(100%-'Données projet'!$C$27)</f>
        <v>493.47824458946371</v>
      </c>
      <c r="H10" s="155">
        <f>IF(OR('Données projet'!B13="",'Données projet'!C13="",'Données projet'!C13=0%),0,AVERAGE(Calculateur!$DI$3:$DI$33)*B10)</f>
        <v>2.6544148249418149</v>
      </c>
      <c r="I10" s="149">
        <f>H10*(100%-'Données projet'!$C$24)*(100%-'Données projet'!$C$25)*(100%-'Données projet'!$C$26)*(100%-'Données projet'!$C$27)</f>
        <v>2.3889733424476334</v>
      </c>
      <c r="J10" s="150">
        <f>IF(OR('Données projet'!B13="",'Données projet'!C13="",'Données projet'!C13=0%),0,SUM(Calculateur!$DB$3:$DB$33)*VLOOKUP('Données projet'!$B$13,Paramètres!$A$1:$I$89,9,0)*B10)</f>
        <v>82.699520154884411</v>
      </c>
      <c r="K10" s="151">
        <f>J10*(100%-'Données projet'!$C$24)*(100%-'Données projet'!$C$25)*(100%-'Données projet'!$C$26)*(100%-'Données projet'!$C$27)</f>
        <v>74.429568139395968</v>
      </c>
      <c r="L10" s="152">
        <f t="shared" ca="1" si="2"/>
        <v>570.29678607130734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Erable sycomore</v>
      </c>
      <c r="B11" s="154">
        <f>'Données projet'!D14</f>
        <v>2.0033798487132852</v>
      </c>
      <c r="C11" s="147">
        <f ca="1">IF(OR('Données projet'!B14="",'Données projet'!C14="",'Données projet'!C14=0%),0,Calculateur!DT3)</f>
        <v>260.20517190557814</v>
      </c>
      <c r="D11" s="147">
        <f>IF(OR('Données projet'!B14="",'Données projet'!C14="",'Données projet'!C14=0%),0,Calculateur!DU3)</f>
        <v>307.22009971147133</v>
      </c>
      <c r="E11" s="147">
        <f t="shared" ca="1" si="0"/>
        <v>260.20517190557814</v>
      </c>
      <c r="F11" s="147">
        <f t="shared" ca="1" si="1"/>
        <v>521.28979792661153</v>
      </c>
      <c r="G11" s="147">
        <f ca="1">F11*(100%-'Données projet'!$C$24)*(100%-'Données projet'!$C$25)*(100%-'Données projet'!$C$26)*(100%-'Données projet'!$C$27)</f>
        <v>469.16081813395039</v>
      </c>
      <c r="H11" s="155">
        <f>IF(OR('Données projet'!B14="",'Données projet'!C14="",'Données projet'!C14=0%),0,AVERAGE(Calculateur!$ED$3:$ED$33)*B11)</f>
        <v>10.22862962294457</v>
      </c>
      <c r="I11" s="149">
        <f>H11*(100%-'Données projet'!$C$24)*(100%-'Données projet'!$C$25)*(100%-'Données projet'!$C$26)*(100%-'Données projet'!$C$27)</f>
        <v>9.205766660650113</v>
      </c>
      <c r="J11" s="150">
        <f>IF(OR('Données projet'!B14="",'Données projet'!C14="",'Données projet'!C14=0%),0,SUM(Calculateur!$DW$3:$DW$33)*VLOOKUP('Données projet'!$B$14,Paramètres!$A$1:$I$89,9,0)*B11)</f>
        <v>68.615759818430021</v>
      </c>
      <c r="K11" s="151">
        <f>J11*(100%-'Données projet'!$C$24)*(100%-'Données projet'!$C$25)*(100%-'Données projet'!$C$26)*(100%-'Données projet'!$C$27)</f>
        <v>61.754183836587018</v>
      </c>
      <c r="L11" s="152">
        <f t="shared" ca="1" si="2"/>
        <v>540.1207686311875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Pin laricio</v>
      </c>
      <c r="B12" s="154">
        <f>'Données projet'!D15</f>
        <v>0.45985764990424882</v>
      </c>
      <c r="C12" s="147">
        <f ca="1">IF(OR('Données projet'!B15="",'Données projet'!C15="",'Données projet'!C15=0%),0,Calculateur!EO3)</f>
        <v>259.30247982593914</v>
      </c>
      <c r="D12" s="147">
        <f>IF(OR('Données projet'!B15="",'Données projet'!C15="",'Données projet'!C15=0%),0,Calculateur!EP3)</f>
        <v>275.24740346220779</v>
      </c>
      <c r="E12" s="147">
        <f t="shared" ca="1" si="0"/>
        <v>259.30247982593914</v>
      </c>
      <c r="F12" s="147">
        <f t="shared" ca="1" si="1"/>
        <v>119.24222898710026</v>
      </c>
      <c r="G12" s="147">
        <f ca="1">F12*(100%-'Données projet'!$C$24)*(100%-'Données projet'!$C$25)*(100%-'Données projet'!$C$26)*(100%-'Données projet'!$C$27)</f>
        <v>107.31800608839023</v>
      </c>
      <c r="H12" s="155">
        <f>IF(OR('Données projet'!B15="",'Données projet'!C15="",'Données projet'!C15=0%),0,AVERAGE(Calculateur!$EY$3:$EY$33)*B12)</f>
        <v>1.6121140117505635</v>
      </c>
      <c r="I12" s="149">
        <f>H12*(100%-'Données projet'!$C$24)*(100%-'Données projet'!$C$25)*(100%-'Données projet'!$C$26)*(100%-'Données projet'!$C$27)</f>
        <v>1.4509026105755072</v>
      </c>
      <c r="J12" s="150">
        <f>IF(OR('Données projet'!B15="",'Données projet'!C15="",'Données projet'!C15=0%),0,SUM(Calculateur!$ER$3:$ER$33)*VLOOKUP('Données projet'!$B$15,Paramètres!$A$1:$I$89,9,0)*B12)</f>
        <v>21.158050472094487</v>
      </c>
      <c r="K12" s="151">
        <f>J12*(100%-'Données projet'!$C$24)*(100%-'Données projet'!$C$25)*(100%-'Données projet'!$C$26)*(100%-'Données projet'!$C$27)</f>
        <v>19.042245424885039</v>
      </c>
      <c r="L12" s="152">
        <f t="shared" ca="1" si="2"/>
        <v>127.81115412385078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Chêne pubescent</v>
      </c>
      <c r="B13" s="154">
        <f>'Données projet'!D16</f>
        <v>0.40983213542846758</v>
      </c>
      <c r="C13" s="147">
        <f ca="1">IF(OR('Données projet'!B16="",'Données projet'!C16="",'Données projet'!C16=0%),0,Calculateur!FJ3)</f>
        <v>372.91317851957336</v>
      </c>
      <c r="D13" s="147">
        <f>IF(OR('Données projet'!B16="",'Données projet'!C16="",'Données projet'!C16=0%),0,Calculateur!FK3)</f>
        <v>269.69187715858413</v>
      </c>
      <c r="E13" s="147">
        <f t="shared" ca="1" si="0"/>
        <v>269.69187715858413</v>
      </c>
      <c r="F13" s="147">
        <f t="shared" ca="1" si="1"/>
        <v>110.52839792361449</v>
      </c>
      <c r="G13" s="147">
        <f ca="1">F13*(100%-'Données projet'!$C$24)*(100%-'Données projet'!$C$25)*(100%-'Données projet'!$C$26)*(100%-'Données projet'!$C$27)</f>
        <v>99.475558131253038</v>
      </c>
      <c r="H13" s="155">
        <f>IF(OR('Données projet'!B16="",'Données projet'!C16="",'Données projet'!C16=0%),0,AVERAGE(Calculateur!$FT$3:$FT$33)*B13)</f>
        <v>1.3919627640373136</v>
      </c>
      <c r="I13" s="149">
        <f>H13*(100%-'Données projet'!$C$24)*(100%-'Données projet'!$C$25)*(100%-'Données projet'!$C$26)*(100%-'Données projet'!$C$27)</f>
        <v>1.2527664876335822</v>
      </c>
      <c r="J13" s="150">
        <f>IF(OR('Données projet'!C16="",'Données projet'!C16=0%),0,SUM(Calculateur!$FM$3:$FM$33)*VLOOKUP('Données projet'!$B$16,Paramètres!$A$1:$I$89,9,0)*B13)</f>
        <v>9.221223047140521</v>
      </c>
      <c r="K13" s="151">
        <f>J13*(100%-'Données projet'!$C$24)*(100%-'Données projet'!$C$25)*(100%-'Données projet'!$C$26)*(100%-'Données projet'!$C$27)</f>
        <v>8.2991007424264698</v>
      </c>
      <c r="L13" s="152">
        <f t="shared" ca="1" si="2"/>
        <v>109.02742536131309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Cèdre de l'Atlas</v>
      </c>
      <c r="B14" s="154">
        <f>'Données projet'!D17</f>
        <v>0.40983213542846758</v>
      </c>
      <c r="C14" s="147">
        <f ca="1">IF(OR('Données projet'!B17="",'Données projet'!C17="",'Données projet'!C17=0%),0,Calculateur!GE3)</f>
        <v>215.23235148064941</v>
      </c>
      <c r="D14" s="147">
        <f>IF(OR('Données projet'!B17="",'Données projet'!C17="",'Données projet'!C17=0%),0,Calculateur!GF3)</f>
        <v>184.07239726900434</v>
      </c>
      <c r="E14" s="147">
        <f t="shared" ca="1" si="0"/>
        <v>184.07239726900434</v>
      </c>
      <c r="F14" s="147">
        <f t="shared" ca="1" si="1"/>
        <v>75.438783646193272</v>
      </c>
      <c r="G14" s="147">
        <f ca="1">F14*(100%-'Données projet'!$C$24)*(100%-'Données projet'!$C$25)*(100%-'Données projet'!$C$26)*(100%-'Données projet'!$C$27)</f>
        <v>67.894905281573941</v>
      </c>
      <c r="H14" s="155">
        <f>IF(OR('Données projet'!B17="",'Données projet'!C17="",'Données projet'!C17=0%),0,AVERAGE(Calculateur!$GO$3:$GO$33)*B14)</f>
        <v>0.66894174304707066</v>
      </c>
      <c r="I14" s="149">
        <f>H14*(100%-'Données projet'!$C$24)*(100%-'Données projet'!$C$25)*(100%-'Données projet'!$C$26)*(100%-'Données projet'!$C$27)</f>
        <v>0.60204756874236365</v>
      </c>
      <c r="J14" s="150">
        <f>IF(OR('Données projet'!B17="",'Données projet'!C17="",'Données projet'!C17=0%),0,SUM(Calculateur!$GH$3:$GH$33)*VLOOKUP('Données projet'!$B$17,Paramètres!$A$1:$I$89,9,0)*B14)</f>
        <v>10.291704584879676</v>
      </c>
      <c r="K14" s="151">
        <f>J14*(100%-'Données projet'!$C$24)*(100%-'Données projet'!$C$25)*(100%-'Données projet'!$C$26)*(100%-'Données projet'!$C$27)</f>
        <v>9.2625341263917083</v>
      </c>
      <c r="L14" s="152">
        <f t="shared" ca="1" si="2"/>
        <v>77.759486976708018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maritime</v>
      </c>
      <c r="B15" s="157">
        <f>'Données projet'!D18</f>
        <v>0.20491606771423412</v>
      </c>
      <c r="C15" s="158">
        <f ca="1">IF(OR('Données projet'!B18="",'Données projet'!C18="",'Données projet'!C18=0%),0,Calculateur!GZ3)</f>
        <v>227.89848316900191</v>
      </c>
      <c r="D15" s="158">
        <f>IF(OR('Données projet'!B18="",'Données projet'!C18="",'Données projet'!C18=0%),0,Calculateur!HA3)</f>
        <v>239.85955661394541</v>
      </c>
      <c r="E15" s="158">
        <f t="shared" ca="1" si="0"/>
        <v>227.89848316900191</v>
      </c>
      <c r="F15" s="159">
        <f t="shared" ca="1" si="1"/>
        <v>46.700061009030442</v>
      </c>
      <c r="G15" s="159">
        <f ca="1">F15*(100%-'Données projet'!$C$24)*(100%-'Données projet'!$C$25)*(100%-'Données projet'!$C$26)*(100%-'Données projet'!$C$27)</f>
        <v>42.030054908127397</v>
      </c>
      <c r="H15" s="160">
        <f>IF(OR('Données projet'!B18="",'Données projet'!C18="",'Données projet'!C18=0%),0,AVERAGE(Calculateur!$HJ$3:$HJ$33)*B15)</f>
        <v>2.1698646882746027</v>
      </c>
      <c r="I15" s="161">
        <f>H15*(100%-'Données projet'!$C$24)*(100%-'Données projet'!$C$25)*(100%-'Données projet'!$C$26)*(100%-'Données projet'!$C$27)</f>
        <v>1.9528782194471423</v>
      </c>
      <c r="J15" s="162">
        <f>IF(OR('Données projet'!B18="",'Données projet'!C18="",'Données projet'!C18=0%),0,SUM(Calculateur!$HC$3:$HC$33)*VLOOKUP('Données projet'!$B$18,Paramètres!$A$1:$I$89,9,0)*B15)</f>
        <v>17.28876863304993</v>
      </c>
      <c r="K15" s="163">
        <f>J15*(100%-'Données projet'!$C$24)*(100%-'Données projet'!$C$25)*(100%-'Données projet'!$C$26)*(100%-'Données projet'!$C$27)</f>
        <v>15.559891769744937</v>
      </c>
      <c r="L15" s="164">
        <f t="shared" ca="1" si="2"/>
        <v>59.542824897319477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9595.8000363583014</v>
      </c>
      <c r="G16" s="166">
        <f t="shared" ca="1" si="3"/>
        <v>8636.2200327224691</v>
      </c>
      <c r="H16" s="167">
        <f t="shared" si="3"/>
        <v>245.41208794917858</v>
      </c>
      <c r="I16" s="167">
        <f t="shared" si="3"/>
        <v>220.87087915426068</v>
      </c>
      <c r="J16" s="168">
        <f t="shared" si="3"/>
        <v>2085.9327342822776</v>
      </c>
      <c r="K16" s="168">
        <f t="shared" si="3"/>
        <v>1877.3394608540498</v>
      </c>
      <c r="L16" s="169">
        <f t="shared" ca="1" si="3"/>
        <v>10734.430372730783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Mélèze hybride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Sapin de Nordmann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Erable sycomore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Pin laricio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Chêne pubescent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maritime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U30" sqref="U3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3979.7023501302024</v>
      </c>
      <c r="U10" s="178">
        <f>'Données projet'!D9</f>
        <v>14.972324279244061</v>
      </c>
      <c r="V10" s="177">
        <f>U10*T10</f>
        <v>59585.394121019075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-742.21141850561958</v>
      </c>
      <c r="U11" s="178">
        <f>'Données projet'!D10</f>
        <v>3.6093827064767066</v>
      </c>
      <c r="V11" s="177">
        <f t="shared" ref="V11" si="0">U11*T11</f>
        <v>-2678.9250585037289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hybride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683.50053287845481</v>
      </c>
      <c r="U12" s="178">
        <f>'Données projet'!D11</f>
        <v>3.3914501680438294</v>
      </c>
      <c r="V12" s="177">
        <f t="shared" ref="V12:V19" si="1">U12*T12</f>
        <v>2318.0579970886824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821.49735838604886</v>
      </c>
      <c r="U13" s="178">
        <f>'Données projet'!D12</f>
        <v>3.8407290926191799</v>
      </c>
      <c r="V13" s="177">
        <f t="shared" si="1"/>
        <v>3155.1488038631028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Sapin de Nordmann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1597.4314316223163</v>
      </c>
      <c r="U14" s="178">
        <f>'Données projet'!D13</f>
        <v>2.0033798487132852</v>
      </c>
      <c r="V14" s="177">
        <f t="shared" si="1"/>
        <v>3200.2619398133625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sycomore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452.89254048293878</v>
      </c>
      <c r="U15" s="178">
        <f>'Données projet'!D14</f>
        <v>2.0033798487132852</v>
      </c>
      <c r="V15" s="177">
        <f t="shared" si="1"/>
        <v>907.31578923608527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70</v>
      </c>
      <c r="O16" s="23"/>
      <c r="P16" s="23"/>
      <c r="Q16" s="234"/>
      <c r="R16" s="23"/>
      <c r="S16" s="36" t="str">
        <f>B200</f>
        <v>Pin laricio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824.63997981920602</v>
      </c>
      <c r="U16" s="178">
        <f>'Données projet'!D15</f>
        <v>0.45985764990424882</v>
      </c>
      <c r="V16" s="177">
        <f t="shared" si="1"/>
        <v>379.21700313674728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663+627+219</f>
        <v>1509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70.000000000000085</v>
      </c>
      <c r="O17" s="23"/>
      <c r="P17" s="23"/>
      <c r="Q17" s="234"/>
      <c r="R17" s="23"/>
      <c r="S17" s="36" t="str">
        <f>B231</f>
        <v>Chêne pubescent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-562.78740808491307</v>
      </c>
      <c r="U17" s="178">
        <f>'Données projet'!D16</f>
        <v>0.40983213542846758</v>
      </c>
      <c r="V17" s="177">
        <f t="shared" si="1"/>
        <v>-230.64836524769234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20</v>
      </c>
      <c r="O18" s="23"/>
      <c r="P18" s="23"/>
      <c r="Q18" s="234"/>
      <c r="R18" s="23"/>
      <c r="S18" s="36" t="str">
        <f>B262</f>
        <v>Cèdre de l'Atlas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102.81706031814588</v>
      </c>
      <c r="U18" s="178">
        <f>'Données projet'!D17</f>
        <v>0.40983213542846758</v>
      </c>
      <c r="V18" s="177">
        <f t="shared" si="1"/>
        <v>42.13773538866328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1400.0000000000018</v>
      </c>
      <c r="O19" s="23"/>
      <c r="P19" s="4"/>
      <c r="Q19" s="235"/>
      <c r="R19" s="4"/>
      <c r="S19" s="36" t="str">
        <f>B293</f>
        <v>Pin maritime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445.20301230957602</v>
      </c>
      <c r="U19" s="178">
        <f>'Données projet'!D18</f>
        <v>0.20491606771423412</v>
      </c>
      <c r="V19" s="177">
        <f t="shared" si="1"/>
        <v>91.229250617010095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1200+585</f>
        <v>1785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445+60</f>
        <v>505</v>
      </c>
      <c r="J21" s="1" t="s">
        <v>324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445+60</f>
        <v>505</v>
      </c>
      <c r="J22" s="1" t="s">
        <v>325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445+60</f>
        <v>505</v>
      </c>
      <c r="J23" s="1" t="s">
        <v>326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-65593.163972651862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84</v>
      </c>
      <c r="C24" s="193">
        <v>12</v>
      </c>
      <c r="D24" s="182">
        <f t="shared" ref="D24:D42" si="2">B24*C24</f>
        <v>1008</v>
      </c>
      <c r="E24" s="193"/>
      <c r="F24" s="233"/>
      <c r="H24" s="190">
        <v>4</v>
      </c>
      <c r="I24" s="191">
        <v>60</v>
      </c>
      <c r="J24" s="1" t="s">
        <v>327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2025.0516637908815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126</v>
      </c>
      <c r="C25" s="193">
        <v>35</v>
      </c>
      <c r="D25" s="182">
        <f t="shared" si="2"/>
        <v>4410</v>
      </c>
      <c r="E25" s="193"/>
      <c r="F25" s="233"/>
      <c r="H25" s="190">
        <v>5</v>
      </c>
      <c r="I25" s="191">
        <v>60</v>
      </c>
      <c r="J25" s="1" t="s">
        <v>328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-67618.21563644275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126</v>
      </c>
      <c r="C26" s="193">
        <v>45</v>
      </c>
      <c r="D26" s="182">
        <f t="shared" si="2"/>
        <v>5670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119</v>
      </c>
      <c r="C27" s="193">
        <v>50</v>
      </c>
      <c r="D27" s="182">
        <f t="shared" si="2"/>
        <v>5950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90</v>
      </c>
      <c r="C28" s="193">
        <v>55</v>
      </c>
      <c r="D28" s="182">
        <f t="shared" si="2"/>
        <v>4950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75</v>
      </c>
      <c r="C29" s="193">
        <v>60</v>
      </c>
      <c r="D29" s="182">
        <f t="shared" si="2"/>
        <v>4500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719</v>
      </c>
      <c r="C30" s="193">
        <v>80</v>
      </c>
      <c r="D30" s="182">
        <f t="shared" si="2"/>
        <v>57520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943+219+627</f>
        <v>1789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34</v>
      </c>
      <c r="C54" s="191">
        <v>8</v>
      </c>
      <c r="D54" s="179">
        <f>B54*C54</f>
        <v>272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56</v>
      </c>
      <c r="C55" s="191">
        <v>12</v>
      </c>
      <c r="D55" s="179">
        <f t="shared" ref="D55:D73" si="4">B55*C55</f>
        <v>672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56</v>
      </c>
      <c r="C56" s="191">
        <v>15</v>
      </c>
      <c r="D56" s="179">
        <f t="shared" si="4"/>
        <v>840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56</v>
      </c>
      <c r="C57" s="191">
        <v>20</v>
      </c>
      <c r="D57" s="179">
        <f t="shared" si="4"/>
        <v>1120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56</v>
      </c>
      <c r="C58" s="191">
        <v>25</v>
      </c>
      <c r="D58" s="179">
        <f t="shared" si="4"/>
        <v>1400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56</v>
      </c>
      <c r="C59" s="191">
        <v>30</v>
      </c>
      <c r="D59" s="179">
        <f t="shared" si="4"/>
        <v>1680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56</v>
      </c>
      <c r="C60" s="191">
        <v>35</v>
      </c>
      <c r="D60" s="179">
        <f t="shared" si="4"/>
        <v>1960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56</v>
      </c>
      <c r="C61" s="191">
        <v>40</v>
      </c>
      <c r="D61" s="179">
        <f t="shared" si="4"/>
        <v>2240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55</v>
      </c>
      <c r="C62" s="191">
        <v>50</v>
      </c>
      <c r="D62" s="179">
        <f t="shared" si="4"/>
        <v>2750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51</v>
      </c>
      <c r="C63" s="191">
        <v>60</v>
      </c>
      <c r="D63" s="179">
        <f t="shared" si="4"/>
        <v>3060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361</v>
      </c>
      <c r="C64" s="191">
        <v>180</v>
      </c>
      <c r="D64" s="179">
        <f t="shared" si="4"/>
        <v>64980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Mélèze hybride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219+627+1441</f>
        <v>2287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8</v>
      </c>
      <c r="C85" s="191">
        <v>8</v>
      </c>
      <c r="D85" s="179">
        <f>B85*C85</f>
        <v>64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98</v>
      </c>
      <c r="C86" s="191">
        <v>8</v>
      </c>
      <c r="D86" s="179">
        <f t="shared" ref="D86:D104" si="6">B86*C86</f>
        <v>784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98</v>
      </c>
      <c r="C87" s="191">
        <v>25</v>
      </c>
      <c r="D87" s="179">
        <f t="shared" si="6"/>
        <v>2450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92</v>
      </c>
      <c r="C88" s="191">
        <v>30</v>
      </c>
      <c r="D88" s="179">
        <f t="shared" si="6"/>
        <v>2760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75</v>
      </c>
      <c r="C89" s="191">
        <v>35</v>
      </c>
      <c r="D89" s="179">
        <f t="shared" si="6"/>
        <v>2625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67</v>
      </c>
      <c r="C90" s="191">
        <v>40</v>
      </c>
      <c r="D90" s="179">
        <f t="shared" si="6"/>
        <v>2680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63</v>
      </c>
      <c r="C91" s="191">
        <v>45</v>
      </c>
      <c r="D91" s="179">
        <f t="shared" si="6"/>
        <v>2835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487</v>
      </c>
      <c r="C92" s="191">
        <v>60</v>
      </c>
      <c r="D92" s="179">
        <f t="shared" si="6"/>
        <v>29220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81</v>
      </c>
      <c r="I101" s="191">
        <v>60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82</v>
      </c>
      <c r="I102" s="191">
        <v>60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83</v>
      </c>
      <c r="I103" s="191">
        <v>60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84</v>
      </c>
      <c r="I104" s="191">
        <v>60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85</v>
      </c>
      <c r="I105" s="191">
        <v>60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86</v>
      </c>
      <c r="I106" s="191">
        <v>60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>
        <v>87</v>
      </c>
      <c r="I107" s="191">
        <v>60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88</v>
      </c>
      <c r="I108" s="191">
        <v>60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89</v>
      </c>
      <c r="I109" s="191">
        <v>60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219+627+914</f>
        <v>1760</v>
      </c>
      <c r="F110" s="231"/>
      <c r="G110" s="206"/>
      <c r="H110" s="190">
        <v>90</v>
      </c>
      <c r="I110" s="191">
        <v>60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91</v>
      </c>
      <c r="I111" s="191">
        <v>60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>
        <v>92</v>
      </c>
      <c r="I112" s="191">
        <v>60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93</v>
      </c>
      <c r="I113" s="191">
        <v>60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94</v>
      </c>
      <c r="I114" s="191">
        <v>60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95</v>
      </c>
      <c r="I115" s="191">
        <v>60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21</v>
      </c>
      <c r="C116" s="191">
        <v>10</v>
      </c>
      <c r="D116" s="179">
        <f>B116*C116</f>
        <v>210</v>
      </c>
      <c r="E116" s="193"/>
      <c r="F116" s="232"/>
      <c r="G116" s="205"/>
      <c r="H116" s="190">
        <v>96</v>
      </c>
      <c r="I116" s="191">
        <v>60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43</v>
      </c>
      <c r="C117" s="191">
        <v>15</v>
      </c>
      <c r="D117" s="179">
        <f t="shared" ref="D117:D135" si="8">B117*C117</f>
        <v>645</v>
      </c>
      <c r="E117" s="193"/>
      <c r="F117" s="232"/>
      <c r="G117" s="205"/>
      <c r="H117" s="190">
        <v>97</v>
      </c>
      <c r="I117" s="191">
        <v>60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88</v>
      </c>
      <c r="C118" s="191">
        <v>20</v>
      </c>
      <c r="D118" s="179">
        <f t="shared" si="8"/>
        <v>1760</v>
      </c>
      <c r="E118" s="193"/>
      <c r="F118" s="232"/>
      <c r="G118" s="205"/>
      <c r="H118" s="190">
        <v>98</v>
      </c>
      <c r="I118" s="191">
        <v>60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81</v>
      </c>
      <c r="C119" s="191">
        <v>30</v>
      </c>
      <c r="D119" s="179">
        <f t="shared" si="8"/>
        <v>2430</v>
      </c>
      <c r="E119" s="193"/>
      <c r="F119" s="232"/>
      <c r="G119" s="205"/>
      <c r="H119" s="190">
        <v>99</v>
      </c>
      <c r="I119" s="191">
        <v>60</v>
      </c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69</v>
      </c>
      <c r="C120" s="191">
        <v>35</v>
      </c>
      <c r="D120" s="179">
        <f t="shared" si="8"/>
        <v>2415</v>
      </c>
      <c r="E120" s="193"/>
      <c r="F120" s="232"/>
      <c r="G120" s="205"/>
      <c r="H120" s="190">
        <v>100</v>
      </c>
      <c r="I120" s="191">
        <v>60</v>
      </c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60</v>
      </c>
      <c r="B121" s="181">
        <f>'Données projet'!D119</f>
        <v>55</v>
      </c>
      <c r="C121" s="191">
        <v>45</v>
      </c>
      <c r="D121" s="179">
        <f t="shared" si="8"/>
        <v>2475</v>
      </c>
      <c r="E121" s="193"/>
      <c r="F121" s="232"/>
      <c r="G121" s="205"/>
      <c r="H121" s="190">
        <v>101</v>
      </c>
      <c r="I121" s="191">
        <v>60</v>
      </c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70</v>
      </c>
      <c r="B122" s="181">
        <f>'Données projet'!D120</f>
        <v>272</v>
      </c>
      <c r="C122" s="191">
        <v>70</v>
      </c>
      <c r="D122" s="179">
        <f t="shared" si="8"/>
        <v>19040</v>
      </c>
      <c r="E122" s="193"/>
      <c r="F122" s="232"/>
      <c r="G122" s="206"/>
      <c r="H122" s="190">
        <v>102</v>
      </c>
      <c r="I122" s="191">
        <v>60</v>
      </c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>
        <v>103</v>
      </c>
      <c r="I123" s="191">
        <v>60</v>
      </c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>
        <v>104</v>
      </c>
      <c r="I124" s="191">
        <v>60</v>
      </c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>
        <v>105</v>
      </c>
      <c r="I125" s="191">
        <v>60</v>
      </c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>
        <v>106</v>
      </c>
      <c r="I126" s="191">
        <v>60</v>
      </c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>
        <v>107</v>
      </c>
      <c r="I127" s="191">
        <v>60</v>
      </c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>
        <v>108</v>
      </c>
      <c r="I128" s="191">
        <v>60</v>
      </c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>
        <v>109</v>
      </c>
      <c r="I129" s="191">
        <v>60</v>
      </c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>
        <v>110</v>
      </c>
      <c r="I130" s="191">
        <v>60</v>
      </c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>
        <v>111</v>
      </c>
      <c r="I131" s="191">
        <v>60</v>
      </c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>
        <v>112</v>
      </c>
      <c r="I132" s="191">
        <v>60</v>
      </c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>
        <v>113</v>
      </c>
      <c r="I133" s="191">
        <v>60</v>
      </c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>
        <v>114</v>
      </c>
      <c r="I134" s="191">
        <v>60</v>
      </c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>
        <v>115</v>
      </c>
      <c r="I135" s="191">
        <v>60</v>
      </c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>
        <v>116</v>
      </c>
      <c r="I136" s="191">
        <v>60</v>
      </c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>
        <v>117</v>
      </c>
      <c r="I137" s="191">
        <v>60</v>
      </c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Sapin de Nordmann</v>
      </c>
      <c r="C138" s="4"/>
      <c r="D138" s="4"/>
      <c r="E138" s="4"/>
      <c r="F138" s="230"/>
      <c r="G138" s="206"/>
      <c r="H138" s="190">
        <v>118</v>
      </c>
      <c r="I138" s="191">
        <v>60</v>
      </c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>
        <v>119</v>
      </c>
      <c r="I139" s="191">
        <v>60</v>
      </c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>
        <v>120</v>
      </c>
      <c r="I140" s="191">
        <v>60</v>
      </c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219+627+740</f>
        <v>1586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0</v>
      </c>
      <c r="C147" s="191">
        <v>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96</v>
      </c>
      <c r="C148" s="191">
        <v>5</v>
      </c>
      <c r="D148" s="182">
        <f t="shared" ref="D148:D166" si="10">B148*C148</f>
        <v>480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132</v>
      </c>
      <c r="C149" s="191">
        <v>8</v>
      </c>
      <c r="D149" s="182">
        <f t="shared" si="10"/>
        <v>1056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132</v>
      </c>
      <c r="C150" s="191">
        <v>15</v>
      </c>
      <c r="D150" s="182">
        <f t="shared" si="10"/>
        <v>1980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106</v>
      </c>
      <c r="C151" s="191">
        <v>30</v>
      </c>
      <c r="D151" s="182">
        <f t="shared" si="10"/>
        <v>3180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88</v>
      </c>
      <c r="C152" s="191">
        <v>50</v>
      </c>
      <c r="D152" s="182">
        <f t="shared" si="10"/>
        <v>4400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753</v>
      </c>
      <c r="C153" s="191">
        <v>100</v>
      </c>
      <c r="D153" s="182">
        <f t="shared" si="10"/>
        <v>75300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Erable sycomore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219+627+479</f>
        <v>1325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67</v>
      </c>
      <c r="C179" s="193">
        <v>10</v>
      </c>
      <c r="D179" s="179">
        <f t="shared" ref="D179:D197" si="11">B179*C179</f>
        <v>670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30</v>
      </c>
      <c r="B180" s="181">
        <f>'Données projet'!D168</f>
        <v>70</v>
      </c>
      <c r="C180" s="193">
        <v>15</v>
      </c>
      <c r="D180" s="179">
        <f t="shared" si="11"/>
        <v>1050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40</v>
      </c>
      <c r="B181" s="181">
        <f>'Données projet'!D169</f>
        <v>70</v>
      </c>
      <c r="C181" s="193">
        <v>20</v>
      </c>
      <c r="D181" s="179">
        <f t="shared" si="11"/>
        <v>1400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50</v>
      </c>
      <c r="B182" s="181">
        <f>'Données projet'!D170</f>
        <v>43</v>
      </c>
      <c r="C182" s="193">
        <v>30</v>
      </c>
      <c r="D182" s="179">
        <f t="shared" si="11"/>
        <v>1290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60</v>
      </c>
      <c r="B183" s="181">
        <f>'Données projet'!D171</f>
        <v>30</v>
      </c>
      <c r="C183" s="193">
        <v>35</v>
      </c>
      <c r="D183" s="179">
        <f t="shared" si="11"/>
        <v>1050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70</v>
      </c>
      <c r="B184" s="181">
        <f>'Données projet'!D172</f>
        <v>26</v>
      </c>
      <c r="C184" s="193">
        <v>45</v>
      </c>
      <c r="D184" s="179">
        <f t="shared" si="11"/>
        <v>1170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80</v>
      </c>
      <c r="B185" s="181">
        <f>'Données projet'!D173</f>
        <v>342</v>
      </c>
      <c r="C185" s="193">
        <v>70</v>
      </c>
      <c r="D185" s="179">
        <f t="shared" si="11"/>
        <v>23940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Pin laricio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219+627+663</f>
        <v>1509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20</v>
      </c>
      <c r="B209" s="181">
        <f>'Données projet'!D192</f>
        <v>23</v>
      </c>
      <c r="C209" s="193">
        <v>10</v>
      </c>
      <c r="D209" s="179">
        <f>B209*C209</f>
        <v>230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30</v>
      </c>
      <c r="B210" s="181">
        <f>'Données projet'!D193</f>
        <v>84</v>
      </c>
      <c r="C210" s="193">
        <v>15</v>
      </c>
      <c r="D210" s="179">
        <f t="shared" ref="D210:D228" si="12">B210*C210</f>
        <v>1260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40</v>
      </c>
      <c r="B211" s="181">
        <f>'Données projet'!D194</f>
        <v>84</v>
      </c>
      <c r="C211" s="193">
        <v>25</v>
      </c>
      <c r="D211" s="179">
        <f t="shared" si="12"/>
        <v>2100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50</v>
      </c>
      <c r="B212" s="181">
        <f>'Données projet'!D195</f>
        <v>82</v>
      </c>
      <c r="C212" s="193">
        <v>35</v>
      </c>
      <c r="D212" s="179">
        <f t="shared" si="12"/>
        <v>2870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60</v>
      </c>
      <c r="B213" s="181">
        <f>'Données projet'!D196</f>
        <v>64</v>
      </c>
      <c r="C213" s="193">
        <v>40</v>
      </c>
      <c r="D213" s="179">
        <f t="shared" si="12"/>
        <v>2560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50</v>
      </c>
      <c r="C214" s="193">
        <v>50</v>
      </c>
      <c r="D214" s="179">
        <f t="shared" si="12"/>
        <v>2500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80</v>
      </c>
      <c r="B215" s="181">
        <f>'Données projet'!D198</f>
        <v>522</v>
      </c>
      <c r="C215" s="193">
        <v>60</v>
      </c>
      <c r="D215" s="179">
        <f t="shared" si="12"/>
        <v>31320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Chêne pubescent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219+627+943</f>
        <v>1789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20</v>
      </c>
      <c r="B240" s="181">
        <f>'Données projet'!D218</f>
        <v>34</v>
      </c>
      <c r="C240" s="193">
        <v>8</v>
      </c>
      <c r="D240" s="179">
        <f>B240*C240</f>
        <v>272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30</v>
      </c>
      <c r="B241" s="181">
        <f>'Données projet'!D219</f>
        <v>56</v>
      </c>
      <c r="C241" s="193">
        <v>12</v>
      </c>
      <c r="D241" s="179">
        <f t="shared" ref="D241:D259" si="13">B241*C241</f>
        <v>672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40</v>
      </c>
      <c r="B242" s="181">
        <f>'Données projet'!D220</f>
        <v>56</v>
      </c>
      <c r="C242" s="193">
        <v>15</v>
      </c>
      <c r="D242" s="179">
        <f t="shared" si="13"/>
        <v>840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50</v>
      </c>
      <c r="B243" s="181">
        <f>'Données projet'!D221</f>
        <v>56</v>
      </c>
      <c r="C243" s="193">
        <v>20</v>
      </c>
      <c r="D243" s="179">
        <f t="shared" si="13"/>
        <v>1120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60</v>
      </c>
      <c r="B244" s="181">
        <f>'Données projet'!D222</f>
        <v>56</v>
      </c>
      <c r="C244" s="193">
        <v>25</v>
      </c>
      <c r="D244" s="179">
        <f t="shared" si="13"/>
        <v>1400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70</v>
      </c>
      <c r="B245" s="181">
        <f>'Données projet'!D223</f>
        <v>56</v>
      </c>
      <c r="C245" s="193">
        <v>30</v>
      </c>
      <c r="D245" s="179">
        <f t="shared" si="13"/>
        <v>1680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80</v>
      </c>
      <c r="B246" s="181">
        <f>'Données projet'!D224</f>
        <v>56</v>
      </c>
      <c r="C246" s="193">
        <v>35</v>
      </c>
      <c r="D246" s="179">
        <f t="shared" si="13"/>
        <v>1960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90</v>
      </c>
      <c r="B247" s="181">
        <f>'Données projet'!D225</f>
        <v>56</v>
      </c>
      <c r="C247" s="193">
        <v>40</v>
      </c>
      <c r="D247" s="179">
        <f t="shared" si="13"/>
        <v>2240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100</v>
      </c>
      <c r="B248" s="181">
        <f>'Données projet'!D226</f>
        <v>55</v>
      </c>
      <c r="C248" s="193">
        <v>50</v>
      </c>
      <c r="D248" s="179">
        <f t="shared" si="13"/>
        <v>2750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110</v>
      </c>
      <c r="B249" s="181">
        <f>'Données projet'!D227</f>
        <v>51</v>
      </c>
      <c r="C249" s="193">
        <v>60</v>
      </c>
      <c r="D249" s="179">
        <f t="shared" si="13"/>
        <v>3060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120</v>
      </c>
      <c r="B250" s="181">
        <f>'Données projet'!D228</f>
        <v>361</v>
      </c>
      <c r="C250" s="193">
        <v>180</v>
      </c>
      <c r="D250" s="179">
        <f t="shared" si="13"/>
        <v>64980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Cèdre de l'Atlas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219+627+750</f>
        <v>1596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12.5</v>
      </c>
      <c r="C271" s="193">
        <v>8</v>
      </c>
      <c r="D271" s="179">
        <f>B271*C271</f>
        <v>100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45.9</v>
      </c>
      <c r="C272" s="193">
        <v>8</v>
      </c>
      <c r="D272" s="179">
        <f t="shared" ref="D272:D290" si="14">B272*C272</f>
        <v>367.2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83.4</v>
      </c>
      <c r="C273" s="193">
        <v>15</v>
      </c>
      <c r="D273" s="179">
        <f t="shared" si="14"/>
        <v>1251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83.4</v>
      </c>
      <c r="C274" s="193">
        <v>25</v>
      </c>
      <c r="D274" s="179">
        <f t="shared" si="14"/>
        <v>2085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83.4</v>
      </c>
      <c r="C275" s="193">
        <v>30</v>
      </c>
      <c r="D275" s="179">
        <f t="shared" si="14"/>
        <v>2502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70</v>
      </c>
      <c r="B276" s="181">
        <f>'Données projet'!D249</f>
        <v>83.4</v>
      </c>
      <c r="C276" s="193">
        <v>35</v>
      </c>
      <c r="D276" s="179">
        <f t="shared" si="14"/>
        <v>2919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80</v>
      </c>
      <c r="B277" s="181">
        <f>'Données projet'!D250</f>
        <v>83.4</v>
      </c>
      <c r="C277" s="193">
        <v>40</v>
      </c>
      <c r="D277" s="179">
        <f t="shared" si="14"/>
        <v>3336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90</v>
      </c>
      <c r="B278" s="181">
        <f>'Données projet'!D251</f>
        <v>83.4</v>
      </c>
      <c r="C278" s="193">
        <v>50</v>
      </c>
      <c r="D278" s="179">
        <f t="shared" si="14"/>
        <v>4170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100</v>
      </c>
      <c r="B279" s="181">
        <f>'Données projet'!D252</f>
        <v>726.2</v>
      </c>
      <c r="C279" s="193">
        <v>70</v>
      </c>
      <c r="D279" s="179">
        <f t="shared" si="14"/>
        <v>50834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maritime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f>219+627+750</f>
        <v>1596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12</v>
      </c>
      <c r="B302" s="181">
        <f>'Données projet'!D270</f>
        <v>0</v>
      </c>
      <c r="C302" s="191">
        <v>0</v>
      </c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16</v>
      </c>
      <c r="B303" s="181">
        <f>'Données projet'!D271</f>
        <v>25</v>
      </c>
      <c r="C303" s="191">
        <v>8</v>
      </c>
      <c r="D303" s="182">
        <f t="shared" ref="D303:D321" si="15">B303*C303</f>
        <v>200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20</v>
      </c>
      <c r="B304" s="181">
        <f>'Données projet'!D272</f>
        <v>34</v>
      </c>
      <c r="C304" s="191">
        <v>8</v>
      </c>
      <c r="D304" s="182">
        <f t="shared" si="15"/>
        <v>272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24</v>
      </c>
      <c r="B305" s="181">
        <f>'Données projet'!D273</f>
        <v>43</v>
      </c>
      <c r="C305" s="191">
        <v>15</v>
      </c>
      <c r="D305" s="182">
        <f t="shared" si="15"/>
        <v>645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28</v>
      </c>
      <c r="B306" s="181">
        <f>'Données projet'!D274</f>
        <v>41</v>
      </c>
      <c r="C306" s="191">
        <v>15</v>
      </c>
      <c r="D306" s="182">
        <f t="shared" si="15"/>
        <v>615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34</v>
      </c>
      <c r="B307" s="181">
        <f>'Données projet'!D275</f>
        <v>60</v>
      </c>
      <c r="C307" s="191">
        <v>15</v>
      </c>
      <c r="D307" s="182">
        <f t="shared" si="15"/>
        <v>900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40</v>
      </c>
      <c r="B308" s="181">
        <f>'Données projet'!D276</f>
        <v>34</v>
      </c>
      <c r="C308" s="191">
        <v>20</v>
      </c>
      <c r="D308" s="182">
        <f t="shared" si="15"/>
        <v>680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46</v>
      </c>
      <c r="B309" s="181">
        <f>'Données projet'!D277</f>
        <v>21</v>
      </c>
      <c r="C309" s="191">
        <v>30</v>
      </c>
      <c r="D309" s="182">
        <f t="shared" si="15"/>
        <v>630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54</v>
      </c>
      <c r="B310" s="181">
        <f>'Données projet'!D278</f>
        <v>17</v>
      </c>
      <c r="C310" s="191">
        <v>35</v>
      </c>
      <c r="D310" s="182">
        <f t="shared" si="15"/>
        <v>595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62</v>
      </c>
      <c r="B311" s="181">
        <f>'Données projet'!D279</f>
        <v>409</v>
      </c>
      <c r="C311" s="191">
        <v>40</v>
      </c>
      <c r="D311" s="182">
        <f t="shared" si="15"/>
        <v>16360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2023-02-02T10:50:40Z</dcterms:modified>
</cp:coreProperties>
</file>