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DIM\71 - Saint-Martin-de-Commune\"/>
    </mc:Choice>
  </mc:AlternateContent>
  <bookViews>
    <workbookView xWindow="0" yWindow="0" windowWidth="28800" windowHeight="11835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" l="1"/>
  <c r="B106" i="1"/>
  <c r="D106" i="1" s="1"/>
  <c r="B105" i="1"/>
  <c r="B104" i="1"/>
  <c r="D103" i="1"/>
  <c r="B103" i="1"/>
  <c r="B102" i="1"/>
  <c r="D101" i="1"/>
  <c r="B101" i="1"/>
  <c r="B100" i="1"/>
  <c r="D99" i="1"/>
  <c r="B99" i="1"/>
  <c r="B98" i="1"/>
  <c r="D97" i="1"/>
  <c r="B97" i="1"/>
  <c r="B96" i="1"/>
  <c r="D95" i="1"/>
  <c r="B95" i="1"/>
  <c r="B94" i="1"/>
  <c r="D93" i="1"/>
  <c r="B93" i="1"/>
  <c r="B92" i="1"/>
  <c r="D91" i="1"/>
  <c r="B91" i="1"/>
  <c r="B89" i="1"/>
  <c r="B90" i="1"/>
  <c r="B199" i="1"/>
  <c r="D198" i="1"/>
  <c r="B198" i="1"/>
  <c r="B197" i="1"/>
  <c r="D196" i="1"/>
  <c r="B196" i="1"/>
  <c r="B195" i="1"/>
  <c r="D194" i="1"/>
  <c r="B194" i="1"/>
  <c r="B193" i="1"/>
  <c r="B173" i="1"/>
  <c r="D172" i="1"/>
  <c r="B172" i="1"/>
  <c r="B171" i="1"/>
  <c r="D170" i="1"/>
  <c r="B170" i="1"/>
  <c r="B169" i="1"/>
  <c r="D168" i="1"/>
  <c r="B168" i="1"/>
  <c r="B167" i="1"/>
  <c r="B147" i="1"/>
  <c r="D146" i="1"/>
  <c r="B146" i="1"/>
  <c r="B145" i="1"/>
  <c r="D144" i="1"/>
  <c r="B144" i="1"/>
  <c r="B143" i="1"/>
  <c r="D142" i="1"/>
  <c r="B142" i="1"/>
  <c r="B141" i="1"/>
  <c r="B121" i="1"/>
  <c r="D120" i="1"/>
  <c r="B120" i="1"/>
  <c r="B119" i="1"/>
  <c r="D118" i="1"/>
  <c r="B118" i="1"/>
  <c r="B117" i="1"/>
  <c r="D116" i="1"/>
  <c r="B116" i="1"/>
  <c r="B115" i="1"/>
  <c r="D69" i="1" l="1"/>
  <c r="D62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EW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C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X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C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C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B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C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EY154" i="2" s="1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X155" i="2"/>
  <c r="DI154" i="2"/>
  <c r="EW155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AX152" i="2"/>
  <c r="EX156" i="2" l="1"/>
  <c r="ED155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C157" i="2"/>
  <c r="EA157" i="2"/>
  <c r="ED157" i="2" s="1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W158" i="2" l="1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EX161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EW162" i="2"/>
  <c r="EY161" i="2"/>
  <c r="EC162" i="2"/>
  <c r="DI161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V163" i="2" l="1"/>
  <c r="EY162" i="2"/>
  <c r="EB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V164" i="2" l="1"/>
  <c r="EY163" i="2"/>
  <c r="EA164" i="2"/>
  <c r="ED163" i="2"/>
  <c r="EX164" i="2"/>
  <c r="DI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A167" i="2"/>
  <c r="EB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EC168" i="2"/>
  <c r="DG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EY171" i="2" s="1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D171" i="2"/>
  <c r="EW172" i="2"/>
  <c r="EB172" i="2"/>
  <c r="ED172" i="2" s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ED174" i="2"/>
  <c r="EB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V179" i="2"/>
  <c r="EB179" i="2"/>
  <c r="ED179" i="2" s="1"/>
  <c r="DF179" i="2"/>
  <c r="FS179" i="2"/>
  <c r="EX179" i="2"/>
  <c r="EY179" i="2" s="1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DG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V185" i="2" l="1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A186" i="2"/>
  <c r="EB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EB192" i="2"/>
  <c r="EC192" i="2"/>
  <c r="EA192" i="2"/>
  <c r="ED192" i="2" s="1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B193" i="2" l="1"/>
  <c r="EX193" i="2"/>
  <c r="EA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CN193" i="2"/>
  <c r="EA194" i="2"/>
  <c r="ED194" i="2" s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Y194" i="2" l="1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D197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A201" i="2"/>
  <c r="EB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X202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31" i="2" l="1" a="1"/>
  <c r="BC31" i="2" s="1"/>
  <c r="BP203" i="2"/>
  <c r="BC18" i="2" a="1"/>
  <c r="BC18" i="2" s="1"/>
  <c r="BC84" i="2" a="1"/>
  <c r="BC84" i="2" s="1"/>
  <c r="BC181" i="2" a="1"/>
  <c r="BC181" i="2" s="1"/>
  <c r="BC65" i="2" a="1"/>
  <c r="BC65" i="2" s="1"/>
  <c r="BC83" i="2" a="1"/>
  <c r="BC83" i="2" s="1"/>
  <c r="BC143" i="2" a="1"/>
  <c r="BC143" i="2" s="1"/>
  <c r="BC117" i="2" a="1"/>
  <c r="BC117" i="2" s="1"/>
  <c r="BC38" i="2" a="1"/>
  <c r="BC38" i="2" s="1"/>
  <c r="BC32" i="2" a="1"/>
  <c r="BC32" i="2" s="1"/>
  <c r="BC126" i="2" a="1"/>
  <c r="BC126" i="2" s="1"/>
  <c r="BC164" i="2" a="1"/>
  <c r="BC164" i="2" s="1"/>
  <c r="BC82" i="2" a="1"/>
  <c r="BC82" i="2" s="1"/>
  <c r="BC151" i="2" a="1"/>
  <c r="BC151" i="2" s="1"/>
  <c r="BC192" i="2" a="1"/>
  <c r="BC192" i="2" s="1"/>
  <c r="BC47" i="2" a="1"/>
  <c r="BC47" i="2" s="1"/>
  <c r="BC7" i="2" a="1"/>
  <c r="BC7" i="2" s="1"/>
  <c r="BC55" i="2" a="1"/>
  <c r="BC55" i="2" s="1"/>
  <c r="BC68" i="2" a="1"/>
  <c r="BC68" i="2" s="1"/>
  <c r="BC185" i="2" a="1"/>
  <c r="BC185" i="2" s="1"/>
  <c r="BC130" i="2" a="1"/>
  <c r="BC130" i="2" s="1"/>
  <c r="BC58" i="2" a="1"/>
  <c r="BC58" i="2" s="1"/>
  <c r="BC114" i="2" a="1"/>
  <c r="BC114" i="2" s="1"/>
  <c r="BC34" i="2" a="1"/>
  <c r="BC34" i="2" s="1"/>
  <c r="BX107" i="2" a="1"/>
  <c r="BX107" i="2" s="1"/>
  <c r="AH151" i="2" a="1"/>
  <c r="AH151" i="2" s="1"/>
  <c r="AH62" i="2" a="1"/>
  <c r="AH62" i="2" s="1"/>
  <c r="AH199" i="2" a="1"/>
  <c r="AH199" i="2" s="1"/>
  <c r="AH19" i="2" a="1"/>
  <c r="AH19" i="2" s="1"/>
  <c r="AH166" i="2" a="1"/>
  <c r="AH166" i="2" s="1"/>
  <c r="AH90" i="2" a="1"/>
  <c r="AH90" i="2" s="1"/>
  <c r="AH92" i="2" a="1"/>
  <c r="AH92" i="2" s="1"/>
  <c r="AH163" i="2" a="1"/>
  <c r="AH16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<sst xmlns="http://schemas.openxmlformats.org/spreadsheetml/2006/main" count="1176" uniqueCount="324">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</sst>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2.0803069082284602</c:v>
                </c:pt>
                <c:pt idx="2">
                  <c:v>2.7908466007605846</c:v>
                </c:pt>
                <c:pt idx="3">
                  <c:v>3.745090324532018</c:v>
                </c:pt>
                <c:pt idx="4">
                  <c:v>5.0269529215261413</c:v>
                </c:pt>
                <c:pt idx="5">
                  <c:v>6.7493493166264118</c:v>
                </c:pt>
                <c:pt idx="6">
                  <c:v>9.0642504917295152</c:v>
                </c:pt>
                <c:pt idx="7">
                  <c:v>12.176237248342895</c:v>
                </c:pt>
                <c:pt idx="8">
                  <c:v>16.360771842506747</c:v>
                </c:pt>
                <c:pt idx="9">
                  <c:v>21.988834252444033</c:v>
                </c:pt>
                <c:pt idx="10">
                  <c:v>29.560146074891151</c:v>
                </c:pt>
                <c:pt idx="11">
                  <c:v>39.747983373188866</c:v>
                </c:pt>
                <c:pt idx="12">
                  <c:v>53.459631237926175</c:v>
                </c:pt>
                <c:pt idx="13">
                  <c:v>73.140819321214281</c:v>
                </c:pt>
                <c:pt idx="14">
                  <c:v>95.186564611203053</c:v>
                </c:pt>
                <c:pt idx="15">
                  <c:v>119.46034912255978</c:v>
                </c:pt>
                <c:pt idx="16">
                  <c:v>103.79650823401829</c:v>
                </c:pt>
                <c:pt idx="17">
                  <c:v>118.67513818911159</c:v>
                </c:pt>
                <c:pt idx="18">
                  <c:v>136.92208082463543</c:v>
                </c:pt>
                <c:pt idx="19">
                  <c:v>155.11047140437867</c:v>
                </c:pt>
                <c:pt idx="20">
                  <c:v>173.24815008510896</c:v>
                </c:pt>
                <c:pt idx="21">
                  <c:v>148.95241602484973</c:v>
                </c:pt>
                <c:pt idx="22">
                  <c:v>168.96686707539345</c:v>
                </c:pt>
                <c:pt idx="23">
                  <c:v>191.51370378649062</c:v>
                </c:pt>
                <c:pt idx="24">
                  <c:v>213.99871582167268</c:v>
                </c:pt>
                <c:pt idx="25">
                  <c:v>238.36063977122194</c:v>
                </c:pt>
                <c:pt idx="26">
                  <c:v>262.66582457768635</c:v>
                </c:pt>
                <c:pt idx="27">
                  <c:v>286.92025704588701</c:v>
                </c:pt>
                <c:pt idx="28">
                  <c:v>236.55808044428508</c:v>
                </c:pt>
                <c:pt idx="29">
                  <c:v>257.07646791869132</c:v>
                </c:pt>
                <c:pt idx="30">
                  <c:v>277.55782610520754</c:v>
                </c:pt>
                <c:pt idx="31">
                  <c:v>298.26146166084101</c:v>
                </c:pt>
                <c:pt idx="32">
                  <c:v>318.93307910873148</c:v>
                </c:pt>
                <c:pt idx="33">
                  <c:v>254.95565122562834</c:v>
                </c:pt>
                <c:pt idx="34">
                  <c:v>271.39785662959355</c:v>
                </c:pt>
                <c:pt idx="35">
                  <c:v>288.00995410291614</c:v>
                </c:pt>
                <c:pt idx="36">
                  <c:v>304.60063094888801</c:v>
                </c:pt>
                <c:pt idx="37">
                  <c:v>321.42698324278075</c:v>
                </c:pt>
                <c:pt idx="38">
                  <c:v>338.23385687217092</c:v>
                </c:pt>
                <c:pt idx="39">
                  <c:v>355.02235577087754</c:v>
                </c:pt>
                <c:pt idx="40">
                  <c:v>371.79347095596705</c:v>
                </c:pt>
                <c:pt idx="41">
                  <c:v>388.67544731281583</c:v>
                </c:pt>
                <c:pt idx="42">
                  <c:v>405.54151171840289</c:v>
                </c:pt>
                <c:pt idx="43">
                  <c:v>422.39241886914829</c:v>
                </c:pt>
                <c:pt idx="44">
                  <c:v>439.22885835221359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55547168"/>
        <c:axId val="-855546080"/>
      </c:scatterChart>
      <c:valAx>
        <c:axId val="-855547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55546080"/>
        <c:crosses val="autoZero"/>
        <c:crossBetween val="midCat"/>
      </c:valAx>
      <c:valAx>
        <c:axId val="-85554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855547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48541712"/>
        <c:axId val="-948541168"/>
      </c:scatterChart>
      <c:valAx>
        <c:axId val="-948541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48541168"/>
        <c:crosses val="autoZero"/>
        <c:crossBetween val="midCat"/>
      </c:valAx>
      <c:valAx>
        <c:axId val="-94854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48541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1.8571401331452277</c:v>
                </c:pt>
                <c:pt idx="2">
                  <c:v>2.3730182268560873</c:v>
                </c:pt>
                <c:pt idx="3">
                  <c:v>3.0327744218015771</c:v>
                </c:pt>
                <c:pt idx="4">
                  <c:v>3.8766882112715897</c:v>
                </c:pt>
                <c:pt idx="5">
                  <c:v>4.9563554287630449</c:v>
                </c:pt>
                <c:pt idx="6">
                  <c:v>6.3378779408752912</c:v>
                </c:pt>
                <c:pt idx="7">
                  <c:v>8.1059551197421627</c:v>
                </c:pt>
                <c:pt idx="8">
                  <c:v>10.369132747406743</c:v>
                </c:pt>
                <c:pt idx="9">
                  <c:v>13.266537663656479</c:v>
                </c:pt>
                <c:pt idx="10">
                  <c:v>16.976519825467278</c:v>
                </c:pt>
                <c:pt idx="11">
                  <c:v>21.727743408313824</c:v>
                </c:pt>
                <c:pt idx="12">
                  <c:v>27.813422744642168</c:v>
                </c:pt>
                <c:pt idx="13">
                  <c:v>35.609597033656748</c:v>
                </c:pt>
                <c:pt idx="14">
                  <c:v>45.598592436332616</c:v>
                </c:pt>
                <c:pt idx="15">
                  <c:v>58.399147554974014</c:v>
                </c:pt>
                <c:pt idx="16">
                  <c:v>74.805099181620164</c:v>
                </c:pt>
                <c:pt idx="17">
                  <c:v>95.835066334896965</c:v>
                </c:pt>
                <c:pt idx="18">
                  <c:v>122.79626640704589</c:v>
                </c:pt>
                <c:pt idx="19">
                  <c:v>157.36649199397678</c:v>
                </c:pt>
                <c:pt idx="20">
                  <c:v>201.69942766100667</c:v>
                </c:pt>
                <c:pt idx="21">
                  <c:v>258.55996582862014</c:v>
                </c:pt>
                <c:pt idx="22">
                  <c:v>205.57216811118852</c:v>
                </c:pt>
                <c:pt idx="23">
                  <c:v>228.48746894478305</c:v>
                </c:pt>
                <c:pt idx="24">
                  <c:v>251.35018250509077</c:v>
                </c:pt>
                <c:pt idx="25">
                  <c:v>274.16576374261041</c:v>
                </c:pt>
                <c:pt idx="26">
                  <c:v>296.93868498913014</c:v>
                </c:pt>
                <c:pt idx="27">
                  <c:v>319.67267638199866</c:v>
                </c:pt>
                <c:pt idx="28">
                  <c:v>342.37089418257466</c:v>
                </c:pt>
                <c:pt idx="29">
                  <c:v>289.5804367740414</c:v>
                </c:pt>
                <c:pt idx="30">
                  <c:v>313.35190006172803</c:v>
                </c:pt>
                <c:pt idx="31">
                  <c:v>337.08338071755128</c:v>
                </c:pt>
                <c:pt idx="32">
                  <c:v>360.77808747233183</c:v>
                </c:pt>
                <c:pt idx="33">
                  <c:v>384.43877330198114</c:v>
                </c:pt>
                <c:pt idx="34">
                  <c:v>408.06782480829406</c:v>
                </c:pt>
                <c:pt idx="35">
                  <c:v>431.66732980483766</c:v>
                </c:pt>
                <c:pt idx="36">
                  <c:v>368.10109675197208</c:v>
                </c:pt>
                <c:pt idx="37">
                  <c:v>391.41168395580547</c:v>
                </c:pt>
                <c:pt idx="38">
                  <c:v>414.6921671769374</c:v>
                </c:pt>
                <c:pt idx="39">
                  <c:v>437.94447268119819</c:v>
                </c:pt>
                <c:pt idx="40">
                  <c:v>461.17030563777286</c:v>
                </c:pt>
                <c:pt idx="41">
                  <c:v>484.37118557987498</c:v>
                </c:pt>
                <c:pt idx="42">
                  <c:v>507.54847471808051</c:v>
                </c:pt>
                <c:pt idx="43">
                  <c:v>438.45334520685856</c:v>
                </c:pt>
                <c:pt idx="44">
                  <c:v>460.66198322185556</c:v>
                </c:pt>
                <c:pt idx="45">
                  <c:v>482.84777825479341</c:v>
                </c:pt>
                <c:pt idx="46">
                  <c:v>505.01192662355203</c:v>
                </c:pt>
                <c:pt idx="47">
                  <c:v>527.15551115917788</c:v>
                </c:pt>
                <c:pt idx="48">
                  <c:v>549.27951638276431</c:v>
                </c:pt>
                <c:pt idx="49">
                  <c:v>571.38484111103946</c:v>
                </c:pt>
                <c:pt idx="50">
                  <c:v>497.23149189337681</c:v>
                </c:pt>
                <c:pt idx="51">
                  <c:v>517.69200252251403</c:v>
                </c:pt>
                <c:pt idx="52">
                  <c:v>538.13546036834725</c:v>
                </c:pt>
                <c:pt idx="53">
                  <c:v>558.56260388366002</c:v>
                </c:pt>
                <c:pt idx="54">
                  <c:v>578.97411315040551</c:v>
                </c:pt>
                <c:pt idx="55">
                  <c:v>599.37061643041295</c:v>
                </c:pt>
                <c:pt idx="56">
                  <c:v>619.75269577860888</c:v>
                </c:pt>
                <c:pt idx="57">
                  <c:v>537.79768652493578</c:v>
                </c:pt>
                <c:pt idx="58">
                  <c:v>556.19994499698703</c:v>
                </c:pt>
                <c:pt idx="59">
                  <c:v>574.58945551907846</c:v>
                </c:pt>
                <c:pt idx="60">
                  <c:v>592.96668321961113</c:v>
                </c:pt>
                <c:pt idx="61">
                  <c:v>611.33206206789123</c:v>
                </c:pt>
                <c:pt idx="62">
                  <c:v>629.68599785389995</c:v>
                </c:pt>
                <c:pt idx="63">
                  <c:v>648.02887080282289</c:v>
                </c:pt>
                <c:pt idx="64">
                  <c:v>565.31190831763899</c:v>
                </c:pt>
                <c:pt idx="65">
                  <c:v>581.67201932756836</c:v>
                </c:pt>
                <c:pt idx="66">
                  <c:v>598.02253874306132</c:v>
                </c:pt>
                <c:pt idx="67">
                  <c:v>614.36376557442816</c:v>
                </c:pt>
                <c:pt idx="68">
                  <c:v>630.69598163909245</c:v>
                </c:pt>
                <c:pt idx="69">
                  <c:v>647.01945297892712</c:v>
                </c:pt>
                <c:pt idx="70">
                  <c:v>663.33443112721886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78161248"/>
        <c:axId val="-778162336"/>
      </c:scatterChart>
      <c:valAx>
        <c:axId val="-7781612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8162336"/>
        <c:crosses val="autoZero"/>
        <c:crossBetween val="midCat"/>
      </c:valAx>
      <c:valAx>
        <c:axId val="-77816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8161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3.1463256798428652</c:v>
                </c:pt>
                <c:pt idx="2">
                  <c:v>4.4332159935494238</c:v>
                </c:pt>
                <c:pt idx="3">
                  <c:v>6.2487139749565381</c:v>
                </c:pt>
                <c:pt idx="4">
                  <c:v>8.8108200015367082</c:v>
                </c:pt>
                <c:pt idx="5">
                  <c:v>12.427771710375517</c:v>
                </c:pt>
                <c:pt idx="6">
                  <c:v>17.535523238916209</c:v>
                </c:pt>
                <c:pt idx="7">
                  <c:v>24.750839551757284</c:v>
                </c:pt>
                <c:pt idx="8">
                  <c:v>34.946529982645565</c:v>
                </c:pt>
                <c:pt idx="9">
                  <c:v>49.358077911135503</c:v>
                </c:pt>
                <c:pt idx="10">
                  <c:v>69.734803600053766</c:v>
                </c:pt>
                <c:pt idx="11">
                  <c:v>90.203304019109893</c:v>
                </c:pt>
                <c:pt idx="12">
                  <c:v>110.55482267025504</c:v>
                </c:pt>
                <c:pt idx="13">
                  <c:v>130.81405145417179</c:v>
                </c:pt>
                <c:pt idx="14">
                  <c:v>150.99733996220459</c:v>
                </c:pt>
                <c:pt idx="15">
                  <c:v>171.1162849602724</c:v>
                </c:pt>
                <c:pt idx="16">
                  <c:v>193.4476343470125</c:v>
                </c:pt>
                <c:pt idx="17">
                  <c:v>215.71900389754811</c:v>
                </c:pt>
                <c:pt idx="18">
                  <c:v>237.93745819584922</c:v>
                </c:pt>
                <c:pt idx="19">
                  <c:v>260.10863290775887</c:v>
                </c:pt>
                <c:pt idx="20">
                  <c:v>282.23712370144091</c:v>
                </c:pt>
                <c:pt idx="21">
                  <c:v>303.57854617810909</c:v>
                </c:pt>
                <c:pt idx="22">
                  <c:v>324.88660171920725</c:v>
                </c:pt>
                <c:pt idx="23">
                  <c:v>346.16378539221341</c:v>
                </c:pt>
                <c:pt idx="24">
                  <c:v>367.41226056988825</c:v>
                </c:pt>
                <c:pt idx="25">
                  <c:v>388.63392005694885</c:v>
                </c:pt>
                <c:pt idx="26">
                  <c:v>240.94637860003556</c:v>
                </c:pt>
                <c:pt idx="27">
                  <c:v>261.61017170872907</c:v>
                </c:pt>
                <c:pt idx="28">
                  <c:v>282.23712370144091</c:v>
                </c:pt>
                <c:pt idx="29">
                  <c:v>302.83030487228285</c:v>
                </c:pt>
                <c:pt idx="30">
                  <c:v>323.39233379750698</c:v>
                </c:pt>
                <c:pt idx="31">
                  <c:v>342.80619071488076</c:v>
                </c:pt>
                <c:pt idx="32">
                  <c:v>362.19588987431393</c:v>
                </c:pt>
                <c:pt idx="33">
                  <c:v>381.5629058811187</c:v>
                </c:pt>
                <c:pt idx="34">
                  <c:v>400.9085514815776</c:v>
                </c:pt>
                <c:pt idx="35">
                  <c:v>420.23400244347687</c:v>
                </c:pt>
                <c:pt idx="36">
                  <c:v>319.28230720978166</c:v>
                </c:pt>
                <c:pt idx="37">
                  <c:v>337.58182519139058</c:v>
                </c:pt>
                <c:pt idx="38">
                  <c:v>355.85951361436713</c:v>
                </c:pt>
                <c:pt idx="39">
                  <c:v>374.11665105684864</c:v>
                </c:pt>
                <c:pt idx="40">
                  <c:v>392.35438115419737</c:v>
                </c:pt>
                <c:pt idx="41">
                  <c:v>408.71542941668872</c:v>
                </c:pt>
                <c:pt idx="42">
                  <c:v>425.06233617824228</c:v>
                </c:pt>
                <c:pt idx="43">
                  <c:v>441.39572167958977</c:v>
                </c:pt>
                <c:pt idx="44">
                  <c:v>457.71615652908707</c:v>
                </c:pt>
                <c:pt idx="45">
                  <c:v>474.02416733906449</c:v>
                </c:pt>
                <c:pt idx="46">
                  <c:v>375.97851488636047</c:v>
                </c:pt>
                <c:pt idx="47">
                  <c:v>391.23832354179871</c:v>
                </c:pt>
                <c:pt idx="48">
                  <c:v>406.48522456571527</c:v>
                </c:pt>
                <c:pt idx="49">
                  <c:v>421.71977019610955</c:v>
                </c:pt>
                <c:pt idx="50">
                  <c:v>436.94246952460452</c:v>
                </c:pt>
                <c:pt idx="51">
                  <c:v>450.67025003611406</c:v>
                </c:pt>
                <c:pt idx="52">
                  <c:v>464.38908865378477</c:v>
                </c:pt>
                <c:pt idx="53">
                  <c:v>478.09928670595019</c:v>
                </c:pt>
                <c:pt idx="54">
                  <c:v>491.80112683256226</c:v>
                </c:pt>
                <c:pt idx="55">
                  <c:v>505.49487464351972</c:v>
                </c:pt>
                <c:pt idx="56">
                  <c:v>417.6336362599788</c:v>
                </c:pt>
                <c:pt idx="57">
                  <c:v>429.88948992506454</c:v>
                </c:pt>
                <c:pt idx="58">
                  <c:v>442.1378364455868</c:v>
                </c:pt>
                <c:pt idx="59">
                  <c:v>454.37891309932894</c:v>
                </c:pt>
                <c:pt idx="60">
                  <c:v>466.61294333655451</c:v>
                </c:pt>
                <c:pt idx="61">
                  <c:v>477.72885193803245</c:v>
                </c:pt>
                <c:pt idx="62">
                  <c:v>488.83926137072331</c:v>
                </c:pt>
                <c:pt idx="63">
                  <c:v>499.94431424131017</c:v>
                </c:pt>
                <c:pt idx="64">
                  <c:v>511.04414630438515</c:v>
                </c:pt>
                <c:pt idx="65">
                  <c:v>522.13888693652416</c:v>
                </c:pt>
                <c:pt idx="66">
                  <c:v>446.96093391901189</c:v>
                </c:pt>
                <c:pt idx="67">
                  <c:v>456.97459194094745</c:v>
                </c:pt>
                <c:pt idx="68">
                  <c:v>466.983563784024</c:v>
                </c:pt>
                <c:pt idx="69">
                  <c:v>476.98796406826068</c:v>
                </c:pt>
                <c:pt idx="70">
                  <c:v>486.98790221252966</c:v>
                </c:pt>
                <c:pt idx="71">
                  <c:v>496.24321660917241</c:v>
                </c:pt>
                <c:pt idx="72">
                  <c:v>505.49487464351972</c:v>
                </c:pt>
                <c:pt idx="73">
                  <c:v>514.74295268257504</c:v>
                </c:pt>
                <c:pt idx="74">
                  <c:v>523.98752412500392</c:v>
                </c:pt>
                <c:pt idx="75">
                  <c:v>533.22865956797227</c:v>
                </c:pt>
                <c:pt idx="76">
                  <c:v>467.35417796108709</c:v>
                </c:pt>
                <c:pt idx="77">
                  <c:v>475.50611484095458</c:v>
                </c:pt>
                <c:pt idx="78">
                  <c:v>483.65507874042197</c:v>
                </c:pt>
                <c:pt idx="79">
                  <c:v>491.8011268325622</c:v>
                </c:pt>
                <c:pt idx="80">
                  <c:v>499.94431424130994</c:v>
                </c:pt>
                <c:pt idx="81">
                  <c:v>507.34477426054764</c:v>
                </c:pt>
                <c:pt idx="82">
                  <c:v>514.74295268257492</c:v>
                </c:pt>
                <c:pt idx="83">
                  <c:v>522.13888693652405</c:v>
                </c:pt>
                <c:pt idx="84">
                  <c:v>529.53261330433133</c:v>
                </c:pt>
                <c:pt idx="85">
                  <c:v>536.92416697177521</c:v>
                </c:pt>
                <c:pt idx="86">
                  <c:v>482.17366746606058</c:v>
                </c:pt>
                <c:pt idx="87">
                  <c:v>488.46900146193275</c:v>
                </c:pt>
                <c:pt idx="88">
                  <c:v>494.76261404078542</c:v>
                </c:pt>
                <c:pt idx="89">
                  <c:v>501.05453020073901</c:v>
                </c:pt>
                <c:pt idx="90">
                  <c:v>507.34477426054747</c:v>
                </c:pt>
                <c:pt idx="91">
                  <c:v>513.26349771249431</c:v>
                </c:pt>
                <c:pt idx="92">
                  <c:v>519.18078018798121</c:v>
                </c:pt>
                <c:pt idx="93">
                  <c:v>525.09664043555642</c:v>
                </c:pt>
                <c:pt idx="94">
                  <c:v>531.01109674664519</c:v>
                </c:pt>
                <c:pt idx="95">
                  <c:v>536.92416697177487</c:v>
                </c:pt>
                <c:pt idx="96">
                  <c:v>542.8358685360472</c:v>
                </c:pt>
                <c:pt idx="97">
                  <c:v>548.74621845390379</c:v>
                </c:pt>
                <c:pt idx="98">
                  <c:v>554.65523334321836</c:v>
                </c:pt>
                <c:pt idx="99">
                  <c:v>560.56292943876031</c:v>
                </c:pt>
                <c:pt idx="100">
                  <c:v>566.46932260506048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78165056"/>
        <c:axId val="-778166144"/>
      </c:scatterChart>
      <c:valAx>
        <c:axId val="-778165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8166144"/>
        <c:crosses val="autoZero"/>
        <c:crossBetween val="midCat"/>
      </c:valAx>
      <c:valAx>
        <c:axId val="-778166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8165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78160704"/>
        <c:axId val="-778159616"/>
      </c:scatterChart>
      <c:valAx>
        <c:axId val="-7781607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8159616"/>
        <c:crosses val="autoZero"/>
        <c:crossBetween val="midCat"/>
      </c:valAx>
      <c:valAx>
        <c:axId val="-77815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8160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78161792"/>
        <c:axId val="-778159072"/>
      </c:scatterChart>
      <c:valAx>
        <c:axId val="-7781617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8159072"/>
        <c:crosses val="autoZero"/>
        <c:crossBetween val="midCat"/>
      </c:valAx>
      <c:valAx>
        <c:axId val="-778159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8161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184.1348953873202</c:v>
                </c:pt>
                <c:pt idx="27">
                  <c:v>200.43711831314488</c:v>
                </c:pt>
                <c:pt idx="28">
                  <c:v>216.70861540949173</c:v>
                </c:pt>
                <c:pt idx="29">
                  <c:v>232.95201893246733</c:v>
                </c:pt>
                <c:pt idx="30">
                  <c:v>249.16956379358496</c:v>
                </c:pt>
                <c:pt idx="31">
                  <c:v>200.43711831314488</c:v>
                </c:pt>
                <c:pt idx="32">
                  <c:v>219.03076565248196</c:v>
                </c:pt>
                <c:pt idx="33">
                  <c:v>237.58815254200749</c:v>
                </c:pt>
                <c:pt idx="34">
                  <c:v>256.1125096163592</c:v>
                </c:pt>
                <c:pt idx="35">
                  <c:v>274.60656174697812</c:v>
                </c:pt>
                <c:pt idx="36">
                  <c:v>293.99524327269938</c:v>
                </c:pt>
                <c:pt idx="37">
                  <c:v>313.35539693038533</c:v>
                </c:pt>
                <c:pt idx="38">
                  <c:v>332.68903260064207</c:v>
                </c:pt>
                <c:pt idx="39">
                  <c:v>351.99790751820501</c:v>
                </c:pt>
                <c:pt idx="40">
                  <c:v>371.28357043570503</c:v>
                </c:pt>
                <c:pt idx="41">
                  <c:v>293.99524327269938</c:v>
                </c:pt>
                <c:pt idx="42">
                  <c:v>313.35539693038538</c:v>
                </c:pt>
                <c:pt idx="43">
                  <c:v>332.68903260064207</c:v>
                </c:pt>
                <c:pt idx="44">
                  <c:v>351.99790751820518</c:v>
                </c:pt>
                <c:pt idx="45">
                  <c:v>371.28357043570503</c:v>
                </c:pt>
                <c:pt idx="46">
                  <c:v>390.08897772661572</c:v>
                </c:pt>
                <c:pt idx="47">
                  <c:v>408.87471968472323</c:v>
                </c:pt>
                <c:pt idx="48">
                  <c:v>427.6418265252899</c:v>
                </c:pt>
                <c:pt idx="49">
                  <c:v>446.39123070522641</c:v>
                </c:pt>
                <c:pt idx="50">
                  <c:v>465.12378000022358</c:v>
                </c:pt>
                <c:pt idx="51">
                  <c:v>387.33822121677048</c:v>
                </c:pt>
                <c:pt idx="52">
                  <c:v>405.66874423568089</c:v>
                </c:pt>
                <c:pt idx="53">
                  <c:v>423.98137001578152</c:v>
                </c:pt>
                <c:pt idx="54">
                  <c:v>442.27697999035109</c:v>
                </c:pt>
                <c:pt idx="55">
                  <c:v>460.55637675309475</c:v>
                </c:pt>
                <c:pt idx="56">
                  <c:v>477.9074551778013</c:v>
                </c:pt>
                <c:pt idx="57">
                  <c:v>495.24514214260324</c:v>
                </c:pt>
                <c:pt idx="58">
                  <c:v>512.56997221170479</c:v>
                </c:pt>
                <c:pt idx="59">
                  <c:v>529.88244088560566</c:v>
                </c:pt>
                <c:pt idx="60">
                  <c:v>547.18300866493462</c:v>
                </c:pt>
                <c:pt idx="61">
                  <c:v>467.86376222658549</c:v>
                </c:pt>
                <c:pt idx="62">
                  <c:v>484.29655280391279</c:v>
                </c:pt>
                <c:pt idx="63">
                  <c:v>500.71750586625211</c:v>
                </c:pt>
                <c:pt idx="64">
                  <c:v>517.12706410485578</c:v>
                </c:pt>
                <c:pt idx="65">
                  <c:v>533.52563983842992</c:v>
                </c:pt>
                <c:pt idx="66">
                  <c:v>549.00344654997514</c:v>
                </c:pt>
                <c:pt idx="67">
                  <c:v>564.47210457381163</c:v>
                </c:pt>
                <c:pt idx="68">
                  <c:v>579.93189980305101</c:v>
                </c:pt>
                <c:pt idx="69">
                  <c:v>595.38310165344672</c:v>
                </c:pt>
                <c:pt idx="70">
                  <c:v>610.82596442485954</c:v>
                </c:pt>
                <c:pt idx="71">
                  <c:v>529.42700402201569</c:v>
                </c:pt>
                <c:pt idx="72">
                  <c:v>543.54175115137775</c:v>
                </c:pt>
                <c:pt idx="73">
                  <c:v>557.64880567125817</c:v>
                </c:pt>
                <c:pt idx="74">
                  <c:v>571.74838952524453</c:v>
                </c:pt>
                <c:pt idx="75">
                  <c:v>585.84071282237744</c:v>
                </c:pt>
                <c:pt idx="76">
                  <c:v>599.47171971380669</c:v>
                </c:pt>
                <c:pt idx="77">
                  <c:v>613.09628499771316</c:v>
                </c:pt>
                <c:pt idx="78">
                  <c:v>626.71457192765104</c:v>
                </c:pt>
                <c:pt idx="79">
                  <c:v>640.3267360872029</c:v>
                </c:pt>
                <c:pt idx="80">
                  <c:v>653.93292590911028</c:v>
                </c:pt>
                <c:pt idx="81">
                  <c:v>571.29367866642974</c:v>
                </c:pt>
                <c:pt idx="82">
                  <c:v>584.02274942390272</c:v>
                </c:pt>
                <c:pt idx="83">
                  <c:v>596.74603902946512</c:v>
                </c:pt>
                <c:pt idx="84">
                  <c:v>609.46368807028375</c:v>
                </c:pt>
                <c:pt idx="85">
                  <c:v>622.17583079004874</c:v>
                </c:pt>
                <c:pt idx="86">
                  <c:v>634.88259550167152</c:v>
                </c:pt>
                <c:pt idx="87">
                  <c:v>647.58410496524095</c:v>
                </c:pt>
                <c:pt idx="88">
                  <c:v>660.28047673479932</c:v>
                </c:pt>
                <c:pt idx="89">
                  <c:v>672.97182347707314</c:v>
                </c:pt>
                <c:pt idx="90">
                  <c:v>685.6582532649245</c:v>
                </c:pt>
                <c:pt idx="91">
                  <c:v>601.51581107912773</c:v>
                </c:pt>
                <c:pt idx="92">
                  <c:v>612.64223485726768</c:v>
                </c:pt>
                <c:pt idx="93">
                  <c:v>623.76446791937644</c:v>
                </c:pt>
                <c:pt idx="94">
                  <c:v>634.88259550167152</c:v>
                </c:pt>
                <c:pt idx="95">
                  <c:v>645.9966996124798</c:v>
                </c:pt>
                <c:pt idx="96">
                  <c:v>657.10685920908043</c:v>
                </c:pt>
                <c:pt idx="97">
                  <c:v>668.21315036197109</c:v>
                </c:pt>
                <c:pt idx="98">
                  <c:v>679.31564640764952</c:v>
                </c:pt>
                <c:pt idx="99">
                  <c:v>690.41441809089304</c:v>
                </c:pt>
                <c:pt idx="100">
                  <c:v>701.50953369741819</c:v>
                </c:pt>
                <c:pt idx="101">
                  <c:v>616.27444100355058</c:v>
                </c:pt>
                <c:pt idx="102">
                  <c:v>626.26072851795254</c:v>
                </c:pt>
                <c:pt idx="103">
                  <c:v>636.24372076531768</c:v>
                </c:pt>
                <c:pt idx="104">
                  <c:v>646.22347672875867</c:v>
                </c:pt>
                <c:pt idx="105">
                  <c:v>656.20005342145294</c:v>
                </c:pt>
                <c:pt idx="106">
                  <c:v>666.17350598202211</c:v>
                </c:pt>
                <c:pt idx="107">
                  <c:v>676.14388776390103</c:v>
                </c:pt>
                <c:pt idx="108">
                  <c:v>686.11125041916887</c:v>
                </c:pt>
                <c:pt idx="109">
                  <c:v>696.07564397725127</c:v>
                </c:pt>
                <c:pt idx="110">
                  <c:v>706.03711691888873</c:v>
                </c:pt>
                <c:pt idx="111">
                  <c:v>626.03380426043748</c:v>
                </c:pt>
                <c:pt idx="112">
                  <c:v>634.42887368259915</c:v>
                </c:pt>
                <c:pt idx="113">
                  <c:v>642.82164719403158</c:v>
                </c:pt>
                <c:pt idx="114">
                  <c:v>651.21215899492529</c:v>
                </c:pt>
                <c:pt idx="115">
                  <c:v>659.6004423323792</c:v>
                </c:pt>
                <c:pt idx="116">
                  <c:v>667.98652953900148</c:v>
                </c:pt>
                <c:pt idx="117">
                  <c:v>676.37045206947607</c:v>
                </c:pt>
                <c:pt idx="118">
                  <c:v>684.75224053521981</c:v>
                </c:pt>
                <c:pt idx="119">
                  <c:v>693.13192473725633</c:v>
                </c:pt>
                <c:pt idx="120">
                  <c:v>701.50953369741762</c:v>
                </c:pt>
                <c:pt idx="121">
                  <c:v>629.43748973150025</c:v>
                </c:pt>
                <c:pt idx="122">
                  <c:v>636.6974158068673</c:v>
                </c:pt>
                <c:pt idx="123">
                  <c:v>643.95563156247397</c:v>
                </c:pt>
                <c:pt idx="124">
                  <c:v>651.21215899492529</c:v>
                </c:pt>
                <c:pt idx="125">
                  <c:v>658.46701957061839</c:v>
                </c:pt>
                <c:pt idx="126">
                  <c:v>665.72023424435065</c:v>
                </c:pt>
                <c:pt idx="127">
                  <c:v>672.97182347707178</c:v>
                </c:pt>
                <c:pt idx="128">
                  <c:v>680.22180725283522</c:v>
                </c:pt>
                <c:pt idx="129">
                  <c:v>687.47020509498645</c:v>
                </c:pt>
                <c:pt idx="130">
                  <c:v>694.71703608163534</c:v>
                </c:pt>
                <c:pt idx="131">
                  <c:v>630.57196682840777</c:v>
                </c:pt>
                <c:pt idx="132">
                  <c:v>636.69741580686696</c:v>
                </c:pt>
                <c:pt idx="133">
                  <c:v>642.8216471940309</c:v>
                </c:pt>
                <c:pt idx="134">
                  <c:v>648.94467422770936</c:v>
                </c:pt>
                <c:pt idx="135">
                  <c:v>655.06650987549995</c:v>
                </c:pt>
                <c:pt idx="136">
                  <c:v>661.18716684283038</c:v>
                </c:pt>
                <c:pt idx="137">
                  <c:v>667.30665758069279</c:v>
                </c:pt>
                <c:pt idx="138">
                  <c:v>673.42499429307202</c:v>
                </c:pt>
                <c:pt idx="139">
                  <c:v>679.54218894409837</c:v>
                </c:pt>
                <c:pt idx="140">
                  <c:v>685.65825326492302</c:v>
                </c:pt>
                <c:pt idx="141">
                  <c:v>629.89128564200882</c:v>
                </c:pt>
                <c:pt idx="142">
                  <c:v>635.33631061817096</c:v>
                </c:pt>
                <c:pt idx="143">
                  <c:v>640.78037119677663</c:v>
                </c:pt>
                <c:pt idx="144">
                  <c:v>646.2234767287573</c:v>
                </c:pt>
                <c:pt idx="145">
                  <c:v>651.66563639463936</c:v>
                </c:pt>
                <c:pt idx="146">
                  <c:v>657.10685920907861</c:v>
                </c:pt>
                <c:pt idx="147">
                  <c:v>662.54715402523584</c:v>
                </c:pt>
                <c:pt idx="148">
                  <c:v>667.98652953900034</c:v>
                </c:pt>
                <c:pt idx="149">
                  <c:v>673.42499429307145</c:v>
                </c:pt>
                <c:pt idx="150">
                  <c:v>678.86255668089746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78162880"/>
        <c:axId val="-778165600"/>
      </c:scatterChart>
      <c:valAx>
        <c:axId val="-7781628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8165600"/>
        <c:crosses val="autoZero"/>
        <c:crossBetween val="midCat"/>
      </c:valAx>
      <c:valAx>
        <c:axId val="-778165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8162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78160160"/>
        <c:axId val="-778164512"/>
      </c:scatterChart>
      <c:valAx>
        <c:axId val="-778160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8164512"/>
        <c:crosses val="autoZero"/>
        <c:crossBetween val="midCat"/>
      </c:valAx>
      <c:valAx>
        <c:axId val="-77816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8160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78163968"/>
        <c:axId val="-778163424"/>
      </c:scatterChart>
      <c:valAx>
        <c:axId val="-7781639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8163424"/>
        <c:crosses val="autoZero"/>
        <c:crossBetween val="midCat"/>
      </c:valAx>
      <c:valAx>
        <c:axId val="-77816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81639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48542256"/>
        <c:axId val="-948543344"/>
      </c:scatterChart>
      <c:valAx>
        <c:axId val="-948542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48543344"/>
        <c:crosses val="autoZero"/>
        <c:crossBetween val="midCat"/>
      </c:valAx>
      <c:valAx>
        <c:axId val="-94854334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48542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4" zoomScale="80" zoomScaleNormal="80" workbookViewId="0">
      <selection activeCell="B18" sqref="B18:M31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25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25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25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25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25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25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25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25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25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25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25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25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25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25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25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25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25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25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topLeftCell="A166" zoomScale="115" zoomScaleNormal="80" workbookViewId="0">
      <selection activeCell="F62" sqref="F62:F6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1" t="s">
        <v>190</v>
      </c>
      <c r="D1" s="291"/>
      <c r="E1" s="29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6" t="s">
        <v>192</v>
      </c>
      <c r="C3" s="297"/>
      <c r="D3" s="297"/>
      <c r="E3" s="297"/>
      <c r="F3" s="298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2" t="s">
        <v>231</v>
      </c>
      <c r="B5" s="302"/>
      <c r="C5" s="26">
        <v>13.25</v>
      </c>
      <c r="D5" s="303" t="s">
        <v>229</v>
      </c>
      <c r="E5" s="304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0" t="s">
        <v>226</v>
      </c>
      <c r="B7" s="300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0.44219999999999998</v>
      </c>
      <c r="D9" s="36">
        <f t="shared" ref="D9:D18" si="0">C9*$C$5</f>
        <v>5.8591499999999996</v>
      </c>
      <c r="E9" s="37">
        <v>44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18</v>
      </c>
      <c r="C10" s="35">
        <v>0.21290000000000001</v>
      </c>
      <c r="D10" s="36">
        <f t="shared" si="0"/>
        <v>2.8209249999999999</v>
      </c>
      <c r="E10" s="37">
        <v>70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13</v>
      </c>
      <c r="C11" s="35">
        <v>0.20910000000000001</v>
      </c>
      <c r="D11" s="36">
        <f t="shared" si="0"/>
        <v>2.770575</v>
      </c>
      <c r="E11" s="37">
        <v>100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14</v>
      </c>
      <c r="C12" s="35">
        <v>0.1014</v>
      </c>
      <c r="D12" s="36">
        <f t="shared" si="0"/>
        <v>1.34355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12</v>
      </c>
      <c r="C13" s="35">
        <v>1.15E-2</v>
      </c>
      <c r="D13" s="36">
        <f t="shared" si="0"/>
        <v>0.15237500000000001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52</v>
      </c>
      <c r="C14" s="35">
        <v>1.15E-2</v>
      </c>
      <c r="D14" s="36">
        <f t="shared" si="0"/>
        <v>0.15237500000000001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1</v>
      </c>
      <c r="C15" s="35">
        <v>1.14E-2</v>
      </c>
      <c r="D15" s="36">
        <f t="shared" si="0"/>
        <v>0.15105000000000002</v>
      </c>
      <c r="E15" s="37">
        <v>150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1</v>
      </c>
      <c r="D19" s="41">
        <f>SUM(D9:D18)</f>
        <v>13.249999999999998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9" t="s">
        <v>232</v>
      </c>
      <c r="B22" s="299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1" t="s">
        <v>227</v>
      </c>
      <c r="B30" s="301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9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1">
        <v>38.9</v>
      </c>
      <c r="C36" s="61"/>
      <c r="D36" s="61"/>
      <c r="E36" s="54"/>
      <c r="F36" s="54"/>
      <c r="G36" s="54"/>
      <c r="H36" s="54"/>
      <c r="I36" s="52">
        <f>IFERROR(B36/A36,"")</f>
        <v>3.2416666666666667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13</v>
      </c>
      <c r="B37" s="61">
        <v>53.7</v>
      </c>
      <c r="C37" s="61"/>
      <c r="D37" s="61"/>
      <c r="E37" s="54"/>
      <c r="F37" s="54"/>
      <c r="G37" s="54"/>
      <c r="H37" s="54"/>
      <c r="I37" s="56">
        <f t="shared" ref="I37:I55" si="1">IF(A37&lt;&gt;0,(B37-(B36-D36))/(A37-A36),"")</f>
        <v>14.800000000000004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14</v>
      </c>
      <c r="B38" s="61">
        <v>70.400000000000006</v>
      </c>
      <c r="C38" s="61"/>
      <c r="D38" s="61"/>
      <c r="E38" s="54"/>
      <c r="F38" s="54"/>
      <c r="G38" s="54"/>
      <c r="H38" s="54"/>
      <c r="I38" s="56">
        <f t="shared" si="1"/>
        <v>16.700000000000003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15</v>
      </c>
      <c r="B39" s="61">
        <v>88.9</v>
      </c>
      <c r="C39" s="61">
        <v>1</v>
      </c>
      <c r="D39" s="61">
        <v>23.3</v>
      </c>
      <c r="E39" s="54"/>
      <c r="F39" s="54"/>
      <c r="G39" s="54">
        <v>1</v>
      </c>
      <c r="H39" s="54"/>
      <c r="I39" s="52">
        <f t="shared" si="1"/>
        <v>18.5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17</v>
      </c>
      <c r="B40" s="61">
        <v>88.3</v>
      </c>
      <c r="C40" s="61"/>
      <c r="D40" s="61"/>
      <c r="E40" s="54"/>
      <c r="F40" s="54"/>
      <c r="G40" s="54"/>
      <c r="H40" s="54"/>
      <c r="I40" s="52">
        <f t="shared" si="1"/>
        <v>11.349999999999994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20</v>
      </c>
      <c r="B41" s="61">
        <v>130.19999999999999</v>
      </c>
      <c r="C41" s="61">
        <v>2</v>
      </c>
      <c r="D41" s="61">
        <v>34.1</v>
      </c>
      <c r="E41" s="54">
        <v>0.25</v>
      </c>
      <c r="F41" s="54">
        <v>0.4</v>
      </c>
      <c r="G41" s="54">
        <v>0.35</v>
      </c>
      <c r="H41" s="54"/>
      <c r="I41" s="56">
        <f t="shared" si="1"/>
        <v>13.966666666666663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22</v>
      </c>
      <c r="B42" s="61">
        <v>126.9</v>
      </c>
      <c r="C42" s="61"/>
      <c r="D42" s="61"/>
      <c r="E42" s="54"/>
      <c r="F42" s="54"/>
      <c r="G42" s="54"/>
      <c r="H42" s="54"/>
      <c r="I42" s="56">
        <f t="shared" si="1"/>
        <v>15.400000000000006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1">
        <v>24</v>
      </c>
      <c r="B43" s="61">
        <v>161.69999999999999</v>
      </c>
      <c r="C43" s="61"/>
      <c r="D43" s="61"/>
      <c r="E43" s="54"/>
      <c r="F43" s="54"/>
      <c r="G43" s="54"/>
      <c r="H43" s="54"/>
      <c r="I43" s="52">
        <f t="shared" si="1"/>
        <v>17.399999999999991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1">
        <v>27</v>
      </c>
      <c r="B44" s="61">
        <v>218.4</v>
      </c>
      <c r="C44" s="61">
        <v>3</v>
      </c>
      <c r="D44" s="61">
        <v>54.5</v>
      </c>
      <c r="E44" s="54">
        <v>0.6</v>
      </c>
      <c r="F44" s="54">
        <v>0.2</v>
      </c>
      <c r="G44" s="54">
        <v>0.2</v>
      </c>
      <c r="H44" s="54"/>
      <c r="I44" s="52">
        <f t="shared" si="1"/>
        <v>18.900000000000006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1">
        <v>28</v>
      </c>
      <c r="B45" s="61">
        <v>179.2</v>
      </c>
      <c r="C45" s="61"/>
      <c r="D45" s="61"/>
      <c r="E45" s="54"/>
      <c r="F45" s="54"/>
      <c r="G45" s="54"/>
      <c r="H45" s="54"/>
      <c r="I45" s="52">
        <f t="shared" si="1"/>
        <v>15.299999999999983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1">
        <v>30</v>
      </c>
      <c r="B46" s="61">
        <v>211.1</v>
      </c>
      <c r="C46" s="61"/>
      <c r="D46" s="61"/>
      <c r="E46" s="54"/>
      <c r="F46" s="54"/>
      <c r="G46" s="54"/>
      <c r="H46" s="54"/>
      <c r="I46" s="52">
        <f t="shared" si="1"/>
        <v>15.950000000000003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1">
        <v>32</v>
      </c>
      <c r="B47" s="61">
        <v>243.4</v>
      </c>
      <c r="C47" s="61">
        <v>4</v>
      </c>
      <c r="D47" s="61">
        <v>62.7</v>
      </c>
      <c r="E47" s="54"/>
      <c r="F47" s="54"/>
      <c r="G47" s="54"/>
      <c r="H47" s="54"/>
      <c r="I47" s="52">
        <f t="shared" si="1"/>
        <v>16.150000000000006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1">
        <v>34</v>
      </c>
      <c r="B48" s="61">
        <v>206.3</v>
      </c>
      <c r="C48" s="61"/>
      <c r="D48" s="61"/>
      <c r="E48" s="54"/>
      <c r="F48" s="54"/>
      <c r="G48" s="54"/>
      <c r="H48" s="54"/>
      <c r="I48" s="52">
        <f t="shared" si="1"/>
        <v>12.800000000000011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1">
        <v>36</v>
      </c>
      <c r="B49" s="61">
        <v>232.2</v>
      </c>
      <c r="C49" s="61"/>
      <c r="D49" s="61"/>
      <c r="E49" s="54"/>
      <c r="F49" s="54"/>
      <c r="G49" s="54"/>
      <c r="H49" s="54"/>
      <c r="I49" s="52">
        <f t="shared" si="1"/>
        <v>12.949999999999989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1">
        <v>38</v>
      </c>
      <c r="B50" s="53">
        <v>258.5</v>
      </c>
      <c r="C50" s="53"/>
      <c r="D50" s="53"/>
      <c r="E50" s="54"/>
      <c r="F50" s="54"/>
      <c r="G50" s="54"/>
      <c r="H50" s="54"/>
      <c r="I50" s="52">
        <f t="shared" si="1"/>
        <v>13.150000000000006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1">
        <v>40</v>
      </c>
      <c r="B51" s="53">
        <v>284.8</v>
      </c>
      <c r="C51" s="53"/>
      <c r="D51" s="53"/>
      <c r="E51" s="54"/>
      <c r="F51" s="54"/>
      <c r="G51" s="54"/>
      <c r="H51" s="54"/>
      <c r="I51" s="52">
        <f t="shared" si="1"/>
        <v>13.150000000000006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1">
        <v>42</v>
      </c>
      <c r="B52" s="53">
        <v>311.3</v>
      </c>
      <c r="C52" s="53"/>
      <c r="D52" s="53"/>
      <c r="E52" s="54"/>
      <c r="F52" s="54"/>
      <c r="G52" s="54"/>
      <c r="H52" s="54"/>
      <c r="I52" s="52">
        <f t="shared" si="1"/>
        <v>13.25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1">
        <v>44</v>
      </c>
      <c r="B53" s="53">
        <v>337.8</v>
      </c>
      <c r="C53" s="53">
        <v>5</v>
      </c>
      <c r="D53" s="53">
        <f>B53</f>
        <v>337.8</v>
      </c>
      <c r="E53" s="54"/>
      <c r="F53" s="54"/>
      <c r="G53" s="54"/>
      <c r="H53" s="54"/>
      <c r="I53" s="52">
        <f t="shared" si="1"/>
        <v>13.25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1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1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Douglas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9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21</v>
      </c>
      <c r="B62" s="61">
        <v>210</v>
      </c>
      <c r="C62" s="61">
        <v>1</v>
      </c>
      <c r="D62" s="61">
        <f>210-147</f>
        <v>63</v>
      </c>
      <c r="E62" s="54"/>
      <c r="F62" s="54">
        <v>0.1</v>
      </c>
      <c r="G62" s="54">
        <v>0.4</v>
      </c>
      <c r="H62" s="54">
        <v>0.5</v>
      </c>
      <c r="I62" s="56">
        <f>IFERROR(B62/A62,"")</f>
        <v>10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28</v>
      </c>
      <c r="B63" s="61">
        <v>280</v>
      </c>
      <c r="C63" s="61">
        <v>2</v>
      </c>
      <c r="D63" s="61">
        <v>64</v>
      </c>
      <c r="E63" s="54"/>
      <c r="F63" s="54">
        <v>0.2</v>
      </c>
      <c r="G63" s="54">
        <v>0.4</v>
      </c>
      <c r="H63" s="54">
        <v>0.4</v>
      </c>
      <c r="I63" s="52">
        <f>IF(A63&lt;&gt;0,(B63-(B62-D62))/(A63-A62),"")</f>
        <v>19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1">
        <v>355</v>
      </c>
      <c r="C64" s="61">
        <v>3</v>
      </c>
      <c r="D64" s="61">
        <v>73</v>
      </c>
      <c r="E64" s="54"/>
      <c r="F64" s="54"/>
      <c r="G64" s="54"/>
      <c r="H64" s="54"/>
      <c r="I64" s="52">
        <f>IF(A64&lt;&gt;0,(B64-(B63-D63))/(A64-A63),"")</f>
        <v>19.857142857142858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42</v>
      </c>
      <c r="B65" s="61">
        <v>419</v>
      </c>
      <c r="C65" s="61">
        <v>4</v>
      </c>
      <c r="D65" s="61">
        <v>77</v>
      </c>
      <c r="E65" s="54"/>
      <c r="F65" s="54"/>
      <c r="G65" s="54"/>
      <c r="H65" s="54"/>
      <c r="I65" s="52">
        <f>IF(A65&lt;&gt;0,(B65-(B64-D64))/(A65-A64),"")</f>
        <v>19.571428571428573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49</v>
      </c>
      <c r="B66" s="61">
        <v>473</v>
      </c>
      <c r="C66" s="61">
        <v>5</v>
      </c>
      <c r="D66" s="61">
        <v>80</v>
      </c>
      <c r="E66" s="54"/>
      <c r="F66" s="54"/>
      <c r="G66" s="54"/>
      <c r="H66" s="54"/>
      <c r="I66" s="52">
        <f t="shared" ref="I66:I81" si="2">IF(A66&lt;&gt;0,(B66-(B65-D65))/(A66-A65),"")</f>
        <v>18.714285714285715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56</v>
      </c>
      <c r="B67" s="61">
        <v>514</v>
      </c>
      <c r="C67" s="61">
        <v>6</v>
      </c>
      <c r="D67" s="61">
        <v>85</v>
      </c>
      <c r="E67" s="54"/>
      <c r="F67" s="54"/>
      <c r="G67" s="54"/>
      <c r="H67" s="54"/>
      <c r="I67" s="52">
        <f t="shared" si="2"/>
        <v>17.285714285714285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63</v>
      </c>
      <c r="B68" s="61">
        <v>538</v>
      </c>
      <c r="C68" s="61">
        <v>7</v>
      </c>
      <c r="D68" s="61">
        <v>84</v>
      </c>
      <c r="E68" s="54"/>
      <c r="F68" s="54"/>
      <c r="G68" s="54"/>
      <c r="H68" s="54"/>
      <c r="I68" s="52">
        <f t="shared" si="2"/>
        <v>15.571428571428571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70</v>
      </c>
      <c r="B69" s="53">
        <v>551</v>
      </c>
      <c r="C69" s="53">
        <v>8</v>
      </c>
      <c r="D69" s="53">
        <f>B69</f>
        <v>551</v>
      </c>
      <c r="E69" s="54"/>
      <c r="F69" s="54"/>
      <c r="G69" s="54"/>
      <c r="H69" s="54"/>
      <c r="I69" s="52">
        <f t="shared" si="2"/>
        <v>13.857142857142858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rouge d'Amérique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9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10</v>
      </c>
      <c r="B88" s="61">
        <v>35</v>
      </c>
      <c r="C88" s="61"/>
      <c r="D88" s="61"/>
      <c r="E88" s="54"/>
      <c r="F88" s="54"/>
      <c r="G88" s="54"/>
      <c r="H88" s="91"/>
      <c r="I88" s="56">
        <f>IFERROR(B88/A88,"")</f>
        <v>3.5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15</v>
      </c>
      <c r="B89" s="61">
        <f>58+30</f>
        <v>88</v>
      </c>
      <c r="C89" s="61"/>
      <c r="D89" s="61"/>
      <c r="E89" s="54"/>
      <c r="F89" s="54"/>
      <c r="G89" s="54"/>
      <c r="H89" s="91"/>
      <c r="I89" s="56">
        <f t="shared" ref="I89:I107" si="3">IF(A89&lt;&gt;0,(B89-(B88-D88))/(A89-A88),"")</f>
        <v>10.6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20</v>
      </c>
      <c r="B90" s="61">
        <f>88+30+29</f>
        <v>147</v>
      </c>
      <c r="C90" s="61"/>
      <c r="D90" s="61"/>
      <c r="E90" s="91"/>
      <c r="F90" s="91"/>
      <c r="G90" s="91"/>
      <c r="H90" s="91"/>
      <c r="I90" s="56">
        <f t="shared" si="3"/>
        <v>11.8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25</v>
      </c>
      <c r="B91" s="61">
        <f>114+30+29+31</f>
        <v>204</v>
      </c>
      <c r="C91" s="61">
        <v>1</v>
      </c>
      <c r="D91" s="61">
        <f>30+29+31</f>
        <v>90</v>
      </c>
      <c r="E91" s="91"/>
      <c r="F91" s="91"/>
      <c r="G91" s="91"/>
      <c r="H91" s="91">
        <v>1</v>
      </c>
      <c r="I91" s="56">
        <f t="shared" si="3"/>
        <v>11.4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30</v>
      </c>
      <c r="B92" s="61">
        <f>137+32</f>
        <v>169</v>
      </c>
      <c r="C92" s="61"/>
      <c r="D92" s="61"/>
      <c r="E92" s="91"/>
      <c r="F92" s="91"/>
      <c r="G92" s="91"/>
      <c r="H92" s="91"/>
      <c r="I92" s="56">
        <f t="shared" si="3"/>
        <v>11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35</v>
      </c>
      <c r="B93" s="61">
        <f>157+32+32</f>
        <v>221</v>
      </c>
      <c r="C93" s="61">
        <v>2</v>
      </c>
      <c r="D93" s="61">
        <f>32+32</f>
        <v>64</v>
      </c>
      <c r="E93" s="91"/>
      <c r="F93" s="91"/>
      <c r="G93" s="91"/>
      <c r="H93" s="91"/>
      <c r="I93" s="56">
        <f t="shared" si="3"/>
        <v>10.4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40</v>
      </c>
      <c r="B94" s="61">
        <f>175+31</f>
        <v>206</v>
      </c>
      <c r="C94" s="61"/>
      <c r="D94" s="61"/>
      <c r="E94" s="91"/>
      <c r="F94" s="91"/>
      <c r="G94" s="91"/>
      <c r="H94" s="91"/>
      <c r="I94" s="56">
        <f t="shared" si="3"/>
        <v>9.8000000000000007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1">
        <v>45</v>
      </c>
      <c r="B95" s="61">
        <f>189+31+30</f>
        <v>250</v>
      </c>
      <c r="C95" s="61">
        <v>3</v>
      </c>
      <c r="D95" s="61">
        <f>31+30</f>
        <v>61</v>
      </c>
      <c r="E95" s="91"/>
      <c r="F95" s="91"/>
      <c r="G95" s="91"/>
      <c r="H95" s="91"/>
      <c r="I95" s="56">
        <f t="shared" si="3"/>
        <v>8.8000000000000007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1">
        <v>50</v>
      </c>
      <c r="B96" s="61">
        <f>202+28</f>
        <v>230</v>
      </c>
      <c r="C96" s="61"/>
      <c r="D96" s="61"/>
      <c r="E96" s="91"/>
      <c r="F96" s="91"/>
      <c r="G96" s="91"/>
      <c r="H96" s="91"/>
      <c r="I96" s="56">
        <f t="shared" si="3"/>
        <v>8.1999999999999993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1">
        <v>55</v>
      </c>
      <c r="B97" s="61">
        <f>213+28+26</f>
        <v>267</v>
      </c>
      <c r="C97" s="61">
        <v>4</v>
      </c>
      <c r="D97" s="61">
        <f>28+26</f>
        <v>54</v>
      </c>
      <c r="E97" s="91"/>
      <c r="F97" s="91"/>
      <c r="G97" s="91"/>
      <c r="H97" s="91"/>
      <c r="I97" s="56">
        <f t="shared" si="3"/>
        <v>7.4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1">
        <v>60</v>
      </c>
      <c r="B98" s="61">
        <f>222+24</f>
        <v>246</v>
      </c>
      <c r="C98" s="61"/>
      <c r="D98" s="61"/>
      <c r="E98" s="91"/>
      <c r="F98" s="91"/>
      <c r="G98" s="91"/>
      <c r="H98" s="91"/>
      <c r="I98" s="56">
        <f t="shared" si="3"/>
        <v>6.6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1">
        <v>65</v>
      </c>
      <c r="B99" s="61">
        <f>230+24+22</f>
        <v>276</v>
      </c>
      <c r="C99" s="61">
        <v>5</v>
      </c>
      <c r="D99" s="61">
        <f>24+22</f>
        <v>46</v>
      </c>
      <c r="E99" s="91"/>
      <c r="F99" s="91"/>
      <c r="G99" s="91"/>
      <c r="H99" s="91"/>
      <c r="I99" s="56">
        <f t="shared" si="3"/>
        <v>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1">
        <v>70</v>
      </c>
      <c r="B100" s="61">
        <f>236+21</f>
        <v>257</v>
      </c>
      <c r="C100" s="61"/>
      <c r="D100" s="61"/>
      <c r="E100" s="66"/>
      <c r="F100" s="66"/>
      <c r="G100" s="66"/>
      <c r="H100" s="66"/>
      <c r="I100" s="56">
        <f t="shared" si="3"/>
        <v>5.4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1">
        <v>75</v>
      </c>
      <c r="B101" s="61">
        <f>242+21+19</f>
        <v>282</v>
      </c>
      <c r="C101" s="61">
        <v>6</v>
      </c>
      <c r="D101" s="61">
        <f>21+19</f>
        <v>40</v>
      </c>
      <c r="E101" s="66"/>
      <c r="F101" s="66"/>
      <c r="G101" s="66"/>
      <c r="H101" s="66"/>
      <c r="I101" s="56">
        <f t="shared" si="3"/>
        <v>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1">
        <v>80</v>
      </c>
      <c r="B102" s="53">
        <f>247+17</f>
        <v>264</v>
      </c>
      <c r="C102" s="61"/>
      <c r="D102" s="53"/>
      <c r="E102" s="57"/>
      <c r="F102" s="57"/>
      <c r="G102" s="57"/>
      <c r="H102" s="57"/>
      <c r="I102" s="56">
        <f t="shared" si="3"/>
        <v>4.4000000000000004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1">
        <v>85</v>
      </c>
      <c r="B103" s="53">
        <f>251+17+16</f>
        <v>284</v>
      </c>
      <c r="C103" s="61">
        <v>7</v>
      </c>
      <c r="D103" s="53">
        <f>17+16</f>
        <v>33</v>
      </c>
      <c r="E103" s="57"/>
      <c r="F103" s="57"/>
      <c r="G103" s="57"/>
      <c r="H103" s="57"/>
      <c r="I103" s="56">
        <f t="shared" si="3"/>
        <v>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1">
        <v>90</v>
      </c>
      <c r="B104" s="53">
        <f>254+14</f>
        <v>268</v>
      </c>
      <c r="C104" s="61"/>
      <c r="D104" s="53"/>
      <c r="E104" s="57"/>
      <c r="F104" s="57"/>
      <c r="G104" s="57"/>
      <c r="H104" s="57"/>
      <c r="I104" s="56">
        <f t="shared" si="3"/>
        <v>3.4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95</v>
      </c>
      <c r="B105" s="53">
        <f>257+14+13</f>
        <v>284</v>
      </c>
      <c r="C105" s="53"/>
      <c r="D105" s="53"/>
      <c r="E105" s="57"/>
      <c r="F105" s="57"/>
      <c r="G105" s="57"/>
      <c r="H105" s="57"/>
      <c r="I105" s="56">
        <f t="shared" si="3"/>
        <v>3.2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100</v>
      </c>
      <c r="B106" s="53">
        <f>260+14+13+13</f>
        <v>300</v>
      </c>
      <c r="C106" s="53">
        <v>8</v>
      </c>
      <c r="D106" s="53">
        <f>B106</f>
        <v>300</v>
      </c>
      <c r="E106" s="57"/>
      <c r="F106" s="57"/>
      <c r="G106" s="57"/>
      <c r="H106" s="57"/>
      <c r="I106" s="56">
        <f t="shared" si="3"/>
        <v>3.2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sessile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9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1">
        <v>42</v>
      </c>
      <c r="C114" s="61"/>
      <c r="D114" s="61"/>
      <c r="E114" s="54"/>
      <c r="F114" s="54"/>
      <c r="G114" s="54"/>
      <c r="H114" s="54"/>
      <c r="I114" s="56">
        <f>IFERROR(B114/A114,"")</f>
        <v>2.1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1">
        <f>62+8</f>
        <v>70</v>
      </c>
      <c r="C115" s="61"/>
      <c r="D115" s="61"/>
      <c r="E115" s="54"/>
      <c r="F115" s="54"/>
      <c r="G115" s="54"/>
      <c r="H115" s="54"/>
      <c r="I115" s="56">
        <f t="shared" ref="I115:I133" si="4">IF(A115&lt;&gt;0,(B115-(B114-D114))/(A115-A114),"")</f>
        <v>5.6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1">
        <f>76+8+21</f>
        <v>105</v>
      </c>
      <c r="C116" s="61">
        <v>1</v>
      </c>
      <c r="D116" s="61">
        <f>8+21</f>
        <v>29</v>
      </c>
      <c r="E116" s="54"/>
      <c r="F116" s="54"/>
      <c r="G116" s="54"/>
      <c r="H116" s="54">
        <v>1</v>
      </c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1">
        <f>95+21</f>
        <v>116</v>
      </c>
      <c r="C117" s="61"/>
      <c r="D117" s="61"/>
      <c r="E117" s="54"/>
      <c r="F117" s="54"/>
      <c r="G117" s="54"/>
      <c r="H117" s="54"/>
      <c r="I117" s="56">
        <f t="shared" si="4"/>
        <v>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1">
        <f>116+21+21</f>
        <v>158</v>
      </c>
      <c r="C118" s="61">
        <v>2</v>
      </c>
      <c r="D118" s="61">
        <f>21+21</f>
        <v>42</v>
      </c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1">
        <f>137+21</f>
        <v>158</v>
      </c>
      <c r="C119" s="61"/>
      <c r="D119" s="61"/>
      <c r="E119" s="54"/>
      <c r="F119" s="54"/>
      <c r="G119" s="54"/>
      <c r="H119" s="54"/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50</v>
      </c>
      <c r="B120" s="61">
        <f>157+21+21</f>
        <v>199</v>
      </c>
      <c r="C120" s="61">
        <v>3</v>
      </c>
      <c r="D120" s="61">
        <f>21+21</f>
        <v>42</v>
      </c>
      <c r="E120" s="54"/>
      <c r="F120" s="54"/>
      <c r="G120" s="54"/>
      <c r="H120" s="54"/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55</v>
      </c>
      <c r="B121" s="61">
        <f>176+21</f>
        <v>197</v>
      </c>
      <c r="C121" s="61"/>
      <c r="D121" s="61"/>
      <c r="E121" s="54"/>
      <c r="F121" s="54"/>
      <c r="G121" s="54"/>
      <c r="H121" s="54"/>
      <c r="I121" s="56">
        <f t="shared" si="4"/>
        <v>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60</v>
      </c>
      <c r="B122" s="53">
        <v>235</v>
      </c>
      <c r="C122" s="53">
        <v>4</v>
      </c>
      <c r="D122" s="53">
        <v>42</v>
      </c>
      <c r="E122" s="54"/>
      <c r="F122" s="54"/>
      <c r="G122" s="54"/>
      <c r="H122" s="54"/>
      <c r="I122" s="56">
        <f t="shared" si="4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65</v>
      </c>
      <c r="B123" s="53">
        <v>229</v>
      </c>
      <c r="C123" s="53"/>
      <c r="D123" s="53"/>
      <c r="E123" s="54"/>
      <c r="F123" s="54"/>
      <c r="G123" s="54"/>
      <c r="H123" s="54"/>
      <c r="I123" s="56">
        <f t="shared" si="4"/>
        <v>7.2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70</v>
      </c>
      <c r="B124" s="53">
        <v>263</v>
      </c>
      <c r="C124" s="53">
        <v>5</v>
      </c>
      <c r="D124" s="53">
        <v>42</v>
      </c>
      <c r="E124" s="54"/>
      <c r="F124" s="54"/>
      <c r="G124" s="54"/>
      <c r="H124" s="54"/>
      <c r="I124" s="56">
        <f t="shared" si="4"/>
        <v>6.8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75</v>
      </c>
      <c r="B125" s="53">
        <v>252</v>
      </c>
      <c r="C125" s="53"/>
      <c r="D125" s="53"/>
      <c r="E125" s="54"/>
      <c r="F125" s="54"/>
      <c r="G125" s="54"/>
      <c r="H125" s="54"/>
      <c r="I125" s="56">
        <f t="shared" si="4"/>
        <v>6.2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80</v>
      </c>
      <c r="B126" s="53">
        <v>282</v>
      </c>
      <c r="C126" s="53">
        <v>6</v>
      </c>
      <c r="D126" s="53">
        <v>42</v>
      </c>
      <c r="E126" s="54"/>
      <c r="F126" s="54"/>
      <c r="G126" s="54"/>
      <c r="H126" s="54"/>
      <c r="I126" s="56">
        <f t="shared" si="4"/>
        <v>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90</v>
      </c>
      <c r="B127" s="53">
        <v>296</v>
      </c>
      <c r="C127" s="53">
        <v>7</v>
      </c>
      <c r="D127" s="53">
        <v>42</v>
      </c>
      <c r="E127" s="54"/>
      <c r="F127" s="54"/>
      <c r="G127" s="54"/>
      <c r="H127" s="54"/>
      <c r="I127" s="56">
        <f t="shared" si="4"/>
        <v>5.6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100</v>
      </c>
      <c r="B128" s="53">
        <v>303</v>
      </c>
      <c r="C128" s="53">
        <v>8</v>
      </c>
      <c r="D128" s="53">
        <v>42</v>
      </c>
      <c r="E128" s="54"/>
      <c r="F128" s="54"/>
      <c r="G128" s="54"/>
      <c r="H128" s="54"/>
      <c r="I128" s="56">
        <f t="shared" si="4"/>
        <v>4.9000000000000004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110</v>
      </c>
      <c r="B129" s="53">
        <v>305</v>
      </c>
      <c r="C129" s="53">
        <v>9</v>
      </c>
      <c r="D129" s="53">
        <v>39</v>
      </c>
      <c r="E129" s="54"/>
      <c r="F129" s="54"/>
      <c r="G129" s="54"/>
      <c r="H129" s="54"/>
      <c r="I129" s="56">
        <f t="shared" si="4"/>
        <v>4.4000000000000004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120</v>
      </c>
      <c r="B130" s="53">
        <v>303</v>
      </c>
      <c r="C130" s="53">
        <v>10</v>
      </c>
      <c r="D130" s="53">
        <v>35</v>
      </c>
      <c r="E130" s="54"/>
      <c r="F130" s="54"/>
      <c r="G130" s="54"/>
      <c r="H130" s="54"/>
      <c r="I130" s="56">
        <f t="shared" si="4"/>
        <v>3.7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130</v>
      </c>
      <c r="B131" s="53">
        <v>300</v>
      </c>
      <c r="C131" s="53">
        <v>11</v>
      </c>
      <c r="D131" s="53">
        <v>31</v>
      </c>
      <c r="E131" s="54"/>
      <c r="F131" s="54"/>
      <c r="G131" s="54"/>
      <c r="H131" s="54"/>
      <c r="I131" s="56">
        <f t="shared" si="4"/>
        <v>3.2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140</v>
      </c>
      <c r="B132" s="53">
        <v>296</v>
      </c>
      <c r="C132" s="53">
        <v>12</v>
      </c>
      <c r="D132" s="53">
        <v>27</v>
      </c>
      <c r="E132" s="54"/>
      <c r="F132" s="54"/>
      <c r="G132" s="54"/>
      <c r="H132" s="54"/>
      <c r="I132" s="56">
        <f t="shared" si="4"/>
        <v>2.7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150</v>
      </c>
      <c r="B133" s="53">
        <v>293</v>
      </c>
      <c r="C133" s="53">
        <v>13</v>
      </c>
      <c r="D133" s="53">
        <v>293</v>
      </c>
      <c r="E133" s="54"/>
      <c r="F133" s="54"/>
      <c r="G133" s="54"/>
      <c r="H133" s="54"/>
      <c r="I133" s="56">
        <f t="shared" si="4"/>
        <v>2.4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Chêne pubescent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9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1">
        <v>42</v>
      </c>
      <c r="C140" s="61"/>
      <c r="D140" s="61"/>
      <c r="E140" s="54"/>
      <c r="F140" s="54"/>
      <c r="G140" s="54"/>
      <c r="H140" s="54"/>
      <c r="I140" s="59">
        <f>IFERROR(B140/A140,"")</f>
        <v>2.1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1">
        <f>62+8</f>
        <v>70</v>
      </c>
      <c r="C141" s="61"/>
      <c r="D141" s="61"/>
      <c r="E141" s="54"/>
      <c r="F141" s="54"/>
      <c r="G141" s="54"/>
      <c r="H141" s="54"/>
      <c r="I141" s="59">
        <f t="shared" ref="I141:I159" si="5">IF(A141&lt;&gt;0,(B141-(B140-D140))/(A141-A140),"")</f>
        <v>5.6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1">
        <f>76+8+21</f>
        <v>105</v>
      </c>
      <c r="C142" s="61">
        <v>1</v>
      </c>
      <c r="D142" s="61">
        <f>8+21</f>
        <v>29</v>
      </c>
      <c r="E142" s="54"/>
      <c r="F142" s="54"/>
      <c r="G142" s="54"/>
      <c r="H142" s="54">
        <v>1</v>
      </c>
      <c r="I142" s="59">
        <f t="shared" si="5"/>
        <v>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1">
        <f>95+21</f>
        <v>116</v>
      </c>
      <c r="C143" s="61"/>
      <c r="D143" s="61"/>
      <c r="E143" s="54"/>
      <c r="F143" s="54"/>
      <c r="G143" s="54"/>
      <c r="H143" s="54"/>
      <c r="I143" s="59">
        <f t="shared" si="5"/>
        <v>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1">
        <f>116+21+21</f>
        <v>158</v>
      </c>
      <c r="C144" s="61">
        <v>2</v>
      </c>
      <c r="D144" s="61">
        <f>21+21</f>
        <v>42</v>
      </c>
      <c r="E144" s="54"/>
      <c r="F144" s="54"/>
      <c r="G144" s="54"/>
      <c r="H144" s="54"/>
      <c r="I144" s="59">
        <f t="shared" si="5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1">
        <f>137+21</f>
        <v>158</v>
      </c>
      <c r="C145" s="61"/>
      <c r="D145" s="61"/>
      <c r="E145" s="54"/>
      <c r="F145" s="54"/>
      <c r="G145" s="54"/>
      <c r="H145" s="54"/>
      <c r="I145" s="59">
        <f t="shared" si="5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50</v>
      </c>
      <c r="B146" s="61">
        <f>157+21+21</f>
        <v>199</v>
      </c>
      <c r="C146" s="61">
        <v>3</v>
      </c>
      <c r="D146" s="61">
        <f>21+21</f>
        <v>42</v>
      </c>
      <c r="E146" s="54"/>
      <c r="F146" s="54"/>
      <c r="G146" s="54"/>
      <c r="H146" s="54"/>
      <c r="I146" s="59">
        <f t="shared" si="5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55</v>
      </c>
      <c r="B147" s="61">
        <f>176+21</f>
        <v>197</v>
      </c>
      <c r="C147" s="61"/>
      <c r="D147" s="61"/>
      <c r="E147" s="54"/>
      <c r="F147" s="54"/>
      <c r="G147" s="54"/>
      <c r="H147" s="54"/>
      <c r="I147" s="59">
        <f>IF(A147&lt;&gt;0,(B147-(B146-D146))/(A147-A146),"")</f>
        <v>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60</v>
      </c>
      <c r="B148" s="53">
        <v>235</v>
      </c>
      <c r="C148" s="53">
        <v>4</v>
      </c>
      <c r="D148" s="53">
        <v>42</v>
      </c>
      <c r="E148" s="54"/>
      <c r="F148" s="54"/>
      <c r="G148" s="54"/>
      <c r="H148" s="54"/>
      <c r="I148" s="59">
        <f t="shared" si="5"/>
        <v>7.6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65</v>
      </c>
      <c r="B149" s="53">
        <v>229</v>
      </c>
      <c r="C149" s="53"/>
      <c r="D149" s="53"/>
      <c r="E149" s="54"/>
      <c r="F149" s="54"/>
      <c r="G149" s="54"/>
      <c r="H149" s="54"/>
      <c r="I149" s="59">
        <f t="shared" si="5"/>
        <v>7.2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70</v>
      </c>
      <c r="B150" s="53">
        <v>263</v>
      </c>
      <c r="C150" s="53">
        <v>5</v>
      </c>
      <c r="D150" s="53">
        <v>42</v>
      </c>
      <c r="E150" s="54"/>
      <c r="F150" s="54"/>
      <c r="G150" s="54"/>
      <c r="H150" s="54"/>
      <c r="I150" s="59">
        <f t="shared" si="5"/>
        <v>6.8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75</v>
      </c>
      <c r="B151" s="53">
        <v>252</v>
      </c>
      <c r="C151" s="53"/>
      <c r="D151" s="53"/>
      <c r="E151" s="54"/>
      <c r="F151" s="54"/>
      <c r="G151" s="54"/>
      <c r="H151" s="54"/>
      <c r="I151" s="59">
        <f t="shared" si="5"/>
        <v>6.2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80</v>
      </c>
      <c r="B152" s="53">
        <v>282</v>
      </c>
      <c r="C152" s="53">
        <v>6</v>
      </c>
      <c r="D152" s="53">
        <v>42</v>
      </c>
      <c r="E152" s="54"/>
      <c r="F152" s="54"/>
      <c r="G152" s="54"/>
      <c r="H152" s="54"/>
      <c r="I152" s="59">
        <f t="shared" si="5"/>
        <v>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90</v>
      </c>
      <c r="B153" s="53">
        <v>296</v>
      </c>
      <c r="C153" s="53">
        <v>7</v>
      </c>
      <c r="D153" s="53">
        <v>42</v>
      </c>
      <c r="E153" s="54"/>
      <c r="F153" s="54"/>
      <c r="G153" s="54"/>
      <c r="H153" s="54"/>
      <c r="I153" s="59">
        <f t="shared" si="5"/>
        <v>5.6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>
        <v>100</v>
      </c>
      <c r="B154" s="53">
        <v>303</v>
      </c>
      <c r="C154" s="53">
        <v>8</v>
      </c>
      <c r="D154" s="53">
        <v>42</v>
      </c>
      <c r="E154" s="54"/>
      <c r="F154" s="54"/>
      <c r="G154" s="54"/>
      <c r="H154" s="54"/>
      <c r="I154" s="59">
        <f t="shared" si="5"/>
        <v>4.9000000000000004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>
        <v>110</v>
      </c>
      <c r="B155" s="53">
        <v>305</v>
      </c>
      <c r="C155" s="53">
        <v>9</v>
      </c>
      <c r="D155" s="53">
        <v>39</v>
      </c>
      <c r="E155" s="54"/>
      <c r="F155" s="54"/>
      <c r="G155" s="54"/>
      <c r="H155" s="54"/>
      <c r="I155" s="59">
        <f t="shared" si="5"/>
        <v>4.4000000000000004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>
        <v>120</v>
      </c>
      <c r="B156" s="53">
        <v>303</v>
      </c>
      <c r="C156" s="53">
        <v>10</v>
      </c>
      <c r="D156" s="53">
        <v>35</v>
      </c>
      <c r="E156" s="54"/>
      <c r="F156" s="54"/>
      <c r="G156" s="54"/>
      <c r="H156" s="54"/>
      <c r="I156" s="59">
        <f t="shared" si="5"/>
        <v>3.7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>
        <v>130</v>
      </c>
      <c r="B157" s="53">
        <v>300</v>
      </c>
      <c r="C157" s="53">
        <v>11</v>
      </c>
      <c r="D157" s="53">
        <v>31</v>
      </c>
      <c r="E157" s="54"/>
      <c r="F157" s="54"/>
      <c r="G157" s="54"/>
      <c r="H157" s="54"/>
      <c r="I157" s="59">
        <f t="shared" si="5"/>
        <v>3.2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>
        <v>140</v>
      </c>
      <c r="B158" s="53">
        <v>296</v>
      </c>
      <c r="C158" s="53">
        <v>12</v>
      </c>
      <c r="D158" s="53">
        <v>27</v>
      </c>
      <c r="E158" s="54"/>
      <c r="F158" s="54"/>
      <c r="G158" s="54"/>
      <c r="H158" s="54"/>
      <c r="I158" s="59">
        <f t="shared" si="5"/>
        <v>2.7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3">
        <v>150</v>
      </c>
      <c r="B159" s="53">
        <v>293</v>
      </c>
      <c r="C159" s="53">
        <v>13</v>
      </c>
      <c r="D159" s="53">
        <v>293</v>
      </c>
      <c r="E159" s="54"/>
      <c r="F159" s="54"/>
      <c r="G159" s="54"/>
      <c r="H159" s="54"/>
      <c r="I159" s="59">
        <f t="shared" si="5"/>
        <v>2.4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Cormier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9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20</v>
      </c>
      <c r="B166" s="61">
        <v>42</v>
      </c>
      <c r="C166" s="61"/>
      <c r="D166" s="61"/>
      <c r="E166" s="54"/>
      <c r="F166" s="54"/>
      <c r="G166" s="54"/>
      <c r="H166" s="54"/>
      <c r="I166" s="52">
        <f>IFERROR(B166/A166,"")</f>
        <v>2.1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25</v>
      </c>
      <c r="B167" s="61">
        <f>62+8</f>
        <v>70</v>
      </c>
      <c r="C167" s="61"/>
      <c r="D167" s="61"/>
      <c r="E167" s="54"/>
      <c r="F167" s="54"/>
      <c r="G167" s="54"/>
      <c r="H167" s="54"/>
      <c r="I167" s="52">
        <f t="shared" ref="I167:I185" si="6">IF(A167&lt;&gt;0,(B167-(B166-D166))/(A167-A166),"")</f>
        <v>5.6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30</v>
      </c>
      <c r="B168" s="61">
        <f>76+8+21</f>
        <v>105</v>
      </c>
      <c r="C168" s="61">
        <v>1</v>
      </c>
      <c r="D168" s="61">
        <f>8+21</f>
        <v>29</v>
      </c>
      <c r="E168" s="54"/>
      <c r="F168" s="54"/>
      <c r="G168" s="54"/>
      <c r="H168" s="54">
        <v>1</v>
      </c>
      <c r="I168" s="52">
        <f t="shared" si="6"/>
        <v>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35</v>
      </c>
      <c r="B169" s="61">
        <f>95+21</f>
        <v>116</v>
      </c>
      <c r="C169" s="61"/>
      <c r="D169" s="61"/>
      <c r="E169" s="54"/>
      <c r="F169" s="54"/>
      <c r="G169" s="54"/>
      <c r="H169" s="54"/>
      <c r="I169" s="52">
        <f t="shared" si="6"/>
        <v>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40</v>
      </c>
      <c r="B170" s="61">
        <f>116+21+21</f>
        <v>158</v>
      </c>
      <c r="C170" s="61">
        <v>2</v>
      </c>
      <c r="D170" s="61">
        <f>21+21</f>
        <v>42</v>
      </c>
      <c r="E170" s="54"/>
      <c r="F170" s="54"/>
      <c r="G170" s="54"/>
      <c r="H170" s="54"/>
      <c r="I170" s="52">
        <f t="shared" si="6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45</v>
      </c>
      <c r="B171" s="61">
        <f>137+21</f>
        <v>158</v>
      </c>
      <c r="C171" s="61"/>
      <c r="D171" s="61"/>
      <c r="E171" s="54"/>
      <c r="F171" s="54"/>
      <c r="G171" s="54"/>
      <c r="H171" s="54"/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50</v>
      </c>
      <c r="B172" s="61">
        <f>157+21+21</f>
        <v>199</v>
      </c>
      <c r="C172" s="61">
        <v>3</v>
      </c>
      <c r="D172" s="61">
        <f>21+21</f>
        <v>42</v>
      </c>
      <c r="E172" s="54"/>
      <c r="F172" s="54"/>
      <c r="G172" s="54"/>
      <c r="H172" s="54"/>
      <c r="I172" s="52">
        <f t="shared" si="6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55</v>
      </c>
      <c r="B173" s="61">
        <f>176+21</f>
        <v>197</v>
      </c>
      <c r="C173" s="61"/>
      <c r="D173" s="61"/>
      <c r="E173" s="54"/>
      <c r="F173" s="54"/>
      <c r="G173" s="54"/>
      <c r="H173" s="54"/>
      <c r="I173" s="52">
        <f t="shared" si="6"/>
        <v>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60</v>
      </c>
      <c r="B174" s="53">
        <v>235</v>
      </c>
      <c r="C174" s="53">
        <v>4</v>
      </c>
      <c r="D174" s="53">
        <v>42</v>
      </c>
      <c r="E174" s="54"/>
      <c r="F174" s="54"/>
      <c r="G174" s="54"/>
      <c r="H174" s="54"/>
      <c r="I174" s="52">
        <f t="shared" si="6"/>
        <v>7.6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65</v>
      </c>
      <c r="B175" s="53">
        <v>229</v>
      </c>
      <c r="C175" s="53"/>
      <c r="D175" s="53"/>
      <c r="E175" s="54"/>
      <c r="F175" s="54"/>
      <c r="G175" s="54"/>
      <c r="H175" s="54"/>
      <c r="I175" s="52">
        <f t="shared" si="6"/>
        <v>7.2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70</v>
      </c>
      <c r="B176" s="53">
        <v>263</v>
      </c>
      <c r="C176" s="53">
        <v>5</v>
      </c>
      <c r="D176" s="53">
        <v>42</v>
      </c>
      <c r="E176" s="54"/>
      <c r="F176" s="54"/>
      <c r="G176" s="54"/>
      <c r="H176" s="54"/>
      <c r="I176" s="52">
        <f t="shared" si="6"/>
        <v>6.8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75</v>
      </c>
      <c r="B177" s="53">
        <v>252</v>
      </c>
      <c r="C177" s="53"/>
      <c r="D177" s="53"/>
      <c r="E177" s="54"/>
      <c r="F177" s="54"/>
      <c r="G177" s="54"/>
      <c r="H177" s="54"/>
      <c r="I177" s="52">
        <f t="shared" si="6"/>
        <v>6.2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80</v>
      </c>
      <c r="B178" s="53">
        <v>282</v>
      </c>
      <c r="C178" s="53">
        <v>6</v>
      </c>
      <c r="D178" s="53">
        <v>42</v>
      </c>
      <c r="E178" s="54"/>
      <c r="F178" s="54"/>
      <c r="G178" s="54"/>
      <c r="H178" s="54"/>
      <c r="I178" s="52">
        <f t="shared" si="6"/>
        <v>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90</v>
      </c>
      <c r="B179" s="53">
        <v>296</v>
      </c>
      <c r="C179" s="53">
        <v>7</v>
      </c>
      <c r="D179" s="53">
        <v>42</v>
      </c>
      <c r="E179" s="54"/>
      <c r="F179" s="54"/>
      <c r="G179" s="54"/>
      <c r="H179" s="54"/>
      <c r="I179" s="52">
        <f t="shared" si="6"/>
        <v>5.6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100</v>
      </c>
      <c r="B180" s="53">
        <v>303</v>
      </c>
      <c r="C180" s="53">
        <v>8</v>
      </c>
      <c r="D180" s="53">
        <v>42</v>
      </c>
      <c r="E180" s="54"/>
      <c r="F180" s="54"/>
      <c r="G180" s="54"/>
      <c r="H180" s="54"/>
      <c r="I180" s="52">
        <f t="shared" si="6"/>
        <v>4.9000000000000004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110</v>
      </c>
      <c r="B181" s="53">
        <v>305</v>
      </c>
      <c r="C181" s="53">
        <v>9</v>
      </c>
      <c r="D181" s="53">
        <v>39</v>
      </c>
      <c r="E181" s="54"/>
      <c r="F181" s="54"/>
      <c r="G181" s="54"/>
      <c r="H181" s="54"/>
      <c r="I181" s="52">
        <f t="shared" si="6"/>
        <v>4.4000000000000004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120</v>
      </c>
      <c r="B182" s="53">
        <v>303</v>
      </c>
      <c r="C182" s="53">
        <v>10</v>
      </c>
      <c r="D182" s="53">
        <v>35</v>
      </c>
      <c r="E182" s="54"/>
      <c r="F182" s="54"/>
      <c r="G182" s="54"/>
      <c r="H182" s="54"/>
      <c r="I182" s="52">
        <f t="shared" si="6"/>
        <v>3.7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130</v>
      </c>
      <c r="B183" s="53">
        <v>300</v>
      </c>
      <c r="C183" s="53">
        <v>11</v>
      </c>
      <c r="D183" s="53">
        <v>31</v>
      </c>
      <c r="E183" s="54"/>
      <c r="F183" s="54"/>
      <c r="G183" s="54"/>
      <c r="H183" s="54"/>
      <c r="I183" s="52">
        <f t="shared" si="6"/>
        <v>3.2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140</v>
      </c>
      <c r="B184" s="53">
        <v>296</v>
      </c>
      <c r="C184" s="53">
        <v>12</v>
      </c>
      <c r="D184" s="53">
        <v>27</v>
      </c>
      <c r="E184" s="54"/>
      <c r="F184" s="54"/>
      <c r="G184" s="54"/>
      <c r="H184" s="54"/>
      <c r="I184" s="52">
        <f t="shared" si="6"/>
        <v>2.7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150</v>
      </c>
      <c r="B185" s="53">
        <v>293</v>
      </c>
      <c r="C185" s="53">
        <v>13</v>
      </c>
      <c r="D185" s="53">
        <v>293</v>
      </c>
      <c r="E185" s="54"/>
      <c r="F185" s="54"/>
      <c r="G185" s="54"/>
      <c r="H185" s="54"/>
      <c r="I185" s="52">
        <f t="shared" si="6"/>
        <v>2.4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Alisier torminal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9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20</v>
      </c>
      <c r="B192" s="61">
        <v>42</v>
      </c>
      <c r="C192" s="61"/>
      <c r="D192" s="61"/>
      <c r="E192" s="54"/>
      <c r="F192" s="54"/>
      <c r="G192" s="54"/>
      <c r="H192" s="54"/>
      <c r="I192" s="52">
        <f>IFERROR(B192/A192,"")</f>
        <v>2.1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25</v>
      </c>
      <c r="B193" s="61">
        <f>62+8</f>
        <v>70</v>
      </c>
      <c r="C193" s="61"/>
      <c r="D193" s="61"/>
      <c r="E193" s="54"/>
      <c r="F193" s="54"/>
      <c r="G193" s="54"/>
      <c r="H193" s="54"/>
      <c r="I193" s="52">
        <f t="shared" ref="I193:I211" si="7">IF(A193&lt;&gt;0,(B193-(B192-D192))/(A193-A192),"")</f>
        <v>5.6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30</v>
      </c>
      <c r="B194" s="61">
        <f>76+8+21</f>
        <v>105</v>
      </c>
      <c r="C194" s="61">
        <v>1</v>
      </c>
      <c r="D194" s="61">
        <f>8+21</f>
        <v>29</v>
      </c>
      <c r="E194" s="54"/>
      <c r="F194" s="54"/>
      <c r="G194" s="54"/>
      <c r="H194" s="54">
        <v>1</v>
      </c>
      <c r="I194" s="52">
        <f t="shared" si="7"/>
        <v>7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35</v>
      </c>
      <c r="B195" s="61">
        <f>95+21</f>
        <v>116</v>
      </c>
      <c r="C195" s="61"/>
      <c r="D195" s="61"/>
      <c r="E195" s="54"/>
      <c r="F195" s="54"/>
      <c r="G195" s="54"/>
      <c r="H195" s="54"/>
      <c r="I195" s="52">
        <f t="shared" si="7"/>
        <v>8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40</v>
      </c>
      <c r="B196" s="61">
        <f>116+21+21</f>
        <v>158</v>
      </c>
      <c r="C196" s="61">
        <v>2</v>
      </c>
      <c r="D196" s="61">
        <f>21+21</f>
        <v>42</v>
      </c>
      <c r="E196" s="54"/>
      <c r="F196" s="54"/>
      <c r="G196" s="54"/>
      <c r="H196" s="54"/>
      <c r="I196" s="52">
        <f t="shared" si="7"/>
        <v>8.4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45</v>
      </c>
      <c r="B197" s="61">
        <f>137+21</f>
        <v>158</v>
      </c>
      <c r="C197" s="61"/>
      <c r="D197" s="61"/>
      <c r="E197" s="54"/>
      <c r="F197" s="54"/>
      <c r="G197" s="54"/>
      <c r="H197" s="54"/>
      <c r="I197" s="52">
        <f t="shared" si="7"/>
        <v>8.4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50</v>
      </c>
      <c r="B198" s="61">
        <f>157+21+21</f>
        <v>199</v>
      </c>
      <c r="C198" s="61">
        <v>3</v>
      </c>
      <c r="D198" s="61">
        <f>21+21</f>
        <v>42</v>
      </c>
      <c r="E198" s="54"/>
      <c r="F198" s="54"/>
      <c r="G198" s="54"/>
      <c r="H198" s="54"/>
      <c r="I198" s="52">
        <f t="shared" si="7"/>
        <v>8.1999999999999993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55</v>
      </c>
      <c r="B199" s="61">
        <f>176+21</f>
        <v>197</v>
      </c>
      <c r="C199" s="61"/>
      <c r="D199" s="61"/>
      <c r="E199" s="54"/>
      <c r="F199" s="54"/>
      <c r="G199" s="54"/>
      <c r="H199" s="54"/>
      <c r="I199" s="52">
        <f t="shared" si="7"/>
        <v>8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60</v>
      </c>
      <c r="B200" s="53">
        <v>235</v>
      </c>
      <c r="C200" s="53">
        <v>4</v>
      </c>
      <c r="D200" s="53">
        <v>42</v>
      </c>
      <c r="E200" s="54"/>
      <c r="F200" s="54"/>
      <c r="G200" s="54"/>
      <c r="H200" s="54"/>
      <c r="I200" s="52">
        <f t="shared" si="7"/>
        <v>7.6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65</v>
      </c>
      <c r="B201" s="53">
        <v>229</v>
      </c>
      <c r="C201" s="53"/>
      <c r="D201" s="53"/>
      <c r="E201" s="54"/>
      <c r="F201" s="54"/>
      <c r="G201" s="54"/>
      <c r="H201" s="54"/>
      <c r="I201" s="52">
        <f t="shared" si="7"/>
        <v>7.2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70</v>
      </c>
      <c r="B202" s="53">
        <v>263</v>
      </c>
      <c r="C202" s="53">
        <v>5</v>
      </c>
      <c r="D202" s="53">
        <v>42</v>
      </c>
      <c r="E202" s="54"/>
      <c r="F202" s="54"/>
      <c r="G202" s="54"/>
      <c r="H202" s="54"/>
      <c r="I202" s="52">
        <f t="shared" si="7"/>
        <v>6.8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75</v>
      </c>
      <c r="B203" s="53">
        <v>252</v>
      </c>
      <c r="C203" s="53"/>
      <c r="D203" s="53"/>
      <c r="E203" s="54"/>
      <c r="F203" s="54"/>
      <c r="G203" s="54"/>
      <c r="H203" s="54"/>
      <c r="I203" s="52">
        <f t="shared" si="7"/>
        <v>6.2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80</v>
      </c>
      <c r="B204" s="53">
        <v>282</v>
      </c>
      <c r="C204" s="53">
        <v>6</v>
      </c>
      <c r="D204" s="53">
        <v>42</v>
      </c>
      <c r="E204" s="54"/>
      <c r="F204" s="54"/>
      <c r="G204" s="54"/>
      <c r="H204" s="54"/>
      <c r="I204" s="52">
        <f t="shared" si="7"/>
        <v>6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>
        <v>90</v>
      </c>
      <c r="B205" s="53">
        <v>296</v>
      </c>
      <c r="C205" s="53">
        <v>7</v>
      </c>
      <c r="D205" s="53">
        <v>42</v>
      </c>
      <c r="E205" s="54"/>
      <c r="F205" s="54"/>
      <c r="G205" s="54"/>
      <c r="H205" s="54"/>
      <c r="I205" s="52">
        <f t="shared" si="7"/>
        <v>5.6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100</v>
      </c>
      <c r="B206" s="53">
        <v>303</v>
      </c>
      <c r="C206" s="53">
        <v>8</v>
      </c>
      <c r="D206" s="53">
        <v>42</v>
      </c>
      <c r="E206" s="54"/>
      <c r="F206" s="54"/>
      <c r="G206" s="54"/>
      <c r="H206" s="54"/>
      <c r="I206" s="52">
        <f t="shared" si="7"/>
        <v>4.9000000000000004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>
        <v>110</v>
      </c>
      <c r="B207" s="53">
        <v>305</v>
      </c>
      <c r="C207" s="53">
        <v>9</v>
      </c>
      <c r="D207" s="53">
        <v>39</v>
      </c>
      <c r="E207" s="54"/>
      <c r="F207" s="54"/>
      <c r="G207" s="54"/>
      <c r="H207" s="54"/>
      <c r="I207" s="52">
        <f t="shared" si="7"/>
        <v>4.4000000000000004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>
        <v>120</v>
      </c>
      <c r="B208" s="53">
        <v>303</v>
      </c>
      <c r="C208" s="53">
        <v>10</v>
      </c>
      <c r="D208" s="53">
        <v>35</v>
      </c>
      <c r="E208" s="54"/>
      <c r="F208" s="54"/>
      <c r="G208" s="54"/>
      <c r="H208" s="54"/>
      <c r="I208" s="52">
        <f t="shared" si="7"/>
        <v>3.7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130</v>
      </c>
      <c r="B209" s="53">
        <v>300</v>
      </c>
      <c r="C209" s="53">
        <v>11</v>
      </c>
      <c r="D209" s="53">
        <v>31</v>
      </c>
      <c r="E209" s="54"/>
      <c r="F209" s="54"/>
      <c r="G209" s="54"/>
      <c r="H209" s="54"/>
      <c r="I209" s="52">
        <f t="shared" si="7"/>
        <v>3.2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140</v>
      </c>
      <c r="B210" s="53">
        <v>296</v>
      </c>
      <c r="C210" s="53">
        <v>12</v>
      </c>
      <c r="D210" s="53">
        <v>27</v>
      </c>
      <c r="E210" s="54"/>
      <c r="F210" s="54"/>
      <c r="G210" s="54"/>
      <c r="H210" s="54"/>
      <c r="I210" s="52">
        <f t="shared" si="7"/>
        <v>2.7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>
        <v>150</v>
      </c>
      <c r="B211" s="53">
        <v>293</v>
      </c>
      <c r="C211" s="53">
        <v>13</v>
      </c>
      <c r="D211" s="53">
        <v>293</v>
      </c>
      <c r="E211" s="54"/>
      <c r="F211" s="54"/>
      <c r="G211" s="54"/>
      <c r="H211" s="54"/>
      <c r="I211" s="52">
        <f t="shared" si="7"/>
        <v>2.4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9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1"/>
      <c r="C218" s="53"/>
      <c r="D218" s="61"/>
      <c r="E218" s="64"/>
      <c r="F218" s="64"/>
      <c r="G218" s="64"/>
      <c r="H218" s="6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1"/>
      <c r="C219" s="53"/>
      <c r="D219" s="61"/>
      <c r="E219" s="64"/>
      <c r="F219" s="64"/>
      <c r="G219" s="64"/>
      <c r="H219" s="6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1"/>
      <c r="C220" s="53"/>
      <c r="D220" s="61"/>
      <c r="E220" s="64"/>
      <c r="F220" s="64"/>
      <c r="G220" s="64"/>
      <c r="H220" s="6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4"/>
      <c r="F221" s="64"/>
      <c r="G221" s="64"/>
      <c r="H221" s="6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4"/>
      <c r="F222" s="64"/>
      <c r="G222" s="64"/>
      <c r="H222" s="6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4"/>
      <c r="F223" s="64"/>
      <c r="G223" s="64"/>
      <c r="H223" s="6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4"/>
      <c r="F224" s="64"/>
      <c r="G224" s="64"/>
      <c r="H224" s="6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4"/>
      <c r="F225" s="64"/>
      <c r="G225" s="64"/>
      <c r="H225" s="6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4"/>
      <c r="F226" s="64"/>
      <c r="G226" s="64"/>
      <c r="H226" s="6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4"/>
      <c r="F227" s="64"/>
      <c r="G227" s="64"/>
      <c r="H227" s="6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4"/>
      <c r="F228" s="64"/>
      <c r="G228" s="64"/>
      <c r="H228" s="6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4"/>
      <c r="F229" s="64"/>
      <c r="G229" s="64"/>
      <c r="H229" s="6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5"/>
      <c r="F230" s="65"/>
      <c r="G230" s="65"/>
      <c r="H230" s="65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2"/>
      <c r="B231" s="61"/>
      <c r="C231" s="92"/>
      <c r="D231" s="61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9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2"/>
      <c r="B257" s="61"/>
      <c r="C257" s="92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9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A6" zoomScale="130" zoomScaleNormal="100" workbookViewId="0">
      <selection activeCell="C23" sqref="C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2">
        <v>0</v>
      </c>
      <c r="C8" s="52" t="s">
        <v>177</v>
      </c>
      <c r="D8" s="25"/>
      <c r="E8" s="112">
        <v>4</v>
      </c>
      <c r="F8" s="62">
        <v>1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1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0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BE1" zoomScale="134" zoomScaleNormal="100" workbookViewId="0">
      <selection activeCell="AX29" sqref="AX29"/>
    </sheetView>
  </sheetViews>
  <sheetFormatPr baseColWidth="10" defaultColWidth="11.42578125" defaultRowHeight="15" x14ac:dyDescent="0.25"/>
  <cols>
    <col min="1" max="1" width="6.85546875" style="69" bestFit="1" customWidth="1"/>
    <col min="2" max="4" width="11.42578125" style="69"/>
    <col min="5" max="5" width="9.5703125" style="69" customWidth="1"/>
    <col min="6" max="7" width="11.42578125" style="69"/>
    <col min="8" max="8" width="10.7109375" style="69" customWidth="1"/>
    <col min="9" max="9" width="9.42578125" style="69" customWidth="1"/>
    <col min="10" max="11" width="10.5703125" style="69" bestFit="1" customWidth="1"/>
    <col min="12" max="12" width="14" style="69" bestFit="1" customWidth="1"/>
    <col min="13" max="13" width="14" style="69" customWidth="1"/>
    <col min="14" max="23" width="11.42578125" style="69"/>
    <col min="24" max="24" width="11.7109375" style="69" bestFit="1" customWidth="1"/>
    <col min="25" max="25" width="14.5703125" style="69" bestFit="1" customWidth="1"/>
    <col min="26" max="26" width="12.42578125" style="69" bestFit="1" customWidth="1"/>
    <col min="27" max="27" width="9.7109375" style="69" bestFit="1" customWidth="1"/>
    <col min="28" max="28" width="11" style="69" bestFit="1" customWidth="1"/>
    <col min="29" max="29" width="9.42578125" style="69" bestFit="1" customWidth="1"/>
    <col min="30" max="31" width="9.42578125" style="69" customWidth="1"/>
    <col min="32" max="32" width="11.42578125" style="69"/>
    <col min="33" max="34" width="14" style="69" bestFit="1" customWidth="1"/>
    <col min="35" max="35" width="10.5703125" style="69" bestFit="1" customWidth="1"/>
    <col min="36" max="36" width="9.42578125" style="69" bestFit="1" customWidth="1"/>
    <col min="37" max="38" width="10.5703125" style="69" bestFit="1" customWidth="1"/>
    <col min="39" max="41" width="10.5703125" style="69" customWidth="1"/>
    <col min="42" max="42" width="9" style="69" bestFit="1" customWidth="1"/>
    <col min="43" max="43" width="10.5703125" style="69" bestFit="1" customWidth="1"/>
    <col min="44" max="44" width="9.28515625" style="69" bestFit="1" customWidth="1"/>
    <col min="45" max="45" width="11.7109375" style="69" bestFit="1" customWidth="1"/>
    <col min="46" max="46" width="8.42578125" style="69" bestFit="1" customWidth="1"/>
    <col min="47" max="47" width="9.42578125" style="69" bestFit="1" customWidth="1"/>
    <col min="48" max="48" width="9.7109375" style="69" bestFit="1" customWidth="1"/>
    <col min="49" max="49" width="11" style="69" bestFit="1" customWidth="1"/>
    <col min="50" max="50" width="9.42578125" style="69" bestFit="1" customWidth="1"/>
    <col min="51" max="52" width="9.42578125" style="69" customWidth="1"/>
    <col min="53" max="53" width="10.5703125" style="69" bestFit="1" customWidth="1"/>
    <col min="54" max="54" width="14.28515625" style="69" customWidth="1"/>
    <col min="55" max="55" width="14" style="69" customWidth="1"/>
    <col min="56" max="56" width="10.5703125" style="69" bestFit="1" customWidth="1"/>
    <col min="57" max="57" width="9.42578125" style="69" bestFit="1" customWidth="1"/>
    <col min="58" max="59" width="10.5703125" style="69" bestFit="1" customWidth="1"/>
    <col min="60" max="62" width="10.5703125" style="69" customWidth="1"/>
    <col min="63" max="63" width="9" style="69" bestFit="1" customWidth="1"/>
    <col min="64" max="64" width="10.5703125" style="69" bestFit="1" customWidth="1"/>
    <col min="65" max="65" width="9.28515625" style="69" bestFit="1" customWidth="1"/>
    <col min="66" max="66" width="11.7109375" style="69" bestFit="1" customWidth="1"/>
    <col min="67" max="67" width="8.42578125" style="69" bestFit="1" customWidth="1"/>
    <col min="68" max="68" width="9.42578125" style="69" bestFit="1" customWidth="1"/>
    <col min="69" max="69" width="9.7109375" style="69" bestFit="1" customWidth="1"/>
    <col min="70" max="70" width="11" style="69" bestFit="1" customWidth="1"/>
    <col min="71" max="71" width="9.42578125" style="69" bestFit="1" customWidth="1"/>
    <col min="72" max="73" width="9.42578125" style="69" customWidth="1"/>
    <col min="74" max="74" width="10.5703125" style="69" bestFit="1" customWidth="1"/>
    <col min="75" max="75" width="14" style="69" bestFit="1" customWidth="1"/>
    <col min="76" max="76" width="13.85546875" style="69" customWidth="1"/>
    <col min="77" max="77" width="10.5703125" style="69" bestFit="1" customWidth="1"/>
    <col min="78" max="78" width="9.42578125" style="69" bestFit="1" customWidth="1"/>
    <col min="79" max="80" width="10.5703125" style="69" bestFit="1" customWidth="1"/>
    <col min="81" max="83" width="10.5703125" style="69" customWidth="1"/>
    <col min="84" max="84" width="11.42578125" style="69"/>
    <col min="85" max="85" width="10.5703125" style="69" bestFit="1" customWidth="1"/>
    <col min="86" max="86" width="9.28515625" style="69" bestFit="1" customWidth="1"/>
    <col min="87" max="87" width="11.7109375" style="69" bestFit="1" customWidth="1"/>
    <col min="88" max="88" width="8.42578125" style="69" bestFit="1" customWidth="1"/>
    <col min="89" max="89" width="9.42578125" style="69" bestFit="1" customWidth="1"/>
    <col min="90" max="90" width="9.7109375" style="69" bestFit="1" customWidth="1"/>
    <col min="91" max="91" width="11" style="69" bestFit="1" customWidth="1"/>
    <col min="92" max="92" width="9.42578125" style="69" bestFit="1" customWidth="1"/>
    <col min="93" max="94" width="9.42578125" style="69" customWidth="1"/>
    <col min="95" max="95" width="11.42578125" style="69"/>
    <col min="96" max="97" width="14" style="69" customWidth="1"/>
    <col min="98" max="98" width="10.5703125" style="69" bestFit="1" customWidth="1"/>
    <col min="99" max="99" width="9.42578125" style="69" bestFit="1" customWidth="1"/>
    <col min="100" max="101" width="10.5703125" style="69" bestFit="1" customWidth="1"/>
    <col min="102" max="104" width="10.5703125" style="69" customWidth="1"/>
    <col min="105" max="105" width="9" style="69" bestFit="1" customWidth="1"/>
    <col min="106" max="106" width="10.5703125" style="69" bestFit="1" customWidth="1"/>
    <col min="107" max="107" width="9.28515625" style="69" bestFit="1" customWidth="1"/>
    <col min="108" max="108" width="11.7109375" style="69" bestFit="1" customWidth="1"/>
    <col min="109" max="109" width="8.42578125" style="69" bestFit="1" customWidth="1"/>
    <col min="110" max="110" width="9.42578125" style="69" bestFit="1" customWidth="1"/>
    <col min="111" max="111" width="9.7109375" style="69" bestFit="1" customWidth="1"/>
    <col min="112" max="112" width="11" style="69" bestFit="1" customWidth="1"/>
    <col min="113" max="113" width="9.42578125" style="69" bestFit="1" customWidth="1"/>
    <col min="114" max="115" width="9.42578125" style="69" customWidth="1"/>
    <col min="116" max="116" width="10.5703125" style="69" bestFit="1" customWidth="1"/>
    <col min="117" max="117" width="14.28515625" style="69" customWidth="1"/>
    <col min="118" max="118" width="14" style="69" bestFit="1" customWidth="1"/>
    <col min="119" max="119" width="10.5703125" style="69" bestFit="1" customWidth="1"/>
    <col min="120" max="120" width="9.42578125" style="69" bestFit="1" customWidth="1"/>
    <col min="121" max="122" width="10.5703125" style="69" bestFit="1" customWidth="1"/>
    <col min="123" max="125" width="10.5703125" style="69" customWidth="1"/>
    <col min="126" max="126" width="9" style="69" bestFit="1" customWidth="1"/>
    <col min="127" max="127" width="10.5703125" style="69" bestFit="1" customWidth="1"/>
    <col min="128" max="128" width="9.28515625" style="69" bestFit="1" customWidth="1"/>
    <col min="129" max="129" width="11.7109375" style="69" bestFit="1" customWidth="1"/>
    <col min="130" max="130" width="8.42578125" style="69" bestFit="1" customWidth="1"/>
    <col min="131" max="131" width="9.42578125" style="69" bestFit="1" customWidth="1"/>
    <col min="132" max="132" width="9.7109375" style="69" bestFit="1" customWidth="1"/>
    <col min="133" max="133" width="11" style="69" bestFit="1" customWidth="1"/>
    <col min="134" max="134" width="9.42578125" style="69" bestFit="1" customWidth="1"/>
    <col min="135" max="136" width="9.42578125" style="69" customWidth="1"/>
    <col min="137" max="137" width="10.5703125" style="69" bestFit="1" customWidth="1"/>
    <col min="138" max="139" width="14" style="69" customWidth="1"/>
    <col min="140" max="140" width="10.5703125" style="69" bestFit="1" customWidth="1"/>
    <col min="141" max="141" width="9.42578125" style="69" bestFit="1" customWidth="1"/>
    <col min="142" max="143" width="10.5703125" style="69" bestFit="1" customWidth="1"/>
    <col min="144" max="146" width="10.5703125" style="69" customWidth="1"/>
    <col min="147" max="147" width="9" style="69" bestFit="1" customWidth="1"/>
    <col min="148" max="148" width="10.5703125" style="69" bestFit="1" customWidth="1"/>
    <col min="149" max="149" width="9.28515625" style="69" bestFit="1" customWidth="1"/>
    <col min="150" max="150" width="11.7109375" style="69" bestFit="1" customWidth="1"/>
    <col min="151" max="151" width="8.42578125" style="69" bestFit="1" customWidth="1"/>
    <col min="152" max="152" width="9.42578125" style="69" bestFit="1" customWidth="1"/>
    <col min="153" max="153" width="9.7109375" style="69" bestFit="1" customWidth="1"/>
    <col min="154" max="154" width="11" style="69" bestFit="1" customWidth="1"/>
    <col min="155" max="155" width="9.42578125" style="69" bestFit="1" customWidth="1"/>
    <col min="156" max="157" width="9.42578125" style="69" customWidth="1"/>
    <col min="158" max="158" width="11.42578125" style="69"/>
    <col min="159" max="160" width="14" style="69" bestFit="1" customWidth="1"/>
    <col min="161" max="161" width="10.5703125" style="69" bestFit="1" customWidth="1"/>
    <col min="162" max="162" width="9.42578125" style="69" bestFit="1" customWidth="1"/>
    <col min="163" max="164" width="10.5703125" style="69" bestFit="1" customWidth="1"/>
    <col min="165" max="167" width="10.5703125" style="69" customWidth="1"/>
    <col min="168" max="168" width="9" style="69" bestFit="1" customWidth="1"/>
    <col min="169" max="169" width="10.5703125" style="69" bestFit="1" customWidth="1"/>
    <col min="170" max="170" width="9.28515625" style="69" bestFit="1" customWidth="1"/>
    <col min="171" max="171" width="11.7109375" style="69" bestFit="1" customWidth="1"/>
    <col min="172" max="172" width="8.140625" style="69" bestFit="1" customWidth="1"/>
    <col min="173" max="173" width="9.42578125" style="69" bestFit="1" customWidth="1"/>
    <col min="174" max="174" width="9.7109375" style="69" bestFit="1" customWidth="1"/>
    <col min="175" max="175" width="11" style="69" bestFit="1" customWidth="1"/>
    <col min="176" max="176" width="9.42578125" style="69" bestFit="1" customWidth="1"/>
    <col min="177" max="178" width="9.42578125" style="69" customWidth="1"/>
    <col min="179" max="179" width="10.5703125" style="69" bestFit="1" customWidth="1"/>
    <col min="180" max="181" width="14" style="69" bestFit="1" customWidth="1"/>
    <col min="182" max="182" width="10.5703125" style="69" bestFit="1" customWidth="1"/>
    <col min="183" max="183" width="9.42578125" style="69" bestFit="1" customWidth="1"/>
    <col min="184" max="185" width="10.5703125" style="69" bestFit="1" customWidth="1"/>
    <col min="186" max="188" width="10.5703125" style="69" customWidth="1"/>
    <col min="189" max="189" width="9" style="69" bestFit="1" customWidth="1"/>
    <col min="190" max="190" width="10.5703125" style="69" bestFit="1" customWidth="1"/>
    <col min="191" max="191" width="9.28515625" style="69" bestFit="1" customWidth="1"/>
    <col min="192" max="192" width="11.42578125" style="69"/>
    <col min="193" max="193" width="8.42578125" style="69" bestFit="1" customWidth="1"/>
    <col min="194" max="194" width="9.42578125" style="69" bestFit="1" customWidth="1"/>
    <col min="195" max="195" width="9.7109375" style="69" bestFit="1" customWidth="1"/>
    <col min="196" max="196" width="11" style="69" bestFit="1" customWidth="1"/>
    <col min="197" max="197" width="9.42578125" style="69" bestFit="1" customWidth="1"/>
    <col min="198" max="199" width="9.42578125" style="69" customWidth="1"/>
    <col min="200" max="200" width="10.5703125" style="69" bestFit="1" customWidth="1"/>
    <col min="201" max="201" width="14" style="69" customWidth="1"/>
    <col min="202" max="202" width="14.28515625" style="69" customWidth="1"/>
    <col min="203" max="203" width="10.5703125" style="69" bestFit="1" customWidth="1"/>
    <col min="204" max="204" width="9.42578125" style="69" bestFit="1" customWidth="1"/>
    <col min="205" max="206" width="10.5703125" style="69" bestFit="1" customWidth="1"/>
    <col min="207" max="209" width="10.5703125" style="69" customWidth="1"/>
    <col min="210" max="210" width="9" style="69" bestFit="1" customWidth="1"/>
    <col min="211" max="211" width="10.5703125" style="69" bestFit="1" customWidth="1"/>
    <col min="212" max="212" width="9.28515625" style="69" bestFit="1" customWidth="1"/>
    <col min="213" max="213" width="11.7109375" style="69" bestFit="1" customWidth="1"/>
    <col min="214" max="214" width="8.42578125" style="69" bestFit="1" customWidth="1"/>
    <col min="215" max="215" width="9.42578125" style="69" bestFit="1" customWidth="1"/>
    <col min="216" max="216" width="9.7109375" style="69" bestFit="1" customWidth="1"/>
    <col min="217" max="217" width="11" style="69" bestFit="1" customWidth="1"/>
    <col min="218" max="218" width="9.42578125" style="69" bestFit="1" customWidth="1"/>
    <col min="219" max="16384" width="11.42578125" style="69"/>
  </cols>
  <sheetData>
    <row r="1" spans="1:218" s="5" customFormat="1" ht="27" thickBot="1" x14ac:dyDescent="0.45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Pin maritime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Douglas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Chêne rouge d'Amérique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Chêne sessile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Chêne pubescent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>Cormier</v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>Alisier torminal</v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/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/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/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75.75" thickBot="1" x14ac:dyDescent="0.3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293.33333333333331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293.33333333333331</v>
      </c>
      <c r="S3" s="60">
        <f ca="1">AVERAGE(OFFSET($R$3,0,0,'Données projet'!$E$9+1,1))-AVERAGE(OFFSET($H$3,0,0,'Données projet'!$E$9+1,1))</f>
        <v>155.11440101086782</v>
      </c>
      <c r="T3" s="60">
        <f>IF('Données projet'!E9&gt;30,$R$33-$H$33,LOOKUP('Données projet'!$E$9,$A$3:$A$203,R3:R203)-LOOKUP('Données projet'!$E$9,$A$3:$A$203,$H$3:$H$203))</f>
        <v>239.53454701506638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293.33333333333331</v>
      </c>
      <c r="AN3" s="60">
        <f ca="1">AVERAGE(OFFSET($AM$3,0,0,'Données projet'!$E$10+1,1))-AVERAGE(OFFSET($H$3,0,0,'Données projet'!$E$10+1,1))</f>
        <v>302.20483575440988</v>
      </c>
      <c r="AO3" s="60">
        <f>IF('Données projet'!E10&gt;30,$AM$33-$H$33,LOOKUP('Données projet'!$E$10,$A$3:$A$203,AM3:AM203)-LOOKUP('Données projet'!$E$10,$A$3:$A$203,$H$3:$H$203))</f>
        <v>275.32862097158687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293.33333333333331</v>
      </c>
      <c r="BI3" s="60">
        <f ca="1">AVERAGE(OFFSET($BH$3,0,0,'Données projet'!$E$11+1,1))-AVERAGE(OFFSET($H$3,0,0,'Données projet'!$E$11+1,1))</f>
        <v>314.62110015707839</v>
      </c>
      <c r="BJ3" s="60">
        <f>IF('Données projet'!E11&gt;30,$BH$33-$H$33,LOOKUP('Données projet'!$E$11,$A$3:$A$203,BH3:BH203)-LOOKUP('Données projet'!$E$11,$A$3:$A$203,$H$3:$H$203))</f>
        <v>285.36905470736582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293.33333333333331</v>
      </c>
      <c r="CD3" s="60">
        <f ca="1">AVERAGE(OFFSET($CC$3,0,0,'Données projet'!$E$12+1,1))-AVERAGE(OFFSET($H$3,0,0,'Données projet'!$E$12+1,1))</f>
        <v>303.73499739059076</v>
      </c>
      <c r="CE3" s="60">
        <f>IF('Données projet'!E12&gt;30,$CC$33-$H$33,LOOKUP('Données projet'!$E$12,$A$3:$A$203,CC3:CC203)-LOOKUP('Données projet'!$E$12,$A$3:$A$203,$H$3:$H$203))</f>
        <v>172.32171001882188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293.33333333333331</v>
      </c>
      <c r="CY3" s="60">
        <f ca="1">AVERAGE(OFFSET($CX$3,0,0,'Données projet'!$E$13+1,1))-AVERAGE(OFFSET($H$3,0,0,'Données projet'!$E$13+1,1))</f>
        <v>350.3652766444938</v>
      </c>
      <c r="CZ3" s="60">
        <f>IF('Données projet'!E13&gt;30,$CX$33-$H$33,LOOKUP('Données projet'!$E$13,$A$3:$A$203,CX3:CX203)-LOOKUP('Données projet'!$E$13,$A$3:$A$203,$H$3:$H$203))</f>
        <v>197.04549436738586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293.33333333333331</v>
      </c>
      <c r="DT3" s="60">
        <f ca="1">AVERAGE(OFFSET($DS$3,0,0,'Données projet'!$E$14+1,1))-AVERAGE(OFFSET($H$3,0,0,'Données projet'!$E$14+1,1))</f>
        <v>376.96388721258387</v>
      </c>
      <c r="DU3" s="60">
        <f>IF('Données projet'!E14&gt;30,$DS$33-$H$33,LOOKUP('Données projet'!$E$14,$A$3:$A$203,DS3:DS203)-LOOKUP('Données projet'!$E$14,$A$3:$A$203,$H$3:$H$203))</f>
        <v>211.14628470344377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293.33333333333331</v>
      </c>
      <c r="EO3" s="60">
        <f ca="1">AVERAGE(OFFSET($EN$3,0,0,'Données projet'!$E$15+1,1))-AVERAGE(OFFSET($H$3,0,0,'Données projet'!$E$15+1,1))</f>
        <v>330.39429528665841</v>
      </c>
      <c r="EP3" s="60">
        <f>IF('Données projet'!E15&gt;30,$EN$33-$H$33,LOOKUP('Données projet'!$E$15,$A$3:$A$203,EN3:EN203)-LOOKUP('Données projet'!$E$15,$A$3:$A$203,$H$3:$H$203))</f>
        <v>186.45728006007261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8">
        <f t="shared" ref="H4:H67" si="1">(B4+E4+F4)*44/12+(C4+D4)*0.475*44/12</f>
        <v>294.75450271279925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3.2416666666666667</v>
      </c>
      <c r="N4" s="14">
        <f>IF('Données projet'!$A$36&gt;35,N3+M4-V3,IF(A4&lt;'Données projet'!$A$36,$K$205^A4,IF(A4='Données projet'!$A$36,'Données projet'!$B$36,N3+M4-V3)))</f>
        <v>1.35673740976754</v>
      </c>
      <c r="O4" s="14">
        <f>N4*VLOOKUP('Données projet'!$B$9,Paramètres!$A$1:$I$89,3,0)*VLOOKUP('Données projet'!$B$9,Paramètres!$A$1:$I$89,5,0)</f>
        <v>0.811328971040989</v>
      </c>
      <c r="P4" s="14">
        <f>EXP(-1.0587+0.8836*LN(O4)+0.284)</f>
        <v>0.38310561741554328</v>
      </c>
      <c r="Q4" s="22">
        <f t="shared" ref="Q4:Q34" si="2">(O4+P4)*0.475*44/12</f>
        <v>2.0803069082284602</v>
      </c>
      <c r="R4" s="60">
        <f t="shared" si="0"/>
        <v>295.41364024156178</v>
      </c>
      <c r="S4" s="60">
        <f ca="1">AVERAGE(OFFSET($R$3,0,0,'Données projet'!$E$9+1,1))-AVERAGE(OFFSET($H$3,0,0,'Données projet'!$E$9+1,1))</f>
        <v>155.11440101086782</v>
      </c>
      <c r="T4" s="60">
        <f>$T$3</f>
        <v>239.53454701506638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10</v>
      </c>
      <c r="AI4" s="14">
        <f>IF('Données projet'!$A$62&gt;35,AI3+AH4-AQ3,IF(A4&lt;'Données projet'!$A$62,$AF$205^A4,IF(A4='Données projet'!$A$62,'Données projet'!$B$62,AI3+AH4-AQ3)))</f>
        <v>1.289976715395158</v>
      </c>
      <c r="AJ4" s="14">
        <f>AI4*VLOOKUP('Données projet'!$B$10,Paramètres!$A$1:$I$89,3,0)*VLOOKUP('Données projet'!$B$10,Paramètres!$A$1:$I$89,5,0)</f>
        <v>0.72109698390589339</v>
      </c>
      <c r="AK4" s="14">
        <f>EXP(-1.0587+0.8836*LN(AJ4)+0.284)</f>
        <v>0.34520357101002697</v>
      </c>
      <c r="AL4" s="22">
        <f t="shared" ref="AL4:AL67" si="4">(AJ4+AK4)*0.475*44/12</f>
        <v>1.8571401331452277</v>
      </c>
      <c r="AM4" s="60">
        <f t="shared" ref="AM4:AM67" si="5">AL4+(AD4+AE4)*44/12</f>
        <v>295.19047346647852</v>
      </c>
      <c r="AN4" s="60">
        <f ca="1">AVERAGE(OFFSET($AM$3,0,0,'Données projet'!$E$10+1,1))-AVERAGE(OFFSET($H$3,0,0,'Données projet'!$E$10+1,1))</f>
        <v>302.20483575440988</v>
      </c>
      <c r="AO4" s="60">
        <f>$AO$3</f>
        <v>275.32862097158687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3.5</v>
      </c>
      <c r="BD4" s="13">
        <f>IF('Données projet'!$A$88&gt;35,BD3+BC4-BL3,IF(A4&lt;'Données projet'!$A$88,$BA$205^A4,IF(A4='Données projet'!$A$88,'Données projet'!$B$88,BD3+BC4-BL3)))</f>
        <v>1.4269435884576509</v>
      </c>
      <c r="BE4" s="14">
        <f>BD4*VLOOKUP('Données projet'!$B$11,Paramètres!$A$1:$I$89,3,0)*VLOOKUP('Données projet'!$B$11,Paramètres!$A$1:$I$89,5,0)</f>
        <v>1.246577918876604</v>
      </c>
      <c r="BF4" s="14">
        <f>EXP(-1.0587+0.8836*LN(BE4)+0.284)</f>
        <v>0.55992486380829476</v>
      </c>
      <c r="BG4" s="22">
        <f t="shared" ref="BG4:BG67" si="7">(BE4+BF4)*0.475*44/12</f>
        <v>3.1463256798428652</v>
      </c>
      <c r="BH4" s="60">
        <f t="shared" ref="BH4:BH67" si="8">BG4+(AY4+AZ4)*44/12</f>
        <v>296.47965901317616</v>
      </c>
      <c r="BI4" s="60">
        <f ca="1">AVERAGE(OFFSET($BH$3,0,0,'Données projet'!$E$11+1,1))-AVERAGE(OFFSET($H$3,0,0,'Données projet'!$E$11+1,1))</f>
        <v>314.62110015707839</v>
      </c>
      <c r="BJ4" s="60">
        <f>$BJ$3</f>
        <v>285.36905470736582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2.1</v>
      </c>
      <c r="BY4" s="13">
        <f>IF('Données projet'!$A$114&gt;35,BY3+BX4-CG3,IF(A4&lt;'Données projet'!$A$114,$BV$205^A4,IF(A4='Données projet'!$A$114,'Données projet'!$B$114,BY3+BX4-CG3)))</f>
        <v>1.2054868146447177</v>
      </c>
      <c r="BZ4" s="14">
        <f>BY4*VLOOKUP('Données projet'!$B$12,Paramètres!$A$1:$I$89,3,0)*VLOOKUP('Données projet'!$B$12,Paramètres!$A$1:$I$89,5,0)</f>
        <v>1.0907244698905405</v>
      </c>
      <c r="CA4" s="14">
        <f>EXP(-1.0587+0.8836*LN(BZ4)+0.284)</f>
        <v>0.49759623852608204</v>
      </c>
      <c r="CB4" s="22">
        <f t="shared" ref="CB4:CB67" si="10">(BZ4+CA4)*0.475*44/12</f>
        <v>2.7663252338256172</v>
      </c>
      <c r="CC4" s="60">
        <f t="shared" ref="CC4:CC67" si="11">CB4+(BT4+BU4)*44/12</f>
        <v>296.09965856715894</v>
      </c>
      <c r="CD4" s="60">
        <f ca="1">AVERAGE(OFFSET($CC$3,0,0,'Données projet'!$E$12+1,1))-AVERAGE(OFFSET($H$3,0,0,'Données projet'!$E$12+1,1))</f>
        <v>303.73499739059076</v>
      </c>
      <c r="CE4" s="60">
        <f>$CE$3</f>
        <v>172.32171001882188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2.1</v>
      </c>
      <c r="CT4" s="13">
        <f>IF('Données projet'!$A$140&gt;35,CT3+CS4-DB3,IF(A4&lt;'Données projet'!$A$140,$CQ$205^A4,IF(A4='Données projet'!$A$140,'Données projet'!$B$140,CT3+CS4-DB3)))</f>
        <v>1.2054868146447177</v>
      </c>
      <c r="CU4" s="18">
        <f>CT4*VLOOKUP('Données projet'!$B$13,Paramètres!$A$1:$I$89,3,0)*VLOOKUP('Données projet'!$B$13,Paramètres!$A$1:$I$89,5,0)</f>
        <v>1.2223636300497438</v>
      </c>
      <c r="CV4" s="14">
        <f>EXP(-1.0587+0.8836*LN(CU4)+0.284)</f>
        <v>0.55030360208821416</v>
      </c>
      <c r="CW4" s="22">
        <f t="shared" ref="CW4:CW67" si="13">(CU4+CV4)*0.475*44/12</f>
        <v>3.0873954293069432</v>
      </c>
      <c r="CX4" s="60">
        <f t="shared" ref="CX4:CX67" si="14">CW4+(CO4+CP4)*44/12</f>
        <v>296.42072876264024</v>
      </c>
      <c r="CY4" s="60">
        <f ca="1">AVERAGE(OFFSET($CX$3,0,0,'Données projet'!$E$13+1,1))-AVERAGE(OFFSET($H$3,0,0,'Données projet'!$E$13+1,1))</f>
        <v>350.3652766444938</v>
      </c>
      <c r="CZ4" s="60">
        <f>$CZ$3</f>
        <v>197.04549436738586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2.1</v>
      </c>
      <c r="DO4" s="13">
        <f>IF('Données projet'!$A$166&gt;35,DO3+DN4-DW3,IF(A4&lt;'Données projet'!$A$166,$DL$205^A4,IF(A4='Données projet'!$A$166,'Données projet'!$B$166,DO3+DN4-DW3)))</f>
        <v>1.2054868146447177</v>
      </c>
      <c r="DP4" s="18">
        <f>DO4*VLOOKUP('Données projet'!$B$14,Paramètres!$A$1:$I$89,3,0)*VLOOKUP('Données projet'!$B$14,Paramètres!$A$1:$I$89,5,0)</f>
        <v>1.2975860072835741</v>
      </c>
      <c r="DQ4" s="14">
        <f>EXP(-1.0587+0.8836*LN(DP4)+0.284)</f>
        <v>0.58012177912374829</v>
      </c>
      <c r="DR4" s="22">
        <f t="shared" ref="DR4:DR67" si="16">(DP4+DQ4)*0.475*44/12</f>
        <v>3.2703410613260862</v>
      </c>
      <c r="DS4" s="60">
        <f t="shared" ref="DS4:DS67" si="17">DR4+(DJ4+DK4)*44/12</f>
        <v>296.60367439465938</v>
      </c>
      <c r="DT4" s="60">
        <f ca="1">AVERAGE(OFFSET($DS$3,0,0,'Données projet'!$E$14+1,1))-AVERAGE(OFFSET($H$3,0,0,'Données projet'!$E$14+1,1))</f>
        <v>376.96388721258387</v>
      </c>
      <c r="DU4" s="60">
        <f>$DU$3</f>
        <v>211.14628470344377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2.1</v>
      </c>
      <c r="EJ4" s="13">
        <f>IF('Données projet'!$A$192&gt;35,EJ3+EI4-ER3,IF(A4&lt;'Données projet'!$A$192,$EG$205^A4,IF(A4='Données projet'!$A$192,'Données projet'!$B$192,EJ3+EI4-ER3)))</f>
        <v>1.2054868146447177</v>
      </c>
      <c r="EK4" s="18">
        <f>EJ4*VLOOKUP('Données projet'!$B$15,Paramètres!$A$1:$I$89,3,0)*VLOOKUP('Données projet'!$B$15,Paramètres!$A$1:$I$89,5,0)</f>
        <v>1.165946847124371</v>
      </c>
      <c r="EL4" s="14">
        <f>EXP(-1.0587+0.8836*LN(EK4)+0.284)</f>
        <v>0.52780002987456354</v>
      </c>
      <c r="EM4" s="22">
        <f t="shared" ref="EM4:EM67" si="19">(EK4+EL4)*0.475*44/12</f>
        <v>2.9499424774398109</v>
      </c>
      <c r="EN4" s="60">
        <f t="shared" ref="EN4:EN67" si="20">EM4+(EE4+EF4)*44/12</f>
        <v>296.28327581077315</v>
      </c>
      <c r="EO4" s="60">
        <f ca="1">AVERAGE(OFFSET($EN$3,0,0,'Données projet'!$E$15+1,1))-AVERAGE(OFFSET($H$3,0,0,'Données projet'!$E$15+1,1))</f>
        <v>330.39429528665841</v>
      </c>
      <c r="EP4" s="60">
        <f>$EP$3</f>
        <v>186.45728006007261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8">
        <f t="shared" si="1"/>
        <v>296.10277557080786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3.2416666666666667</v>
      </c>
      <c r="N5" s="14">
        <f>IF('Données projet'!$A$36&gt;35,N4+M5-V4,IF(A5&lt;'Données projet'!$A$36,$K$205^A5,IF(A5='Données projet'!$A$36,'Données projet'!$B$36,N4+M5-V4)))</f>
        <v>1.8407363990627337</v>
      </c>
      <c r="O5" s="14">
        <f>N5*VLOOKUP('Données projet'!$B$9,Paramètres!$A$1:$I$89,3,0)*VLOOKUP('Données projet'!$B$9,Paramètres!$A$1:$I$89,5,0)</f>
        <v>1.1007603666395147</v>
      </c>
      <c r="P5" s="14">
        <f t="shared" ref="P5:P68" si="33">EXP(-1.0587+0.8836*LN(O5)+0.284)</f>
        <v>0.50163959551967263</v>
      </c>
      <c r="Q5" s="22">
        <f t="shared" si="2"/>
        <v>2.7908466007605846</v>
      </c>
      <c r="R5" s="60">
        <f t="shared" si="0"/>
        <v>296.12417993409389</v>
      </c>
      <c r="S5" s="60">
        <f ca="1">AVERAGE(OFFSET($R$3,0,0,'Données projet'!$E$9+1,1))-AVERAGE(OFFSET($H$3,0,0,'Données projet'!$E$9+1,1))</f>
        <v>155.11440101086782</v>
      </c>
      <c r="T5" s="60">
        <f t="shared" ref="T5:T68" si="34">$T$3</f>
        <v>239.53454701506638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10</v>
      </c>
      <c r="AI5" s="14">
        <f>IF('Données projet'!$A$62&gt;35,AI4+AH5-AQ4,IF(A5&lt;'Données projet'!$A$62,$AF$205^A5,IF(A5='Données projet'!$A$62,'Données projet'!$B$62,AI4+AH5-AQ4)))</f>
        <v>1.6640399262616805</v>
      </c>
      <c r="AJ5" s="14">
        <f>AI5*VLOOKUP('Données projet'!$B$10,Paramètres!$A$1:$I$89,3,0)*VLOOKUP('Données projet'!$B$10,Paramètres!$A$1:$I$89,5,0)</f>
        <v>0.93019831878027937</v>
      </c>
      <c r="AK5" s="14">
        <f t="shared" ref="AK5:AK68" si="35">EXP(-1.0587+0.8836*LN(AJ5)+0.284)</f>
        <v>0.43230018467776149</v>
      </c>
      <c r="AL5" s="22">
        <f t="shared" si="4"/>
        <v>2.3730182268560873</v>
      </c>
      <c r="AM5" s="60">
        <f t="shared" si="5"/>
        <v>295.70635156018938</v>
      </c>
      <c r="AN5" s="60">
        <f ca="1">AVERAGE(OFFSET($AM$3,0,0,'Données projet'!$E$10+1,1))-AVERAGE(OFFSET($H$3,0,0,'Données projet'!$E$10+1,1))</f>
        <v>302.20483575440988</v>
      </c>
      <c r="AO5" s="60">
        <f t="shared" ref="AO5:AO68" si="36">$AO$3</f>
        <v>275.32862097158687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3.5</v>
      </c>
      <c r="BD5" s="13">
        <f>IF('Données projet'!$A$88&gt;35,BD4+BC5-BL4,IF(A5&lt;'Données projet'!$A$88,$BA$205^A5,IF(A5='Données projet'!$A$88,'Données projet'!$B$88,BD4+BC5-BL4)))</f>
        <v>2.0361680046403978</v>
      </c>
      <c r="BE5" s="14">
        <f>BD5*VLOOKUP('Données projet'!$B$11,Paramètres!$A$1:$I$89,3,0)*VLOOKUP('Données projet'!$B$11,Paramètres!$A$1:$I$89,5,0)</f>
        <v>1.7787963688538517</v>
      </c>
      <c r="BF5" s="14">
        <f t="shared" ref="BF5:BF68" si="37">EXP(-1.0587+0.8836*LN(BE5)+0.284)</f>
        <v>0.76659080447596062</v>
      </c>
      <c r="BG5" s="22">
        <f t="shared" si="7"/>
        <v>4.4332159935494238</v>
      </c>
      <c r="BH5" s="60">
        <f t="shared" si="8"/>
        <v>297.76654932688274</v>
      </c>
      <c r="BI5" s="60">
        <f ca="1">AVERAGE(OFFSET($BH$3,0,0,'Données projet'!$E$11+1,1))-AVERAGE(OFFSET($H$3,0,0,'Données projet'!$E$11+1,1))</f>
        <v>314.62110015707839</v>
      </c>
      <c r="BJ5" s="60">
        <f t="shared" ref="BJ5:BJ68" si="38">$BJ$3</f>
        <v>285.36905470736582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2.1</v>
      </c>
      <c r="BY5" s="13">
        <f>IF('Données projet'!$A$114&gt;35,BY4+BX5-CG4,IF(A5&lt;'Données projet'!$A$114,$BV$205^A5,IF(A5='Données projet'!$A$114,'Données projet'!$B$114,BY4+BX5-CG4)))</f>
        <v>1.4531984602822681</v>
      </c>
      <c r="BZ5" s="14">
        <f>BY5*VLOOKUP('Données projet'!$B$12,Paramètres!$A$1:$I$89,3,0)*VLOOKUP('Données projet'!$B$12,Paramètres!$A$1:$I$89,5,0)</f>
        <v>1.3148539668633961</v>
      </c>
      <c r="CA5" s="14">
        <f t="shared" ref="CA5:CA68" si="39">EXP(-1.0587+0.8836*LN(BZ5)+0.284)</f>
        <v>0.58693801963664449</v>
      </c>
      <c r="CB5" s="22">
        <f t="shared" si="10"/>
        <v>3.3122877098209038</v>
      </c>
      <c r="CC5" s="60">
        <f t="shared" si="11"/>
        <v>296.64562104315422</v>
      </c>
      <c r="CD5" s="60">
        <f ca="1">AVERAGE(OFFSET($CC$3,0,0,'Données projet'!$E$12+1,1))-AVERAGE(OFFSET($H$3,0,0,'Données projet'!$E$12+1,1))</f>
        <v>303.73499739059076</v>
      </c>
      <c r="CE5" s="60">
        <f t="shared" ref="CE5:CE68" si="40">$CE$3</f>
        <v>172.32171001882188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2.1</v>
      </c>
      <c r="CT5" s="13">
        <f>IF('Données projet'!$A$140&gt;35,CT4+CS5-DB4,IF(A5&lt;'Données projet'!$A$140,$CQ$205^A5,IF(A5='Données projet'!$A$140,'Données projet'!$B$140,CT4+CS5-DB4)))</f>
        <v>1.4531984602822681</v>
      </c>
      <c r="CU5" s="18">
        <f>CT5*VLOOKUP('Données projet'!$B$13,Paramètres!$A$1:$I$89,3,0)*VLOOKUP('Données projet'!$B$13,Paramètres!$A$1:$I$89,5,0)</f>
        <v>1.47354323872622</v>
      </c>
      <c r="CV5" s="14">
        <f t="shared" ref="CV5:CV68" si="41">EXP(-1.0587+0.8836*LN(CU5)+0.284)</f>
        <v>0.64910881835703094</v>
      </c>
      <c r="CW5" s="22">
        <f t="shared" si="13"/>
        <v>3.6969523327533285</v>
      </c>
      <c r="CX5" s="60">
        <f t="shared" si="14"/>
        <v>297.03028566608663</v>
      </c>
      <c r="CY5" s="60">
        <f ca="1">AVERAGE(OFFSET($CX$3,0,0,'Données projet'!$E$13+1,1))-AVERAGE(OFFSET($H$3,0,0,'Données projet'!$E$13+1,1))</f>
        <v>350.3652766444938</v>
      </c>
      <c r="CZ5" s="60">
        <f t="shared" ref="CZ5:CZ68" si="42">$CZ$3</f>
        <v>197.04549436738586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2.1</v>
      </c>
      <c r="DO5" s="13">
        <f>IF('Données projet'!$A$166&gt;35,DO4+DN5-DW4,IF(A5&lt;'Données projet'!$A$166,$DL$205^A5,IF(A5='Données projet'!$A$166,'Données projet'!$B$166,DO4+DN5-DW4)))</f>
        <v>1.4531984602822681</v>
      </c>
      <c r="DP5" s="18">
        <f>DO5*VLOOKUP('Données projet'!$B$14,Paramètres!$A$1:$I$89,3,0)*VLOOKUP('Données projet'!$B$14,Paramètres!$A$1:$I$89,5,0)</f>
        <v>1.5642228226478332</v>
      </c>
      <c r="DQ5" s="14">
        <f t="shared" ref="DQ5:DQ68" si="43">EXP(-1.0587+0.8836*LN(DP5)+0.284)</f>
        <v>0.68428075179095682</v>
      </c>
      <c r="DR5" s="22">
        <f t="shared" si="16"/>
        <v>3.9161437254808931</v>
      </c>
      <c r="DS5" s="60">
        <f t="shared" si="17"/>
        <v>297.24947705881419</v>
      </c>
      <c r="DT5" s="60">
        <f ca="1">AVERAGE(OFFSET($DS$3,0,0,'Données projet'!$E$14+1,1))-AVERAGE(OFFSET($H$3,0,0,'Données projet'!$E$14+1,1))</f>
        <v>376.96388721258387</v>
      </c>
      <c r="DU5" s="60">
        <f t="shared" ref="DU5:DU68" si="44">$DU$3</f>
        <v>211.14628470344377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2.1</v>
      </c>
      <c r="EJ5" s="13">
        <f>IF('Données projet'!$A$192&gt;35,EJ4+EI5-ER4,IF(A5&lt;'Données projet'!$A$192,$EG$205^A5,IF(A5='Données projet'!$A$192,'Données projet'!$B$192,EJ4+EI5-ER4)))</f>
        <v>1.4531984602822681</v>
      </c>
      <c r="EK5" s="18">
        <f>EJ5*VLOOKUP('Données projet'!$B$15,Paramètres!$A$1:$I$89,3,0)*VLOOKUP('Données projet'!$B$15,Paramètres!$A$1:$I$89,5,0)</f>
        <v>1.4055335507850097</v>
      </c>
      <c r="EL5" s="14">
        <f t="shared" ref="EL5:EL68" si="45">EXP(-1.0587+0.8836*LN(EK5)+0.284)</f>
        <v>0.62256480317525631</v>
      </c>
      <c r="EM5" s="22">
        <f t="shared" si="19"/>
        <v>3.5322712998141292</v>
      </c>
      <c r="EN5" s="60">
        <f t="shared" si="20"/>
        <v>296.86560463314743</v>
      </c>
      <c r="EO5" s="60">
        <f ca="1">AVERAGE(OFFSET($EN$3,0,0,'Données projet'!$E$15+1,1))-AVERAGE(OFFSET($H$3,0,0,'Données projet'!$E$15+1,1))</f>
        <v>330.39429528665841</v>
      </c>
      <c r="EP5" s="60">
        <f t="shared" ref="EP5:EP68" si="46">$EP$3</f>
        <v>186.45728006007261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8">
        <f t="shared" si="1"/>
        <v>297.42750651156223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3.2416666666666667</v>
      </c>
      <c r="N6" s="14">
        <f>IF('Données projet'!$A$36&gt;35,N5+M6-V5,IF(A6&lt;'Données projet'!$A$36,$K$205^A6,IF(A6='Données projet'!$A$36,'Données projet'!$B$36,N5+M6-V5)))</f>
        <v>2.497395934129202</v>
      </c>
      <c r="O6" s="14">
        <f>N6*VLOOKUP('Données projet'!$B$9,Paramètres!$A$1:$I$89,3,0)*VLOOKUP('Données projet'!$B$9,Paramètres!$A$1:$I$89,5,0)</f>
        <v>1.4934427686092631</v>
      </c>
      <c r="P6" s="14">
        <f t="shared" si="33"/>
        <v>0.65684832681581917</v>
      </c>
      <c r="Q6" s="22">
        <f t="shared" si="2"/>
        <v>3.745090324532018</v>
      </c>
      <c r="R6" s="60">
        <f t="shared" si="0"/>
        <v>297.07842365786536</v>
      </c>
      <c r="S6" s="60">
        <f ca="1">AVERAGE(OFFSET($R$3,0,0,'Données projet'!$E$9+1,1))-AVERAGE(OFFSET($H$3,0,0,'Données projet'!$E$9+1,1))</f>
        <v>155.11440101086782</v>
      </c>
      <c r="T6" s="60">
        <f t="shared" si="34"/>
        <v>239.53454701506638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10</v>
      </c>
      <c r="AI6" s="14">
        <f>IF('Données projet'!$A$62&gt;35,AI5+AH6-AQ5,IF(A6&lt;'Données projet'!$A$62,$AF$205^A6,IF(A6='Données projet'!$A$62,'Données projet'!$B$62,AI5+AH6-AQ5)))</f>
        <v>2.1465727583654437</v>
      </c>
      <c r="AJ6" s="14">
        <f>AI6*VLOOKUP('Données projet'!$B$10,Paramètres!$A$1:$I$89,3,0)*VLOOKUP('Données projet'!$B$10,Paramètres!$A$1:$I$89,5,0)</f>
        <v>1.199934171926283</v>
      </c>
      <c r="AK6" s="14">
        <f t="shared" si="35"/>
        <v>0.54137171618945512</v>
      </c>
      <c r="AL6" s="22">
        <f t="shared" si="4"/>
        <v>3.0327744218015771</v>
      </c>
      <c r="AM6" s="60">
        <f t="shared" si="5"/>
        <v>296.36610775513492</v>
      </c>
      <c r="AN6" s="60">
        <f ca="1">AVERAGE(OFFSET($AM$3,0,0,'Données projet'!$E$10+1,1))-AVERAGE(OFFSET($H$3,0,0,'Données projet'!$E$10+1,1))</f>
        <v>302.20483575440988</v>
      </c>
      <c r="AO6" s="60">
        <f t="shared" si="36"/>
        <v>275.32862097158687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3.5</v>
      </c>
      <c r="BD6" s="13">
        <f>IF('Données projet'!$A$88&gt;35,BD5+BC6-BL5,IF(A6&lt;'Données projet'!$A$88,$BA$205^A6,IF(A6='Données projet'!$A$88,'Données projet'!$B$88,BD5+BC6-BL5)))</f>
        <v>2.905496879244224</v>
      </c>
      <c r="BE6" s="14">
        <f>BD6*VLOOKUP('Données projet'!$B$11,Paramètres!$A$1:$I$89,3,0)*VLOOKUP('Données projet'!$B$11,Paramètres!$A$1:$I$89,5,0)</f>
        <v>2.5382420737077545</v>
      </c>
      <c r="BF6" s="14">
        <f t="shared" si="37"/>
        <v>1.049536285118966</v>
      </c>
      <c r="BG6" s="22">
        <f t="shared" si="7"/>
        <v>6.2487139749565381</v>
      </c>
      <c r="BH6" s="60">
        <f t="shared" si="8"/>
        <v>299.58204730828987</v>
      </c>
      <c r="BI6" s="60">
        <f ca="1">AVERAGE(OFFSET($BH$3,0,0,'Données projet'!$E$11+1,1))-AVERAGE(OFFSET($H$3,0,0,'Données projet'!$E$11+1,1))</f>
        <v>314.62110015707839</v>
      </c>
      <c r="BJ6" s="60">
        <f t="shared" si="38"/>
        <v>285.36905470736582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2.1</v>
      </c>
      <c r="BY6" s="13">
        <f>IF('Données projet'!$A$114&gt;35,BY5+BX6-CG5,IF(A6&lt;'Données projet'!$A$114,$BV$205^A6,IF(A6='Données projet'!$A$114,'Données projet'!$B$114,BY5+BX6-CG5)))</f>
        <v>1.7518115829322798</v>
      </c>
      <c r="BZ6" s="14">
        <f>BY6*VLOOKUP('Données projet'!$B$12,Paramètres!$A$1:$I$89,3,0)*VLOOKUP('Données projet'!$B$12,Paramètres!$A$1:$I$89,5,0)</f>
        <v>1.5850391202371266</v>
      </c>
      <c r="CA6" s="14">
        <f t="shared" si="39"/>
        <v>0.69232082604846479</v>
      </c>
      <c r="CB6" s="22">
        <f t="shared" si="10"/>
        <v>3.966401906447405</v>
      </c>
      <c r="CC6" s="60">
        <f t="shared" si="11"/>
        <v>297.29973523978072</v>
      </c>
      <c r="CD6" s="60">
        <f ca="1">AVERAGE(OFFSET($CC$3,0,0,'Données projet'!$E$12+1,1))-AVERAGE(OFFSET($H$3,0,0,'Données projet'!$E$12+1,1))</f>
        <v>303.73499739059076</v>
      </c>
      <c r="CE6" s="60">
        <f t="shared" si="40"/>
        <v>172.32171001882188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2.1</v>
      </c>
      <c r="CT6" s="13">
        <f>IF('Données projet'!$A$140&gt;35,CT5+CS6-DB5,IF(A6&lt;'Données projet'!$A$140,$CQ$205^A6,IF(A6='Données projet'!$A$140,'Données projet'!$B$140,CT5+CS6-DB5)))</f>
        <v>1.7518115829322798</v>
      </c>
      <c r="CU6" s="18">
        <f>CT6*VLOOKUP('Données projet'!$B$13,Paramètres!$A$1:$I$89,3,0)*VLOOKUP('Données projet'!$B$13,Paramètres!$A$1:$I$89,5,0)</f>
        <v>1.7763369450933317</v>
      </c>
      <c r="CV6" s="14">
        <f t="shared" si="41"/>
        <v>0.76565418883323866</v>
      </c>
      <c r="CW6" s="22">
        <f t="shared" si="13"/>
        <v>4.4273012249221102</v>
      </c>
      <c r="CX6" s="60">
        <f t="shared" si="14"/>
        <v>297.76063455825545</v>
      </c>
      <c r="CY6" s="60">
        <f ca="1">AVERAGE(OFFSET($CX$3,0,0,'Données projet'!$E$13+1,1))-AVERAGE(OFFSET($H$3,0,0,'Données projet'!$E$13+1,1))</f>
        <v>350.3652766444938</v>
      </c>
      <c r="CZ6" s="60">
        <f t="shared" si="42"/>
        <v>197.04549436738586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2.1</v>
      </c>
      <c r="DO6" s="13">
        <f>IF('Données projet'!$A$166&gt;35,DO5+DN6-DW5,IF(A6&lt;'Données projet'!$A$166,$DL$205^A6,IF(A6='Données projet'!$A$166,'Données projet'!$B$166,DO5+DN6-DW5)))</f>
        <v>1.7518115829322798</v>
      </c>
      <c r="DP6" s="18">
        <f>DO6*VLOOKUP('Données projet'!$B$14,Paramètres!$A$1:$I$89,3,0)*VLOOKUP('Données projet'!$B$14,Paramètres!$A$1:$I$89,5,0)</f>
        <v>1.885649987868306</v>
      </c>
      <c r="DQ6" s="14">
        <f t="shared" si="43"/>
        <v>0.8071411281590839</v>
      </c>
      <c r="DR6" s="22">
        <f t="shared" si="16"/>
        <v>4.6899445270810372</v>
      </c>
      <c r="DS6" s="60">
        <f t="shared" si="17"/>
        <v>298.02327786041434</v>
      </c>
      <c r="DT6" s="60">
        <f ca="1">AVERAGE(OFFSET($DS$3,0,0,'Données projet'!$E$14+1,1))-AVERAGE(OFFSET($H$3,0,0,'Données projet'!$E$14+1,1))</f>
        <v>376.96388721258387</v>
      </c>
      <c r="DU6" s="60">
        <f t="shared" si="44"/>
        <v>211.14628470344377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2.1</v>
      </c>
      <c r="EJ6" s="13">
        <f>IF('Données projet'!$A$192&gt;35,EJ5+EI6-ER5,IF(A6&lt;'Données projet'!$A$192,$EG$205^A6,IF(A6='Données projet'!$A$192,'Données projet'!$B$192,EJ5+EI6-ER5)))</f>
        <v>1.7518115829322798</v>
      </c>
      <c r="EK6" s="18">
        <f>EJ6*VLOOKUP('Données projet'!$B$15,Paramètres!$A$1:$I$89,3,0)*VLOOKUP('Données projet'!$B$15,Paramètres!$A$1:$I$89,5,0)</f>
        <v>1.694352163012101</v>
      </c>
      <c r="EL6" s="14">
        <f t="shared" si="45"/>
        <v>0.73434428233124405</v>
      </c>
      <c r="EM6" s="22">
        <f t="shared" si="19"/>
        <v>4.2299796423063247</v>
      </c>
      <c r="EN6" s="60">
        <f t="shared" si="20"/>
        <v>297.56331297563963</v>
      </c>
      <c r="EO6" s="60">
        <f ca="1">AVERAGE(OFFSET($EN$3,0,0,'Données projet'!$E$15+1,1))-AVERAGE(OFFSET($H$3,0,0,'Données projet'!$E$15+1,1))</f>
        <v>330.39429528665841</v>
      </c>
      <c r="EP6" s="60">
        <f t="shared" si="46"/>
        <v>186.45728006007261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8">
        <f t="shared" si="1"/>
        <v>298.73772566676109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3.2416666666666667</v>
      </c>
      <c r="N7" s="14">
        <f>IF('Données projet'!$A$36&gt;35,N6+M7-V6,IF(A7&lt;'Données projet'!$A$36,$K$205^A7,IF(A7='Données projet'!$A$36,'Données projet'!$B$36,N6+M7-V6)))</f>
        <v>3.3883104908344395</v>
      </c>
      <c r="O7" s="14">
        <f>N7*VLOOKUP('Données projet'!$B$9,Paramètres!$A$1:$I$89,3,0)*VLOOKUP('Données projet'!$B$9,Paramètres!$A$1:$I$89,5,0)</f>
        <v>2.0262096735189949</v>
      </c>
      <c r="P7" s="14">
        <f t="shared" si="33"/>
        <v>0.86007908525199539</v>
      </c>
      <c r="Q7" s="22">
        <f t="shared" si="2"/>
        <v>5.0269529215261413</v>
      </c>
      <c r="R7" s="60">
        <f t="shared" si="0"/>
        <v>298.36028625485943</v>
      </c>
      <c r="S7" s="60">
        <f ca="1">AVERAGE(OFFSET($R$3,0,0,'Données projet'!$E$9+1,1))-AVERAGE(OFFSET($H$3,0,0,'Données projet'!$E$9+1,1))</f>
        <v>155.11440101086782</v>
      </c>
      <c r="T7" s="60">
        <f t="shared" si="34"/>
        <v>239.53454701506638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10</v>
      </c>
      <c r="AI7" s="14">
        <f>IF('Données projet'!$A$62&gt;35,AI6+AH7-AQ6,IF(A7&lt;'Données projet'!$A$62,$AF$205^A7,IF(A7='Données projet'!$A$62,'Données projet'!$B$62,AI6+AH7-AQ6)))</f>
        <v>2.7690288761929791</v>
      </c>
      <c r="AJ7" s="14">
        <f>AI7*VLOOKUP('Données projet'!$B$10,Paramètres!$A$1:$I$89,3,0)*VLOOKUP('Données projet'!$B$10,Paramètres!$A$1:$I$89,5,0)</f>
        <v>1.5478871417918754</v>
      </c>
      <c r="AK7" s="14">
        <f t="shared" si="35"/>
        <v>0.67796254889037699</v>
      </c>
      <c r="AL7" s="22">
        <f t="shared" si="4"/>
        <v>3.8766882112715897</v>
      </c>
      <c r="AM7" s="60">
        <f t="shared" si="5"/>
        <v>297.2100215446049</v>
      </c>
      <c r="AN7" s="60">
        <f ca="1">AVERAGE(OFFSET($AM$3,0,0,'Données projet'!$E$10+1,1))-AVERAGE(OFFSET($H$3,0,0,'Données projet'!$E$10+1,1))</f>
        <v>302.20483575440988</v>
      </c>
      <c r="AO7" s="60">
        <f t="shared" si="36"/>
        <v>275.32862097158687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3.5</v>
      </c>
      <c r="BD7" s="13">
        <f>IF('Données projet'!$A$88&gt;35,BD6+BC7-BL6,IF(A7&lt;'Données projet'!$A$88,$BA$205^A7,IF(A7='Données projet'!$A$88,'Données projet'!$B$88,BD6+BC7-BL6)))</f>
        <v>4.1459801431212595</v>
      </c>
      <c r="BE7" s="14">
        <f>BD7*VLOOKUP('Données projet'!$B$11,Paramètres!$A$1:$I$89,3,0)*VLOOKUP('Données projet'!$B$11,Paramètres!$A$1:$I$89,5,0)</f>
        <v>3.6219282530307328</v>
      </c>
      <c r="BF7" s="14">
        <f t="shared" si="37"/>
        <v>1.4369157669903438</v>
      </c>
      <c r="BG7" s="22">
        <f t="shared" si="7"/>
        <v>8.8108200015367082</v>
      </c>
      <c r="BH7" s="60">
        <f t="shared" si="8"/>
        <v>302.14415333487</v>
      </c>
      <c r="BI7" s="60">
        <f ca="1">AVERAGE(OFFSET($BH$3,0,0,'Données projet'!$E$11+1,1))-AVERAGE(OFFSET($H$3,0,0,'Données projet'!$E$11+1,1))</f>
        <v>314.62110015707839</v>
      </c>
      <c r="BJ7" s="60">
        <f t="shared" si="38"/>
        <v>285.36905470736582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2.1</v>
      </c>
      <c r="BY7" s="13">
        <f>IF('Données projet'!$A$114&gt;35,BY6+BX7-CG6,IF(A7&lt;'Données projet'!$A$114,$BV$205^A7,IF(A7='Données projet'!$A$114,'Données projet'!$B$114,BY6+BX7-CG6)))</f>
        <v>2.1117857649667546</v>
      </c>
      <c r="BZ7" s="14">
        <f>BY7*VLOOKUP('Données projet'!$B$12,Paramètres!$A$1:$I$89,3,0)*VLOOKUP('Données projet'!$B$12,Paramètres!$A$1:$I$89,5,0)</f>
        <v>1.9107437601419195</v>
      </c>
      <c r="CA7" s="14">
        <f t="shared" si="39"/>
        <v>0.81662477151702284</v>
      </c>
      <c r="CB7" s="22">
        <f t="shared" si="10"/>
        <v>4.7501668593059909</v>
      </c>
      <c r="CC7" s="60">
        <f t="shared" si="11"/>
        <v>298.08350019263929</v>
      </c>
      <c r="CD7" s="60">
        <f ca="1">AVERAGE(OFFSET($CC$3,0,0,'Données projet'!$E$12+1,1))-AVERAGE(OFFSET($H$3,0,0,'Données projet'!$E$12+1,1))</f>
        <v>303.73499739059076</v>
      </c>
      <c r="CE7" s="60">
        <f t="shared" si="40"/>
        <v>172.32171001882188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2.1</v>
      </c>
      <c r="CT7" s="13">
        <f>IF('Données projet'!$A$140&gt;35,CT6+CS7-DB6,IF(A7&lt;'Données projet'!$A$140,$CQ$205^A7,IF(A7='Données projet'!$A$140,'Données projet'!$B$140,CT6+CS7-DB6)))</f>
        <v>2.1117857649667546</v>
      </c>
      <c r="CU7" s="18">
        <f>CT7*VLOOKUP('Données projet'!$B$13,Paramètres!$A$1:$I$89,3,0)*VLOOKUP('Données projet'!$B$13,Paramètres!$A$1:$I$89,5,0)</f>
        <v>2.1413507656762891</v>
      </c>
      <c r="CV7" s="14">
        <f t="shared" si="41"/>
        <v>0.9031249003236328</v>
      </c>
      <c r="CW7" s="22">
        <f t="shared" si="13"/>
        <v>5.3024617849498643</v>
      </c>
      <c r="CX7" s="60">
        <f t="shared" si="14"/>
        <v>298.63579511828317</v>
      </c>
      <c r="CY7" s="60">
        <f ca="1">AVERAGE(OFFSET($CX$3,0,0,'Données projet'!$E$13+1,1))-AVERAGE(OFFSET($H$3,0,0,'Données projet'!$E$13+1,1))</f>
        <v>350.3652766444938</v>
      </c>
      <c r="CZ7" s="60">
        <f t="shared" si="42"/>
        <v>197.04549436738586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2.1</v>
      </c>
      <c r="DO7" s="13">
        <f>IF('Données projet'!$A$166&gt;35,DO6+DN7-DW6,IF(A7&lt;'Données projet'!$A$166,$DL$205^A7,IF(A7='Données projet'!$A$166,'Données projet'!$B$166,DO6+DN7-DW6)))</f>
        <v>2.1117857649667546</v>
      </c>
      <c r="DP7" s="18">
        <f>DO7*VLOOKUP('Données projet'!$B$14,Paramètres!$A$1:$I$89,3,0)*VLOOKUP('Données projet'!$B$14,Paramètres!$A$1:$I$89,5,0)</f>
        <v>2.2731261974102144</v>
      </c>
      <c r="DQ7" s="14">
        <f t="shared" si="43"/>
        <v>0.95206068424520052</v>
      </c>
      <c r="DR7" s="22">
        <f t="shared" si="16"/>
        <v>5.617200485549847</v>
      </c>
      <c r="DS7" s="60">
        <f t="shared" si="17"/>
        <v>298.95053381888317</v>
      </c>
      <c r="DT7" s="60">
        <f ca="1">AVERAGE(OFFSET($DS$3,0,0,'Données projet'!$E$14+1,1))-AVERAGE(OFFSET($H$3,0,0,'Données projet'!$E$14+1,1))</f>
        <v>376.96388721258387</v>
      </c>
      <c r="DU7" s="60">
        <f t="shared" si="44"/>
        <v>211.14628470344377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2.1</v>
      </c>
      <c r="EJ7" s="13">
        <f>IF('Données projet'!$A$192&gt;35,EJ6+EI7-ER6,IF(A7&lt;'Données projet'!$A$192,$EG$205^A7,IF(A7='Données projet'!$A$192,'Données projet'!$B$192,EJ6+EI7-ER6)))</f>
        <v>2.1117857649667546</v>
      </c>
      <c r="EK7" s="18">
        <f>EJ7*VLOOKUP('Données projet'!$B$15,Paramètres!$A$1:$I$89,3,0)*VLOOKUP('Données projet'!$B$15,Paramètres!$A$1:$I$89,5,0)</f>
        <v>2.042519191875845</v>
      </c>
      <c r="EL7" s="14">
        <f t="shared" si="45"/>
        <v>0.86619340226463792</v>
      </c>
      <c r="EM7" s="22">
        <f t="shared" si="19"/>
        <v>5.0660077681280073</v>
      </c>
      <c r="EN7" s="60">
        <f t="shared" si="20"/>
        <v>298.39934110146135</v>
      </c>
      <c r="EO7" s="60">
        <f ca="1">AVERAGE(OFFSET($EN$3,0,0,'Données projet'!$E$15+1,1))-AVERAGE(OFFSET($H$3,0,0,'Données projet'!$E$15+1,1))</f>
        <v>330.39429528665841</v>
      </c>
      <c r="EP7" s="60">
        <f t="shared" si="46"/>
        <v>186.45728006007261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8">
        <f t="shared" si="1"/>
        <v>300.03752578811759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3.2416666666666667</v>
      </c>
      <c r="N8" s="14">
        <f>IF('Données projet'!$A$36&gt;35,N7+M8-V7,IF(A8&lt;'Données projet'!$A$36,$K$205^A8,IF(A8='Données projet'!$A$36,'Données projet'!$B$36,N7+M8-V7)))</f>
        <v>4.5970475988228996</v>
      </c>
      <c r="O8" s="14">
        <f>N8*VLOOKUP('Données projet'!$B$9,Paramètres!$A$1:$I$89,3,0)*VLOOKUP('Données projet'!$B$9,Paramètres!$A$1:$I$89,5,0)</f>
        <v>2.749034464096094</v>
      </c>
      <c r="P8" s="14">
        <f t="shared" si="33"/>
        <v>1.126190023919071</v>
      </c>
      <c r="Q8" s="22">
        <f t="shared" si="2"/>
        <v>6.7493493166264118</v>
      </c>
      <c r="R8" s="60">
        <f t="shared" si="0"/>
        <v>300.08268264995974</v>
      </c>
      <c r="S8" s="60">
        <f ca="1">AVERAGE(OFFSET($R$3,0,0,'Données projet'!$E$9+1,1))-AVERAGE(OFFSET($H$3,0,0,'Données projet'!$E$9+1,1))</f>
        <v>155.11440101086782</v>
      </c>
      <c r="T8" s="60">
        <f t="shared" si="34"/>
        <v>239.53454701506638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10</v>
      </c>
      <c r="AI8" s="14">
        <f>IF('Données projet'!$A$62&gt;35,AI7+AH8-AQ7,IF(A8&lt;'Données projet'!$A$62,$AF$205^A8,IF(A8='Données projet'!$A$62,'Données projet'!$B$62,AI7+AH8-AQ7)))</f>
        <v>3.5719827745457646</v>
      </c>
      <c r="AJ8" s="14">
        <f>AI8*VLOOKUP('Données projet'!$B$10,Paramètres!$A$1:$I$89,3,0)*VLOOKUP('Données projet'!$B$10,Paramètres!$A$1:$I$89,5,0)</f>
        <v>1.9967383709710824</v>
      </c>
      <c r="AK8" s="14">
        <f t="shared" si="35"/>
        <v>0.84901594219430265</v>
      </c>
      <c r="AL8" s="22">
        <f t="shared" si="4"/>
        <v>4.9563554287630449</v>
      </c>
      <c r="AM8" s="60">
        <f t="shared" si="5"/>
        <v>298.28968876209638</v>
      </c>
      <c r="AN8" s="60">
        <f ca="1">AVERAGE(OFFSET($AM$3,0,0,'Données projet'!$E$10+1,1))-AVERAGE(OFFSET($H$3,0,0,'Données projet'!$E$10+1,1))</f>
        <v>302.20483575440988</v>
      </c>
      <c r="AO8" s="60">
        <f t="shared" si="36"/>
        <v>275.32862097158687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3.5</v>
      </c>
      <c r="BD8" s="13">
        <f>IF('Données projet'!$A$88&gt;35,BD7+BC8-BL7,IF(A8&lt;'Données projet'!$A$88,$BA$205^A8,IF(A8='Données projet'!$A$88,'Données projet'!$B$88,BD7+BC8-BL7)))</f>
        <v>5.9160797830996152</v>
      </c>
      <c r="BE8" s="14">
        <f>BD8*VLOOKUP('Données projet'!$B$11,Paramètres!$A$1:$I$89,3,0)*VLOOKUP('Données projet'!$B$11,Paramètres!$A$1:$I$89,5,0)</f>
        <v>5.1682872985158239</v>
      </c>
      <c r="BF8" s="14">
        <f t="shared" si="37"/>
        <v>1.967275406006004</v>
      </c>
      <c r="BG8" s="22">
        <f t="shared" si="7"/>
        <v>12.427771710375517</v>
      </c>
      <c r="BH8" s="60">
        <f t="shared" si="8"/>
        <v>305.76110504370882</v>
      </c>
      <c r="BI8" s="60">
        <f ca="1">AVERAGE(OFFSET($BH$3,0,0,'Données projet'!$E$11+1,1))-AVERAGE(OFFSET($H$3,0,0,'Données projet'!$E$11+1,1))</f>
        <v>314.62110015707839</v>
      </c>
      <c r="BJ8" s="60">
        <f t="shared" si="38"/>
        <v>285.36905470736582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2.1</v>
      </c>
      <c r="BY8" s="13">
        <f>IF('Données projet'!$A$114&gt;35,BY7+BX8-CG7,IF(A8&lt;'Données projet'!$A$114,$BV$205^A8,IF(A8='Données projet'!$A$114,'Données projet'!$B$114,BY7+BX8-CG7)))</f>
        <v>2.5457298950218314</v>
      </c>
      <c r="BZ8" s="14">
        <f>BY8*VLOOKUP('Données projet'!$B$12,Paramètres!$A$1:$I$89,3,0)*VLOOKUP('Données projet'!$B$12,Paramètres!$A$1:$I$89,5,0)</f>
        <v>2.3033764090157529</v>
      </c>
      <c r="CA8" s="14">
        <f t="shared" si="39"/>
        <v>0.96324708482559218</v>
      </c>
      <c r="CB8" s="22">
        <f t="shared" si="10"/>
        <v>5.6893692517736758</v>
      </c>
      <c r="CC8" s="60">
        <f t="shared" si="11"/>
        <v>299.02270258510697</v>
      </c>
      <c r="CD8" s="60">
        <f ca="1">AVERAGE(OFFSET($CC$3,0,0,'Données projet'!$E$12+1,1))-AVERAGE(OFFSET($H$3,0,0,'Données projet'!$E$12+1,1))</f>
        <v>303.73499739059076</v>
      </c>
      <c r="CE8" s="60">
        <f t="shared" si="40"/>
        <v>172.32171001882188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2.1</v>
      </c>
      <c r="CT8" s="13">
        <f>IF('Données projet'!$A$140&gt;35,CT7+CS8-DB7,IF(A8&lt;'Données projet'!$A$140,$CQ$205^A8,IF(A8='Données projet'!$A$140,'Données projet'!$B$140,CT7+CS8-DB7)))</f>
        <v>2.5457298950218314</v>
      </c>
      <c r="CU8" s="18">
        <f>CT8*VLOOKUP('Données projet'!$B$13,Paramètres!$A$1:$I$89,3,0)*VLOOKUP('Données projet'!$B$13,Paramètres!$A$1:$I$89,5,0)</f>
        <v>2.5813701135521372</v>
      </c>
      <c r="CV8" s="14">
        <f t="shared" si="41"/>
        <v>1.0652780295337991</v>
      </c>
      <c r="CW8" s="22">
        <f t="shared" si="13"/>
        <v>6.3512455158746723</v>
      </c>
      <c r="CX8" s="60">
        <f t="shared" si="14"/>
        <v>299.68457884920798</v>
      </c>
      <c r="CY8" s="60">
        <f ca="1">AVERAGE(OFFSET($CX$3,0,0,'Données projet'!$E$13+1,1))-AVERAGE(OFFSET($H$3,0,0,'Données projet'!$E$13+1,1))</f>
        <v>350.3652766444938</v>
      </c>
      <c r="CZ8" s="60">
        <f t="shared" si="42"/>
        <v>197.04549436738586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2.1</v>
      </c>
      <c r="DO8" s="13">
        <f>IF('Données projet'!$A$166&gt;35,DO7+DN8-DW7,IF(A8&lt;'Données projet'!$A$166,$DL$205^A8,IF(A8='Données projet'!$A$166,'Données projet'!$B$166,DO7+DN8-DW7)))</f>
        <v>2.5457298950218314</v>
      </c>
      <c r="DP8" s="18">
        <f>DO8*VLOOKUP('Données projet'!$B$14,Paramètres!$A$1:$I$89,3,0)*VLOOKUP('Données projet'!$B$14,Paramètres!$A$1:$I$89,5,0)</f>
        <v>2.740223659001499</v>
      </c>
      <c r="DQ8" s="14">
        <f t="shared" si="43"/>
        <v>1.1230000737947632</v>
      </c>
      <c r="DR8" s="22">
        <f t="shared" si="16"/>
        <v>6.7284480012868242</v>
      </c>
      <c r="DS8" s="60">
        <f t="shared" si="17"/>
        <v>300.06178133462015</v>
      </c>
      <c r="DT8" s="60">
        <f ca="1">AVERAGE(OFFSET($DS$3,0,0,'Données projet'!$E$14+1,1))-AVERAGE(OFFSET($H$3,0,0,'Données projet'!$E$14+1,1))</f>
        <v>376.96388721258387</v>
      </c>
      <c r="DU8" s="60">
        <f t="shared" si="44"/>
        <v>211.14628470344377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2.1</v>
      </c>
      <c r="EJ8" s="13">
        <f>IF('Données projet'!$A$192&gt;35,EJ7+EI8-ER7,IF(A8&lt;'Données projet'!$A$192,$EG$205^A8,IF(A8='Données projet'!$A$192,'Données projet'!$B$192,EJ7+EI8-ER7)))</f>
        <v>2.5457298950218314</v>
      </c>
      <c r="EK8" s="18">
        <f>EJ8*VLOOKUP('Données projet'!$B$15,Paramètres!$A$1:$I$89,3,0)*VLOOKUP('Données projet'!$B$15,Paramètres!$A$1:$I$89,5,0)</f>
        <v>2.4622299544651152</v>
      </c>
      <c r="EL8" s="14">
        <f t="shared" si="45"/>
        <v>1.021715601495419</v>
      </c>
      <c r="EM8" s="22">
        <f t="shared" si="19"/>
        <v>6.0678718432979295</v>
      </c>
      <c r="EN8" s="60">
        <f t="shared" si="20"/>
        <v>299.40120517663127</v>
      </c>
      <c r="EO8" s="60">
        <f ca="1">AVERAGE(OFFSET($EN$3,0,0,'Données projet'!$E$15+1,1))-AVERAGE(OFFSET($H$3,0,0,'Données projet'!$E$15+1,1))</f>
        <v>330.39429528665841</v>
      </c>
      <c r="EP8" s="60">
        <f t="shared" si="46"/>
        <v>186.45728006007261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8">
        <f t="shared" si="1"/>
        <v>301.3292415520861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3.2416666666666667</v>
      </c>
      <c r="N9" s="14">
        <f>IF('Données projet'!$A$36&gt;35,N8+M9-V8,IF(A9&lt;'Données projet'!$A$36,$K$205^A9,IF(A9='Données projet'!$A$36,'Données projet'!$B$36,N8+M9-V8)))</f>
        <v>6.2369864518050697</v>
      </c>
      <c r="O9" s="14">
        <f>N9*VLOOKUP('Données projet'!$B$9,Paramètres!$A$1:$I$89,3,0)*VLOOKUP('Données projet'!$B$9,Paramètres!$A$1:$I$89,5,0)</f>
        <v>3.7297178981794317</v>
      </c>
      <c r="P9" s="14">
        <f t="shared" si="33"/>
        <v>1.4746364511389511</v>
      </c>
      <c r="Q9" s="22">
        <f t="shared" si="2"/>
        <v>9.0642504917295152</v>
      </c>
      <c r="R9" s="60">
        <f t="shared" si="0"/>
        <v>302.39758382506284</v>
      </c>
      <c r="S9" s="60">
        <f ca="1">AVERAGE(OFFSET($R$3,0,0,'Données projet'!$E$9+1,1))-AVERAGE(OFFSET($H$3,0,0,'Données projet'!$E$9+1,1))</f>
        <v>155.11440101086782</v>
      </c>
      <c r="T9" s="60">
        <f t="shared" si="34"/>
        <v>239.53454701506638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10</v>
      </c>
      <c r="AI9" s="14">
        <f>IF('Données projet'!$A$62&gt;35,AI8+AH9-AQ8,IF(A9&lt;'Données projet'!$A$62,$AF$205^A9,IF(A9='Données projet'!$A$62,'Données projet'!$B$62,AI8+AH9-AQ8)))</f>
        <v>4.607774606956629</v>
      </c>
      <c r="AJ9" s="14">
        <f>AI9*VLOOKUP('Données projet'!$B$10,Paramètres!$A$1:$I$89,3,0)*VLOOKUP('Données projet'!$B$10,Paramètres!$A$1:$I$89,5,0)</f>
        <v>2.5757460052887557</v>
      </c>
      <c r="AK9" s="14">
        <f t="shared" si="35"/>
        <v>1.0632269751181105</v>
      </c>
      <c r="AL9" s="22">
        <f t="shared" si="4"/>
        <v>6.3378779408752912</v>
      </c>
      <c r="AM9" s="60">
        <f t="shared" si="5"/>
        <v>299.67121127420859</v>
      </c>
      <c r="AN9" s="60">
        <f ca="1">AVERAGE(OFFSET($AM$3,0,0,'Données projet'!$E$10+1,1))-AVERAGE(OFFSET($H$3,0,0,'Données projet'!$E$10+1,1))</f>
        <v>302.20483575440988</v>
      </c>
      <c r="AO9" s="60">
        <f t="shared" si="36"/>
        <v>275.32862097158687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3.5</v>
      </c>
      <c r="BD9" s="13">
        <f>IF('Données projet'!$A$88&gt;35,BD8+BC9-BL8,IF(A9&lt;'Données projet'!$A$88,$BA$205^A9,IF(A9='Données projet'!$A$88,'Données projet'!$B$88,BD8+BC9-BL8)))</f>
        <v>8.4419121152979262</v>
      </c>
      <c r="BE9" s="14">
        <f>BD9*VLOOKUP('Données projet'!$B$11,Paramètres!$A$1:$I$89,3,0)*VLOOKUP('Données projet'!$B$11,Paramètres!$A$1:$I$89,5,0)</f>
        <v>7.3748544239242699</v>
      </c>
      <c r="BF9" s="14">
        <f t="shared" si="37"/>
        <v>2.6933885840659002</v>
      </c>
      <c r="BG9" s="22">
        <f t="shared" si="7"/>
        <v>17.535523238916209</v>
      </c>
      <c r="BH9" s="60">
        <f t="shared" si="8"/>
        <v>310.86885657224951</v>
      </c>
      <c r="BI9" s="60">
        <f ca="1">AVERAGE(OFFSET($BH$3,0,0,'Données projet'!$E$11+1,1))-AVERAGE(OFFSET($H$3,0,0,'Données projet'!$E$11+1,1))</f>
        <v>314.62110015707839</v>
      </c>
      <c r="BJ9" s="60">
        <f t="shared" si="38"/>
        <v>285.36905470736582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2.1</v>
      </c>
      <c r="BY9" s="13">
        <f>IF('Données projet'!$A$114&gt;35,BY8+BX9-CG8,IF(A9&lt;'Données projet'!$A$114,$BV$205^A9,IF(A9='Données projet'!$A$114,'Données projet'!$B$114,BY8+BX9-CG8)))</f>
        <v>3.0688438220956993</v>
      </c>
      <c r="BZ9" s="14">
        <f>BY9*VLOOKUP('Données projet'!$B$12,Paramètres!$A$1:$I$89,3,0)*VLOOKUP('Données projet'!$B$12,Paramètres!$A$1:$I$89,5,0)</f>
        <v>2.7766898902321886</v>
      </c>
      <c r="CA9" s="14">
        <f t="shared" si="39"/>
        <v>1.1361949561012803</v>
      </c>
      <c r="CB9" s="22">
        <f t="shared" si="10"/>
        <v>6.8149411073641248</v>
      </c>
      <c r="CC9" s="60">
        <f t="shared" si="11"/>
        <v>300.14827444069743</v>
      </c>
      <c r="CD9" s="60">
        <f ca="1">AVERAGE(OFFSET($CC$3,0,0,'Données projet'!$E$12+1,1))-AVERAGE(OFFSET($H$3,0,0,'Données projet'!$E$12+1,1))</f>
        <v>303.73499739059076</v>
      </c>
      <c r="CE9" s="60">
        <f t="shared" si="40"/>
        <v>172.32171001882188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2.1</v>
      </c>
      <c r="CT9" s="13">
        <f>IF('Données projet'!$A$140&gt;35,CT8+CS9-DB8,IF(A9&lt;'Données projet'!$A$140,$CQ$205^A9,IF(A9='Données projet'!$A$140,'Données projet'!$B$140,CT8+CS9-DB8)))</f>
        <v>3.0688438220956993</v>
      </c>
      <c r="CU9" s="18">
        <f>CT9*VLOOKUP('Données projet'!$B$13,Paramètres!$A$1:$I$89,3,0)*VLOOKUP('Données projet'!$B$13,Paramètres!$A$1:$I$89,5,0)</f>
        <v>3.111807635605039</v>
      </c>
      <c r="CV9" s="14">
        <f t="shared" si="41"/>
        <v>1.2565452240335246</v>
      </c>
      <c r="CW9" s="22">
        <f t="shared" si="13"/>
        <v>7.6082145638704972</v>
      </c>
      <c r="CX9" s="60">
        <f t="shared" si="14"/>
        <v>300.9415478972038</v>
      </c>
      <c r="CY9" s="60">
        <f ca="1">AVERAGE(OFFSET($CX$3,0,0,'Données projet'!$E$13+1,1))-AVERAGE(OFFSET($H$3,0,0,'Données projet'!$E$13+1,1))</f>
        <v>350.3652766444938</v>
      </c>
      <c r="CZ9" s="60">
        <f t="shared" si="42"/>
        <v>197.04549436738586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2.1</v>
      </c>
      <c r="DO9" s="13">
        <f>IF('Données projet'!$A$166&gt;35,DO8+DN9-DW8,IF(A9&lt;'Données projet'!$A$166,$DL$205^A9,IF(A9='Données projet'!$A$166,'Données projet'!$B$166,DO8+DN9-DW8)))</f>
        <v>3.0688438220956993</v>
      </c>
      <c r="DP9" s="18">
        <f>DO9*VLOOKUP('Données projet'!$B$14,Paramètres!$A$1:$I$89,3,0)*VLOOKUP('Données projet'!$B$14,Paramètres!$A$1:$I$89,5,0)</f>
        <v>3.3033034901038101</v>
      </c>
      <c r="DQ9" s="14">
        <f t="shared" si="43"/>
        <v>1.3246310730107231</v>
      </c>
      <c r="DR9" s="22">
        <f t="shared" si="16"/>
        <v>8.0603193640911446</v>
      </c>
      <c r="DS9" s="60">
        <f t="shared" si="17"/>
        <v>301.39365269742444</v>
      </c>
      <c r="DT9" s="60">
        <f ca="1">AVERAGE(OFFSET($DS$3,0,0,'Données projet'!$E$14+1,1))-AVERAGE(OFFSET($H$3,0,0,'Données projet'!$E$14+1,1))</f>
        <v>376.96388721258387</v>
      </c>
      <c r="DU9" s="60">
        <f t="shared" si="44"/>
        <v>211.14628470344377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2.1</v>
      </c>
      <c r="EJ9" s="13">
        <f>IF('Données projet'!$A$192&gt;35,EJ8+EI9-ER8,IF(A9&lt;'Données projet'!$A$192,$EG$205^A9,IF(A9='Données projet'!$A$192,'Données projet'!$B$192,EJ8+EI9-ER8)))</f>
        <v>3.0688438220956993</v>
      </c>
      <c r="EK9" s="18">
        <f>EJ9*VLOOKUP('Données projet'!$B$15,Paramètres!$A$1:$I$89,3,0)*VLOOKUP('Données projet'!$B$15,Paramètres!$A$1:$I$89,5,0)</f>
        <v>2.9681857447309605</v>
      </c>
      <c r="EL9" s="14">
        <f t="shared" si="45"/>
        <v>1.2051613041728233</v>
      </c>
      <c r="EM9" s="22">
        <f t="shared" si="19"/>
        <v>7.2685794435074236</v>
      </c>
      <c r="EN9" s="60">
        <f t="shared" si="20"/>
        <v>300.60191277684072</v>
      </c>
      <c r="EO9" s="60">
        <f ca="1">AVERAGE(OFFSET($EN$3,0,0,'Données projet'!$E$15+1,1))-AVERAGE(OFFSET($H$3,0,0,'Données projet'!$E$15+1,1))</f>
        <v>330.39429528665841</v>
      </c>
      <c r="EP9" s="60">
        <f t="shared" si="46"/>
        <v>186.45728006007261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8">
        <f t="shared" si="1"/>
        <v>302.6143780343051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3.2416666666666667</v>
      </c>
      <c r="N10" s="14">
        <f>IF('Données projet'!$A$36&gt;35,N9+M10-V9,IF(A10&lt;'Données projet'!$A$36,$K$205^A10,IF(A10='Données projet'!$A$36,'Données projet'!$B$36,N9+M10-V9)))</f>
        <v>8.4619528433772508</v>
      </c>
      <c r="O10" s="14">
        <f>N10*VLOOKUP('Données projet'!$B$9,Paramètres!$A$1:$I$89,3,0)*VLOOKUP('Données projet'!$B$9,Paramètres!$A$1:$I$89,5,0)</f>
        <v>5.0602478003395959</v>
      </c>
      <c r="P10" s="14">
        <f t="shared" si="33"/>
        <v>1.9308932034936452</v>
      </c>
      <c r="Q10" s="22">
        <f t="shared" si="2"/>
        <v>12.176237248342895</v>
      </c>
      <c r="R10" s="60">
        <f t="shared" si="0"/>
        <v>305.5095705816762</v>
      </c>
      <c r="S10" s="60">
        <f ca="1">AVERAGE(OFFSET($R$3,0,0,'Données projet'!$E$9+1,1))-AVERAGE(OFFSET($H$3,0,0,'Données projet'!$E$9+1,1))</f>
        <v>155.11440101086782</v>
      </c>
      <c r="T10" s="60">
        <f t="shared" si="34"/>
        <v>239.53454701506638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10</v>
      </c>
      <c r="AI10" s="14">
        <f>IF('Données projet'!$A$62&gt;35,AI9+AH10-AQ9,IF(A10&lt;'Données projet'!$A$62,$AF$205^A10,IF(A10='Données projet'!$A$62,'Données projet'!$B$62,AI9+AH10-AQ9)))</f>
        <v>5.9439219527631275</v>
      </c>
      <c r="AJ10" s="14">
        <f>AI10*VLOOKUP('Données projet'!$B$10,Paramètres!$A$1:$I$89,3,0)*VLOOKUP('Données projet'!$B$10,Paramètres!$A$1:$I$89,5,0)</f>
        <v>3.3226523715945881</v>
      </c>
      <c r="AK10" s="14">
        <f t="shared" si="35"/>
        <v>1.3314845392621566</v>
      </c>
      <c r="AL10" s="22">
        <f t="shared" si="4"/>
        <v>8.1059551197421627</v>
      </c>
      <c r="AM10" s="60">
        <f t="shared" si="5"/>
        <v>301.43928845307551</v>
      </c>
      <c r="AN10" s="60">
        <f ca="1">AVERAGE(OFFSET($AM$3,0,0,'Données projet'!$E$10+1,1))-AVERAGE(OFFSET($H$3,0,0,'Données projet'!$E$10+1,1))</f>
        <v>302.20483575440988</v>
      </c>
      <c r="AO10" s="60">
        <f t="shared" si="36"/>
        <v>275.32862097158687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3.5</v>
      </c>
      <c r="BD10" s="13">
        <f>IF('Données projet'!$A$88&gt;35,BD9+BC10-BL9,IF(A10&lt;'Données projet'!$A$88,$BA$205^A10,IF(A10='Données projet'!$A$88,'Données projet'!$B$88,BD9+BC10-BL9)))</f>
        <v>12.04613236724734</v>
      </c>
      <c r="BE10" s="14">
        <f>BD10*VLOOKUP('Données projet'!$B$11,Paramètres!$A$1:$I$89,3,0)*VLOOKUP('Données projet'!$B$11,Paramètres!$A$1:$I$89,5,0)</f>
        <v>10.523501236027279</v>
      </c>
      <c r="BF10" s="14">
        <f t="shared" si="37"/>
        <v>3.6875071190486755</v>
      </c>
      <c r="BG10" s="22">
        <f t="shared" si="7"/>
        <v>24.750839551757284</v>
      </c>
      <c r="BH10" s="60">
        <f t="shared" si="8"/>
        <v>318.0841728850906</v>
      </c>
      <c r="BI10" s="60">
        <f ca="1">AVERAGE(OFFSET($BH$3,0,0,'Données projet'!$E$11+1,1))-AVERAGE(OFFSET($H$3,0,0,'Données projet'!$E$11+1,1))</f>
        <v>314.62110015707839</v>
      </c>
      <c r="BJ10" s="60">
        <f t="shared" si="38"/>
        <v>285.36905470736582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2.1</v>
      </c>
      <c r="BY10" s="13">
        <f>IF('Données projet'!$A$114&gt;35,BY9+BX10-CG9,IF(A10&lt;'Données projet'!$A$114,$BV$205^A10,IF(A10='Données projet'!$A$114,'Données projet'!$B$114,BY9+BX10-CG9)))</f>
        <v>3.6994507637402658</v>
      </c>
      <c r="BZ10" s="14">
        <f>BY10*VLOOKUP('Données projet'!$B$12,Paramètres!$A$1:$I$89,3,0)*VLOOKUP('Données projet'!$B$12,Paramètres!$A$1:$I$89,5,0)</f>
        <v>3.3472630510321921</v>
      </c>
      <c r="CA10" s="14">
        <f t="shared" si="39"/>
        <v>1.34019505338418</v>
      </c>
      <c r="CB10" s="22">
        <f t="shared" si="10"/>
        <v>8.1639895318585136</v>
      </c>
      <c r="CC10" s="60">
        <f t="shared" si="11"/>
        <v>301.49732286519185</v>
      </c>
      <c r="CD10" s="60">
        <f ca="1">AVERAGE(OFFSET($CC$3,0,0,'Données projet'!$E$12+1,1))-AVERAGE(OFFSET($H$3,0,0,'Données projet'!$E$12+1,1))</f>
        <v>303.73499739059076</v>
      </c>
      <c r="CE10" s="60">
        <f t="shared" si="40"/>
        <v>172.32171001882188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2.1</v>
      </c>
      <c r="CT10" s="13">
        <f>IF('Données projet'!$A$140&gt;35,CT9+CS10-DB9,IF(A10&lt;'Données projet'!$A$140,$CQ$205^A10,IF(A10='Données projet'!$A$140,'Données projet'!$B$140,CT9+CS10-DB9)))</f>
        <v>3.6994507637402658</v>
      </c>
      <c r="CU10" s="18">
        <f>CT10*VLOOKUP('Données projet'!$B$13,Paramètres!$A$1:$I$89,3,0)*VLOOKUP('Données projet'!$B$13,Paramètres!$A$1:$I$89,5,0)</f>
        <v>3.7512430744326299</v>
      </c>
      <c r="CV10" s="14">
        <f t="shared" si="41"/>
        <v>1.4821538192545303</v>
      </c>
      <c r="CW10" s="22">
        <f t="shared" si="13"/>
        <v>9.1148329231718037</v>
      </c>
      <c r="CX10" s="60">
        <f t="shared" si="14"/>
        <v>302.44816625650515</v>
      </c>
      <c r="CY10" s="60">
        <f ca="1">AVERAGE(OFFSET($CX$3,0,0,'Données projet'!$E$13+1,1))-AVERAGE(OFFSET($H$3,0,0,'Données projet'!$E$13+1,1))</f>
        <v>350.3652766444938</v>
      </c>
      <c r="CZ10" s="60">
        <f t="shared" si="42"/>
        <v>197.04549436738586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2.1</v>
      </c>
      <c r="DO10" s="13">
        <f>IF('Données projet'!$A$166&gt;35,DO9+DN10-DW9,IF(A10&lt;'Données projet'!$A$166,$DL$205^A10,IF(A10='Données projet'!$A$166,'Données projet'!$B$166,DO9+DN10-DW9)))</f>
        <v>3.6994507637402658</v>
      </c>
      <c r="DP10" s="18">
        <f>DO10*VLOOKUP('Données projet'!$B$14,Paramètres!$A$1:$I$89,3,0)*VLOOKUP('Données projet'!$B$14,Paramètres!$A$1:$I$89,5,0)</f>
        <v>3.982088802090022</v>
      </c>
      <c r="DQ10" s="14">
        <f t="shared" si="43"/>
        <v>1.5624642602705792</v>
      </c>
      <c r="DR10" s="22">
        <f t="shared" si="16"/>
        <v>9.6567632502780452</v>
      </c>
      <c r="DS10" s="60">
        <f t="shared" si="17"/>
        <v>302.99009658361138</v>
      </c>
      <c r="DT10" s="60">
        <f ca="1">AVERAGE(OFFSET($DS$3,0,0,'Données projet'!$E$14+1,1))-AVERAGE(OFFSET($H$3,0,0,'Données projet'!$E$14+1,1))</f>
        <v>376.96388721258387</v>
      </c>
      <c r="DU10" s="60">
        <f t="shared" si="44"/>
        <v>211.14628470344377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2.1</v>
      </c>
      <c r="EJ10" s="13">
        <f>IF('Données projet'!$A$192&gt;35,EJ9+EI10-ER9,IF(A10&lt;'Données projet'!$A$192,$EG$205^A10,IF(A10='Données projet'!$A$192,'Données projet'!$B$192,EJ9+EI10-ER9)))</f>
        <v>3.6994507637402658</v>
      </c>
      <c r="EK10" s="18">
        <f>EJ10*VLOOKUP('Données projet'!$B$15,Paramètres!$A$1:$I$89,3,0)*VLOOKUP('Données projet'!$B$15,Paramètres!$A$1:$I$89,5,0)</f>
        <v>3.5781087786895851</v>
      </c>
      <c r="EL10" s="14">
        <f t="shared" si="45"/>
        <v>1.4215440842341414</v>
      </c>
      <c r="EM10" s="22">
        <f t="shared" si="19"/>
        <v>8.707728736258824</v>
      </c>
      <c r="EN10" s="60">
        <f t="shared" si="20"/>
        <v>302.04106206959216</v>
      </c>
      <c r="EO10" s="60">
        <f ca="1">AVERAGE(OFFSET($EN$3,0,0,'Données projet'!$E$15+1,1))-AVERAGE(OFFSET($H$3,0,0,'Données projet'!$E$15+1,1))</f>
        <v>330.39429528665841</v>
      </c>
      <c r="EP10" s="60">
        <f t="shared" si="46"/>
        <v>186.45728006007261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8">
        <f t="shared" si="1"/>
        <v>303.89398357937728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3.2416666666666667</v>
      </c>
      <c r="N11" s="14">
        <f>IF('Données projet'!$A$36&gt;35,N10+M11-V10,IF(A11&lt;'Données projet'!$A$36,$K$205^A11,IF(A11='Données projet'!$A$36,'Données projet'!$B$36,N10+M11-V10)))</f>
        <v>11.48064798229872</v>
      </c>
      <c r="O11" s="14">
        <f>N11*VLOOKUP('Données projet'!$B$9,Paramètres!$A$1:$I$89,3,0)*VLOOKUP('Données projet'!$B$9,Paramètres!$A$1:$I$89,5,0)</f>
        <v>6.8654274934146358</v>
      </c>
      <c r="P11" s="14">
        <f t="shared" si="33"/>
        <v>2.5283171051538313</v>
      </c>
      <c r="Q11" s="22">
        <f t="shared" si="2"/>
        <v>16.360771842506747</v>
      </c>
      <c r="R11" s="60">
        <f t="shared" si="0"/>
        <v>309.69410517584004</v>
      </c>
      <c r="S11" s="60">
        <f ca="1">AVERAGE(OFFSET($R$3,0,0,'Données projet'!$E$9+1,1))-AVERAGE(OFFSET($H$3,0,0,'Données projet'!$E$9+1,1))</f>
        <v>155.11440101086782</v>
      </c>
      <c r="T11" s="60">
        <f t="shared" si="34"/>
        <v>239.53454701506638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10</v>
      </c>
      <c r="AI11" s="14">
        <f>IF('Données projet'!$A$62&gt;35,AI10+AH11-AQ10,IF(A11&lt;'Données projet'!$A$62,$AF$205^A11,IF(A11='Données projet'!$A$62,'Données projet'!$B$62,AI10+AH11-AQ10)))</f>
        <v>7.6675209171905525</v>
      </c>
      <c r="AJ11" s="14">
        <f>AI11*VLOOKUP('Données projet'!$B$10,Paramètres!$A$1:$I$89,3,0)*VLOOKUP('Données projet'!$B$10,Paramètres!$A$1:$I$89,5,0)</f>
        <v>4.2861441927095187</v>
      </c>
      <c r="AK11" s="14">
        <f t="shared" si="35"/>
        <v>1.6674248488637313</v>
      </c>
      <c r="AL11" s="22">
        <f t="shared" si="4"/>
        <v>10.369132747406743</v>
      </c>
      <c r="AM11" s="60">
        <f t="shared" si="5"/>
        <v>303.70246608074007</v>
      </c>
      <c r="AN11" s="60">
        <f ca="1">AVERAGE(OFFSET($AM$3,0,0,'Données projet'!$E$10+1,1))-AVERAGE(OFFSET($H$3,0,0,'Données projet'!$E$10+1,1))</f>
        <v>302.20483575440988</v>
      </c>
      <c r="AO11" s="60">
        <f t="shared" si="36"/>
        <v>275.32862097158687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3.5</v>
      </c>
      <c r="BD11" s="13">
        <f>IF('Données projet'!$A$88&gt;35,BD10+BC11-BL10,IF(A11&lt;'Données projet'!$A$88,$BA$205^A11,IF(A11='Données projet'!$A$88,'Données projet'!$B$88,BD10+BC11-BL10)))</f>
        <v>17.189151347155779</v>
      </c>
      <c r="BE11" s="14">
        <f>BD11*VLOOKUP('Données projet'!$B$11,Paramètres!$A$1:$I$89,3,0)*VLOOKUP('Données projet'!$B$11,Paramètres!$A$1:$I$89,5,0)</f>
        <v>15.01644261687529</v>
      </c>
      <c r="BF11" s="14">
        <f t="shared" si="37"/>
        <v>5.0485506745958499</v>
      </c>
      <c r="BG11" s="22">
        <f t="shared" si="7"/>
        <v>34.946529982645565</v>
      </c>
      <c r="BH11" s="60">
        <f t="shared" si="8"/>
        <v>328.2798633159789</v>
      </c>
      <c r="BI11" s="60">
        <f ca="1">AVERAGE(OFFSET($BH$3,0,0,'Données projet'!$E$11+1,1))-AVERAGE(OFFSET($H$3,0,0,'Données projet'!$E$11+1,1))</f>
        <v>314.62110015707839</v>
      </c>
      <c r="BJ11" s="60">
        <f t="shared" si="38"/>
        <v>285.36905470736582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2.1</v>
      </c>
      <c r="BY11" s="13">
        <f>IF('Données projet'!$A$114&gt;35,BY10+BX11-CG10,IF(A11&lt;'Données projet'!$A$114,$BV$205^A11,IF(A11='Données projet'!$A$114,'Données projet'!$B$114,BY10+BX11-CG10)))</f>
        <v>4.4596391171162209</v>
      </c>
      <c r="BZ11" s="14">
        <f>BY11*VLOOKUP('Données projet'!$B$12,Paramètres!$A$1:$I$89,3,0)*VLOOKUP('Données projet'!$B$12,Paramètres!$A$1:$I$89,5,0)</f>
        <v>4.0350814731667564</v>
      </c>
      <c r="CA11" s="14">
        <f t="shared" si="39"/>
        <v>1.5808227025391921</v>
      </c>
      <c r="CB11" s="22">
        <f t="shared" si="10"/>
        <v>9.7810331060211926</v>
      </c>
      <c r="CC11" s="60">
        <f t="shared" si="11"/>
        <v>303.11436643935451</v>
      </c>
      <c r="CD11" s="60">
        <f ca="1">AVERAGE(OFFSET($CC$3,0,0,'Données projet'!$E$12+1,1))-AVERAGE(OFFSET($H$3,0,0,'Données projet'!$E$12+1,1))</f>
        <v>303.73499739059076</v>
      </c>
      <c r="CE11" s="60">
        <f t="shared" si="40"/>
        <v>172.32171001882188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2.1</v>
      </c>
      <c r="CT11" s="13">
        <f>IF('Données projet'!$A$140&gt;35,CT10+CS11-DB10,IF(A11&lt;'Données projet'!$A$140,$CQ$205^A11,IF(A11='Données projet'!$A$140,'Données projet'!$B$140,CT10+CS11-DB10)))</f>
        <v>4.4596391171162209</v>
      </c>
      <c r="CU11" s="18">
        <f>CT11*VLOOKUP('Données projet'!$B$13,Paramètres!$A$1:$I$89,3,0)*VLOOKUP('Données projet'!$B$13,Paramètres!$A$1:$I$89,5,0)</f>
        <v>4.5220740647558486</v>
      </c>
      <c r="CV11" s="14">
        <f t="shared" si="41"/>
        <v>1.7482697016499746</v>
      </c>
      <c r="CW11" s="22">
        <f t="shared" si="13"/>
        <v>10.92084872649014</v>
      </c>
      <c r="CX11" s="60">
        <f t="shared" si="14"/>
        <v>304.25418205982345</v>
      </c>
      <c r="CY11" s="60">
        <f ca="1">AVERAGE(OFFSET($CX$3,0,0,'Données projet'!$E$13+1,1))-AVERAGE(OFFSET($H$3,0,0,'Données projet'!$E$13+1,1))</f>
        <v>350.3652766444938</v>
      </c>
      <c r="CZ11" s="60">
        <f t="shared" si="42"/>
        <v>197.04549436738586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2.1</v>
      </c>
      <c r="DO11" s="13">
        <f>IF('Données projet'!$A$166&gt;35,DO10+DN11-DW10,IF(A11&lt;'Données projet'!$A$166,$DL$205^A11,IF(A11='Données projet'!$A$166,'Données projet'!$B$166,DO10+DN11-DW10)))</f>
        <v>4.4596391171162209</v>
      </c>
      <c r="DP11" s="18">
        <f>DO11*VLOOKUP('Données projet'!$B$14,Paramètres!$A$1:$I$89,3,0)*VLOOKUP('Données projet'!$B$14,Paramètres!$A$1:$I$89,5,0)</f>
        <v>4.8003555456638995</v>
      </c>
      <c r="DQ11" s="14">
        <f t="shared" si="43"/>
        <v>1.8429996203200378</v>
      </c>
      <c r="DR11" s="22">
        <f t="shared" si="16"/>
        <v>11.570510247422023</v>
      </c>
      <c r="DS11" s="60">
        <f t="shared" si="17"/>
        <v>304.90384358075534</v>
      </c>
      <c r="DT11" s="60">
        <f ca="1">AVERAGE(OFFSET($DS$3,0,0,'Données projet'!$E$14+1,1))-AVERAGE(OFFSET($H$3,0,0,'Données projet'!$E$14+1,1))</f>
        <v>376.96388721258387</v>
      </c>
      <c r="DU11" s="60">
        <f t="shared" si="44"/>
        <v>211.14628470344377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2.1</v>
      </c>
      <c r="EJ11" s="13">
        <f>IF('Données projet'!$A$192&gt;35,EJ10+EI11-ER10,IF(A11&lt;'Données projet'!$A$192,$EG$205^A11,IF(A11='Données projet'!$A$192,'Données projet'!$B$192,EJ10+EI11-ER10)))</f>
        <v>4.4596391171162209</v>
      </c>
      <c r="EK11" s="18">
        <f>EJ11*VLOOKUP('Données projet'!$B$15,Paramètres!$A$1:$I$89,3,0)*VLOOKUP('Données projet'!$B$15,Paramètres!$A$1:$I$89,5,0)</f>
        <v>4.3133629540748091</v>
      </c>
      <c r="EL11" s="14">
        <f t="shared" si="45"/>
        <v>1.6767776864592203</v>
      </c>
      <c r="EM11" s="22">
        <f t="shared" si="19"/>
        <v>10.432828282263435</v>
      </c>
      <c r="EN11" s="60">
        <f t="shared" si="20"/>
        <v>303.76616161559673</v>
      </c>
      <c r="EO11" s="60">
        <f ca="1">AVERAGE(OFFSET($EN$3,0,0,'Données projet'!$E$15+1,1))-AVERAGE(OFFSET($H$3,0,0,'Données projet'!$E$15+1,1))</f>
        <v>330.39429528665841</v>
      </c>
      <c r="EP11" s="60">
        <f t="shared" si="46"/>
        <v>186.45728006007261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8">
        <f t="shared" si="1"/>
        <v>305.16882873392143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3.2416666666666667</v>
      </c>
      <c r="N12" s="14">
        <f>IF('Données projet'!$A$36&gt;35,N11+M12-V11,IF(A12&lt;'Données projet'!$A$36,$K$205^A12,IF(A12='Données projet'!$A$36,'Données projet'!$B$36,N11+M12-V11)))</f>
        <v>15.576224605956899</v>
      </c>
      <c r="O12" s="14">
        <f>N12*VLOOKUP('Données projet'!$B$9,Paramètres!$A$1:$I$89,3,0)*VLOOKUP('Données projet'!$B$9,Paramètres!$A$1:$I$89,5,0)</f>
        <v>9.3145823143622266</v>
      </c>
      <c r="P12" s="14">
        <f t="shared" si="33"/>
        <v>3.3105856774716673</v>
      </c>
      <c r="Q12" s="22">
        <f t="shared" si="2"/>
        <v>21.988834252444033</v>
      </c>
      <c r="R12" s="60">
        <f t="shared" si="0"/>
        <v>315.32216758577732</v>
      </c>
      <c r="S12" s="60">
        <f ca="1">AVERAGE(OFFSET($R$3,0,0,'Données projet'!$E$9+1,1))-AVERAGE(OFFSET($H$3,0,0,'Données projet'!$E$9+1,1))</f>
        <v>155.11440101086782</v>
      </c>
      <c r="T12" s="60">
        <f t="shared" si="34"/>
        <v>239.53454701506638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10</v>
      </c>
      <c r="AI12" s="14">
        <f>IF('Données projet'!$A$62&gt;35,AI11+AH12-AQ11,IF(A12&lt;'Données projet'!$A$62,$AF$205^A12,IF(A12='Données projet'!$A$62,'Données projet'!$B$62,AI11+AH12-AQ11)))</f>
        <v>9.8909234479811374</v>
      </c>
      <c r="AJ12" s="14">
        <f>AI12*VLOOKUP('Données projet'!$B$10,Paramètres!$A$1:$I$89,3,0)*VLOOKUP('Données projet'!$B$10,Paramètres!$A$1:$I$89,5,0)</f>
        <v>5.529026207421456</v>
      </c>
      <c r="AK12" s="14">
        <f t="shared" si="35"/>
        <v>2.0881246042473354</v>
      </c>
      <c r="AL12" s="22">
        <f t="shared" si="4"/>
        <v>13.266537663656479</v>
      </c>
      <c r="AM12" s="60">
        <f t="shared" si="5"/>
        <v>306.59987099698981</v>
      </c>
      <c r="AN12" s="60">
        <f ca="1">AVERAGE(OFFSET($AM$3,0,0,'Données projet'!$E$10+1,1))-AVERAGE(OFFSET($H$3,0,0,'Données projet'!$E$10+1,1))</f>
        <v>302.20483575440988</v>
      </c>
      <c r="AO12" s="60">
        <f t="shared" si="36"/>
        <v>275.32862097158687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3.5</v>
      </c>
      <c r="BD12" s="13">
        <f>IF('Données projet'!$A$88&gt;35,BD11+BC12-BL11,IF(A12&lt;'Données projet'!$A$88,$BA$205^A12,IF(A12='Données projet'!$A$88,'Données projet'!$B$88,BD11+BC12-BL11)))</f>
        <v>24.527949305852133</v>
      </c>
      <c r="BE12" s="14">
        <f>BD12*VLOOKUP('Données projet'!$B$11,Paramètres!$A$1:$I$89,3,0)*VLOOKUP('Données projet'!$B$11,Paramètres!$A$1:$I$89,5,0)</f>
        <v>21.427616513592426</v>
      </c>
      <c r="BF12" s="14">
        <f t="shared" si="37"/>
        <v>6.9119497511743733</v>
      </c>
      <c r="BG12" s="22">
        <f t="shared" si="7"/>
        <v>49.358077911135503</v>
      </c>
      <c r="BH12" s="60">
        <f t="shared" si="8"/>
        <v>342.69141124446884</v>
      </c>
      <c r="BI12" s="60">
        <f ca="1">AVERAGE(OFFSET($BH$3,0,0,'Données projet'!$E$11+1,1))-AVERAGE(OFFSET($H$3,0,0,'Données projet'!$E$11+1,1))</f>
        <v>314.62110015707839</v>
      </c>
      <c r="BJ12" s="60">
        <f t="shared" si="38"/>
        <v>285.36905470736582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2.1</v>
      </c>
      <c r="BY12" s="13">
        <f>IF('Données projet'!$A$114&gt;35,BY11+BX12-CG11,IF(A12&lt;'Données projet'!$A$114,$BV$205^A12,IF(A12='Données projet'!$A$114,'Données projet'!$B$114,BY11+BX12-CG11)))</f>
        <v>5.3760361537574148</v>
      </c>
      <c r="BZ12" s="14">
        <f>BY12*VLOOKUP('Données projet'!$B$12,Paramètres!$A$1:$I$89,3,0)*VLOOKUP('Données projet'!$B$12,Paramètres!$A$1:$I$89,5,0)</f>
        <v>4.8642375119197085</v>
      </c>
      <c r="CA12" s="14">
        <f t="shared" si="39"/>
        <v>1.8646542609995393</v>
      </c>
      <c r="CB12" s="22">
        <f t="shared" si="10"/>
        <v>11.719486504501022</v>
      </c>
      <c r="CC12" s="60">
        <f t="shared" si="11"/>
        <v>305.05281983783436</v>
      </c>
      <c r="CD12" s="60">
        <f ca="1">AVERAGE(OFFSET($CC$3,0,0,'Données projet'!$E$12+1,1))-AVERAGE(OFFSET($H$3,0,0,'Données projet'!$E$12+1,1))</f>
        <v>303.73499739059076</v>
      </c>
      <c r="CE12" s="60">
        <f t="shared" si="40"/>
        <v>172.32171001882188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2.1</v>
      </c>
      <c r="CT12" s="13">
        <f>IF('Données projet'!$A$140&gt;35,CT11+CS12-DB11,IF(A12&lt;'Données projet'!$A$140,$CQ$205^A12,IF(A12='Données projet'!$A$140,'Données projet'!$B$140,CT11+CS12-DB11)))</f>
        <v>5.3760361537574148</v>
      </c>
      <c r="CU12" s="18">
        <f>CT12*VLOOKUP('Données projet'!$B$13,Paramètres!$A$1:$I$89,3,0)*VLOOKUP('Données projet'!$B$13,Paramètres!$A$1:$I$89,5,0)</f>
        <v>5.4513006599100189</v>
      </c>
      <c r="CV12" s="14">
        <f t="shared" si="41"/>
        <v>2.062165822468125</v>
      </c>
      <c r="CW12" s="22">
        <f t="shared" si="13"/>
        <v>13.085954123475267</v>
      </c>
      <c r="CX12" s="60">
        <f t="shared" si="14"/>
        <v>306.4192874568086</v>
      </c>
      <c r="CY12" s="60">
        <f ca="1">AVERAGE(OFFSET($CX$3,0,0,'Données projet'!$E$13+1,1))-AVERAGE(OFFSET($H$3,0,0,'Données projet'!$E$13+1,1))</f>
        <v>350.3652766444938</v>
      </c>
      <c r="CZ12" s="60">
        <f t="shared" si="42"/>
        <v>197.04549436738586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2.1</v>
      </c>
      <c r="DO12" s="13">
        <f>IF('Données projet'!$A$166&gt;35,DO11+DN12-DW11,IF(A12&lt;'Données projet'!$A$166,$DL$205^A12,IF(A12='Données projet'!$A$166,'Données projet'!$B$166,DO11+DN12-DW11)))</f>
        <v>5.3760361537574148</v>
      </c>
      <c r="DP12" s="18">
        <f>DO12*VLOOKUP('Données projet'!$B$14,Paramètres!$A$1:$I$89,3,0)*VLOOKUP('Données projet'!$B$14,Paramètres!$A$1:$I$89,5,0)</f>
        <v>5.7867653159044812</v>
      </c>
      <c r="DQ12" s="14">
        <f t="shared" si="43"/>
        <v>2.1739041889582755</v>
      </c>
      <c r="DR12" s="22">
        <f t="shared" si="16"/>
        <v>13.864832720969302</v>
      </c>
      <c r="DS12" s="60">
        <f t="shared" si="17"/>
        <v>307.19816605430259</v>
      </c>
      <c r="DT12" s="60">
        <f ca="1">AVERAGE(OFFSET($DS$3,0,0,'Données projet'!$E$14+1,1))-AVERAGE(OFFSET($H$3,0,0,'Données projet'!$E$14+1,1))</f>
        <v>376.96388721258387</v>
      </c>
      <c r="DU12" s="60">
        <f t="shared" si="44"/>
        <v>211.14628470344377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2.1</v>
      </c>
      <c r="EJ12" s="13">
        <f>IF('Données projet'!$A$192&gt;35,EJ11+EI12-ER11,IF(A12&lt;'Données projet'!$A$192,$EG$205^A12,IF(A12='Données projet'!$A$192,'Données projet'!$B$192,EJ11+EI12-ER11)))</f>
        <v>5.3760361537574148</v>
      </c>
      <c r="EK12" s="18">
        <f>EJ12*VLOOKUP('Données projet'!$B$15,Paramètres!$A$1:$I$89,3,0)*VLOOKUP('Données projet'!$B$15,Paramètres!$A$1:$I$89,5,0)</f>
        <v>5.1997021679141717</v>
      </c>
      <c r="EL12" s="14">
        <f t="shared" si="45"/>
        <v>1.977837649208241</v>
      </c>
      <c r="EM12" s="22">
        <f t="shared" si="19"/>
        <v>12.500881848154869</v>
      </c>
      <c r="EN12" s="60">
        <f t="shared" si="20"/>
        <v>305.83421518148816</v>
      </c>
      <c r="EO12" s="60">
        <f ca="1">AVERAGE(OFFSET($EN$3,0,0,'Données projet'!$E$15+1,1))-AVERAGE(OFFSET($H$3,0,0,'Données projet'!$E$15+1,1))</f>
        <v>330.39429528665841</v>
      </c>
      <c r="EP12" s="60">
        <f t="shared" si="46"/>
        <v>186.45728006007261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8">
        <f t="shared" si="1"/>
        <v>306.43950276659285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3.2416666666666667</v>
      </c>
      <c r="N13" s="14">
        <f>IF('Données projet'!$A$36&gt;35,N12+M13-V12,IF(A13&lt;'Données projet'!$A$36,$K$205^A13,IF(A13='Données projet'!$A$36,'Données projet'!$B$36,N12+M13-V12)))</f>
        <v>21.132846625843385</v>
      </c>
      <c r="O13" s="14">
        <f>N13*VLOOKUP('Données projet'!$B$9,Paramètres!$A$1:$I$89,3,0)*VLOOKUP('Données projet'!$B$9,Paramètres!$A$1:$I$89,5,0)</f>
        <v>12.637442282254346</v>
      </c>
      <c r="P13" s="14">
        <f t="shared" si="33"/>
        <v>4.3348903923243052</v>
      </c>
      <c r="Q13" s="22">
        <f t="shared" si="2"/>
        <v>29.560146074891151</v>
      </c>
      <c r="R13" s="60">
        <f t="shared" si="0"/>
        <v>322.89347940822449</v>
      </c>
      <c r="S13" s="60">
        <f ca="1">AVERAGE(OFFSET($R$3,0,0,'Données projet'!$E$9+1,1))-AVERAGE(OFFSET($H$3,0,0,'Données projet'!$E$9+1,1))</f>
        <v>155.11440101086782</v>
      </c>
      <c r="T13" s="60">
        <f t="shared" si="34"/>
        <v>239.53454701506638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10</v>
      </c>
      <c r="AI13" s="14">
        <f>IF('Données projet'!$A$62&gt;35,AI12+AH13-AQ12,IF(A13&lt;'Données projet'!$A$62,$AF$205^A13,IF(A13='Données projet'!$A$62,'Données projet'!$B$62,AI12+AH13-AQ12)))</f>
        <v>12.75906094165166</v>
      </c>
      <c r="AJ13" s="14">
        <f>AI13*VLOOKUP('Données projet'!$B$10,Paramètres!$A$1:$I$89,3,0)*VLOOKUP('Données projet'!$B$10,Paramètres!$A$1:$I$89,5,0)</f>
        <v>7.1323150663832777</v>
      </c>
      <c r="AK13" s="14">
        <f t="shared" si="35"/>
        <v>2.6149690439328648</v>
      </c>
      <c r="AL13" s="22">
        <f t="shared" si="4"/>
        <v>16.976519825467278</v>
      </c>
      <c r="AM13" s="60">
        <f t="shared" si="5"/>
        <v>310.30985315880059</v>
      </c>
      <c r="AN13" s="60">
        <f ca="1">AVERAGE(OFFSET($AM$3,0,0,'Données projet'!$E$10+1,1))-AVERAGE(OFFSET($H$3,0,0,'Données projet'!$E$10+1,1))</f>
        <v>302.20483575440988</v>
      </c>
      <c r="AO13" s="60">
        <f t="shared" si="36"/>
        <v>275.32862097158687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>
        <f>VLOOKUP(A13,'Données projet'!$A$87:$I$107,2,0)</f>
        <v>35</v>
      </c>
      <c r="BB13" s="13">
        <f>VLOOKUP(A13,'Données projet'!$A$87:$I$107,9,0)</f>
        <v>3.5</v>
      </c>
      <c r="BC13" s="13">
        <f t="array" ref="BC13">INDEX(BB:BB,MIN(IF(ISNUMBER(BB13:BB209),ROW(BB13:BB209),"")))</f>
        <v>3.5</v>
      </c>
      <c r="BD13" s="13">
        <f>IF('Données projet'!$A$88&gt;35,BD12+BC13-BL12,IF(A13&lt;'Données projet'!$A$88,$BA$205^A13,IF(A13='Données projet'!$A$88,'Données projet'!$B$88,BD12+BC13-BL12)))</f>
        <v>35</v>
      </c>
      <c r="BE13" s="14">
        <f>BD13*VLOOKUP('Données projet'!$B$11,Paramètres!$A$1:$I$89,3,0)*VLOOKUP('Données projet'!$B$11,Paramètres!$A$1:$I$89,5,0)</f>
        <v>30.576000000000004</v>
      </c>
      <c r="BF13" s="14">
        <f t="shared" si="37"/>
        <v>9.4631216842413863</v>
      </c>
      <c r="BG13" s="22">
        <f t="shared" si="7"/>
        <v>69.734803600053766</v>
      </c>
      <c r="BH13" s="60">
        <f t="shared" si="8"/>
        <v>363.06813693338711</v>
      </c>
      <c r="BI13" s="60">
        <f ca="1">AVERAGE(OFFSET($BH$3,0,0,'Données projet'!$E$11+1,1))-AVERAGE(OFFSET($H$3,0,0,'Données projet'!$E$11+1,1))</f>
        <v>314.62110015707839</v>
      </c>
      <c r="BJ13" s="60">
        <f t="shared" si="38"/>
        <v>285.36905470736582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2.1</v>
      </c>
      <c r="BY13" s="13">
        <f>IF('Données projet'!$A$114&gt;35,BY12+BX13-CG12,IF(A13&lt;'Données projet'!$A$114,$BV$205^A13,IF(A13='Données projet'!$A$114,'Données projet'!$B$114,BY12+BX13-CG12)))</f>
        <v>6.4807406984078657</v>
      </c>
      <c r="BZ13" s="14">
        <f>BY13*VLOOKUP('Données projet'!$B$12,Paramètres!$A$1:$I$89,3,0)*VLOOKUP('Données projet'!$B$12,Paramètres!$A$1:$I$89,5,0)</f>
        <v>5.8637741839194364</v>
      </c>
      <c r="CA13" s="14">
        <f t="shared" si="39"/>
        <v>2.1994468497187687</v>
      </c>
      <c r="CB13" s="22">
        <f t="shared" si="10"/>
        <v>14.043443300253207</v>
      </c>
      <c r="CC13" s="60">
        <f t="shared" si="11"/>
        <v>307.37677663358653</v>
      </c>
      <c r="CD13" s="60">
        <f ca="1">AVERAGE(OFFSET($CC$3,0,0,'Données projet'!$E$12+1,1))-AVERAGE(OFFSET($H$3,0,0,'Données projet'!$E$12+1,1))</f>
        <v>303.73499739059076</v>
      </c>
      <c r="CE13" s="60">
        <f t="shared" si="40"/>
        <v>172.32171001882188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2.1</v>
      </c>
      <c r="CT13" s="13">
        <f>IF('Données projet'!$A$140&gt;35,CT12+CS13-DB12,IF(A13&lt;'Données projet'!$A$140,$CQ$205^A13,IF(A13='Données projet'!$A$140,'Données projet'!$B$140,CT12+CS13-DB12)))</f>
        <v>6.4807406984078657</v>
      </c>
      <c r="CU13" s="18">
        <f>CT13*VLOOKUP('Données projet'!$B$13,Paramètres!$A$1:$I$89,3,0)*VLOOKUP('Données projet'!$B$13,Paramètres!$A$1:$I$89,5,0)</f>
        <v>6.5714710681855761</v>
      </c>
      <c r="CV13" s="14">
        <f t="shared" si="41"/>
        <v>2.4324209676242781</v>
      </c>
      <c r="CW13" s="22">
        <f t="shared" si="13"/>
        <v>15.681778629035497</v>
      </c>
      <c r="CX13" s="60">
        <f t="shared" si="14"/>
        <v>309.01511196236879</v>
      </c>
      <c r="CY13" s="60">
        <f ca="1">AVERAGE(OFFSET($CX$3,0,0,'Données projet'!$E$13+1,1))-AVERAGE(OFFSET($H$3,0,0,'Données projet'!$E$13+1,1))</f>
        <v>350.3652766444938</v>
      </c>
      <c r="CZ13" s="60">
        <f t="shared" si="42"/>
        <v>197.04549436738586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2.1</v>
      </c>
      <c r="DO13" s="13">
        <f>IF('Données projet'!$A$166&gt;35,DO12+DN13-DW12,IF(A13&lt;'Données projet'!$A$166,$DL$205^A13,IF(A13='Données projet'!$A$166,'Données projet'!$B$166,DO12+DN13-DW12)))</f>
        <v>6.4807406984078657</v>
      </c>
      <c r="DP13" s="18">
        <f>DO13*VLOOKUP('Données projet'!$B$14,Paramètres!$A$1:$I$89,3,0)*VLOOKUP('Données projet'!$B$14,Paramètres!$A$1:$I$89,5,0)</f>
        <v>6.9758692877662263</v>
      </c>
      <c r="DQ13" s="14">
        <f t="shared" si="43"/>
        <v>2.5642215932468222</v>
      </c>
      <c r="DR13" s="22">
        <f t="shared" si="16"/>
        <v>16.61565828443106</v>
      </c>
      <c r="DS13" s="60">
        <f t="shared" si="17"/>
        <v>309.94899161776436</v>
      </c>
      <c r="DT13" s="60">
        <f ca="1">AVERAGE(OFFSET($DS$3,0,0,'Données projet'!$E$14+1,1))-AVERAGE(OFFSET($H$3,0,0,'Données projet'!$E$14+1,1))</f>
        <v>376.96388721258387</v>
      </c>
      <c r="DU13" s="60">
        <f t="shared" si="44"/>
        <v>211.14628470344377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2.1</v>
      </c>
      <c r="EJ13" s="13">
        <f>IF('Données projet'!$A$192&gt;35,EJ12+EI13-ER12,IF(A13&lt;'Données projet'!$A$192,$EG$205^A13,IF(A13='Données projet'!$A$192,'Données projet'!$B$192,EJ12+EI13-ER12)))</f>
        <v>6.4807406984078657</v>
      </c>
      <c r="EK13" s="18">
        <f>EJ13*VLOOKUP('Données projet'!$B$15,Paramètres!$A$1:$I$89,3,0)*VLOOKUP('Données projet'!$B$15,Paramètres!$A$1:$I$89,5,0)</f>
        <v>6.2681724035000874</v>
      </c>
      <c r="EL13" s="14">
        <f t="shared" si="45"/>
        <v>2.3329519459947301</v>
      </c>
      <c r="EM13" s="22">
        <f t="shared" si="19"/>
        <v>14.98029157537014</v>
      </c>
      <c r="EN13" s="60">
        <f t="shared" si="20"/>
        <v>308.31362490870345</v>
      </c>
      <c r="EO13" s="60">
        <f ca="1">AVERAGE(OFFSET($EN$3,0,0,'Données projet'!$E$15+1,1))-AVERAGE(OFFSET($H$3,0,0,'Données projet'!$E$15+1,1))</f>
        <v>330.39429528665841</v>
      </c>
      <c r="EP13" s="60">
        <f t="shared" si="46"/>
        <v>186.45728006007261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8">
        <f t="shared" si="1"/>
        <v>307.70647027243518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3.2416666666666667</v>
      </c>
      <c r="N14" s="14">
        <f>IF('Données projet'!$A$36&gt;35,N13+M14-V13,IF(A14&lt;'Données projet'!$A$36,$K$205^A14,IF(A14='Données projet'!$A$36,'Données projet'!$B$36,N13+M14-V13)))</f>
        <v>28.671723592161449</v>
      </c>
      <c r="O14" s="14">
        <f>N14*VLOOKUP('Données projet'!$B$9,Paramètres!$A$1:$I$89,3,0)*VLOOKUP('Données projet'!$B$9,Paramètres!$A$1:$I$89,5,0)</f>
        <v>17.14569070811255</v>
      </c>
      <c r="P14" s="14">
        <f t="shared" si="33"/>
        <v>5.676117927211199</v>
      </c>
      <c r="Q14" s="22">
        <f t="shared" si="2"/>
        <v>39.747983373188866</v>
      </c>
      <c r="R14" s="60">
        <f t="shared" si="0"/>
        <v>333.08131670652216</v>
      </c>
      <c r="S14" s="60">
        <f ca="1">AVERAGE(OFFSET($R$3,0,0,'Données projet'!$E$9+1,1))-AVERAGE(OFFSET($H$3,0,0,'Données projet'!$E$9+1,1))</f>
        <v>155.11440101086782</v>
      </c>
      <c r="T14" s="60">
        <f t="shared" si="34"/>
        <v>239.53454701506638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10</v>
      </c>
      <c r="AI14" s="14">
        <f>IF('Données projet'!$A$62&gt;35,AI13+AH14-AQ13,IF(A14&lt;'Données projet'!$A$62,$AF$205^A14,IF(A14='Données projet'!$A$62,'Données projet'!$B$62,AI13+AH14-AQ13)))</f>
        <v>16.45889152503846</v>
      </c>
      <c r="AJ14" s="14">
        <f>AI14*VLOOKUP('Données projet'!$B$10,Paramètres!$A$1:$I$89,3,0)*VLOOKUP('Données projet'!$B$10,Paramètres!$A$1:$I$89,5,0)</f>
        <v>9.2005203624964995</v>
      </c>
      <c r="AK14" s="14">
        <f t="shared" si="35"/>
        <v>3.2747390106980423</v>
      </c>
      <c r="AL14" s="22">
        <f t="shared" si="4"/>
        <v>21.727743408313824</v>
      </c>
      <c r="AM14" s="60">
        <f t="shared" si="5"/>
        <v>315.06107674164713</v>
      </c>
      <c r="AN14" s="60">
        <f ca="1">AVERAGE(OFFSET($AM$3,0,0,'Données projet'!$E$10+1,1))-AVERAGE(OFFSET($H$3,0,0,'Données projet'!$E$10+1,1))</f>
        <v>302.20483575440988</v>
      </c>
      <c r="AO14" s="60">
        <f t="shared" si="36"/>
        <v>275.32862097158687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10.6</v>
      </c>
      <c r="BD14" s="13">
        <f>IF('Données projet'!$A$88&gt;35,BD13+BC14-BL13,IF(A14&lt;'Données projet'!$A$88,$BA$205^A14,IF(A14='Données projet'!$A$88,'Données projet'!$B$88,BD13+BC14-BL13)))</f>
        <v>45.6</v>
      </c>
      <c r="BE14" s="14">
        <f>BD14*VLOOKUP('Données projet'!$B$11,Paramètres!$A$1:$I$89,3,0)*VLOOKUP('Données projet'!$B$11,Paramètres!$A$1:$I$89,5,0)</f>
        <v>39.836160000000007</v>
      </c>
      <c r="BF14" s="14">
        <f t="shared" si="37"/>
        <v>11.955210728675533</v>
      </c>
      <c r="BG14" s="22">
        <f t="shared" si="7"/>
        <v>90.203304019109893</v>
      </c>
      <c r="BH14" s="60">
        <f t="shared" si="8"/>
        <v>383.53663735244322</v>
      </c>
      <c r="BI14" s="60">
        <f ca="1">AVERAGE(OFFSET($BH$3,0,0,'Données projet'!$E$11+1,1))-AVERAGE(OFFSET($H$3,0,0,'Données projet'!$E$11+1,1))</f>
        <v>314.62110015707839</v>
      </c>
      <c r="BJ14" s="60">
        <f t="shared" si="38"/>
        <v>285.36905470736582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2.1</v>
      </c>
      <c r="BY14" s="13">
        <f>IF('Données projet'!$A$114&gt;35,BY13+BX14-CG13,IF(A14&lt;'Données projet'!$A$114,$BV$205^A14,IF(A14='Données projet'!$A$114,'Données projet'!$B$114,BY13+BX14-CG13)))</f>
        <v>7.8124474610620815</v>
      </c>
      <c r="BZ14" s="14">
        <f>BY14*VLOOKUP('Données projet'!$B$12,Paramètres!$A$1:$I$89,3,0)*VLOOKUP('Données projet'!$B$12,Paramètres!$A$1:$I$89,5,0)</f>
        <v>7.0687024627689707</v>
      </c>
      <c r="CA14" s="14">
        <f t="shared" si="39"/>
        <v>2.5943503554083325</v>
      </c>
      <c r="CB14" s="22">
        <f t="shared" si="10"/>
        <v>16.829816991658799</v>
      </c>
      <c r="CC14" s="60">
        <f t="shared" si="11"/>
        <v>310.1631503249921</v>
      </c>
      <c r="CD14" s="60">
        <f ca="1">AVERAGE(OFFSET($CC$3,0,0,'Données projet'!$E$12+1,1))-AVERAGE(OFFSET($H$3,0,0,'Données projet'!$E$12+1,1))</f>
        <v>303.73499739059076</v>
      </c>
      <c r="CE14" s="60">
        <f t="shared" si="40"/>
        <v>172.32171001882188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2.1</v>
      </c>
      <c r="CT14" s="13">
        <f>IF('Données projet'!$A$140&gt;35,CT13+CS14-DB13,IF(A14&lt;'Données projet'!$A$140,$CQ$205^A14,IF(A14='Données projet'!$A$140,'Données projet'!$B$140,CT13+CS14-DB13)))</f>
        <v>7.8124474610620815</v>
      </c>
      <c r="CU14" s="18">
        <f>CT14*VLOOKUP('Données projet'!$B$13,Paramètres!$A$1:$I$89,3,0)*VLOOKUP('Données projet'!$B$13,Paramètres!$A$1:$I$89,5,0)</f>
        <v>7.921821725516951</v>
      </c>
      <c r="CV14" s="14">
        <f t="shared" si="41"/>
        <v>2.869154216054651</v>
      </c>
      <c r="CW14" s="22">
        <f t="shared" si="13"/>
        <v>18.794283098237205</v>
      </c>
      <c r="CX14" s="60">
        <f t="shared" si="14"/>
        <v>312.12761643157052</v>
      </c>
      <c r="CY14" s="60">
        <f ca="1">AVERAGE(OFFSET($CX$3,0,0,'Données projet'!$E$13+1,1))-AVERAGE(OFFSET($H$3,0,0,'Données projet'!$E$13+1,1))</f>
        <v>350.3652766444938</v>
      </c>
      <c r="CZ14" s="60">
        <f t="shared" si="42"/>
        <v>197.04549436738586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2.1</v>
      </c>
      <c r="DO14" s="13">
        <f>IF('Données projet'!$A$166&gt;35,DO13+DN14-DW13,IF(A14&lt;'Données projet'!$A$166,$DL$205^A14,IF(A14='Données projet'!$A$166,'Données projet'!$B$166,DO13+DN14-DW13)))</f>
        <v>7.8124474610620815</v>
      </c>
      <c r="DP14" s="18">
        <f>DO14*VLOOKUP('Données projet'!$B$14,Paramètres!$A$1:$I$89,3,0)*VLOOKUP('Données projet'!$B$14,Paramètres!$A$1:$I$89,5,0)</f>
        <v>8.4093184470872249</v>
      </c>
      <c r="DQ14" s="14">
        <f t="shared" si="43"/>
        <v>3.0246192139792929</v>
      </c>
      <c r="DR14" s="22">
        <f t="shared" si="16"/>
        <v>19.914108093024186</v>
      </c>
      <c r="DS14" s="60">
        <f t="shared" si="17"/>
        <v>313.24744142635751</v>
      </c>
      <c r="DT14" s="60">
        <f ca="1">AVERAGE(OFFSET($DS$3,0,0,'Données projet'!$E$14+1,1))-AVERAGE(OFFSET($H$3,0,0,'Données projet'!$E$14+1,1))</f>
        <v>376.96388721258387</v>
      </c>
      <c r="DU14" s="60">
        <f t="shared" si="44"/>
        <v>211.14628470344377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2.1</v>
      </c>
      <c r="EJ14" s="13">
        <f>IF('Données projet'!$A$192&gt;35,EJ13+EI14-ER13,IF(A14&lt;'Données projet'!$A$192,$EG$205^A14,IF(A14='Données projet'!$A$192,'Données projet'!$B$192,EJ13+EI14-ER13)))</f>
        <v>7.8124474610620815</v>
      </c>
      <c r="EK14" s="18">
        <f>EJ14*VLOOKUP('Données projet'!$B$15,Paramètres!$A$1:$I$89,3,0)*VLOOKUP('Données projet'!$B$15,Paramètres!$A$1:$I$89,5,0)</f>
        <v>7.5561991843392455</v>
      </c>
      <c r="EL14" s="14">
        <f t="shared" si="45"/>
        <v>2.7518258561310041</v>
      </c>
      <c r="EM14" s="22">
        <f t="shared" si="19"/>
        <v>17.953143612152349</v>
      </c>
      <c r="EN14" s="60">
        <f t="shared" si="20"/>
        <v>311.28647694548567</v>
      </c>
      <c r="EO14" s="60">
        <f ca="1">AVERAGE(OFFSET($EN$3,0,0,'Données projet'!$E$15+1,1))-AVERAGE(OFFSET($H$3,0,0,'Données projet'!$E$15+1,1))</f>
        <v>330.39429528665841</v>
      </c>
      <c r="EP14" s="60">
        <f t="shared" si="46"/>
        <v>186.45728006007261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8">
        <f t="shared" si="1"/>
        <v>308.97010652964002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38.9</v>
      </c>
      <c r="L15" s="13">
        <f>VLOOKUP(A15,'Données projet'!$A$35:$I$55,9,0)</f>
        <v>3.2416666666666667</v>
      </c>
      <c r="M15" s="13">
        <f t="array" ref="M15">INDEX(L:L,MIN(IF(ISNUMBER(L15:L211),ROW(L15:L211),"")))</f>
        <v>3.2416666666666667</v>
      </c>
      <c r="N15" s="14">
        <f>IF('Données projet'!$A$36&gt;35,N14+M15-V14,IF(A15&lt;'Données projet'!$A$36,$K$205^A15,IF(A15='Données projet'!$A$36,'Données projet'!$B$36,N14+M15-V14)))</f>
        <v>38.9</v>
      </c>
      <c r="O15" s="14">
        <f>N15*VLOOKUP('Données projet'!$B$9,Paramètres!$A$1:$I$89,3,0)*VLOOKUP('Données projet'!$B$9,Paramètres!$A$1:$I$89,5,0)</f>
        <v>23.2622</v>
      </c>
      <c r="P15" s="14">
        <f t="shared" si="33"/>
        <v>7.432325112684885</v>
      </c>
      <c r="Q15" s="22">
        <f t="shared" si="2"/>
        <v>53.459631237926175</v>
      </c>
      <c r="R15" s="60">
        <f t="shared" si="0"/>
        <v>346.79296457125952</v>
      </c>
      <c r="S15" s="60">
        <f ca="1">AVERAGE(OFFSET($R$3,0,0,'Données projet'!$E$9+1,1))-AVERAGE(OFFSET($H$3,0,0,'Données projet'!$E$9+1,1))</f>
        <v>155.11440101086782</v>
      </c>
      <c r="T15" s="60">
        <f t="shared" si="34"/>
        <v>239.53454701506638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10</v>
      </c>
      <c r="AI15" s="14">
        <f>IF('Données projet'!$A$62&gt;35,AI14+AH15-AQ14,IF(A15&lt;'Données projet'!$A$62,$AF$205^A15,IF(A15='Données projet'!$A$62,'Données projet'!$B$62,AI14+AH15-AQ14)))</f>
        <v>21.231586828514317</v>
      </c>
      <c r="AJ15" s="14">
        <f>AI15*VLOOKUP('Données projet'!$B$10,Paramètres!$A$1:$I$89,3,0)*VLOOKUP('Données projet'!$B$10,Paramètres!$A$1:$I$89,5,0)</f>
        <v>11.868457037139505</v>
      </c>
      <c r="AK15" s="14">
        <f t="shared" si="35"/>
        <v>4.1009722899277703</v>
      </c>
      <c r="AL15" s="22">
        <f t="shared" si="4"/>
        <v>27.813422744642168</v>
      </c>
      <c r="AM15" s="60">
        <f t="shared" si="5"/>
        <v>321.14675607797551</v>
      </c>
      <c r="AN15" s="60">
        <f ca="1">AVERAGE(OFFSET($AM$3,0,0,'Données projet'!$E$10+1,1))-AVERAGE(OFFSET($H$3,0,0,'Données projet'!$E$10+1,1))</f>
        <v>302.20483575440988</v>
      </c>
      <c r="AO15" s="60">
        <f t="shared" si="36"/>
        <v>275.32862097158687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10.6</v>
      </c>
      <c r="BD15" s="13">
        <f>IF('Données projet'!$A$88&gt;35,BD14+BC15-BL14,IF(A15&lt;'Données projet'!$A$88,$BA$205^A15,IF(A15='Données projet'!$A$88,'Données projet'!$B$88,BD14+BC15-BL14)))</f>
        <v>56.2</v>
      </c>
      <c r="BE15" s="14">
        <f>BD15*VLOOKUP('Données projet'!$B$11,Paramètres!$A$1:$I$89,3,0)*VLOOKUP('Données projet'!$B$11,Paramètres!$A$1:$I$89,5,0)</f>
        <v>49.096320000000006</v>
      </c>
      <c r="BF15" s="14">
        <f t="shared" si="37"/>
        <v>14.380133207801931</v>
      </c>
      <c r="BG15" s="22">
        <f t="shared" si="7"/>
        <v>110.55482267025504</v>
      </c>
      <c r="BH15" s="60">
        <f t="shared" si="8"/>
        <v>403.88815600358834</v>
      </c>
      <c r="BI15" s="60">
        <f ca="1">AVERAGE(OFFSET($BH$3,0,0,'Données projet'!$E$11+1,1))-AVERAGE(OFFSET($H$3,0,0,'Données projet'!$E$11+1,1))</f>
        <v>314.62110015707839</v>
      </c>
      <c r="BJ15" s="60">
        <f t="shared" si="38"/>
        <v>285.36905470736582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2.1</v>
      </c>
      <c r="BY15" s="13">
        <f>IF('Données projet'!$A$114&gt;35,BY14+BX15-CG14,IF(A15&lt;'Données projet'!$A$114,$BV$205^A15,IF(A15='Données projet'!$A$114,'Données projet'!$B$114,BY14+BX15-CG14)))</f>
        <v>9.4178024044149407</v>
      </c>
      <c r="BZ15" s="14">
        <f>BY15*VLOOKUP('Données projet'!$B$12,Paramètres!$A$1:$I$89,3,0)*VLOOKUP('Données projet'!$B$12,Paramètres!$A$1:$I$89,5,0)</f>
        <v>8.521227615514638</v>
      </c>
      <c r="CA15" s="14">
        <f t="shared" si="39"/>
        <v>3.0601574970852128</v>
      </c>
      <c r="CB15" s="22">
        <f t="shared" si="10"/>
        <v>20.170912404444739</v>
      </c>
      <c r="CC15" s="60">
        <f t="shared" si="11"/>
        <v>313.50424573777804</v>
      </c>
      <c r="CD15" s="60">
        <f ca="1">AVERAGE(OFFSET($CC$3,0,0,'Données projet'!$E$12+1,1))-AVERAGE(OFFSET($H$3,0,0,'Données projet'!$E$12+1,1))</f>
        <v>303.73499739059076</v>
      </c>
      <c r="CE15" s="60">
        <f t="shared" si="40"/>
        <v>172.32171001882188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2.1</v>
      </c>
      <c r="CT15" s="13">
        <f>IF('Données projet'!$A$140&gt;35,CT14+CS15-DB14,IF(A15&lt;'Données projet'!$A$140,$CQ$205^A15,IF(A15='Données projet'!$A$140,'Données projet'!$B$140,CT14+CS15-DB14)))</f>
        <v>9.4178024044149407</v>
      </c>
      <c r="CU15" s="18">
        <f>CT15*VLOOKUP('Données projet'!$B$13,Paramètres!$A$1:$I$89,3,0)*VLOOKUP('Données projet'!$B$13,Paramètres!$A$1:$I$89,5,0)</f>
        <v>9.5496516380767513</v>
      </c>
      <c r="CV15" s="14">
        <f t="shared" si="41"/>
        <v>3.3843014943027487</v>
      </c>
      <c r="CW15" s="22">
        <f t="shared" si="13"/>
        <v>22.526635038894295</v>
      </c>
      <c r="CX15" s="60">
        <f t="shared" si="14"/>
        <v>315.85996837222763</v>
      </c>
      <c r="CY15" s="60">
        <f ca="1">AVERAGE(OFFSET($CX$3,0,0,'Données projet'!$E$13+1,1))-AVERAGE(OFFSET($H$3,0,0,'Données projet'!$E$13+1,1))</f>
        <v>350.3652766444938</v>
      </c>
      <c r="CZ15" s="60">
        <f t="shared" si="42"/>
        <v>197.04549436738586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2.1</v>
      </c>
      <c r="DO15" s="13">
        <f>IF('Données projet'!$A$166&gt;35,DO14+DN15-DW14,IF(A15&lt;'Données projet'!$A$166,$DL$205^A15,IF(A15='Données projet'!$A$166,'Données projet'!$B$166,DO14+DN15-DW14)))</f>
        <v>9.4178024044149407</v>
      </c>
      <c r="DP15" s="18">
        <f>DO15*VLOOKUP('Données projet'!$B$14,Paramètres!$A$1:$I$89,3,0)*VLOOKUP('Données projet'!$B$14,Paramètres!$A$1:$I$89,5,0)</f>
        <v>10.137322508112241</v>
      </c>
      <c r="DQ15" s="14">
        <f t="shared" si="43"/>
        <v>3.5676797253661268</v>
      </c>
      <c r="DR15" s="22">
        <f t="shared" si="16"/>
        <v>23.869545556641487</v>
      </c>
      <c r="DS15" s="60">
        <f t="shared" si="17"/>
        <v>317.20287888997478</v>
      </c>
      <c r="DT15" s="60">
        <f ca="1">AVERAGE(OFFSET($DS$3,0,0,'Données projet'!$E$14+1,1))-AVERAGE(OFFSET($H$3,0,0,'Données projet'!$E$14+1,1))</f>
        <v>376.96388721258387</v>
      </c>
      <c r="DU15" s="60">
        <f t="shared" si="44"/>
        <v>211.14628470344377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2.1</v>
      </c>
      <c r="EJ15" s="13">
        <f>IF('Données projet'!$A$192&gt;35,EJ14+EI15-ER14,IF(A15&lt;'Données projet'!$A$192,$EG$205^A15,IF(A15='Données projet'!$A$192,'Données projet'!$B$192,EJ14+EI15-ER14)))</f>
        <v>9.4178024044149407</v>
      </c>
      <c r="EK15" s="18">
        <f>EJ15*VLOOKUP('Données projet'!$B$15,Paramètres!$A$1:$I$89,3,0)*VLOOKUP('Données projet'!$B$15,Paramètres!$A$1:$I$89,5,0)</f>
        <v>9.1088984855501316</v>
      </c>
      <c r="EL15" s="14">
        <f t="shared" si="45"/>
        <v>3.2459072101643005</v>
      </c>
      <c r="EM15" s="22">
        <f t="shared" si="19"/>
        <v>21.517953253369303</v>
      </c>
      <c r="EN15" s="60">
        <f t="shared" si="20"/>
        <v>314.8512865867026</v>
      </c>
      <c r="EO15" s="60">
        <f ca="1">AVERAGE(OFFSET($EN$3,0,0,'Données projet'!$E$15+1,1))-AVERAGE(OFFSET($H$3,0,0,'Données projet'!$E$15+1,1))</f>
        <v>330.39429528665841</v>
      </c>
      <c r="EP15" s="60">
        <f t="shared" si="46"/>
        <v>186.45728006007261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8">
        <f t="shared" si="1"/>
        <v>310.23072070337594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53.7</v>
      </c>
      <c r="L16" s="13">
        <f>VLOOKUP(A16,'Données projet'!$A$35:$I$55,9,0)</f>
        <v>14.800000000000004</v>
      </c>
      <c r="M16" s="13">
        <f t="array" ref="M16">INDEX(L:L,MIN(IF(ISNUMBER(L16:L212),ROW(L16:L212),"")))</f>
        <v>14.800000000000004</v>
      </c>
      <c r="N16" s="14">
        <f>IF('Données projet'!$A$36&gt;35,N15+M16-V15,IF(A16&lt;'Données projet'!$A$36,$K$205^A16,IF(A16='Données projet'!$A$36,'Données projet'!$B$36,N15+M16-V15)))</f>
        <v>53.7</v>
      </c>
      <c r="O16" s="14">
        <f>N16*VLOOKUP('Données projet'!$B$9,Paramètres!$A$1:$I$89,3,0)*VLOOKUP('Données projet'!$B$9,Paramètres!$A$1:$I$89,5,0)</f>
        <v>32.1126</v>
      </c>
      <c r="P16" s="14">
        <f t="shared" si="33"/>
        <v>9.8821287968694467</v>
      </c>
      <c r="Q16" s="22">
        <f t="shared" si="2"/>
        <v>73.140819321214281</v>
      </c>
      <c r="R16" s="60">
        <f t="shared" si="0"/>
        <v>366.47415265454759</v>
      </c>
      <c r="S16" s="60">
        <f ca="1">AVERAGE(OFFSET($R$3,0,0,'Données projet'!$E$9+1,1))-AVERAGE(OFFSET($H$3,0,0,'Données projet'!$E$9+1,1))</f>
        <v>155.11440101086782</v>
      </c>
      <c r="T16" s="60">
        <f t="shared" si="34"/>
        <v>239.53454701506638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10</v>
      </c>
      <c r="AI16" s="14">
        <f>IF('Données projet'!$A$62&gt;35,AI15+AH16-AQ15,IF(A16&lt;'Données projet'!$A$62,$AF$205^A16,IF(A16='Données projet'!$A$62,'Données projet'!$B$62,AI15+AH16-AQ15)))</f>
        <v>27.388252639673997</v>
      </c>
      <c r="AJ16" s="14">
        <f>AI16*VLOOKUP('Données projet'!$B$10,Paramètres!$A$1:$I$89,3,0)*VLOOKUP('Données projet'!$B$10,Paramètres!$A$1:$I$89,5,0)</f>
        <v>15.310033225577765</v>
      </c>
      <c r="AK16" s="14">
        <f t="shared" si="35"/>
        <v>5.1356684205409415</v>
      </c>
      <c r="AL16" s="22">
        <f t="shared" si="4"/>
        <v>35.609597033656748</v>
      </c>
      <c r="AM16" s="60">
        <f t="shared" si="5"/>
        <v>328.94293036699008</v>
      </c>
      <c r="AN16" s="60">
        <f ca="1">AVERAGE(OFFSET($AM$3,0,0,'Données projet'!$E$10+1,1))-AVERAGE(OFFSET($H$3,0,0,'Données projet'!$E$10+1,1))</f>
        <v>302.20483575440988</v>
      </c>
      <c r="AO16" s="60">
        <f t="shared" si="36"/>
        <v>275.32862097158687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10.6</v>
      </c>
      <c r="BD16" s="13">
        <f>IF('Données projet'!$A$88&gt;35,BD15+BC16-BL15,IF(A16&lt;'Données projet'!$A$88,$BA$205^A16,IF(A16='Données projet'!$A$88,'Données projet'!$B$88,BD15+BC16-BL15)))</f>
        <v>66.8</v>
      </c>
      <c r="BE16" s="14">
        <f>BD16*VLOOKUP('Données projet'!$B$11,Paramètres!$A$1:$I$89,3,0)*VLOOKUP('Données projet'!$B$11,Paramètres!$A$1:$I$89,5,0)</f>
        <v>58.356480000000005</v>
      </c>
      <c r="BF16" s="14">
        <f t="shared" si="37"/>
        <v>16.75206628947662</v>
      </c>
      <c r="BG16" s="22">
        <f t="shared" si="7"/>
        <v>130.81405145417179</v>
      </c>
      <c r="BH16" s="60">
        <f t="shared" si="8"/>
        <v>424.14738478750508</v>
      </c>
      <c r="BI16" s="60">
        <f ca="1">AVERAGE(OFFSET($BH$3,0,0,'Données projet'!$E$11+1,1))-AVERAGE(OFFSET($H$3,0,0,'Données projet'!$E$11+1,1))</f>
        <v>314.62110015707839</v>
      </c>
      <c r="BJ16" s="60">
        <f t="shared" si="38"/>
        <v>285.36905470736582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2.1</v>
      </c>
      <c r="BY16" s="13">
        <f>IF('Données projet'!$A$114&gt;35,BY15+BX16-CG15,IF(A16&lt;'Données projet'!$A$114,$BV$205^A16,IF(A16='Données projet'!$A$114,'Données projet'!$B$114,BY15+BX16-CG15)))</f>
        <v>11.35303662145153</v>
      </c>
      <c r="BZ16" s="14">
        <f>BY16*VLOOKUP('Données projet'!$B$12,Paramètres!$A$1:$I$89,3,0)*VLOOKUP('Données projet'!$B$12,Paramètres!$A$1:$I$89,5,0)</f>
        <v>10.272227535089344</v>
      </c>
      <c r="CA16" s="14">
        <f t="shared" si="39"/>
        <v>3.6095987912522753</v>
      </c>
      <c r="CB16" s="22">
        <f t="shared" si="10"/>
        <v>24.177514185044988</v>
      </c>
      <c r="CC16" s="60">
        <f t="shared" si="11"/>
        <v>317.51084751837828</v>
      </c>
      <c r="CD16" s="60">
        <f ca="1">AVERAGE(OFFSET($CC$3,0,0,'Données projet'!$E$12+1,1))-AVERAGE(OFFSET($H$3,0,0,'Données projet'!$E$12+1,1))</f>
        <v>303.73499739059076</v>
      </c>
      <c r="CE16" s="60">
        <f t="shared" si="40"/>
        <v>172.32171001882188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2.1</v>
      </c>
      <c r="CT16" s="13">
        <f>IF('Données projet'!$A$140&gt;35,CT15+CS16-DB15,IF(A16&lt;'Données projet'!$A$140,$CQ$205^A16,IF(A16='Données projet'!$A$140,'Données projet'!$B$140,CT15+CS16-DB15)))</f>
        <v>11.35303662145153</v>
      </c>
      <c r="CU16" s="18">
        <f>CT16*VLOOKUP('Données projet'!$B$13,Paramètres!$A$1:$I$89,3,0)*VLOOKUP('Données projet'!$B$13,Paramètres!$A$1:$I$89,5,0)</f>
        <v>11.511979134151852</v>
      </c>
      <c r="CV16" s="14">
        <f t="shared" si="41"/>
        <v>3.9919417855793822</v>
      </c>
      <c r="CW16" s="22">
        <f t="shared" si="13"/>
        <v>27.002662268531896</v>
      </c>
      <c r="CX16" s="60">
        <f t="shared" si="14"/>
        <v>320.33599560186519</v>
      </c>
      <c r="CY16" s="60">
        <f ca="1">AVERAGE(OFFSET($CX$3,0,0,'Données projet'!$E$13+1,1))-AVERAGE(OFFSET($H$3,0,0,'Données projet'!$E$13+1,1))</f>
        <v>350.3652766444938</v>
      </c>
      <c r="CZ16" s="60">
        <f t="shared" si="42"/>
        <v>197.04549436738586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2.1</v>
      </c>
      <c r="DO16" s="13">
        <f>IF('Données projet'!$A$166&gt;35,DO15+DN16-DW15,IF(A16&lt;'Données projet'!$A$166,$DL$205^A16,IF(A16='Données projet'!$A$166,'Données projet'!$B$166,DO15+DN16-DW15)))</f>
        <v>11.35303662145153</v>
      </c>
      <c r="DP16" s="18">
        <f>DO16*VLOOKUP('Données projet'!$B$14,Paramètres!$A$1:$I$89,3,0)*VLOOKUP('Données projet'!$B$14,Paramètres!$A$1:$I$89,5,0)</f>
        <v>12.220408619330426</v>
      </c>
      <c r="DQ16" s="14">
        <f t="shared" si="43"/>
        <v>4.2082449797185175</v>
      </c>
      <c r="DR16" s="22">
        <f t="shared" si="16"/>
        <v>28.613238351676909</v>
      </c>
      <c r="DS16" s="60">
        <f t="shared" si="17"/>
        <v>321.94657168501021</v>
      </c>
      <c r="DT16" s="60">
        <f ca="1">AVERAGE(OFFSET($DS$3,0,0,'Données projet'!$E$14+1,1))-AVERAGE(OFFSET($H$3,0,0,'Données projet'!$E$14+1,1))</f>
        <v>376.96388721258387</v>
      </c>
      <c r="DU16" s="60">
        <f t="shared" si="44"/>
        <v>211.14628470344377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2.1</v>
      </c>
      <c r="EJ16" s="13">
        <f>IF('Données projet'!$A$192&gt;35,EJ15+EI16-ER15,IF(A16&lt;'Données projet'!$A$192,$EG$205^A16,IF(A16='Données projet'!$A$192,'Données projet'!$B$192,EJ15+EI16-ER15)))</f>
        <v>11.35303662145153</v>
      </c>
      <c r="EK16" s="18">
        <f>EJ16*VLOOKUP('Données projet'!$B$15,Paramètres!$A$1:$I$89,3,0)*VLOOKUP('Données projet'!$B$15,Paramètres!$A$1:$I$89,5,0)</f>
        <v>10.98065702026792</v>
      </c>
      <c r="EL16" s="14">
        <f t="shared" si="45"/>
        <v>3.8286992592655618</v>
      </c>
      <c r="EM16" s="22">
        <f t="shared" si="19"/>
        <v>25.792962186854144</v>
      </c>
      <c r="EN16" s="60">
        <f t="shared" si="20"/>
        <v>319.12629552018745</v>
      </c>
      <c r="EO16" s="60">
        <f ca="1">AVERAGE(OFFSET($EN$3,0,0,'Données projet'!$E$15+1,1))-AVERAGE(OFFSET($H$3,0,0,'Données projet'!$E$15+1,1))</f>
        <v>330.39429528665841</v>
      </c>
      <c r="EP16" s="60">
        <f t="shared" si="46"/>
        <v>186.45728006007261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8">
        <f t="shared" si="1"/>
        <v>311.4885716930055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>
        <f>VLOOKUP(A17,'Données projet'!$A$35:$I$55,2,0)</f>
        <v>70.400000000000006</v>
      </c>
      <c r="L17" s="13">
        <f>VLOOKUP(A17,'Données projet'!$A$35:$I$55,9,0)</f>
        <v>16.700000000000003</v>
      </c>
      <c r="M17" s="13">
        <f t="array" ref="M17">INDEX(L:L,MIN(IF(ISNUMBER(L17:L213),ROW(L17:L213),"")))</f>
        <v>16.700000000000003</v>
      </c>
      <c r="N17" s="14">
        <f>IF('Données projet'!$A$36&gt;35,N16+M17-V16,IF(A17&lt;'Données projet'!$A$36,$K$205^A17,IF(A17='Données projet'!$A$36,'Données projet'!$B$36,N16+M17-V16)))</f>
        <v>70.400000000000006</v>
      </c>
      <c r="O17" s="14">
        <f>N17*VLOOKUP('Données projet'!$B$9,Paramètres!$A$1:$I$89,3,0)*VLOOKUP('Données projet'!$B$9,Paramètres!$A$1:$I$89,5,0)</f>
        <v>42.09920000000001</v>
      </c>
      <c r="P17" s="14">
        <f t="shared" si="33"/>
        <v>12.553372982508934</v>
      </c>
      <c r="Q17" s="22">
        <f t="shared" si="2"/>
        <v>95.186564611203053</v>
      </c>
      <c r="R17" s="60">
        <f t="shared" si="0"/>
        <v>388.51989794453635</v>
      </c>
      <c r="S17" s="60">
        <f ca="1">AVERAGE(OFFSET($R$3,0,0,'Données projet'!$E$9+1,1))-AVERAGE(OFFSET($H$3,0,0,'Données projet'!$E$9+1,1))</f>
        <v>155.11440101086782</v>
      </c>
      <c r="T17" s="60">
        <f t="shared" si="34"/>
        <v>239.53454701506638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10</v>
      </c>
      <c r="AI17" s="14">
        <f>IF('Données projet'!$A$62&gt;35,AI16+AH17-AQ16,IF(A17&lt;'Données projet'!$A$62,$AF$205^A17,IF(A17='Données projet'!$A$62,'Données projet'!$B$62,AI16+AH17-AQ16)))</f>
        <v>35.330208180539429</v>
      </c>
      <c r="AJ17" s="14">
        <f>AI17*VLOOKUP('Données projet'!$B$10,Paramètres!$A$1:$I$89,3,0)*VLOOKUP('Données projet'!$B$10,Paramètres!$A$1:$I$89,5,0)</f>
        <v>19.749586372921542</v>
      </c>
      <c r="AK17" s="14">
        <f t="shared" si="35"/>
        <v>6.4314236383699175</v>
      </c>
      <c r="AL17" s="22">
        <f t="shared" si="4"/>
        <v>45.598592436332616</v>
      </c>
      <c r="AM17" s="60">
        <f t="shared" si="5"/>
        <v>338.93192576966595</v>
      </c>
      <c r="AN17" s="60">
        <f ca="1">AVERAGE(OFFSET($AM$3,0,0,'Données projet'!$E$10+1,1))-AVERAGE(OFFSET($H$3,0,0,'Données projet'!$E$10+1,1))</f>
        <v>302.20483575440988</v>
      </c>
      <c r="AO17" s="60">
        <f t="shared" si="36"/>
        <v>275.32862097158687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10.6</v>
      </c>
      <c r="BD17" s="13">
        <f>IF('Données projet'!$A$88&gt;35,BD16+BC17-BL16,IF(A17&lt;'Données projet'!$A$88,$BA$205^A17,IF(A17='Données projet'!$A$88,'Données projet'!$B$88,BD16+BC17-BL16)))</f>
        <v>77.399999999999991</v>
      </c>
      <c r="BE17" s="14">
        <f>BD17*VLOOKUP('Données projet'!$B$11,Paramètres!$A$1:$I$89,3,0)*VLOOKUP('Données projet'!$B$11,Paramètres!$A$1:$I$89,5,0)</f>
        <v>67.616640000000004</v>
      </c>
      <c r="BF17" s="14">
        <f t="shared" si="37"/>
        <v>19.080397298873443</v>
      </c>
      <c r="BG17" s="22">
        <f t="shared" si="7"/>
        <v>150.99733996220459</v>
      </c>
      <c r="BH17" s="60">
        <f t="shared" si="8"/>
        <v>444.33067329553791</v>
      </c>
      <c r="BI17" s="60">
        <f ca="1">AVERAGE(OFFSET($BH$3,0,0,'Données projet'!$E$11+1,1))-AVERAGE(OFFSET($H$3,0,0,'Données projet'!$E$11+1,1))</f>
        <v>314.62110015707839</v>
      </c>
      <c r="BJ17" s="60">
        <f t="shared" si="38"/>
        <v>285.36905470736582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2.1</v>
      </c>
      <c r="BY17" s="13">
        <f>IF('Données projet'!$A$114&gt;35,BY16+BX17-CG16,IF(A17&lt;'Données projet'!$A$114,$BV$205^A17,IF(A17='Données projet'!$A$114,'Données projet'!$B$114,BY16+BX17-CG16)))</f>
        <v>13.685935953338433</v>
      </c>
      <c r="BZ17" s="14">
        <f>BY17*VLOOKUP('Données projet'!$B$12,Paramètres!$A$1:$I$89,3,0)*VLOOKUP('Données projet'!$B$12,Paramètres!$A$1:$I$89,5,0)</f>
        <v>12.383034850580612</v>
      </c>
      <c r="CA17" s="14">
        <f t="shared" si="39"/>
        <v>4.2576904771143838</v>
      </c>
      <c r="CB17" s="22">
        <f t="shared" si="10"/>
        <v>28.982596612402116</v>
      </c>
      <c r="CC17" s="60">
        <f t="shared" si="11"/>
        <v>322.31592994573543</v>
      </c>
      <c r="CD17" s="60">
        <f ca="1">AVERAGE(OFFSET($CC$3,0,0,'Données projet'!$E$12+1,1))-AVERAGE(OFFSET($H$3,0,0,'Données projet'!$E$12+1,1))</f>
        <v>303.73499739059076</v>
      </c>
      <c r="CE17" s="60">
        <f t="shared" si="40"/>
        <v>172.32171001882188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2.1</v>
      </c>
      <c r="CT17" s="13">
        <f>IF('Données projet'!$A$140&gt;35,CT16+CS17-DB16,IF(A17&lt;'Données projet'!$A$140,$CQ$205^A17,IF(A17='Données projet'!$A$140,'Données projet'!$B$140,CT16+CS17-DB16)))</f>
        <v>13.685935953338433</v>
      </c>
      <c r="CU17" s="18">
        <f>CT17*VLOOKUP('Données projet'!$B$13,Paramètres!$A$1:$I$89,3,0)*VLOOKUP('Données projet'!$B$13,Paramètres!$A$1:$I$89,5,0)</f>
        <v>13.877539056685173</v>
      </c>
      <c r="CV17" s="14">
        <f t="shared" si="41"/>
        <v>4.7086819085950955</v>
      </c>
      <c r="CW17" s="22">
        <f t="shared" si="13"/>
        <v>32.371001514529802</v>
      </c>
      <c r="CX17" s="60">
        <f t="shared" si="14"/>
        <v>325.70433484786309</v>
      </c>
      <c r="CY17" s="60">
        <f ca="1">AVERAGE(OFFSET($CX$3,0,0,'Données projet'!$E$13+1,1))-AVERAGE(OFFSET($H$3,0,0,'Données projet'!$E$13+1,1))</f>
        <v>350.3652766444938</v>
      </c>
      <c r="CZ17" s="60">
        <f t="shared" si="42"/>
        <v>197.04549436738586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2.1</v>
      </c>
      <c r="DO17" s="13">
        <f>IF('Données projet'!$A$166&gt;35,DO16+DN17-DW16,IF(A17&lt;'Données projet'!$A$166,$DL$205^A17,IF(A17='Données projet'!$A$166,'Données projet'!$B$166,DO16+DN17-DW16)))</f>
        <v>13.685935953338433</v>
      </c>
      <c r="DP17" s="18">
        <f>DO17*VLOOKUP('Données projet'!$B$14,Paramètres!$A$1:$I$89,3,0)*VLOOKUP('Données projet'!$B$14,Paramètres!$A$1:$I$89,5,0)</f>
        <v>14.731541460173487</v>
      </c>
      <c r="DQ17" s="14">
        <f t="shared" si="43"/>
        <v>4.9638216355053304</v>
      </c>
      <c r="DR17" s="22">
        <f t="shared" si="16"/>
        <v>34.302757391640604</v>
      </c>
      <c r="DS17" s="60">
        <f t="shared" si="17"/>
        <v>327.63609072497394</v>
      </c>
      <c r="DT17" s="60">
        <f ca="1">AVERAGE(OFFSET($DS$3,0,0,'Données projet'!$E$14+1,1))-AVERAGE(OFFSET($H$3,0,0,'Données projet'!$E$14+1,1))</f>
        <v>376.96388721258387</v>
      </c>
      <c r="DU17" s="60">
        <f t="shared" si="44"/>
        <v>211.14628470344377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2.1</v>
      </c>
      <c r="EJ17" s="13">
        <f>IF('Données projet'!$A$192&gt;35,EJ16+EI17-ER16,IF(A17&lt;'Données projet'!$A$192,$EG$205^A17,IF(A17='Données projet'!$A$192,'Données projet'!$B$192,EJ16+EI17-ER16)))</f>
        <v>13.685935953338433</v>
      </c>
      <c r="EK17" s="18">
        <f>EJ17*VLOOKUP('Données projet'!$B$15,Paramètres!$A$1:$I$89,3,0)*VLOOKUP('Données projet'!$B$15,Paramètres!$A$1:$I$89,5,0)</f>
        <v>13.237037254068934</v>
      </c>
      <c r="EL17" s="14">
        <f t="shared" si="45"/>
        <v>4.5161297192961545</v>
      </c>
      <c r="EM17" s="22">
        <f t="shared" si="19"/>
        <v>30.920099145277529</v>
      </c>
      <c r="EN17" s="60">
        <f t="shared" si="20"/>
        <v>324.25343247861082</v>
      </c>
      <c r="EO17" s="60">
        <f ca="1">AVERAGE(OFFSET($EN$3,0,0,'Données projet'!$E$15+1,1))-AVERAGE(OFFSET($H$3,0,0,'Données projet'!$E$15+1,1))</f>
        <v>330.39429528665841</v>
      </c>
      <c r="EP17" s="60">
        <f t="shared" si="46"/>
        <v>186.45728006007261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8">
        <f t="shared" si="1"/>
        <v>312.74387931648818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88.9</v>
      </c>
      <c r="L18" s="13">
        <f>VLOOKUP(A18,'Données projet'!$A$35:$I$55,9,0)</f>
        <v>18.5</v>
      </c>
      <c r="M18" s="13">
        <f t="array" ref="M18">INDEX(L:L,MIN(IF(ISNUMBER(L18:L214),ROW(L18:L214),"")))</f>
        <v>18.5</v>
      </c>
      <c r="N18" s="14">
        <f>IF('Données projet'!$A$36&gt;35,N17+M18-V17,IF(A18&lt;'Données projet'!$A$36,$K$205^A18,IF(A18='Données projet'!$A$36,'Données projet'!$B$36,N17+M18-V17)))</f>
        <v>88.9</v>
      </c>
      <c r="O18" s="14">
        <f>N18*VLOOKUP('Données projet'!$B$9,Paramètres!$A$1:$I$89,3,0)*VLOOKUP('Données projet'!$B$9,Paramètres!$A$1:$I$89,5,0)</f>
        <v>53.162200000000006</v>
      </c>
      <c r="P18" s="14">
        <f t="shared" si="33"/>
        <v>15.427474137354887</v>
      </c>
      <c r="Q18" s="22">
        <f t="shared" si="2"/>
        <v>119.46034912255978</v>
      </c>
      <c r="R18" s="60">
        <f t="shared" si="0"/>
        <v>412.79368245589308</v>
      </c>
      <c r="S18" s="60">
        <f ca="1">AVERAGE(OFFSET($R$3,0,0,'Données projet'!$E$9+1,1))-AVERAGE(OFFSET($H$3,0,0,'Données projet'!$E$9+1,1))</f>
        <v>155.11440101086782</v>
      </c>
      <c r="T18" s="60">
        <f t="shared" si="34"/>
        <v>239.53454701506638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23.3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1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15.775845494355261</v>
      </c>
      <c r="AC18" s="24">
        <f t="shared" si="3"/>
        <v>15.775845494355261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10</v>
      </c>
      <c r="AI18" s="14">
        <f>IF('Données projet'!$A$62&gt;35,AI17+AH18-AQ17,IF(A18&lt;'Données projet'!$A$62,$AF$205^A18,IF(A18='Données projet'!$A$62,'Données projet'!$B$62,AI17+AH18-AQ17)))</f>
        <v>45.575145902959399</v>
      </c>
      <c r="AJ18" s="14">
        <f>AI18*VLOOKUP('Données projet'!$B$10,Paramètres!$A$1:$I$89,3,0)*VLOOKUP('Données projet'!$B$10,Paramètres!$A$1:$I$89,5,0)</f>
        <v>25.476506559754306</v>
      </c>
      <c r="AK18" s="14">
        <f t="shared" si="35"/>
        <v>8.0541044765944179</v>
      </c>
      <c r="AL18" s="22">
        <f t="shared" si="4"/>
        <v>58.399147554974014</v>
      </c>
      <c r="AM18" s="60">
        <f t="shared" si="5"/>
        <v>351.73248088830735</v>
      </c>
      <c r="AN18" s="60">
        <f ca="1">AVERAGE(OFFSET($AM$3,0,0,'Données projet'!$E$10+1,1))-AVERAGE(OFFSET($H$3,0,0,'Données projet'!$E$10+1,1))</f>
        <v>302.20483575440988</v>
      </c>
      <c r="AO18" s="60">
        <f t="shared" si="36"/>
        <v>275.32862097158687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88</v>
      </c>
      <c r="BB18" s="13">
        <f>VLOOKUP(A18,'Données projet'!$A$87:$I$107,9,0)</f>
        <v>10.6</v>
      </c>
      <c r="BC18" s="13">
        <f t="array" ref="BC18">INDEX(BB:BB,MIN(IF(ISNUMBER(BB18:BB214),ROW(BB18:BB214),"")))</f>
        <v>10.6</v>
      </c>
      <c r="BD18" s="13">
        <f>IF('Données projet'!$A$88&gt;35,BD17+BC18-BL17,IF(A18&lt;'Données projet'!$A$88,$BA$205^A18,IF(A18='Données projet'!$A$88,'Données projet'!$B$88,BD17+BC18-BL17)))</f>
        <v>87.999999999999986</v>
      </c>
      <c r="BE18" s="14">
        <f>BD18*VLOOKUP('Données projet'!$B$11,Paramètres!$A$1:$I$89,3,0)*VLOOKUP('Données projet'!$B$11,Paramètres!$A$1:$I$89,5,0)</f>
        <v>76.876799999999989</v>
      </c>
      <c r="BF18" s="14">
        <f t="shared" si="37"/>
        <v>21.371784666185118</v>
      </c>
      <c r="BG18" s="22">
        <f t="shared" si="7"/>
        <v>171.1162849602724</v>
      </c>
      <c r="BH18" s="60">
        <f t="shared" si="8"/>
        <v>464.44961829360568</v>
      </c>
      <c r="BI18" s="60">
        <f ca="1">AVERAGE(OFFSET($BH$3,0,0,'Données projet'!$E$11+1,1))-AVERAGE(OFFSET($H$3,0,0,'Données projet'!$E$11+1,1))</f>
        <v>314.62110015707839</v>
      </c>
      <c r="BJ18" s="60">
        <f t="shared" si="38"/>
        <v>285.36905470736582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2.1</v>
      </c>
      <c r="BY18" s="13">
        <f>IF('Données projet'!$A$114&gt;35,BY17+BX18-CG17,IF(A18&lt;'Données projet'!$A$114,$BV$205^A18,IF(A18='Données projet'!$A$114,'Données projet'!$B$114,BY17+BX18-CG17)))</f>
        <v>16.498215337821566</v>
      </c>
      <c r="BZ18" s="14">
        <f>BY18*VLOOKUP('Données projet'!$B$12,Paramètres!$A$1:$I$89,3,0)*VLOOKUP('Données projet'!$B$12,Paramètres!$A$1:$I$89,5,0)</f>
        <v>14.927585237660953</v>
      </c>
      <c r="CA18" s="14">
        <f t="shared" si="39"/>
        <v>5.0221449106318534</v>
      </c>
      <c r="CB18" s="22">
        <f t="shared" si="10"/>
        <v>34.745780008276633</v>
      </c>
      <c r="CC18" s="60">
        <f t="shared" si="11"/>
        <v>328.07911334160997</v>
      </c>
      <c r="CD18" s="60">
        <f ca="1">AVERAGE(OFFSET($CC$3,0,0,'Données projet'!$E$12+1,1))-AVERAGE(OFFSET($H$3,0,0,'Données projet'!$E$12+1,1))</f>
        <v>303.73499739059076</v>
      </c>
      <c r="CE18" s="60">
        <f t="shared" si="40"/>
        <v>172.32171001882188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2.1</v>
      </c>
      <c r="CT18" s="13">
        <f>IF('Données projet'!$A$140&gt;35,CT17+CS18-DB17,IF(A18&lt;'Données projet'!$A$140,$CQ$205^A18,IF(A18='Données projet'!$A$140,'Données projet'!$B$140,CT17+CS18-DB17)))</f>
        <v>16.498215337821566</v>
      </c>
      <c r="CU18" s="18">
        <f>CT18*VLOOKUP('Données projet'!$B$13,Paramètres!$A$1:$I$89,3,0)*VLOOKUP('Données projet'!$B$13,Paramètres!$A$1:$I$89,5,0)</f>
        <v>16.729190352551068</v>
      </c>
      <c r="CV18" s="14">
        <f t="shared" si="41"/>
        <v>5.5541103821765283</v>
      </c>
      <c r="CW18" s="22">
        <f t="shared" si="13"/>
        <v>38.810082112983899</v>
      </c>
      <c r="CX18" s="60">
        <f t="shared" si="14"/>
        <v>332.14341544631719</v>
      </c>
      <c r="CY18" s="60">
        <f ca="1">AVERAGE(OFFSET($CX$3,0,0,'Données projet'!$E$13+1,1))-AVERAGE(OFFSET($H$3,0,0,'Données projet'!$E$13+1,1))</f>
        <v>350.3652766444938</v>
      </c>
      <c r="CZ18" s="60">
        <f t="shared" si="42"/>
        <v>197.04549436738586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2.1</v>
      </c>
      <c r="DO18" s="13">
        <f>IF('Données projet'!$A$166&gt;35,DO17+DN18-DW17,IF(A18&lt;'Données projet'!$A$166,$DL$205^A18,IF(A18='Données projet'!$A$166,'Données projet'!$B$166,DO17+DN18-DW17)))</f>
        <v>16.498215337821566</v>
      </c>
      <c r="DP18" s="18">
        <f>DO18*VLOOKUP('Données projet'!$B$14,Paramètres!$A$1:$I$89,3,0)*VLOOKUP('Données projet'!$B$14,Paramètres!$A$1:$I$89,5,0)</f>
        <v>17.758678989631132</v>
      </c>
      <c r="DQ18" s="14">
        <f t="shared" si="43"/>
        <v>5.8550596146042126</v>
      </c>
      <c r="DR18" s="22">
        <f t="shared" si="16"/>
        <v>41.127261402376554</v>
      </c>
      <c r="DS18" s="60">
        <f t="shared" si="17"/>
        <v>334.46059473570989</v>
      </c>
      <c r="DT18" s="60">
        <f ca="1">AVERAGE(OFFSET($DS$3,0,0,'Données projet'!$E$14+1,1))-AVERAGE(OFFSET($H$3,0,0,'Données projet'!$E$14+1,1))</f>
        <v>376.96388721258387</v>
      </c>
      <c r="DU18" s="60">
        <f t="shared" si="44"/>
        <v>211.14628470344377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2.1</v>
      </c>
      <c r="EJ18" s="13">
        <f>IF('Données projet'!$A$192&gt;35,EJ17+EI18-ER17,IF(A18&lt;'Données projet'!$A$192,$EG$205^A18,IF(A18='Données projet'!$A$192,'Données projet'!$B$192,EJ17+EI18-ER17)))</f>
        <v>16.498215337821566</v>
      </c>
      <c r="EK18" s="18">
        <f>EJ18*VLOOKUP('Données projet'!$B$15,Paramètres!$A$1:$I$89,3,0)*VLOOKUP('Données projet'!$B$15,Paramètres!$A$1:$I$89,5,0)</f>
        <v>15.957073874741019</v>
      </c>
      <c r="EL18" s="14">
        <f t="shared" si="45"/>
        <v>5.3269860755326848</v>
      </c>
      <c r="EM18" s="22">
        <f t="shared" si="19"/>
        <v>37.069737746726702</v>
      </c>
      <c r="EN18" s="60">
        <f t="shared" si="20"/>
        <v>330.40307108006004</v>
      </c>
      <c r="EO18" s="60">
        <f ca="1">AVERAGE(OFFSET($EN$3,0,0,'Données projet'!$E$15+1,1))-AVERAGE(OFFSET($H$3,0,0,'Données projet'!$E$15+1,1))</f>
        <v>330.39429528665841</v>
      </c>
      <c r="EP18" s="60">
        <f t="shared" si="46"/>
        <v>186.45728006007261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8">
        <f t="shared" si="1"/>
        <v>313.99683242457326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11.349999999999994</v>
      </c>
      <c r="N19" s="14">
        <f>IF('Données projet'!$A$36&gt;35,N18+M19-V18,IF(A19&lt;'Données projet'!$A$36,$K$205^A19,IF(A19='Données projet'!$A$36,'Données projet'!$B$36,N18+M19-V18)))</f>
        <v>76.95</v>
      </c>
      <c r="O19" s="14">
        <f>N19*VLOOKUP('Données projet'!$B$9,Paramètres!$A$1:$I$89,3,0)*VLOOKUP('Données projet'!$B$9,Paramètres!$A$1:$I$89,5,0)</f>
        <v>46.016100000000009</v>
      </c>
      <c r="P19" s="14">
        <f t="shared" si="33"/>
        <v>13.579981282689923</v>
      </c>
      <c r="Q19" s="22">
        <f t="shared" si="2"/>
        <v>103.79650823401829</v>
      </c>
      <c r="R19" s="60">
        <f t="shared" si="0"/>
        <v>397.1298415673516</v>
      </c>
      <c r="S19" s="60">
        <f ca="1">AVERAGE(OFFSET($R$3,0,0,'Données projet'!$E$9+1,1))-AVERAGE(OFFSET($H$3,0,0,'Données projet'!$E$9+1,1))</f>
        <v>155.11440101086782</v>
      </c>
      <c r="T19" s="60">
        <f t="shared" si="34"/>
        <v>239.53454701506638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11.155207328009848</v>
      </c>
      <c r="AC19" s="24">
        <f t="shared" si="3"/>
        <v>11.155207328009848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10</v>
      </c>
      <c r="AI19" s="14">
        <f>IF('Données projet'!$A$62&gt;35,AI18+AH19-AQ18,IF(A19&lt;'Données projet'!$A$62,$AF$205^A19,IF(A19='Données projet'!$A$62,'Données projet'!$B$62,AI18+AH19-AQ18)))</f>
        <v>58.790877015554649</v>
      </c>
      <c r="AJ19" s="14">
        <f>AI19*VLOOKUP('Données projet'!$B$10,Paramètres!$A$1:$I$89,3,0)*VLOOKUP('Données projet'!$B$10,Paramètres!$A$1:$I$89,5,0)</f>
        <v>32.864100251695049</v>
      </c>
      <c r="AK19" s="14">
        <f t="shared" si="35"/>
        <v>10.086195929139501</v>
      </c>
      <c r="AL19" s="22">
        <f t="shared" si="4"/>
        <v>74.805099181620164</v>
      </c>
      <c r="AM19" s="60">
        <f t="shared" si="5"/>
        <v>368.13843251495348</v>
      </c>
      <c r="AN19" s="60">
        <f ca="1">AVERAGE(OFFSET($AM$3,0,0,'Données projet'!$E$10+1,1))-AVERAGE(OFFSET($H$3,0,0,'Données projet'!$E$10+1,1))</f>
        <v>302.20483575440988</v>
      </c>
      <c r="AO19" s="60">
        <f t="shared" si="36"/>
        <v>275.32862097158687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11.8</v>
      </c>
      <c r="BD19" s="13">
        <f>IF('Données projet'!$A$88&gt;35,BD18+BC19-BL18,IF(A19&lt;'Données projet'!$A$88,$BA$205^A19,IF(A19='Données projet'!$A$88,'Données projet'!$B$88,BD18+BC19-BL18)))</f>
        <v>99.799999999999983</v>
      </c>
      <c r="BE19" s="14">
        <f>BD19*VLOOKUP('Données projet'!$B$11,Paramètres!$A$1:$I$89,3,0)*VLOOKUP('Données projet'!$B$11,Paramètres!$A$1:$I$89,5,0)</f>
        <v>87.185280000000006</v>
      </c>
      <c r="BF19" s="14">
        <f t="shared" si="37"/>
        <v>23.885132065270327</v>
      </c>
      <c r="BG19" s="22">
        <f t="shared" si="7"/>
        <v>193.4476343470125</v>
      </c>
      <c r="BH19" s="60">
        <f t="shared" si="8"/>
        <v>486.78096768034584</v>
      </c>
      <c r="BI19" s="60">
        <f ca="1">AVERAGE(OFFSET($BH$3,0,0,'Données projet'!$E$11+1,1))-AVERAGE(OFFSET($H$3,0,0,'Données projet'!$E$11+1,1))</f>
        <v>314.62110015707839</v>
      </c>
      <c r="BJ19" s="60">
        <f t="shared" si="38"/>
        <v>285.36905470736582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2.1</v>
      </c>
      <c r="BY19" s="13">
        <f>IF('Données projet'!$A$114&gt;35,BY18+BX19-CG18,IF(A19&lt;'Données projet'!$A$114,$BV$205^A19,IF(A19='Données projet'!$A$114,'Données projet'!$B$114,BY18+BX19-CG18)))</f>
        <v>19.888381054913147</v>
      </c>
      <c r="BZ19" s="14">
        <f>BY19*VLOOKUP('Données projet'!$B$12,Paramètres!$A$1:$I$89,3,0)*VLOOKUP('Données projet'!$B$12,Paramètres!$A$1:$I$89,5,0)</f>
        <v>17.995007178485412</v>
      </c>
      <c r="CA19" s="14">
        <f t="shared" si="39"/>
        <v>5.9238546434872337</v>
      </c>
      <c r="CB19" s="22">
        <f t="shared" si="10"/>
        <v>41.658684339935689</v>
      </c>
      <c r="CC19" s="60">
        <f t="shared" si="11"/>
        <v>334.992017673269</v>
      </c>
      <c r="CD19" s="60">
        <f ca="1">AVERAGE(OFFSET($CC$3,0,0,'Données projet'!$E$12+1,1))-AVERAGE(OFFSET($H$3,0,0,'Données projet'!$E$12+1,1))</f>
        <v>303.73499739059076</v>
      </c>
      <c r="CE19" s="60">
        <f t="shared" si="40"/>
        <v>172.32171001882188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2.1</v>
      </c>
      <c r="CT19" s="13">
        <f>IF('Données projet'!$A$140&gt;35,CT18+CS19-DB18,IF(A19&lt;'Données projet'!$A$140,$CQ$205^A19,IF(A19='Données projet'!$A$140,'Données projet'!$B$140,CT18+CS19-DB18)))</f>
        <v>19.888381054913147</v>
      </c>
      <c r="CU19" s="18">
        <f>CT19*VLOOKUP('Données projet'!$B$13,Paramètres!$A$1:$I$89,3,0)*VLOOKUP('Données projet'!$B$13,Paramètres!$A$1:$I$89,5,0)</f>
        <v>20.166818389681932</v>
      </c>
      <c r="CV19" s="14">
        <f t="shared" si="41"/>
        <v>6.5513327797938032</v>
      </c>
      <c r="CW19" s="22">
        <f t="shared" si="13"/>
        <v>46.534113286836906</v>
      </c>
      <c r="CX19" s="60">
        <f t="shared" si="14"/>
        <v>339.8674466201702</v>
      </c>
      <c r="CY19" s="60">
        <f ca="1">AVERAGE(OFFSET($CX$3,0,0,'Données projet'!$E$13+1,1))-AVERAGE(OFFSET($H$3,0,0,'Données projet'!$E$13+1,1))</f>
        <v>350.3652766444938</v>
      </c>
      <c r="CZ19" s="60">
        <f t="shared" si="42"/>
        <v>197.04549436738586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2.1</v>
      </c>
      <c r="DO19" s="13">
        <f>IF('Données projet'!$A$166&gt;35,DO18+DN19-DW18,IF(A19&lt;'Données projet'!$A$166,$DL$205^A19,IF(A19='Données projet'!$A$166,'Données projet'!$B$166,DO18+DN19-DW18)))</f>
        <v>19.888381054913147</v>
      </c>
      <c r="DP19" s="18">
        <f>DO19*VLOOKUP('Données projet'!$B$14,Paramètres!$A$1:$I$89,3,0)*VLOOKUP('Données projet'!$B$14,Paramètres!$A$1:$I$89,5,0)</f>
        <v>21.407853367508512</v>
      </c>
      <c r="DQ19" s="14">
        <f t="shared" si="43"/>
        <v>6.906316464991046</v>
      </c>
      <c r="DR19" s="22">
        <f t="shared" si="16"/>
        <v>49.313845791603399</v>
      </c>
      <c r="DS19" s="60">
        <f t="shared" si="17"/>
        <v>342.64717912493671</v>
      </c>
      <c r="DT19" s="60">
        <f ca="1">AVERAGE(OFFSET($DS$3,0,0,'Données projet'!$E$14+1,1))-AVERAGE(OFFSET($H$3,0,0,'Données projet'!$E$14+1,1))</f>
        <v>376.96388721258387</v>
      </c>
      <c r="DU19" s="60">
        <f t="shared" si="44"/>
        <v>211.14628470344377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2.1</v>
      </c>
      <c r="EJ19" s="13">
        <f>IF('Données projet'!$A$192&gt;35,EJ18+EI19-ER18,IF(A19&lt;'Données projet'!$A$192,$EG$205^A19,IF(A19='Données projet'!$A$192,'Données projet'!$B$192,EJ18+EI19-ER18)))</f>
        <v>19.888381054913147</v>
      </c>
      <c r="EK19" s="18">
        <f>EJ19*VLOOKUP('Données projet'!$B$15,Paramètres!$A$1:$I$89,3,0)*VLOOKUP('Données projet'!$B$15,Paramètres!$A$1:$I$89,5,0)</f>
        <v>19.236042156311996</v>
      </c>
      <c r="EL19" s="14">
        <f t="shared" si="45"/>
        <v>6.2834290449348904</v>
      </c>
      <c r="EM19" s="22">
        <f t="shared" si="19"/>
        <v>44.446412342171662</v>
      </c>
      <c r="EN19" s="60">
        <f t="shared" si="20"/>
        <v>337.77974567550496</v>
      </c>
      <c r="EO19" s="60">
        <f ca="1">AVERAGE(OFFSET($EN$3,0,0,'Données projet'!$E$15+1,1))-AVERAGE(OFFSET($H$3,0,0,'Données projet'!$E$15+1,1))</f>
        <v>330.39429528665841</v>
      </c>
      <c r="EP19" s="60">
        <f t="shared" si="46"/>
        <v>186.45728006007261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8">
        <f t="shared" si="1"/>
        <v>315.24759492743152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88.3</v>
      </c>
      <c r="L20" s="13">
        <f>VLOOKUP(A20,'Données projet'!$A$35:$I$55,9,0)</f>
        <v>11.349999999999994</v>
      </c>
      <c r="M20" s="13">
        <f t="array" ref="M20">INDEX(L:L,MIN(IF(ISNUMBER(L20:L216),ROW(L20:L216),"")))</f>
        <v>11.349999999999994</v>
      </c>
      <c r="N20" s="14">
        <f>IF('Données projet'!$A$36&gt;35,N19+M20-V19,IF(A20&lt;'Données projet'!$A$36,$K$205^A20,IF(A20='Données projet'!$A$36,'Données projet'!$B$36,N19+M20-V19)))</f>
        <v>88.3</v>
      </c>
      <c r="O20" s="14">
        <f>N20*VLOOKUP('Données projet'!$B$9,Paramètres!$A$1:$I$89,3,0)*VLOOKUP('Données projet'!$B$9,Paramètres!$A$1:$I$89,5,0)</f>
        <v>52.803400000000003</v>
      </c>
      <c r="P20" s="14">
        <f t="shared" si="33"/>
        <v>15.335435323891819</v>
      </c>
      <c r="Q20" s="22">
        <f t="shared" si="2"/>
        <v>118.67513818911159</v>
      </c>
      <c r="R20" s="60">
        <f t="shared" si="0"/>
        <v>412.00847152244489</v>
      </c>
      <c r="S20" s="60">
        <f ca="1">AVERAGE(OFFSET($R$3,0,0,'Données projet'!$E$9+1,1))-AVERAGE(OFFSET($H$3,0,0,'Données projet'!$E$9+1,1))</f>
        <v>155.11440101086782</v>
      </c>
      <c r="T20" s="60">
        <f t="shared" si="34"/>
        <v>239.53454701506638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7.8879227471776314</v>
      </c>
      <c r="AC20" s="24">
        <f t="shared" si="3"/>
        <v>7.8879227471776314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10</v>
      </c>
      <c r="AI20" s="14">
        <f>IF('Données projet'!$A$62&gt;35,AI19+AH20-AQ19,IF(A20&lt;'Données projet'!$A$62,$AF$205^A20,IF(A20='Données projet'!$A$62,'Données projet'!$B$62,AI19+AH20-AQ19)))</f>
        <v>75.838862427725871</v>
      </c>
      <c r="AJ20" s="14">
        <f>AI20*VLOOKUP('Données projet'!$B$10,Paramètres!$A$1:$I$89,3,0)*VLOOKUP('Données projet'!$B$10,Paramètres!$A$1:$I$89,5,0)</f>
        <v>42.393924097098761</v>
      </c>
      <c r="AK20" s="14">
        <f t="shared" si="35"/>
        <v>12.630994372698538</v>
      </c>
      <c r="AL20" s="22">
        <f t="shared" si="4"/>
        <v>95.835066334896965</v>
      </c>
      <c r="AM20" s="60">
        <f t="shared" si="5"/>
        <v>389.16839966823028</v>
      </c>
      <c r="AN20" s="60">
        <f ca="1">AVERAGE(OFFSET($AM$3,0,0,'Données projet'!$E$10+1,1))-AVERAGE(OFFSET($H$3,0,0,'Données projet'!$E$10+1,1))</f>
        <v>302.20483575440988</v>
      </c>
      <c r="AO20" s="60">
        <f t="shared" si="36"/>
        <v>275.32862097158687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11.8</v>
      </c>
      <c r="BD20" s="13">
        <f>IF('Données projet'!$A$88&gt;35,BD19+BC20-BL19,IF(A20&lt;'Données projet'!$A$88,$BA$205^A20,IF(A20='Données projet'!$A$88,'Données projet'!$B$88,BD19+BC20-BL19)))</f>
        <v>111.59999999999998</v>
      </c>
      <c r="BE20" s="14">
        <f>BD20*VLOOKUP('Données projet'!$B$11,Paramètres!$A$1:$I$89,3,0)*VLOOKUP('Données projet'!$B$11,Paramètres!$A$1:$I$89,5,0)</f>
        <v>97.493759999999995</v>
      </c>
      <c r="BF20" s="14">
        <f t="shared" si="37"/>
        <v>26.364041280888873</v>
      </c>
      <c r="BG20" s="22">
        <f t="shared" si="7"/>
        <v>215.71900389754811</v>
      </c>
      <c r="BH20" s="60">
        <f t="shared" si="8"/>
        <v>509.05233723088145</v>
      </c>
      <c r="BI20" s="60">
        <f ca="1">AVERAGE(OFFSET($BH$3,0,0,'Données projet'!$E$11+1,1))-AVERAGE(OFFSET($H$3,0,0,'Données projet'!$E$11+1,1))</f>
        <v>314.62110015707839</v>
      </c>
      <c r="BJ20" s="60">
        <f t="shared" si="38"/>
        <v>285.36905470736582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2.1</v>
      </c>
      <c r="BY20" s="13">
        <f>IF('Données projet'!$A$114&gt;35,BY19+BX20-CG19,IF(A20&lt;'Données projet'!$A$114,$BV$205^A20,IF(A20='Données projet'!$A$114,'Données projet'!$B$114,BY19+BX20-CG19)))</f>
        <v>23.975181126327602</v>
      </c>
      <c r="BZ20" s="14">
        <f>BY20*VLOOKUP('Données projet'!$B$12,Paramètres!$A$1:$I$89,3,0)*VLOOKUP('Données projet'!$B$12,Paramètres!$A$1:$I$89,5,0)</f>
        <v>21.692743883101215</v>
      </c>
      <c r="CA20" s="14">
        <f t="shared" si="39"/>
        <v>6.98746341685115</v>
      </c>
      <c r="CB20" s="22">
        <f t="shared" si="10"/>
        <v>49.951361047417038</v>
      </c>
      <c r="CC20" s="60">
        <f t="shared" si="11"/>
        <v>343.28469438075035</v>
      </c>
      <c r="CD20" s="60">
        <f ca="1">AVERAGE(OFFSET($CC$3,0,0,'Données projet'!$E$12+1,1))-AVERAGE(OFFSET($H$3,0,0,'Données projet'!$E$12+1,1))</f>
        <v>303.73499739059076</v>
      </c>
      <c r="CE20" s="60">
        <f t="shared" si="40"/>
        <v>172.32171001882188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2.1</v>
      </c>
      <c r="CT20" s="13">
        <f>IF('Données projet'!$A$140&gt;35,CT19+CS20-DB19,IF(A20&lt;'Données projet'!$A$140,$CQ$205^A20,IF(A20='Données projet'!$A$140,'Données projet'!$B$140,CT19+CS20-DB19)))</f>
        <v>23.975181126327602</v>
      </c>
      <c r="CU20" s="18">
        <f>CT20*VLOOKUP('Données projet'!$B$13,Paramètres!$A$1:$I$89,3,0)*VLOOKUP('Données projet'!$B$13,Paramètres!$A$1:$I$89,5,0)</f>
        <v>24.31083366209619</v>
      </c>
      <c r="CV20" s="14">
        <f t="shared" si="41"/>
        <v>7.7276032052466093</v>
      </c>
      <c r="CW20" s="22">
        <f t="shared" si="13"/>
        <v>55.800277543955367</v>
      </c>
      <c r="CX20" s="60">
        <f t="shared" si="14"/>
        <v>349.13361087728867</v>
      </c>
      <c r="CY20" s="60">
        <f ca="1">AVERAGE(OFFSET($CX$3,0,0,'Données projet'!$E$13+1,1))-AVERAGE(OFFSET($H$3,0,0,'Données projet'!$E$13+1,1))</f>
        <v>350.3652766444938</v>
      </c>
      <c r="CZ20" s="60">
        <f t="shared" si="42"/>
        <v>197.04549436738586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2.1</v>
      </c>
      <c r="DO20" s="13">
        <f>IF('Données projet'!$A$166&gt;35,DO19+DN20-DW19,IF(A20&lt;'Données projet'!$A$166,$DL$205^A20,IF(A20='Données projet'!$A$166,'Données projet'!$B$166,DO19+DN20-DW19)))</f>
        <v>23.975181126327602</v>
      </c>
      <c r="DP20" s="18">
        <f>DO20*VLOOKUP('Données projet'!$B$14,Paramètres!$A$1:$I$89,3,0)*VLOOKUP('Données projet'!$B$14,Paramètres!$A$1:$I$89,5,0)</f>
        <v>25.80688496437903</v>
      </c>
      <c r="DQ20" s="14">
        <f t="shared" si="43"/>
        <v>8.146323052908933</v>
      </c>
      <c r="DR20" s="22">
        <f t="shared" si="16"/>
        <v>59.135170630109862</v>
      </c>
      <c r="DS20" s="60">
        <f t="shared" si="17"/>
        <v>352.4685039634432</v>
      </c>
      <c r="DT20" s="60">
        <f ca="1">AVERAGE(OFFSET($DS$3,0,0,'Données projet'!$E$14+1,1))-AVERAGE(OFFSET($H$3,0,0,'Données projet'!$E$14+1,1))</f>
        <v>376.96388721258387</v>
      </c>
      <c r="DU20" s="60">
        <f t="shared" si="44"/>
        <v>211.14628470344377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2.1</v>
      </c>
      <c r="EJ20" s="13">
        <f>IF('Données projet'!$A$192&gt;35,EJ19+EI20-ER19,IF(A20&lt;'Données projet'!$A$192,$EG$205^A20,IF(A20='Données projet'!$A$192,'Données projet'!$B$192,EJ19+EI20-ER19)))</f>
        <v>23.975181126327602</v>
      </c>
      <c r="EK20" s="18">
        <f>EJ20*VLOOKUP('Données projet'!$B$15,Paramètres!$A$1:$I$89,3,0)*VLOOKUP('Données projet'!$B$15,Paramètres!$A$1:$I$89,5,0)</f>
        <v>23.188795185384055</v>
      </c>
      <c r="EL20" s="14">
        <f t="shared" si="45"/>
        <v>7.4115982288884323</v>
      </c>
      <c r="EM20" s="22">
        <f t="shared" si="19"/>
        <v>53.29568519652458</v>
      </c>
      <c r="EN20" s="60">
        <f t="shared" si="20"/>
        <v>346.62901852985789</v>
      </c>
      <c r="EO20" s="60">
        <f ca="1">AVERAGE(OFFSET($EN$3,0,0,'Données projet'!$E$15+1,1))-AVERAGE(OFFSET($H$3,0,0,'Données projet'!$E$15+1,1))</f>
        <v>330.39429528665841</v>
      </c>
      <c r="EP20" s="60">
        <f t="shared" si="46"/>
        <v>186.45728006007261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8">
        <f t="shared" si="1"/>
        <v>316.49631036234257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13.966666666666663</v>
      </c>
      <c r="N21" s="14">
        <f>IF('Données projet'!$A$36&gt;35,N20+M21-V20,IF(A21&lt;'Données projet'!$A$36,$K$205^A21,IF(A21='Données projet'!$A$36,'Données projet'!$B$36,N20+M21-V20)))</f>
        <v>102.26666666666667</v>
      </c>
      <c r="O21" s="14">
        <f>N21*VLOOKUP('Données projet'!$B$9,Paramètres!$A$1:$I$89,3,0)*VLOOKUP('Données projet'!$B$9,Paramètres!$A$1:$I$89,5,0)</f>
        <v>61.155466666666669</v>
      </c>
      <c r="P21" s="14">
        <f t="shared" si="33"/>
        <v>17.460082132167067</v>
      </c>
      <c r="Q21" s="22">
        <f t="shared" si="2"/>
        <v>136.92208082463543</v>
      </c>
      <c r="R21" s="60">
        <f t="shared" si="0"/>
        <v>430.25541415796874</v>
      </c>
      <c r="S21" s="60">
        <f ca="1">AVERAGE(OFFSET($R$3,0,0,'Données projet'!$E$9+1,1))-AVERAGE(OFFSET($H$3,0,0,'Données projet'!$E$9+1,1))</f>
        <v>155.11440101086782</v>
      </c>
      <c r="T21" s="60">
        <f t="shared" si="34"/>
        <v>239.53454701506638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5.5776036640049247</v>
      </c>
      <c r="AC21" s="24">
        <f t="shared" si="3"/>
        <v>5.5776036640049247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10</v>
      </c>
      <c r="AI21" s="14">
        <f>IF('Données projet'!$A$62&gt;35,AI20+AH21-AQ20,IF(A21&lt;'Données projet'!$A$62,$AF$205^A21,IF(A21='Données projet'!$A$62,'Données projet'!$B$62,AI20+AH21-AQ20)))</f>
        <v>97.830366653823091</v>
      </c>
      <c r="AJ21" s="14">
        <f>AI21*VLOOKUP('Données projet'!$B$10,Paramètres!$A$1:$I$89,3,0)*VLOOKUP('Données projet'!$B$10,Paramètres!$A$1:$I$89,5,0)</f>
        <v>54.687174959487109</v>
      </c>
      <c r="AK21" s="14">
        <f t="shared" si="35"/>
        <v>15.817858384271306</v>
      </c>
      <c r="AL21" s="22">
        <f t="shared" si="4"/>
        <v>122.79626640704589</v>
      </c>
      <c r="AM21" s="60">
        <f t="shared" si="5"/>
        <v>416.12959974037921</v>
      </c>
      <c r="AN21" s="60">
        <f ca="1">AVERAGE(OFFSET($AM$3,0,0,'Données projet'!$E$10+1,1))-AVERAGE(OFFSET($H$3,0,0,'Données projet'!$E$10+1,1))</f>
        <v>302.20483575440988</v>
      </c>
      <c r="AO21" s="60">
        <f t="shared" si="36"/>
        <v>275.32862097158687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11.8</v>
      </c>
      <c r="BD21" s="13">
        <f>IF('Données projet'!$A$88&gt;35,BD20+BC21-BL20,IF(A21&lt;'Données projet'!$A$88,$BA$205^A21,IF(A21='Données projet'!$A$88,'Données projet'!$B$88,BD20+BC21-BL20)))</f>
        <v>123.39999999999998</v>
      </c>
      <c r="BE21" s="14">
        <f>BD21*VLOOKUP('Données projet'!$B$11,Paramètres!$A$1:$I$89,3,0)*VLOOKUP('Données projet'!$B$11,Paramètres!$A$1:$I$89,5,0)</f>
        <v>107.80224</v>
      </c>
      <c r="BF21" s="14">
        <f t="shared" si="37"/>
        <v>28.812568533501945</v>
      </c>
      <c r="BG21" s="22">
        <f t="shared" si="7"/>
        <v>237.93745819584922</v>
      </c>
      <c r="BH21" s="60">
        <f t="shared" si="8"/>
        <v>531.27079152918259</v>
      </c>
      <c r="BI21" s="60">
        <f ca="1">AVERAGE(OFFSET($BH$3,0,0,'Données projet'!$E$11+1,1))-AVERAGE(OFFSET($H$3,0,0,'Données projet'!$E$11+1,1))</f>
        <v>314.62110015707839</v>
      </c>
      <c r="BJ21" s="60">
        <f t="shared" si="38"/>
        <v>285.36905470736582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2.1</v>
      </c>
      <c r="BY21" s="13">
        <f>IF('Données projet'!$A$114&gt;35,BY20+BX21-CG20,IF(A21&lt;'Données projet'!$A$114,$BV$205^A21,IF(A21='Données projet'!$A$114,'Données projet'!$B$114,BY20+BX21-CG20)))</f>
        <v>28.901764726506816</v>
      </c>
      <c r="BZ21" s="14">
        <f>BY21*VLOOKUP('Données projet'!$B$12,Paramètres!$A$1:$I$89,3,0)*VLOOKUP('Données projet'!$B$12,Paramètres!$A$1:$I$89,5,0)</f>
        <v>26.150316724543362</v>
      </c>
      <c r="CA21" s="14">
        <f t="shared" si="39"/>
        <v>8.2420396752158016</v>
      </c>
      <c r="CB21" s="22">
        <f t="shared" si="10"/>
        <v>59.900020729580547</v>
      </c>
      <c r="CC21" s="60">
        <f t="shared" si="11"/>
        <v>353.23335406291386</v>
      </c>
      <c r="CD21" s="60">
        <f ca="1">AVERAGE(OFFSET($CC$3,0,0,'Données projet'!$E$12+1,1))-AVERAGE(OFFSET($H$3,0,0,'Données projet'!$E$12+1,1))</f>
        <v>303.73499739059076</v>
      </c>
      <c r="CE21" s="60">
        <f t="shared" si="40"/>
        <v>172.32171001882188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2.1</v>
      </c>
      <c r="CT21" s="13">
        <f>IF('Données projet'!$A$140&gt;35,CT20+CS21-DB20,IF(A21&lt;'Données projet'!$A$140,$CQ$205^A21,IF(A21='Données projet'!$A$140,'Données projet'!$B$140,CT20+CS21-DB20)))</f>
        <v>28.901764726506816</v>
      </c>
      <c r="CU21" s="18">
        <f>CT21*VLOOKUP('Données projet'!$B$13,Paramètres!$A$1:$I$89,3,0)*VLOOKUP('Données projet'!$B$13,Paramètres!$A$1:$I$89,5,0)</f>
        <v>29.306389432677911</v>
      </c>
      <c r="CV21" s="14">
        <f t="shared" si="41"/>
        <v>9.1150691477493808</v>
      </c>
      <c r="CW21" s="22">
        <f t="shared" si="13"/>
        <v>66.917373694244205</v>
      </c>
      <c r="CX21" s="60">
        <f t="shared" si="14"/>
        <v>360.2507070275775</v>
      </c>
      <c r="CY21" s="60">
        <f ca="1">AVERAGE(OFFSET($CX$3,0,0,'Données projet'!$E$13+1,1))-AVERAGE(OFFSET($H$3,0,0,'Données projet'!$E$13+1,1))</f>
        <v>350.3652766444938</v>
      </c>
      <c r="CZ21" s="60">
        <f t="shared" si="42"/>
        <v>197.04549436738586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2.1</v>
      </c>
      <c r="DO21" s="13">
        <f>IF('Données projet'!$A$166&gt;35,DO20+DN21-DW20,IF(A21&lt;'Données projet'!$A$166,$DL$205^A21,IF(A21='Données projet'!$A$166,'Données projet'!$B$166,DO20+DN21-DW20)))</f>
        <v>28.901764726506816</v>
      </c>
      <c r="DP21" s="18">
        <f>DO21*VLOOKUP('Données projet'!$B$14,Paramètres!$A$1:$I$89,3,0)*VLOOKUP('Données projet'!$B$14,Paramètres!$A$1:$I$89,5,0)</f>
        <v>31.109859551611933</v>
      </c>
      <c r="DQ21" s="14">
        <f t="shared" si="43"/>
        <v>9.6089687778941872</v>
      </c>
      <c r="DR21" s="22">
        <f t="shared" si="16"/>
        <v>70.918626007223153</v>
      </c>
      <c r="DS21" s="60">
        <f t="shared" si="17"/>
        <v>364.25195934055648</v>
      </c>
      <c r="DT21" s="60">
        <f ca="1">AVERAGE(OFFSET($DS$3,0,0,'Données projet'!$E$14+1,1))-AVERAGE(OFFSET($H$3,0,0,'Données projet'!$E$14+1,1))</f>
        <v>376.96388721258387</v>
      </c>
      <c r="DU21" s="60">
        <f t="shared" si="44"/>
        <v>211.14628470344377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2.1</v>
      </c>
      <c r="EJ21" s="13">
        <f>IF('Données projet'!$A$192&gt;35,EJ20+EI21-ER20,IF(A21&lt;'Données projet'!$A$192,$EG$205^A21,IF(A21='Données projet'!$A$192,'Données projet'!$B$192,EJ20+EI21-ER20)))</f>
        <v>28.901764726506816</v>
      </c>
      <c r="EK21" s="18">
        <f>EJ21*VLOOKUP('Données projet'!$B$15,Paramètres!$A$1:$I$89,3,0)*VLOOKUP('Données projet'!$B$15,Paramètres!$A$1:$I$89,5,0)</f>
        <v>27.953786843477392</v>
      </c>
      <c r="EL21" s="14">
        <f t="shared" si="45"/>
        <v>8.7423265089215931</v>
      </c>
      <c r="EM21" s="22">
        <f t="shared" si="19"/>
        <v>63.912397422094891</v>
      </c>
      <c r="EN21" s="60">
        <f t="shared" si="20"/>
        <v>357.24573075542821</v>
      </c>
      <c r="EO21" s="60">
        <f ca="1">AVERAGE(OFFSET($EN$3,0,0,'Données projet'!$E$15+1,1))-AVERAGE(OFFSET($H$3,0,0,'Données projet'!$E$15+1,1))</f>
        <v>330.39429528665841</v>
      </c>
      <c r="EP21" s="60">
        <f t="shared" si="46"/>
        <v>186.45728006007261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8">
        <f t="shared" si="1"/>
        <v>317.74310541723986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13.966666666666663</v>
      </c>
      <c r="N22" s="14">
        <f>IF('Données projet'!$A$36&gt;35,N21+M22-V21,IF(A22&lt;'Données projet'!$A$36,$K$205^A22,IF(A22='Données projet'!$A$36,'Données projet'!$B$36,N21+M22-V21)))</f>
        <v>116.23333333333333</v>
      </c>
      <c r="O22" s="14">
        <f>N22*VLOOKUP('Données projet'!$B$9,Paramètres!$A$1:$I$89,3,0)*VLOOKUP('Données projet'!$B$9,Paramètres!$A$1:$I$89,5,0)</f>
        <v>69.507533333333342</v>
      </c>
      <c r="P22" s="14">
        <f t="shared" si="33"/>
        <v>19.551110535209435</v>
      </c>
      <c r="Q22" s="22">
        <f t="shared" si="2"/>
        <v>155.11047140437867</v>
      </c>
      <c r="R22" s="60">
        <f t="shared" si="0"/>
        <v>448.44380473771196</v>
      </c>
      <c r="S22" s="60">
        <f ca="1">AVERAGE(OFFSET($R$3,0,0,'Données projet'!$E$9+1,1))-AVERAGE(OFFSET($H$3,0,0,'Données projet'!$E$9+1,1))</f>
        <v>155.11440101086782</v>
      </c>
      <c r="T22" s="60">
        <f t="shared" si="34"/>
        <v>239.53454701506638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3.9439613735888162</v>
      </c>
      <c r="AC22" s="24">
        <f t="shared" si="3"/>
        <v>3.9439613735888162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10</v>
      </c>
      <c r="AI22" s="14">
        <f>IF('Données projet'!$A$62&gt;35,AI21+AH22-AQ21,IF(A22&lt;'Données projet'!$A$62,$AF$205^A22,IF(A22='Données projet'!$A$62,'Données projet'!$B$62,AI21+AH22-AQ21)))</f>
        <v>126.1988950420027</v>
      </c>
      <c r="AJ22" s="14">
        <f>AI22*VLOOKUP('Données projet'!$B$10,Paramètres!$A$1:$I$89,3,0)*VLOOKUP('Données projet'!$B$10,Paramètres!$A$1:$I$89,5,0)</f>
        <v>70.545182328479513</v>
      </c>
      <c r="AK22" s="14">
        <f t="shared" si="35"/>
        <v>19.808784366626785</v>
      </c>
      <c r="AL22" s="22">
        <f t="shared" si="4"/>
        <v>157.36649199397678</v>
      </c>
      <c r="AM22" s="60">
        <f t="shared" si="5"/>
        <v>450.69982532731012</v>
      </c>
      <c r="AN22" s="60">
        <f ca="1">AVERAGE(OFFSET($AM$3,0,0,'Données projet'!$E$10+1,1))-AVERAGE(OFFSET($H$3,0,0,'Données projet'!$E$10+1,1))</f>
        <v>302.20483575440988</v>
      </c>
      <c r="AO22" s="60">
        <f t="shared" si="36"/>
        <v>275.32862097158687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11.8</v>
      </c>
      <c r="BD22" s="13">
        <f>IF('Données projet'!$A$88&gt;35,BD21+BC22-BL21,IF(A22&lt;'Données projet'!$A$88,$BA$205^A22,IF(A22='Données projet'!$A$88,'Données projet'!$B$88,BD21+BC22-BL21)))</f>
        <v>135.19999999999999</v>
      </c>
      <c r="BE22" s="14">
        <f>BD22*VLOOKUP('Données projet'!$B$11,Paramètres!$A$1:$I$89,3,0)*VLOOKUP('Données projet'!$B$11,Paramètres!$A$1:$I$89,5,0)</f>
        <v>118.11072000000001</v>
      </c>
      <c r="BF22" s="14">
        <f t="shared" si="37"/>
        <v>31.233949612110369</v>
      </c>
      <c r="BG22" s="22">
        <f t="shared" si="7"/>
        <v>260.10863290775887</v>
      </c>
      <c r="BH22" s="60">
        <f t="shared" si="8"/>
        <v>553.44196624109213</v>
      </c>
      <c r="BI22" s="60">
        <f ca="1">AVERAGE(OFFSET($BH$3,0,0,'Données projet'!$E$11+1,1))-AVERAGE(OFFSET($H$3,0,0,'Données projet'!$E$11+1,1))</f>
        <v>314.62110015707839</v>
      </c>
      <c r="BJ22" s="60">
        <f t="shared" si="38"/>
        <v>285.36905470736582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2.1</v>
      </c>
      <c r="BY22" s="13">
        <f>IF('Données projet'!$A$114&gt;35,BY21+BX22-CG21,IF(A22&lt;'Données projet'!$A$114,$BV$205^A22,IF(A22='Données projet'!$A$114,'Données projet'!$B$114,BY21+BX22-CG21)))</f>
        <v>34.840696297767764</v>
      </c>
      <c r="BZ22" s="14">
        <f>BY22*VLOOKUP('Données projet'!$B$12,Paramètres!$A$1:$I$89,3,0)*VLOOKUP('Données projet'!$B$12,Paramètres!$A$1:$I$89,5,0)</f>
        <v>31.52386201022027</v>
      </c>
      <c r="CA22" s="14">
        <f t="shared" si="39"/>
        <v>9.7218710074397983</v>
      </c>
      <c r="CB22" s="22">
        <f t="shared" si="10"/>
        <v>71.836318339091292</v>
      </c>
      <c r="CC22" s="60">
        <f t="shared" si="11"/>
        <v>365.16965167242461</v>
      </c>
      <c r="CD22" s="60">
        <f ca="1">AVERAGE(OFFSET($CC$3,0,0,'Données projet'!$E$12+1,1))-AVERAGE(OFFSET($H$3,0,0,'Données projet'!$E$12+1,1))</f>
        <v>303.73499739059076</v>
      </c>
      <c r="CE22" s="60">
        <f t="shared" si="40"/>
        <v>172.32171001882188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2.1</v>
      </c>
      <c r="CT22" s="13">
        <f>IF('Données projet'!$A$140&gt;35,CT21+CS22-DB21,IF(A22&lt;'Données projet'!$A$140,$CQ$205^A22,IF(A22='Données projet'!$A$140,'Données projet'!$B$140,CT21+CS22-DB21)))</f>
        <v>34.840696297767764</v>
      </c>
      <c r="CU22" s="18">
        <f>CT22*VLOOKUP('Données projet'!$B$13,Paramètres!$A$1:$I$89,3,0)*VLOOKUP('Données projet'!$B$13,Paramètres!$A$1:$I$89,5,0)</f>
        <v>35.328466045936516</v>
      </c>
      <c r="CV22" s="14">
        <f t="shared" si="41"/>
        <v>10.751650073316766</v>
      </c>
      <c r="CW22" s="22">
        <f t="shared" si="13"/>
        <v>80.256202241032796</v>
      </c>
      <c r="CX22" s="60">
        <f t="shared" si="14"/>
        <v>373.5895355743661</v>
      </c>
      <c r="CY22" s="60">
        <f ca="1">AVERAGE(OFFSET($CX$3,0,0,'Données projet'!$E$13+1,1))-AVERAGE(OFFSET($H$3,0,0,'Données projet'!$E$13+1,1))</f>
        <v>350.3652766444938</v>
      </c>
      <c r="CZ22" s="60">
        <f t="shared" si="42"/>
        <v>197.04549436738586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2.1</v>
      </c>
      <c r="DO22" s="13">
        <f>IF('Données projet'!$A$166&gt;35,DO21+DN22-DW21,IF(A22&lt;'Données projet'!$A$166,$DL$205^A22,IF(A22='Données projet'!$A$166,'Données projet'!$B$166,DO21+DN22-DW21)))</f>
        <v>34.840696297767764</v>
      </c>
      <c r="DP22" s="18">
        <f>DO22*VLOOKUP('Données projet'!$B$14,Paramètres!$A$1:$I$89,3,0)*VLOOKUP('Données projet'!$B$14,Paramètres!$A$1:$I$89,5,0)</f>
        <v>37.502525494917215</v>
      </c>
      <c r="DQ22" s="14">
        <f t="shared" si="43"/>
        <v>11.334227770598273</v>
      </c>
      <c r="DR22" s="22">
        <f t="shared" si="16"/>
        <v>85.057345270772814</v>
      </c>
      <c r="DS22" s="60">
        <f t="shared" si="17"/>
        <v>378.39067860410614</v>
      </c>
      <c r="DT22" s="60">
        <f ca="1">AVERAGE(OFFSET($DS$3,0,0,'Données projet'!$E$14+1,1))-AVERAGE(OFFSET($H$3,0,0,'Données projet'!$E$14+1,1))</f>
        <v>376.96388721258387</v>
      </c>
      <c r="DU22" s="60">
        <f t="shared" si="44"/>
        <v>211.14628470344377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2.1</v>
      </c>
      <c r="EJ22" s="13">
        <f>IF('Données projet'!$A$192&gt;35,EJ21+EI22-ER21,IF(A22&lt;'Données projet'!$A$192,$EG$205^A22,IF(A22='Données projet'!$A$192,'Données projet'!$B$192,EJ21+EI22-ER21)))</f>
        <v>34.840696297767764</v>
      </c>
      <c r="EK22" s="18">
        <f>EJ22*VLOOKUP('Données projet'!$B$15,Paramètres!$A$1:$I$89,3,0)*VLOOKUP('Données projet'!$B$15,Paramètres!$A$1:$I$89,5,0)</f>
        <v>33.697921459200977</v>
      </c>
      <c r="EL22" s="14">
        <f t="shared" si="45"/>
        <v>10.31198270984201</v>
      </c>
      <c r="EM22" s="22">
        <f t="shared" si="19"/>
        <v>76.650583094416518</v>
      </c>
      <c r="EN22" s="60">
        <f t="shared" si="20"/>
        <v>369.98391642774982</v>
      </c>
      <c r="EO22" s="60">
        <f ca="1">AVERAGE(OFFSET($EN$3,0,0,'Données projet'!$E$15+1,1))-AVERAGE(OFFSET($H$3,0,0,'Données projet'!$E$15+1,1))</f>
        <v>330.39429528665841</v>
      </c>
      <c r="EP22" s="60">
        <f t="shared" si="46"/>
        <v>186.45728006007261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8">
        <f t="shared" si="1"/>
        <v>318.98809269129538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130.19999999999999</v>
      </c>
      <c r="L23" s="13">
        <f>VLOOKUP(A23,'Données projet'!$A$35:$I$55,9,0)</f>
        <v>13.966666666666663</v>
      </c>
      <c r="M23" s="13">
        <f t="array" ref="M23">INDEX(L:L,MIN(IF(ISNUMBER(L23:L219),ROW(L23:L219),"")))</f>
        <v>13.966666666666663</v>
      </c>
      <c r="N23" s="14">
        <f>IF('Données projet'!$A$36&gt;35,N22+M23-V22,IF(A23&lt;'Données projet'!$A$36,$K$205^A23,IF(A23='Données projet'!$A$36,'Données projet'!$B$36,N22+M23-V22)))</f>
        <v>130.19999999999999</v>
      </c>
      <c r="O23" s="14">
        <f>N23*VLOOKUP('Données projet'!$B$9,Paramètres!$A$1:$I$89,3,0)*VLOOKUP('Données projet'!$B$9,Paramètres!$A$1:$I$89,5,0)</f>
        <v>77.8596</v>
      </c>
      <c r="P23" s="14">
        <f t="shared" si="33"/>
        <v>21.613022058435771</v>
      </c>
      <c r="Q23" s="22">
        <f t="shared" si="2"/>
        <v>173.24815008510896</v>
      </c>
      <c r="R23" s="60">
        <f t="shared" si="0"/>
        <v>466.5814834184423</v>
      </c>
      <c r="S23" s="60">
        <f ca="1">AVERAGE(OFFSET($R$3,0,0,'Données projet'!$E$9+1,1))-AVERAGE(OFFSET($H$3,0,0,'Données projet'!$E$9+1,1))</f>
        <v>155.11440101086782</v>
      </c>
      <c r="T23" s="60">
        <f t="shared" si="34"/>
        <v>239.53454701506638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34.1</v>
      </c>
      <c r="W23" s="17">
        <f>IF(ISNA(VLOOKUP(A23,'Données projet'!$A$35:$I$55,5,0)),0%,VLOOKUP(A23,'Données projet'!$A$35:$I$55,5,0)*VLOOKUP('Données projet'!$B$9,Paramètres!$A$1:$I$89,7,0))</f>
        <v>0.1125</v>
      </c>
      <c r="X23" s="76">
        <f>IF(ISNA(VLOOKUP(A23,'Données projet'!$A$35:$I$55,6,0)),0%,VLOOKUP(A23,'Données projet'!$A$35:$I$55,6,0)*VLOOKUP('Données projet'!$B$9,Paramètres!$A$1:$I$89,7,0))</f>
        <v>0.18000000000000002</v>
      </c>
      <c r="Y23" s="17">
        <f>IF(ISNA(VLOOKUP(A23,'Données projet'!$A$35:$I$55,7,0)),0%,VLOOKUP(A23,'Données projet'!$A$35:$I$55,7,0))</f>
        <v>0.35</v>
      </c>
      <c r="Z23" s="23">
        <f>EXP(-LN(2)/35)*Z22+(1-EXP(-LN(2)/35))/(LN(2)/35)*V23*W23*VLOOKUP('Données projet'!$B$9,Paramètres!$A$1:$I$89,3,0)*0.475*44/12</f>
        <v>3.0432416695236024</v>
      </c>
      <c r="AA23" s="23">
        <f>EXP(-LN(2)/25)*AA22+(1-EXP(-LN(2)/25))/(LN(2)/25)*Calculateur!V23*Calculateur!X23*VLOOKUP('Données projet'!$B$9,Paramètres!$A$1:$I$89,3,0)*0.475*44/12</f>
        <v>4.8500148280075246</v>
      </c>
      <c r="AB23" s="23">
        <f>EXP(-LN(2)/2)*AB22+(1-EXP(-LN(2)/2))/(LN(2)/2)*V23*Y23*VLOOKUP('Données projet'!$B$9,Paramètres!$A$1:$I$89,3,0)*0.475*44/12</f>
        <v>10.869690929647527</v>
      </c>
      <c r="AC23" s="24">
        <f t="shared" si="3"/>
        <v>18.762947427178652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10</v>
      </c>
      <c r="AI23" s="14">
        <f>IF('Données projet'!$A$62&gt;35,AI22+AH23-AQ22,IF(A23&lt;'Données projet'!$A$62,$AF$205^A23,IF(A23='Données projet'!$A$62,'Données projet'!$B$62,AI22+AH23-AQ22)))</f>
        <v>162.79363611278094</v>
      </c>
      <c r="AJ23" s="14">
        <f>AI23*VLOOKUP('Données projet'!$B$10,Paramètres!$A$1:$I$89,3,0)*VLOOKUP('Données projet'!$B$10,Paramètres!$A$1:$I$89,5,0)</f>
        <v>91.001642587044557</v>
      </c>
      <c r="AK23" s="14">
        <f t="shared" si="35"/>
        <v>24.806641237456894</v>
      </c>
      <c r="AL23" s="22">
        <f t="shared" si="4"/>
        <v>201.69942766100667</v>
      </c>
      <c r="AM23" s="60">
        <f t="shared" si="5"/>
        <v>495.03276099433998</v>
      </c>
      <c r="AN23" s="60">
        <f ca="1">AVERAGE(OFFSET($AM$3,0,0,'Données projet'!$E$10+1,1))-AVERAGE(OFFSET($H$3,0,0,'Données projet'!$E$10+1,1))</f>
        <v>302.20483575440988</v>
      </c>
      <c r="AO23" s="60">
        <f t="shared" si="36"/>
        <v>275.32862097158687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147</v>
      </c>
      <c r="BB23" s="13">
        <f>VLOOKUP(A23,'Données projet'!$A$87:$I$107,9,0)</f>
        <v>11.8</v>
      </c>
      <c r="BC23" s="13">
        <f t="array" ref="BC23">INDEX(BB:BB,MIN(IF(ISNUMBER(BB23:BB219),ROW(BB23:BB219),"")))</f>
        <v>11.8</v>
      </c>
      <c r="BD23" s="13">
        <f>IF('Données projet'!$A$88&gt;35,BD22+BC23-BL22,IF(A23&lt;'Données projet'!$A$88,$BA$205^A23,IF(A23='Données projet'!$A$88,'Données projet'!$B$88,BD22+BC23-BL22)))</f>
        <v>147</v>
      </c>
      <c r="BE23" s="14">
        <f>BD23*VLOOKUP('Données projet'!$B$11,Paramètres!$A$1:$I$89,3,0)*VLOOKUP('Données projet'!$B$11,Paramètres!$A$1:$I$89,5,0)</f>
        <v>128.41920000000002</v>
      </c>
      <c r="BF23" s="14">
        <f t="shared" si="37"/>
        <v>33.630823177860762</v>
      </c>
      <c r="BG23" s="22">
        <f t="shared" si="7"/>
        <v>282.23712370144091</v>
      </c>
      <c r="BH23" s="60">
        <f t="shared" si="8"/>
        <v>575.57045703477422</v>
      </c>
      <c r="BI23" s="60">
        <f ca="1">AVERAGE(OFFSET($BH$3,0,0,'Données projet'!$E$11+1,1))-AVERAGE(OFFSET($H$3,0,0,'Données projet'!$E$11+1,1))</f>
        <v>314.62110015707839</v>
      </c>
      <c r="BJ23" s="60">
        <f t="shared" si="38"/>
        <v>285.36905470736582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42</v>
      </c>
      <c r="BW23" s="13">
        <f>VLOOKUP(A23,'Données projet'!$A$113:$I$133,9,0)</f>
        <v>2.1</v>
      </c>
      <c r="BX23" s="13">
        <f t="array" ref="BX23">INDEX(BW:BW,MIN(IF(ISNUMBER(BW23:BW219),ROW(BW23:BW219),"")))</f>
        <v>2.1</v>
      </c>
      <c r="BY23" s="13">
        <f>IF('Données projet'!$A$114&gt;35,BY22+BX23-CG22,IF(A23&lt;'Données projet'!$A$114,$BV$205^A23,IF(A23='Données projet'!$A$114,'Données projet'!$B$114,BY22+BX23-CG22)))</f>
        <v>42</v>
      </c>
      <c r="BZ23" s="14">
        <f>BY23*VLOOKUP('Données projet'!$B$12,Paramètres!$A$1:$I$89,3,0)*VLOOKUP('Données projet'!$B$12,Paramètres!$A$1:$I$89,5,0)</f>
        <v>38.001600000000003</v>
      </c>
      <c r="CA23" s="14">
        <f t="shared" si="39"/>
        <v>11.467401227090512</v>
      </c>
      <c r="CB23" s="22">
        <f t="shared" si="10"/>
        <v>86.158510470515978</v>
      </c>
      <c r="CC23" s="60">
        <f t="shared" si="11"/>
        <v>379.49184380384929</v>
      </c>
      <c r="CD23" s="60">
        <f ca="1">AVERAGE(OFFSET($CC$3,0,0,'Données projet'!$E$12+1,1))-AVERAGE(OFFSET($H$3,0,0,'Données projet'!$E$12+1,1))</f>
        <v>303.73499739059076</v>
      </c>
      <c r="CE23" s="60">
        <f t="shared" si="40"/>
        <v>172.32171001882188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>
        <f>VLOOKUP(A23,'Données projet'!$A$139:$I$159,2,0)</f>
        <v>42</v>
      </c>
      <c r="CR23" s="13">
        <f>VLOOKUP(A23,'Données projet'!$A$139:$I$159,9,0)</f>
        <v>2.1</v>
      </c>
      <c r="CS23" s="13">
        <f t="array" ref="CS23">INDEX(CR:CR,MIN(IF(ISNUMBER(CR23:CR219),ROW(CR23:CR219),"")))</f>
        <v>2.1</v>
      </c>
      <c r="CT23" s="13">
        <f>IF('Données projet'!$A$140&gt;35,CT22+CS23-DB22,IF(A23&lt;'Données projet'!$A$140,$CQ$205^A23,IF(A23='Données projet'!$A$140,'Données projet'!$B$140,CT22+CS23-DB22)))</f>
        <v>42</v>
      </c>
      <c r="CU23" s="18">
        <f>CT23*VLOOKUP('Données projet'!$B$13,Paramètres!$A$1:$I$89,3,0)*VLOOKUP('Données projet'!$B$13,Paramètres!$A$1:$I$89,5,0)</f>
        <v>42.588000000000001</v>
      </c>
      <c r="CV23" s="14">
        <f t="shared" si="41"/>
        <v>12.682073764365764</v>
      </c>
      <c r="CW23" s="22">
        <f t="shared" si="13"/>
        <v>96.262045139603686</v>
      </c>
      <c r="CX23" s="60">
        <f t="shared" si="14"/>
        <v>389.595378472937</v>
      </c>
      <c r="CY23" s="60">
        <f ca="1">AVERAGE(OFFSET($CX$3,0,0,'Données projet'!$E$13+1,1))-AVERAGE(OFFSET($H$3,0,0,'Données projet'!$E$13+1,1))</f>
        <v>350.3652766444938</v>
      </c>
      <c r="CZ23" s="60">
        <f t="shared" si="42"/>
        <v>197.04549436738586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>
        <f>VLOOKUP(A23,'Données projet'!$A$165:$I$185,2,0)</f>
        <v>42</v>
      </c>
      <c r="DM23" s="13">
        <f>VLOOKUP(A23,'Données projet'!$A$165:$I$185,9,0)</f>
        <v>2.1</v>
      </c>
      <c r="DN23" s="13">
        <f t="array" ref="DN23">INDEX(DM:DM,MIN(IF(ISNUMBER(DM23:DM219),ROW(DM23:DM219),"")))</f>
        <v>2.1</v>
      </c>
      <c r="DO23" s="13">
        <f>IF('Données projet'!$A$166&gt;35,DO22+DN23-DW22,IF(A23&lt;'Données projet'!$A$166,$DL$205^A23,IF(A23='Données projet'!$A$166,'Données projet'!$B$166,DO22+DN23-DW22)))</f>
        <v>42</v>
      </c>
      <c r="DP23" s="18">
        <f>DO23*VLOOKUP('Données projet'!$B$14,Paramètres!$A$1:$I$89,3,0)*VLOOKUP('Données projet'!$B$14,Paramètres!$A$1:$I$89,5,0)</f>
        <v>45.208799999999997</v>
      </c>
      <c r="DQ23" s="14">
        <f t="shared" si="43"/>
        <v>13.369251386406743</v>
      </c>
      <c r="DR23" s="22">
        <f t="shared" si="16"/>
        <v>102.02343949799173</v>
      </c>
      <c r="DS23" s="60">
        <f t="shared" si="17"/>
        <v>395.35677283132503</v>
      </c>
      <c r="DT23" s="60">
        <f ca="1">AVERAGE(OFFSET($DS$3,0,0,'Données projet'!$E$14+1,1))-AVERAGE(OFFSET($H$3,0,0,'Données projet'!$E$14+1,1))</f>
        <v>376.96388721258387</v>
      </c>
      <c r="DU23" s="60">
        <f t="shared" si="44"/>
        <v>211.14628470344377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>
        <f>VLOOKUP(A23,'Données projet'!$A$191:$I$211,2,0)</f>
        <v>42</v>
      </c>
      <c r="EH23" s="13">
        <f>VLOOKUP(A23,'Données projet'!$A$191:$I$211,9,0)</f>
        <v>2.1</v>
      </c>
      <c r="EI23" s="13">
        <f t="array" ref="EI23">INDEX(EH:EH,MIN(IF(ISNUMBER(EH23:EH219),ROW(EH23:EH219),"")))</f>
        <v>2.1</v>
      </c>
      <c r="EJ23" s="13">
        <f>IF('Données projet'!$A$192&gt;35,EJ22+EI23-ER22,IF(A23&lt;'Données projet'!$A$192,$EG$205^A23,IF(A23='Données projet'!$A$192,'Données projet'!$B$192,EJ22+EI23-ER22)))</f>
        <v>42</v>
      </c>
      <c r="EK23" s="18">
        <f>EJ23*VLOOKUP('Données projet'!$B$15,Paramètres!$A$1:$I$89,3,0)*VLOOKUP('Données projet'!$B$15,Paramètres!$A$1:$I$89,5,0)</f>
        <v>40.622399999999999</v>
      </c>
      <c r="EL23" s="14">
        <f t="shared" si="45"/>
        <v>12.163465560290264</v>
      </c>
      <c r="EM23" s="22">
        <f t="shared" si="19"/>
        <v>91.935382517505545</v>
      </c>
      <c r="EN23" s="60">
        <f t="shared" si="20"/>
        <v>385.26871585083887</v>
      </c>
      <c r="EO23" s="60">
        <f ca="1">AVERAGE(OFFSET($EN$3,0,0,'Données projet'!$E$15+1,1))-AVERAGE(OFFSET($H$3,0,0,'Données projet'!$E$15+1,1))</f>
        <v>330.39429528665841</v>
      </c>
      <c r="EP23" s="60">
        <f t="shared" si="46"/>
        <v>186.45728006007261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8">
        <f t="shared" si="1"/>
        <v>320.23137288769698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15.400000000000006</v>
      </c>
      <c r="N24" s="14">
        <f>IF('Données projet'!$A$36&gt;35,N23+M24-V23,IF(A24&lt;'Données projet'!$A$36,$K$205^A24,IF(A24='Données projet'!$A$36,'Données projet'!$B$36,N23+M24-V23)))</f>
        <v>111.5</v>
      </c>
      <c r="O24" s="14">
        <f>N24*VLOOKUP('Données projet'!$B$9,Paramètres!$A$1:$I$89,3,0)*VLOOKUP('Données projet'!$B$9,Paramètres!$A$1:$I$89,5,0)</f>
        <v>66.677000000000007</v>
      </c>
      <c r="P24" s="14">
        <f t="shared" si="33"/>
        <v>18.845918291779732</v>
      </c>
      <c r="Q24" s="22">
        <f t="shared" si="2"/>
        <v>148.95241602484973</v>
      </c>
      <c r="R24" s="60">
        <f t="shared" si="0"/>
        <v>442.28574935818301</v>
      </c>
      <c r="S24" s="60">
        <f ca="1">AVERAGE(OFFSET($R$3,0,0,'Données projet'!$E$9+1,1))-AVERAGE(OFFSET($H$3,0,0,'Données projet'!$E$9+1,1))</f>
        <v>155.11440101086782</v>
      </c>
      <c r="T24" s="60">
        <f t="shared" si="34"/>
        <v>239.53454701506638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2.983565556578379</v>
      </c>
      <c r="AA24" s="23">
        <f>EXP(-LN(2)/25)*AA23+(1-EXP(-LN(2)/25))/(LN(2)/25)*Calculateur!V24*Calculateur!X24*VLOOKUP('Données projet'!$B$9,Paramètres!$A$1:$I$89,3,0)*0.475*44/12</f>
        <v>4.7173909174844635</v>
      </c>
      <c r="AB24" s="23">
        <f>EXP(-LN(2)/2)*AB23+(1-EXP(-LN(2)/2))/(LN(2)/2)*V24*Y24*VLOOKUP('Données projet'!$B$9,Paramètres!$A$1:$I$89,3,0)*0.475*44/12</f>
        <v>7.6860321657556749</v>
      </c>
      <c r="AC24" s="24">
        <f t="shared" si="3"/>
        <v>15.386988639818517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>
        <f>VLOOKUP(A24,'Données projet'!$A$61:$I$81,2,0)</f>
        <v>210</v>
      </c>
      <c r="AG24" s="13">
        <f>VLOOKUP(A24,'Données projet'!$A$61:$I$81,9,0)</f>
        <v>10</v>
      </c>
      <c r="AH24" s="13">
        <f t="array" ref="AH24">INDEX(AG:AG,MIN(IF(ISNUMBER(AG24:AG220),ROW(AG24:AG220),"")))</f>
        <v>10</v>
      </c>
      <c r="AI24" s="14">
        <f>IF('Données projet'!$A$62&gt;35,AI23+AH24-AQ23,IF(A24&lt;'Données projet'!$A$62,$AF$205^A24,IF(A24='Données projet'!$A$62,'Données projet'!$B$62,AI23+AH24-AQ23)))</f>
        <v>210</v>
      </c>
      <c r="AJ24" s="14">
        <f>AI24*VLOOKUP('Données projet'!$B$10,Paramètres!$A$1:$I$89,3,0)*VLOOKUP('Données projet'!$B$10,Paramètres!$A$1:$I$89,5,0)</f>
        <v>117.39</v>
      </c>
      <c r="AK24" s="14">
        <f t="shared" si="35"/>
        <v>31.065482772413461</v>
      </c>
      <c r="AL24" s="22">
        <f t="shared" si="4"/>
        <v>258.55996582862014</v>
      </c>
      <c r="AM24" s="60">
        <f t="shared" si="5"/>
        <v>551.89329916195345</v>
      </c>
      <c r="AN24" s="60">
        <f ca="1">AVERAGE(OFFSET($AM$3,0,0,'Données projet'!$E$10+1,1))-AVERAGE(OFFSET($H$3,0,0,'Données projet'!$E$10+1,1))</f>
        <v>302.20483575440988</v>
      </c>
      <c r="AO24" s="60">
        <f t="shared" si="36"/>
        <v>275.32862097158687</v>
      </c>
      <c r="AP24" s="16">
        <f>IF(ISNA(VLOOKUP(A24,'Données projet'!$A$61:$I$81,3,0)),0,VLOOKUP(A24,'Données projet'!$A$61:$I$81,3,0))</f>
        <v>1</v>
      </c>
      <c r="AQ24" s="16">
        <f>IF(ISNA(VLOOKUP(A24,'Données projet'!$A$61:$I$81,4,0)),0,VLOOKUP(A24,'Données projet'!$A$61:$I$81,4,0))</f>
        <v>63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5.5000000000000007E-2</v>
      </c>
      <c r="AT24" s="17">
        <f>IF(ISNA(VLOOKUP(A24,'Données projet'!$A$61:$I$81,7,0)),0%,VLOOKUP(A24,'Données projet'!$A$61:$I$81,7,0))</f>
        <v>0.4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2.5593521445130878</v>
      </c>
      <c r="AW24" s="23">
        <f>EXP(-LN(2)/2)*AW23+(1-EXP(-LN(2)/2))/(LN(2)/2)*AQ24*AT24*VLOOKUP('Données projet'!$B$10,Paramètres!$A$1:$I$89,3,0)*0.475*44/12</f>
        <v>15.949529928795821</v>
      </c>
      <c r="AX24" s="23">
        <f t="shared" si="6"/>
        <v>18.508882073308907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11.4</v>
      </c>
      <c r="BD24" s="13">
        <f>IF('Données projet'!$A$88&gt;35,BD23+BC24-BL23,IF(A24&lt;'Données projet'!$A$88,$BA$205^A24,IF(A24='Données projet'!$A$88,'Données projet'!$B$88,BD23+BC24-BL23)))</f>
        <v>158.4</v>
      </c>
      <c r="BE24" s="14">
        <f>BD24*VLOOKUP('Données projet'!$B$11,Paramètres!$A$1:$I$89,3,0)*VLOOKUP('Données projet'!$B$11,Paramètres!$A$1:$I$89,5,0)</f>
        <v>138.37824000000001</v>
      </c>
      <c r="BF24" s="14">
        <f t="shared" si="37"/>
        <v>35.925231489823396</v>
      </c>
      <c r="BG24" s="22">
        <f t="shared" si="7"/>
        <v>303.57854617810909</v>
      </c>
      <c r="BH24" s="60">
        <f t="shared" si="8"/>
        <v>596.91187951144241</v>
      </c>
      <c r="BI24" s="60">
        <f ca="1">AVERAGE(OFFSET($BH$3,0,0,'Données projet'!$E$11+1,1))-AVERAGE(OFFSET($H$3,0,0,'Données projet'!$E$11+1,1))</f>
        <v>314.62110015707839</v>
      </c>
      <c r="BJ24" s="60">
        <f t="shared" si="38"/>
        <v>285.36905470736582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5.6</v>
      </c>
      <c r="BY24" s="13">
        <f>IF('Données projet'!$A$114&gt;35,BY23+BX24-CG23,IF(A24&lt;'Données projet'!$A$114,$BV$205^A24,IF(A24='Données projet'!$A$114,'Données projet'!$B$114,BY23+BX24-CG23)))</f>
        <v>47.6</v>
      </c>
      <c r="BZ24" s="14">
        <f>BY24*VLOOKUP('Données projet'!$B$12,Paramètres!$A$1:$I$89,3,0)*VLOOKUP('Données projet'!$B$12,Paramètres!$A$1:$I$89,5,0)</f>
        <v>43.068480000000001</v>
      </c>
      <c r="CA24" s="14">
        <f t="shared" si="39"/>
        <v>12.808416415102187</v>
      </c>
      <c r="CB24" s="22">
        <f t="shared" si="10"/>
        <v>97.318927922969635</v>
      </c>
      <c r="CC24" s="60">
        <f t="shared" si="11"/>
        <v>390.65226125630295</v>
      </c>
      <c r="CD24" s="60">
        <f ca="1">AVERAGE(OFFSET($CC$3,0,0,'Données projet'!$E$12+1,1))-AVERAGE(OFFSET($H$3,0,0,'Données projet'!$E$12+1,1))</f>
        <v>303.73499739059076</v>
      </c>
      <c r="CE24" s="60">
        <f t="shared" si="40"/>
        <v>172.32171001882188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5.6</v>
      </c>
      <c r="CT24" s="13">
        <f>IF('Données projet'!$A$140&gt;35,CT23+CS24-DB23,IF(A24&lt;'Données projet'!$A$140,$CQ$205^A24,IF(A24='Données projet'!$A$140,'Données projet'!$B$140,CT23+CS24-DB23)))</f>
        <v>47.6</v>
      </c>
      <c r="CU24" s="18">
        <f>CT24*VLOOKUP('Données projet'!$B$13,Paramètres!$A$1:$I$89,3,0)*VLOOKUP('Données projet'!$B$13,Paramètres!$A$1:$I$89,5,0)</f>
        <v>48.266400000000004</v>
      </c>
      <c r="CV24" s="14">
        <f t="shared" si="41"/>
        <v>14.165134590154434</v>
      </c>
      <c r="CW24" s="22">
        <f t="shared" si="13"/>
        <v>108.73492274451898</v>
      </c>
      <c r="CX24" s="60">
        <f t="shared" si="14"/>
        <v>402.06825607785231</v>
      </c>
      <c r="CY24" s="60">
        <f ca="1">AVERAGE(OFFSET($CX$3,0,0,'Données projet'!$E$13+1,1))-AVERAGE(OFFSET($H$3,0,0,'Données projet'!$E$13+1,1))</f>
        <v>350.3652766444938</v>
      </c>
      <c r="CZ24" s="60">
        <f t="shared" si="42"/>
        <v>197.04549436738586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5.6</v>
      </c>
      <c r="DO24" s="13">
        <f>IF('Données projet'!$A$166&gt;35,DO23+DN24-DW23,IF(A24&lt;'Données projet'!$A$166,$DL$205^A24,IF(A24='Données projet'!$A$166,'Données projet'!$B$166,DO23+DN24-DW23)))</f>
        <v>47.6</v>
      </c>
      <c r="DP24" s="18">
        <f>DO24*VLOOKUP('Données projet'!$B$14,Paramètres!$A$1:$I$89,3,0)*VLOOKUP('Données projet'!$B$14,Paramètres!$A$1:$I$89,5,0)</f>
        <v>51.236640000000001</v>
      </c>
      <c r="DQ24" s="14">
        <f t="shared" si="43"/>
        <v>14.932671799321549</v>
      </c>
      <c r="DR24" s="22">
        <f t="shared" si="16"/>
        <v>115.24488471715169</v>
      </c>
      <c r="DS24" s="60">
        <f t="shared" si="17"/>
        <v>408.57821805048502</v>
      </c>
      <c r="DT24" s="60">
        <f ca="1">AVERAGE(OFFSET($DS$3,0,0,'Données projet'!$E$14+1,1))-AVERAGE(OFFSET($H$3,0,0,'Données projet'!$E$14+1,1))</f>
        <v>376.96388721258387</v>
      </c>
      <c r="DU24" s="60">
        <f t="shared" si="44"/>
        <v>211.14628470344377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5.6</v>
      </c>
      <c r="EJ24" s="13">
        <f>IF('Données projet'!$A$192&gt;35,EJ23+EI24-ER23,IF(A24&lt;'Données projet'!$A$192,$EG$205^A24,IF(A24='Données projet'!$A$192,'Données projet'!$B$192,EJ23+EI24-ER23)))</f>
        <v>47.6</v>
      </c>
      <c r="EK24" s="18">
        <f>EJ24*VLOOKUP('Données projet'!$B$15,Paramètres!$A$1:$I$89,3,0)*VLOOKUP('Données projet'!$B$15,Paramètres!$A$1:$I$89,5,0)</f>
        <v>46.038720000000005</v>
      </c>
      <c r="EL24" s="14">
        <f t="shared" si="45"/>
        <v>13.585879560828786</v>
      </c>
      <c r="EM24" s="22">
        <f t="shared" si="19"/>
        <v>103.84617756844348</v>
      </c>
      <c r="EN24" s="60">
        <f t="shared" si="20"/>
        <v>397.17951090177678</v>
      </c>
      <c r="EO24" s="60">
        <f ca="1">AVERAGE(OFFSET($EN$3,0,0,'Données projet'!$E$15+1,1))-AVERAGE(OFFSET($H$3,0,0,'Données projet'!$E$15+1,1))</f>
        <v>330.39429528665841</v>
      </c>
      <c r="EP24" s="60">
        <f t="shared" si="46"/>
        <v>186.45728006007261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8">
        <f t="shared" si="1"/>
        <v>321.47303657691953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126.9</v>
      </c>
      <c r="L25" s="13">
        <f>VLOOKUP(A25,'Données projet'!$A$35:$I$55,9,0)</f>
        <v>15.400000000000006</v>
      </c>
      <c r="M25" s="13">
        <f t="array" ref="M25">INDEX(L:L,MIN(IF(ISNUMBER(L25:L221),ROW(L25:L221),"")))</f>
        <v>15.400000000000006</v>
      </c>
      <c r="N25" s="14">
        <f>IF('Données projet'!$A$36&gt;35,N24+M25-V24,IF(A25&lt;'Données projet'!$A$36,$K$205^A25,IF(A25='Données projet'!$A$36,'Données projet'!$B$36,N24+M25-V24)))</f>
        <v>126.9</v>
      </c>
      <c r="O25" s="14">
        <f>N25*VLOOKUP('Données projet'!$B$9,Paramètres!$A$1:$I$89,3,0)*VLOOKUP('Données projet'!$B$9,Paramètres!$A$1:$I$89,5,0)</f>
        <v>75.886200000000002</v>
      </c>
      <c r="P25" s="14">
        <f t="shared" si="33"/>
        <v>21.128269134197218</v>
      </c>
      <c r="Q25" s="22">
        <f t="shared" si="2"/>
        <v>168.96686707539345</v>
      </c>
      <c r="R25" s="60">
        <f t="shared" si="0"/>
        <v>462.30020040872677</v>
      </c>
      <c r="S25" s="60">
        <f ca="1">AVERAGE(OFFSET($R$3,0,0,'Données projet'!$E$9+1,1))-AVERAGE(OFFSET($H$3,0,0,'Données projet'!$E$9+1,1))</f>
        <v>155.11440101086782</v>
      </c>
      <c r="T25" s="60">
        <f t="shared" si="34"/>
        <v>239.53454701506638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2.9250596558091768</v>
      </c>
      <c r="AA25" s="23">
        <f>EXP(-LN(2)/25)*AA24+(1-EXP(-LN(2)/25))/(LN(2)/25)*Calculateur!V25*Calculateur!X25*VLOOKUP('Données projet'!$B$9,Paramètres!$A$1:$I$89,3,0)*0.475*44/12</f>
        <v>4.5883936147690445</v>
      </c>
      <c r="AB25" s="23">
        <f>EXP(-LN(2)/2)*AB24+(1-EXP(-LN(2)/2))/(LN(2)/2)*V25*Y25*VLOOKUP('Données projet'!$B$9,Paramètres!$A$1:$I$89,3,0)*0.475*44/12</f>
        <v>5.4348454648237645</v>
      </c>
      <c r="AC25" s="24">
        <f t="shared" si="3"/>
        <v>12.948298735401986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19</v>
      </c>
      <c r="AI25" s="14">
        <f>IF('Données projet'!$A$62&gt;35,AI24+AH25-AQ24,IF(A25&lt;'Données projet'!$A$62,$AF$205^A25,IF(A25='Données projet'!$A$62,'Données projet'!$B$62,AI24+AH25-AQ24)))</f>
        <v>166</v>
      </c>
      <c r="AJ25" s="14">
        <f>AI25*VLOOKUP('Données projet'!$B$10,Paramètres!$A$1:$I$89,3,0)*VLOOKUP('Données projet'!$B$10,Paramètres!$A$1:$I$89,5,0)</f>
        <v>92.793999999999997</v>
      </c>
      <c r="AK25" s="14">
        <f t="shared" si="35"/>
        <v>25.237866858098691</v>
      </c>
      <c r="AL25" s="22">
        <f t="shared" si="4"/>
        <v>205.57216811118852</v>
      </c>
      <c r="AM25" s="60">
        <f t="shared" si="5"/>
        <v>498.90550144452186</v>
      </c>
      <c r="AN25" s="60">
        <f ca="1">AVERAGE(OFFSET($AM$3,0,0,'Données projet'!$E$10+1,1))-AVERAGE(OFFSET($H$3,0,0,'Données projet'!$E$10+1,1))</f>
        <v>302.20483575440988</v>
      </c>
      <c r="AO25" s="60">
        <f t="shared" si="36"/>
        <v>275.32862097158687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2.4893665255308974</v>
      </c>
      <c r="AW25" s="23">
        <f>EXP(-LN(2)/2)*AW24+(1-EXP(-LN(2)/2))/(LN(2)/2)*AQ25*AT25*VLOOKUP('Données projet'!$B$10,Paramètres!$A$1:$I$89,3,0)*0.475*44/12</f>
        <v>11.278020769389318</v>
      </c>
      <c r="AX25" s="23">
        <f t="shared" si="6"/>
        <v>13.767387294920216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11.4</v>
      </c>
      <c r="BD25" s="13">
        <f>IF('Données projet'!$A$88&gt;35,BD24+BC25-BL24,IF(A25&lt;'Données projet'!$A$88,$BA$205^A25,IF(A25='Données projet'!$A$88,'Données projet'!$B$88,BD24+BC25-BL24)))</f>
        <v>169.8</v>
      </c>
      <c r="BE25" s="14">
        <f>BD25*VLOOKUP('Données projet'!$B$11,Paramètres!$A$1:$I$89,3,0)*VLOOKUP('Données projet'!$B$11,Paramètres!$A$1:$I$89,5,0)</f>
        <v>148.33728000000005</v>
      </c>
      <c r="BF25" s="14">
        <f t="shared" si="37"/>
        <v>38.200481752654838</v>
      </c>
      <c r="BG25" s="22">
        <f t="shared" si="7"/>
        <v>324.88660171920725</v>
      </c>
      <c r="BH25" s="60">
        <f t="shared" si="8"/>
        <v>618.21993505254056</v>
      </c>
      <c r="BI25" s="60">
        <f ca="1">AVERAGE(OFFSET($BH$3,0,0,'Données projet'!$E$11+1,1))-AVERAGE(OFFSET($H$3,0,0,'Données projet'!$E$11+1,1))</f>
        <v>314.62110015707839</v>
      </c>
      <c r="BJ25" s="60">
        <f t="shared" si="38"/>
        <v>285.36905470736582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5.6</v>
      </c>
      <c r="BY25" s="13">
        <f>IF('Données projet'!$A$114&gt;35,BY24+BX25-CG24,IF(A25&lt;'Données projet'!$A$114,$BV$205^A25,IF(A25='Données projet'!$A$114,'Données projet'!$B$114,BY24+BX25-CG24)))</f>
        <v>53.2</v>
      </c>
      <c r="BZ25" s="14">
        <f>BY25*VLOOKUP('Données projet'!$B$12,Paramètres!$A$1:$I$89,3,0)*VLOOKUP('Données projet'!$B$12,Paramètres!$A$1:$I$89,5,0)</f>
        <v>48.135359999999999</v>
      </c>
      <c r="CA25" s="14">
        <f t="shared" si="39"/>
        <v>14.131148275361113</v>
      </c>
      <c r="CB25" s="22">
        <f t="shared" si="10"/>
        <v>108.4475019129206</v>
      </c>
      <c r="CC25" s="60">
        <f t="shared" si="11"/>
        <v>401.7808352462539</v>
      </c>
      <c r="CD25" s="60">
        <f ca="1">AVERAGE(OFFSET($CC$3,0,0,'Données projet'!$E$12+1,1))-AVERAGE(OFFSET($H$3,0,0,'Données projet'!$E$12+1,1))</f>
        <v>303.73499739059076</v>
      </c>
      <c r="CE25" s="60">
        <f t="shared" si="40"/>
        <v>172.32171001882188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5.6</v>
      </c>
      <c r="CT25" s="13">
        <f>IF('Données projet'!$A$140&gt;35,CT24+CS25-DB24,IF(A25&lt;'Données projet'!$A$140,$CQ$205^A25,IF(A25='Données projet'!$A$140,'Données projet'!$B$140,CT24+CS25-DB24)))</f>
        <v>53.2</v>
      </c>
      <c r="CU25" s="18">
        <f>CT25*VLOOKUP('Données projet'!$B$13,Paramètres!$A$1:$I$89,3,0)*VLOOKUP('Données projet'!$B$13,Paramètres!$A$1:$I$89,5,0)</f>
        <v>53.944800000000008</v>
      </c>
      <c r="CV25" s="14">
        <f t="shared" si="41"/>
        <v>15.627975445731321</v>
      </c>
      <c r="CW25" s="22">
        <f t="shared" si="13"/>
        <v>121.17258390131538</v>
      </c>
      <c r="CX25" s="60">
        <f t="shared" si="14"/>
        <v>414.50591723464868</v>
      </c>
      <c r="CY25" s="60">
        <f ca="1">AVERAGE(OFFSET($CX$3,0,0,'Données projet'!$E$13+1,1))-AVERAGE(OFFSET($H$3,0,0,'Données projet'!$E$13+1,1))</f>
        <v>350.3652766444938</v>
      </c>
      <c r="CZ25" s="60">
        <f t="shared" si="42"/>
        <v>197.04549436738586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5.6</v>
      </c>
      <c r="DO25" s="13">
        <f>IF('Données projet'!$A$166&gt;35,DO24+DN25-DW24,IF(A25&lt;'Données projet'!$A$166,$DL$205^A25,IF(A25='Données projet'!$A$166,'Données projet'!$B$166,DO24+DN25-DW24)))</f>
        <v>53.2</v>
      </c>
      <c r="DP25" s="18">
        <f>DO25*VLOOKUP('Données projet'!$B$14,Paramètres!$A$1:$I$89,3,0)*VLOOKUP('Données projet'!$B$14,Paramètres!$A$1:$I$89,5,0)</f>
        <v>57.264479999999999</v>
      </c>
      <c r="DQ25" s="14">
        <f t="shared" si="43"/>
        <v>16.474776623807379</v>
      </c>
      <c r="DR25" s="22">
        <f t="shared" si="16"/>
        <v>128.42920528646451</v>
      </c>
      <c r="DS25" s="60">
        <f t="shared" si="17"/>
        <v>421.76253861979785</v>
      </c>
      <c r="DT25" s="60">
        <f ca="1">AVERAGE(OFFSET($DS$3,0,0,'Données projet'!$E$14+1,1))-AVERAGE(OFFSET($H$3,0,0,'Données projet'!$E$14+1,1))</f>
        <v>376.96388721258387</v>
      </c>
      <c r="DU25" s="60">
        <f t="shared" si="44"/>
        <v>211.14628470344377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5.6</v>
      </c>
      <c r="EJ25" s="13">
        <f>IF('Données projet'!$A$192&gt;35,EJ24+EI25-ER24,IF(A25&lt;'Données projet'!$A$192,$EG$205^A25,IF(A25='Données projet'!$A$192,'Données projet'!$B$192,EJ24+EI25-ER24)))</f>
        <v>53.2</v>
      </c>
      <c r="EK25" s="18">
        <f>EJ25*VLOOKUP('Données projet'!$B$15,Paramètres!$A$1:$I$89,3,0)*VLOOKUP('Données projet'!$B$15,Paramètres!$A$1:$I$89,5,0)</f>
        <v>51.455040000000004</v>
      </c>
      <c r="EL25" s="14">
        <f t="shared" si="45"/>
        <v>14.988900446655085</v>
      </c>
      <c r="EM25" s="22">
        <f t="shared" si="19"/>
        <v>115.72319627792427</v>
      </c>
      <c r="EN25" s="60">
        <f t="shared" si="20"/>
        <v>409.05652961125759</v>
      </c>
      <c r="EO25" s="60">
        <f ca="1">AVERAGE(OFFSET($EN$3,0,0,'Données projet'!$E$15+1,1))-AVERAGE(OFFSET($H$3,0,0,'Données projet'!$E$15+1,1))</f>
        <v>330.39429528665841</v>
      </c>
      <c r="EP25" s="60">
        <f t="shared" si="46"/>
        <v>186.45728006007261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8">
        <f t="shared" si="1"/>
        <v>322.71316563033918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17.399999999999991</v>
      </c>
      <c r="N26" s="14">
        <f>IF('Données projet'!$A$36&gt;35,N25+M26-V25,IF(A26&lt;'Données projet'!$A$36,$K$205^A26,IF(A26='Données projet'!$A$36,'Données projet'!$B$36,N25+M26-V25)))</f>
        <v>144.30000000000001</v>
      </c>
      <c r="O26" s="14">
        <f>N26*VLOOKUP('Données projet'!$B$9,Paramètres!$A$1:$I$89,3,0)*VLOOKUP('Données projet'!$B$9,Paramètres!$A$1:$I$89,5,0)</f>
        <v>86.291400000000024</v>
      </c>
      <c r="P26" s="14">
        <f t="shared" si="33"/>
        <v>23.668621312817567</v>
      </c>
      <c r="Q26" s="22">
        <f t="shared" si="2"/>
        <v>191.51370378649062</v>
      </c>
      <c r="R26" s="60">
        <f t="shared" si="0"/>
        <v>484.84703711982394</v>
      </c>
      <c r="S26" s="60">
        <f ca="1">AVERAGE(OFFSET($R$3,0,0,'Données projet'!$E$9+1,1))-AVERAGE(OFFSET($H$3,0,0,'Données projet'!$E$9+1,1))</f>
        <v>155.11440101086782</v>
      </c>
      <c r="T26" s="60">
        <f t="shared" si="34"/>
        <v>239.53454701506638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2.8677010200689828</v>
      </c>
      <c r="AA26" s="23">
        <f>EXP(-LN(2)/25)*AA25+(1-EXP(-LN(2)/25))/(LN(2)/25)*Calculateur!V26*Calculateur!X26*VLOOKUP('Données projet'!$B$9,Paramètres!$A$1:$I$89,3,0)*0.475*44/12</f>
        <v>4.4629237500800514</v>
      </c>
      <c r="AB26" s="23">
        <f>EXP(-LN(2)/2)*AB25+(1-EXP(-LN(2)/2))/(LN(2)/2)*V26*Y26*VLOOKUP('Données projet'!$B$9,Paramètres!$A$1:$I$89,3,0)*0.475*44/12</f>
        <v>3.8430160828778379</v>
      </c>
      <c r="AC26" s="24">
        <f t="shared" si="3"/>
        <v>11.173640853026873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19</v>
      </c>
      <c r="AI26" s="14">
        <f>IF('Données projet'!$A$62&gt;35,AI25+AH26-AQ25,IF(A26&lt;'Données projet'!$A$62,$AF$205^A26,IF(A26='Données projet'!$A$62,'Données projet'!$B$62,AI25+AH26-AQ25)))</f>
        <v>185</v>
      </c>
      <c r="AJ26" s="14">
        <f>AI26*VLOOKUP('Données projet'!$B$10,Paramètres!$A$1:$I$89,3,0)*VLOOKUP('Données projet'!$B$10,Paramètres!$A$1:$I$89,5,0)</f>
        <v>103.41500000000001</v>
      </c>
      <c r="AK26" s="14">
        <f t="shared" si="35"/>
        <v>27.773977384564439</v>
      </c>
      <c r="AL26" s="22">
        <f t="shared" si="4"/>
        <v>228.48746894478305</v>
      </c>
      <c r="AM26" s="60">
        <f t="shared" si="5"/>
        <v>521.82080227811639</v>
      </c>
      <c r="AN26" s="60">
        <f ca="1">AVERAGE(OFFSET($AM$3,0,0,'Données projet'!$E$10+1,1))-AVERAGE(OFFSET($H$3,0,0,'Données projet'!$E$10+1,1))</f>
        <v>302.20483575440988</v>
      </c>
      <c r="AO26" s="60">
        <f t="shared" si="36"/>
        <v>275.32862097158687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2.4212946669801592</v>
      </c>
      <c r="AW26" s="23">
        <f>EXP(-LN(2)/2)*AW25+(1-EXP(-LN(2)/2))/(LN(2)/2)*AQ26*AT26*VLOOKUP('Données projet'!$B$10,Paramètres!$A$1:$I$89,3,0)*0.475*44/12</f>
        <v>7.9747649643979113</v>
      </c>
      <c r="AX26" s="23">
        <f t="shared" si="6"/>
        <v>10.396059631378071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11.4</v>
      </c>
      <c r="BD26" s="13">
        <f>IF('Données projet'!$A$88&gt;35,BD25+BC26-BL25,IF(A26&lt;'Données projet'!$A$88,$BA$205^A26,IF(A26='Données projet'!$A$88,'Données projet'!$B$88,BD25+BC26-BL25)))</f>
        <v>181.20000000000002</v>
      </c>
      <c r="BE26" s="14">
        <f>BD26*VLOOKUP('Données projet'!$B$11,Paramètres!$A$1:$I$89,3,0)*VLOOKUP('Données projet'!$B$11,Paramètres!$A$1:$I$89,5,0)</f>
        <v>158.29632000000004</v>
      </c>
      <c r="BF26" s="14">
        <f t="shared" si="37"/>
        <v>40.458006540983739</v>
      </c>
      <c r="BG26" s="22">
        <f t="shared" si="7"/>
        <v>346.16378539221341</v>
      </c>
      <c r="BH26" s="60">
        <f t="shared" si="8"/>
        <v>639.49711872554667</v>
      </c>
      <c r="BI26" s="60">
        <f ca="1">AVERAGE(OFFSET($BH$3,0,0,'Données projet'!$E$11+1,1))-AVERAGE(OFFSET($H$3,0,0,'Données projet'!$E$11+1,1))</f>
        <v>314.62110015707839</v>
      </c>
      <c r="BJ26" s="60">
        <f t="shared" si="38"/>
        <v>285.36905470736582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5.6</v>
      </c>
      <c r="BY26" s="13">
        <f>IF('Données projet'!$A$114&gt;35,BY25+BX26-CG25,IF(A26&lt;'Données projet'!$A$114,$BV$205^A26,IF(A26='Données projet'!$A$114,'Données projet'!$B$114,BY25+BX26-CG25)))</f>
        <v>58.800000000000004</v>
      </c>
      <c r="BZ26" s="14">
        <f>BY26*VLOOKUP('Données projet'!$B$12,Paramètres!$A$1:$I$89,3,0)*VLOOKUP('Données projet'!$B$12,Paramètres!$A$1:$I$89,5,0)</f>
        <v>53.202240000000003</v>
      </c>
      <c r="CA26" s="14">
        <f t="shared" si="39"/>
        <v>15.437740642425908</v>
      </c>
      <c r="CB26" s="22">
        <f t="shared" si="10"/>
        <v>119.54796628555846</v>
      </c>
      <c r="CC26" s="60">
        <f t="shared" si="11"/>
        <v>412.88129961889177</v>
      </c>
      <c r="CD26" s="60">
        <f ca="1">AVERAGE(OFFSET($CC$3,0,0,'Données projet'!$E$12+1,1))-AVERAGE(OFFSET($H$3,0,0,'Données projet'!$E$12+1,1))</f>
        <v>303.73499739059076</v>
      </c>
      <c r="CE26" s="60">
        <f t="shared" si="40"/>
        <v>172.32171001882188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5.6</v>
      </c>
      <c r="CT26" s="13">
        <f>IF('Données projet'!$A$140&gt;35,CT25+CS26-DB25,IF(A26&lt;'Données projet'!$A$140,$CQ$205^A26,IF(A26='Données projet'!$A$140,'Données projet'!$B$140,CT25+CS26-DB25)))</f>
        <v>58.800000000000004</v>
      </c>
      <c r="CU26" s="18">
        <f>CT26*VLOOKUP('Données projet'!$B$13,Paramètres!$A$1:$I$89,3,0)*VLOOKUP('Données projet'!$B$13,Paramètres!$A$1:$I$89,5,0)</f>
        <v>59.623200000000011</v>
      </c>
      <c r="CV26" s="14">
        <f t="shared" si="41"/>
        <v>17.072967249098898</v>
      </c>
      <c r="CW26" s="22">
        <f t="shared" si="13"/>
        <v>133.57915795884725</v>
      </c>
      <c r="CX26" s="60">
        <f t="shared" si="14"/>
        <v>426.91249129218056</v>
      </c>
      <c r="CY26" s="60">
        <f ca="1">AVERAGE(OFFSET($CX$3,0,0,'Données projet'!$E$13+1,1))-AVERAGE(OFFSET($H$3,0,0,'Données projet'!$E$13+1,1))</f>
        <v>350.3652766444938</v>
      </c>
      <c r="CZ26" s="60">
        <f t="shared" si="42"/>
        <v>197.04549436738586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5.6</v>
      </c>
      <c r="DO26" s="13">
        <f>IF('Données projet'!$A$166&gt;35,DO25+DN26-DW25,IF(A26&lt;'Données projet'!$A$166,$DL$205^A26,IF(A26='Données projet'!$A$166,'Données projet'!$B$166,DO25+DN26-DW25)))</f>
        <v>58.800000000000004</v>
      </c>
      <c r="DP26" s="18">
        <f>DO26*VLOOKUP('Données projet'!$B$14,Paramètres!$A$1:$I$89,3,0)*VLOOKUP('Données projet'!$B$14,Paramètres!$A$1:$I$89,5,0)</f>
        <v>63.292320000000004</v>
      </c>
      <c r="DQ26" s="14">
        <f t="shared" si="43"/>
        <v>17.998065245956816</v>
      </c>
      <c r="DR26" s="22">
        <f t="shared" si="16"/>
        <v>141.58075430337479</v>
      </c>
      <c r="DS26" s="60">
        <f t="shared" si="17"/>
        <v>434.91408763670813</v>
      </c>
      <c r="DT26" s="60">
        <f ca="1">AVERAGE(OFFSET($DS$3,0,0,'Données projet'!$E$14+1,1))-AVERAGE(OFFSET($H$3,0,0,'Données projet'!$E$14+1,1))</f>
        <v>376.96388721258387</v>
      </c>
      <c r="DU26" s="60">
        <f t="shared" si="44"/>
        <v>211.14628470344377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5.6</v>
      </c>
      <c r="EJ26" s="13">
        <f>IF('Données projet'!$A$192&gt;35,EJ25+EI26-ER25,IF(A26&lt;'Données projet'!$A$192,$EG$205^A26,IF(A26='Données projet'!$A$192,'Données projet'!$B$192,EJ25+EI26-ER25)))</f>
        <v>58.800000000000004</v>
      </c>
      <c r="EK26" s="18">
        <f>EJ26*VLOOKUP('Données projet'!$B$15,Paramètres!$A$1:$I$89,3,0)*VLOOKUP('Données projet'!$B$15,Paramètres!$A$1:$I$89,5,0)</f>
        <v>56.87136000000001</v>
      </c>
      <c r="EL26" s="14">
        <f t="shared" si="45"/>
        <v>16.374802181791551</v>
      </c>
      <c r="EM26" s="22">
        <f t="shared" si="19"/>
        <v>127.57039913328697</v>
      </c>
      <c r="EN26" s="60">
        <f t="shared" si="20"/>
        <v>420.90373246662028</v>
      </c>
      <c r="EO26" s="60">
        <f ca="1">AVERAGE(OFFSET($EN$3,0,0,'Données projet'!$E$15+1,1))-AVERAGE(OFFSET($H$3,0,0,'Données projet'!$E$15+1,1))</f>
        <v>330.39429528665841</v>
      </c>
      <c r="EP26" s="60">
        <f t="shared" si="46"/>
        <v>186.45728006007261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8">
        <f t="shared" si="1"/>
        <v>323.95183439748814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161.69999999999999</v>
      </c>
      <c r="L27" s="13">
        <f>VLOOKUP(A27,'Données projet'!$A$35:$I$55,9,0)</f>
        <v>17.399999999999991</v>
      </c>
      <c r="M27" s="13">
        <f t="array" ref="M27">INDEX(L:L,MIN(IF(ISNUMBER(L27:L223),ROW(L27:L223),"")))</f>
        <v>17.399999999999991</v>
      </c>
      <c r="N27" s="14">
        <f>IF('Données projet'!$A$36&gt;35,N26+M27-V26,IF(A27&lt;'Données projet'!$A$36,$K$205^A27,IF(A27='Données projet'!$A$36,'Données projet'!$B$36,N26+M27-V26)))</f>
        <v>161.69999999999999</v>
      </c>
      <c r="O27" s="14">
        <f>N27*VLOOKUP('Données projet'!$B$9,Paramètres!$A$1:$I$89,3,0)*VLOOKUP('Données projet'!$B$9,Paramètres!$A$1:$I$89,5,0)</f>
        <v>96.696600000000004</v>
      </c>
      <c r="P27" s="14">
        <f t="shared" si="33"/>
        <v>26.173476069859898</v>
      </c>
      <c r="Q27" s="22">
        <f t="shared" si="2"/>
        <v>213.99871582167268</v>
      </c>
      <c r="R27" s="60">
        <f t="shared" si="0"/>
        <v>507.33204915500596</v>
      </c>
      <c r="S27" s="60">
        <f ca="1">AVERAGE(OFFSET($R$3,0,0,'Données projet'!$E$9+1,1))-AVERAGE(OFFSET($H$3,0,0,'Données projet'!$E$9+1,1))</f>
        <v>155.11440101086782</v>
      </c>
      <c r="T27" s="60">
        <f t="shared" si="34"/>
        <v>239.53454701506638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2.8114671521903407</v>
      </c>
      <c r="AA27" s="23">
        <f>EXP(-LN(2)/25)*AA26+(1-EXP(-LN(2)/25))/(LN(2)/25)*Calculateur!V27*Calculateur!X27*VLOOKUP('Données projet'!$B$9,Paramètres!$A$1:$I$89,3,0)*0.475*44/12</f>
        <v>4.3408848654391523</v>
      </c>
      <c r="AB27" s="23">
        <f>EXP(-LN(2)/2)*AB26+(1-EXP(-LN(2)/2))/(LN(2)/2)*V27*Y27*VLOOKUP('Données projet'!$B$9,Paramètres!$A$1:$I$89,3,0)*0.475*44/12</f>
        <v>2.7174227324118827</v>
      </c>
      <c r="AC27" s="24">
        <f t="shared" si="3"/>
        <v>9.8697747500413762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19</v>
      </c>
      <c r="AI27" s="14">
        <f>IF('Données projet'!$A$62&gt;35,AI26+AH27-AQ26,IF(A27&lt;'Données projet'!$A$62,$AF$205^A27,IF(A27='Données projet'!$A$62,'Données projet'!$B$62,AI26+AH27-AQ26)))</f>
        <v>204</v>
      </c>
      <c r="AJ27" s="14">
        <f>AI27*VLOOKUP('Données projet'!$B$10,Paramètres!$A$1:$I$89,3,0)*VLOOKUP('Données projet'!$B$10,Paramètres!$A$1:$I$89,5,0)</f>
        <v>114.036</v>
      </c>
      <c r="AK27" s="14">
        <f t="shared" si="35"/>
        <v>30.279894261296121</v>
      </c>
      <c r="AL27" s="22">
        <f t="shared" si="4"/>
        <v>251.35018250509077</v>
      </c>
      <c r="AM27" s="60">
        <f t="shared" si="5"/>
        <v>544.68351583842411</v>
      </c>
      <c r="AN27" s="60">
        <f ca="1">AVERAGE(OFFSET($AM$3,0,0,'Données projet'!$E$10+1,1))-AVERAGE(OFFSET($H$3,0,0,'Données projet'!$E$10+1,1))</f>
        <v>302.20483575440988</v>
      </c>
      <c r="AO27" s="60">
        <f t="shared" si="36"/>
        <v>275.32862097158687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2.3550842369812339</v>
      </c>
      <c r="AW27" s="23">
        <f>EXP(-LN(2)/2)*AW26+(1-EXP(-LN(2)/2))/(LN(2)/2)*AQ27*AT27*VLOOKUP('Données projet'!$B$10,Paramètres!$A$1:$I$89,3,0)*0.475*44/12</f>
        <v>5.63901038469466</v>
      </c>
      <c r="AX27" s="23">
        <f t="shared" si="6"/>
        <v>7.9940946216758935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11.4</v>
      </c>
      <c r="BD27" s="13">
        <f>IF('Données projet'!$A$88&gt;35,BD26+BC27-BL26,IF(A27&lt;'Données projet'!$A$88,$BA$205^A27,IF(A27='Données projet'!$A$88,'Données projet'!$B$88,BD26+BC27-BL26)))</f>
        <v>192.60000000000002</v>
      </c>
      <c r="BE27" s="14">
        <f>BD27*VLOOKUP('Données projet'!$B$11,Paramètres!$A$1:$I$89,3,0)*VLOOKUP('Données projet'!$B$11,Paramètres!$A$1:$I$89,5,0)</f>
        <v>168.25536000000005</v>
      </c>
      <c r="BF27" s="14">
        <f t="shared" si="37"/>
        <v>42.699047982710923</v>
      </c>
      <c r="BG27" s="22">
        <f t="shared" si="7"/>
        <v>367.41226056988825</v>
      </c>
      <c r="BH27" s="60">
        <f t="shared" si="8"/>
        <v>660.74559390322156</v>
      </c>
      <c r="BI27" s="60">
        <f ca="1">AVERAGE(OFFSET($BH$3,0,0,'Données projet'!$E$11+1,1))-AVERAGE(OFFSET($H$3,0,0,'Données projet'!$E$11+1,1))</f>
        <v>314.62110015707839</v>
      </c>
      <c r="BJ27" s="60">
        <f t="shared" si="38"/>
        <v>285.36905470736582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5.6</v>
      </c>
      <c r="BY27" s="13">
        <f>IF('Données projet'!$A$114&gt;35,BY26+BX27-CG26,IF(A27&lt;'Données projet'!$A$114,$BV$205^A27,IF(A27='Données projet'!$A$114,'Données projet'!$B$114,BY26+BX27-CG26)))</f>
        <v>64.400000000000006</v>
      </c>
      <c r="BZ27" s="14">
        <f>BY27*VLOOKUP('Données projet'!$B$12,Paramètres!$A$1:$I$89,3,0)*VLOOKUP('Données projet'!$B$12,Paramètres!$A$1:$I$89,5,0)</f>
        <v>58.269120000000008</v>
      </c>
      <c r="CA27" s="14">
        <f t="shared" si="39"/>
        <v>16.729905486873804</v>
      </c>
      <c r="CB27" s="22">
        <f t="shared" si="10"/>
        <v>130.62330272297189</v>
      </c>
      <c r="CC27" s="60">
        <f t="shared" si="11"/>
        <v>423.95663605630523</v>
      </c>
      <c r="CD27" s="60">
        <f ca="1">AVERAGE(OFFSET($CC$3,0,0,'Données projet'!$E$12+1,1))-AVERAGE(OFFSET($H$3,0,0,'Données projet'!$E$12+1,1))</f>
        <v>303.73499739059076</v>
      </c>
      <c r="CE27" s="60">
        <f t="shared" si="40"/>
        <v>172.32171001882188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5.6</v>
      </c>
      <c r="CT27" s="13">
        <f>IF('Données projet'!$A$140&gt;35,CT26+CS27-DB26,IF(A27&lt;'Données projet'!$A$140,$CQ$205^A27,IF(A27='Données projet'!$A$140,'Données projet'!$B$140,CT26+CS27-DB26)))</f>
        <v>64.400000000000006</v>
      </c>
      <c r="CU27" s="18">
        <f>CT27*VLOOKUP('Données projet'!$B$13,Paramètres!$A$1:$I$89,3,0)*VLOOKUP('Données projet'!$B$13,Paramètres!$A$1:$I$89,5,0)</f>
        <v>65.301600000000008</v>
      </c>
      <c r="CV27" s="14">
        <f t="shared" si="41"/>
        <v>18.502003309535596</v>
      </c>
      <c r="CW27" s="22">
        <f t="shared" si="13"/>
        <v>145.95794243077449</v>
      </c>
      <c r="CX27" s="60">
        <f t="shared" si="14"/>
        <v>439.29127576410781</v>
      </c>
      <c r="CY27" s="60">
        <f ca="1">AVERAGE(OFFSET($CX$3,0,0,'Données projet'!$E$13+1,1))-AVERAGE(OFFSET($H$3,0,0,'Données projet'!$E$13+1,1))</f>
        <v>350.3652766444938</v>
      </c>
      <c r="CZ27" s="60">
        <f t="shared" si="42"/>
        <v>197.04549436738586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5.6</v>
      </c>
      <c r="DO27" s="13">
        <f>IF('Données projet'!$A$166&gt;35,DO26+DN27-DW26,IF(A27&lt;'Données projet'!$A$166,$DL$205^A27,IF(A27='Données projet'!$A$166,'Données projet'!$B$166,DO26+DN27-DW26)))</f>
        <v>64.400000000000006</v>
      </c>
      <c r="DP27" s="18">
        <f>DO27*VLOOKUP('Données projet'!$B$14,Paramètres!$A$1:$I$89,3,0)*VLOOKUP('Données projet'!$B$14,Paramètres!$A$1:$I$89,5,0)</f>
        <v>69.320160000000001</v>
      </c>
      <c r="DQ27" s="14">
        <f t="shared" si="43"/>
        <v>19.50453356393022</v>
      </c>
      <c r="DR27" s="22">
        <f t="shared" si="16"/>
        <v>154.70300795717847</v>
      </c>
      <c r="DS27" s="60">
        <f t="shared" si="17"/>
        <v>448.03634129051181</v>
      </c>
      <c r="DT27" s="60">
        <f ca="1">AVERAGE(OFFSET($DS$3,0,0,'Données projet'!$E$14+1,1))-AVERAGE(OFFSET($H$3,0,0,'Données projet'!$E$14+1,1))</f>
        <v>376.96388721258387</v>
      </c>
      <c r="DU27" s="60">
        <f t="shared" si="44"/>
        <v>211.14628470344377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5.6</v>
      </c>
      <c r="EJ27" s="13">
        <f>IF('Données projet'!$A$192&gt;35,EJ26+EI27-ER26,IF(A27&lt;'Données projet'!$A$192,$EG$205^A27,IF(A27='Données projet'!$A$192,'Données projet'!$B$192,EJ26+EI27-ER26)))</f>
        <v>64.400000000000006</v>
      </c>
      <c r="EK27" s="18">
        <f>EJ27*VLOOKUP('Données projet'!$B$15,Paramètres!$A$1:$I$89,3,0)*VLOOKUP('Données projet'!$B$15,Paramètres!$A$1:$I$89,5,0)</f>
        <v>62.287680000000009</v>
      </c>
      <c r="EL27" s="14">
        <f t="shared" si="45"/>
        <v>17.745400652396182</v>
      </c>
      <c r="EM27" s="22">
        <f t="shared" si="19"/>
        <v>139.39094880292336</v>
      </c>
      <c r="EN27" s="60">
        <f t="shared" si="20"/>
        <v>432.72428213625665</v>
      </c>
      <c r="EO27" s="60">
        <f ca="1">AVERAGE(OFFSET($EN$3,0,0,'Données projet'!$E$15+1,1))-AVERAGE(OFFSET($H$3,0,0,'Données projet'!$E$15+1,1))</f>
        <v>330.39429528665841</v>
      </c>
      <c r="EP27" s="60">
        <f t="shared" si="46"/>
        <v>186.45728006007261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8">
        <f t="shared" si="1"/>
        <v>325.18911068157126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18.900000000000006</v>
      </c>
      <c r="N28" s="14">
        <f>IF('Données projet'!$A$36&gt;35,N27+M28-V27,IF(A28&lt;'Données projet'!$A$36,$K$205^A28,IF(A28='Données projet'!$A$36,'Données projet'!$B$36,N27+M28-V27)))</f>
        <v>180.6</v>
      </c>
      <c r="O28" s="14">
        <f>N28*VLOOKUP('Données projet'!$B$9,Paramètres!$A$1:$I$89,3,0)*VLOOKUP('Données projet'!$B$9,Paramètres!$A$1:$I$89,5,0)</f>
        <v>107.99880000000002</v>
      </c>
      <c r="P28" s="14">
        <f t="shared" si="33"/>
        <v>28.858983600701585</v>
      </c>
      <c r="Q28" s="22">
        <f t="shared" si="2"/>
        <v>238.36063977122194</v>
      </c>
      <c r="R28" s="60">
        <f t="shared" si="0"/>
        <v>531.6939731045552</v>
      </c>
      <c r="S28" s="60">
        <f ca="1">AVERAGE(OFFSET($R$3,0,0,'Données projet'!$E$9+1,1))-AVERAGE(OFFSET($H$3,0,0,'Données projet'!$E$9+1,1))</f>
        <v>155.11440101086782</v>
      </c>
      <c r="T28" s="60">
        <f t="shared" si="34"/>
        <v>239.53454701506638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2.7563359961615261</v>
      </c>
      <c r="AA28" s="23">
        <f>EXP(-LN(2)/25)*AA27+(1-EXP(-LN(2)/25))/(LN(2)/25)*Calculateur!V28*Calculateur!X28*VLOOKUP('Données projet'!$B$9,Paramètres!$A$1:$I$89,3,0)*0.475*44/12</f>
        <v>4.2221831405165045</v>
      </c>
      <c r="AB28" s="23">
        <f>EXP(-LN(2)/2)*AB27+(1-EXP(-LN(2)/2))/(LN(2)/2)*V28*Y28*VLOOKUP('Données projet'!$B$9,Paramètres!$A$1:$I$89,3,0)*0.475*44/12</f>
        <v>1.9215080414389194</v>
      </c>
      <c r="AC28" s="24">
        <f t="shared" si="3"/>
        <v>8.9000271781169502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19</v>
      </c>
      <c r="AI28" s="14">
        <f>IF('Données projet'!$A$62&gt;35,AI27+AH28-AQ27,IF(A28&lt;'Données projet'!$A$62,$AF$205^A28,IF(A28='Données projet'!$A$62,'Données projet'!$B$62,AI27+AH28-AQ27)))</f>
        <v>223</v>
      </c>
      <c r="AJ28" s="14">
        <f>AI28*VLOOKUP('Données projet'!$B$10,Paramètres!$A$1:$I$89,3,0)*VLOOKUP('Données projet'!$B$10,Paramètres!$A$1:$I$89,5,0)</f>
        <v>124.65700000000001</v>
      </c>
      <c r="AK28" s="14">
        <f t="shared" si="35"/>
        <v>32.758749517288294</v>
      </c>
      <c r="AL28" s="22">
        <f t="shared" si="4"/>
        <v>274.16576374261041</v>
      </c>
      <c r="AM28" s="60">
        <f t="shared" si="5"/>
        <v>567.49909707594372</v>
      </c>
      <c r="AN28" s="60">
        <f ca="1">AVERAGE(OFFSET($AM$3,0,0,'Données projet'!$E$10+1,1))-AVERAGE(OFFSET($H$3,0,0,'Données projet'!$E$10+1,1))</f>
        <v>302.20483575440988</v>
      </c>
      <c r="AO28" s="60">
        <f t="shared" si="36"/>
        <v>275.32862097158687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2.2906843346724846</v>
      </c>
      <c r="AW28" s="23">
        <f>EXP(-LN(2)/2)*AW27+(1-EXP(-LN(2)/2))/(LN(2)/2)*AQ28*AT28*VLOOKUP('Données projet'!$B$10,Paramètres!$A$1:$I$89,3,0)*0.475*44/12</f>
        <v>3.9873824821989565</v>
      </c>
      <c r="AX28" s="23">
        <f t="shared" si="6"/>
        <v>6.2780668168714406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204</v>
      </c>
      <c r="BB28" s="13">
        <f>VLOOKUP(A28,'Données projet'!$A$87:$I$107,9,0)</f>
        <v>11.4</v>
      </c>
      <c r="BC28" s="13">
        <f t="array" ref="BC28">INDEX(BB:BB,MIN(IF(ISNUMBER(BB28:BB224),ROW(BB28:BB224),"")))</f>
        <v>11.4</v>
      </c>
      <c r="BD28" s="13">
        <f>IF('Données projet'!$A$88&gt;35,BD27+BC28-BL27,IF(A28&lt;'Données projet'!$A$88,$BA$205^A28,IF(A28='Données projet'!$A$88,'Données projet'!$B$88,BD27+BC28-BL27)))</f>
        <v>204.00000000000003</v>
      </c>
      <c r="BE28" s="14">
        <f>BD28*VLOOKUP('Données projet'!$B$11,Paramètres!$A$1:$I$89,3,0)*VLOOKUP('Données projet'!$B$11,Paramètres!$A$1:$I$89,5,0)</f>
        <v>178.21440000000004</v>
      </c>
      <c r="BF28" s="14">
        <f t="shared" si="37"/>
        <v>44.924692855664368</v>
      </c>
      <c r="BG28" s="22">
        <f t="shared" si="7"/>
        <v>388.63392005694885</v>
      </c>
      <c r="BH28" s="60">
        <f t="shared" si="8"/>
        <v>681.96725339028217</v>
      </c>
      <c r="BI28" s="60">
        <f ca="1">AVERAGE(OFFSET($BH$3,0,0,'Données projet'!$E$11+1,1))-AVERAGE(OFFSET($H$3,0,0,'Données projet'!$E$11+1,1))</f>
        <v>314.62110015707839</v>
      </c>
      <c r="BJ28" s="60">
        <f t="shared" si="38"/>
        <v>285.36905470736582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90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70</v>
      </c>
      <c r="BW28" s="13">
        <f>VLOOKUP(A28,'Données projet'!$A$113:$I$133,9,0)</f>
        <v>5.6</v>
      </c>
      <c r="BX28" s="13">
        <f t="array" ref="BX28">INDEX(BW:BW,MIN(IF(ISNUMBER(BW28:BW224),ROW(BW28:BW224),"")))</f>
        <v>5.6</v>
      </c>
      <c r="BY28" s="13">
        <f>IF('Données projet'!$A$114&gt;35,BY27+BX28-CG27,IF(A28&lt;'Données projet'!$A$114,$BV$205^A28,IF(A28='Données projet'!$A$114,'Données projet'!$B$114,BY27+BX28-CG27)))</f>
        <v>70</v>
      </c>
      <c r="BZ28" s="14">
        <f>BY28*VLOOKUP('Données projet'!$B$12,Paramètres!$A$1:$I$89,3,0)*VLOOKUP('Données projet'!$B$12,Paramètres!$A$1:$I$89,5,0)</f>
        <v>63.335999999999991</v>
      </c>
      <c r="CA28" s="14">
        <f t="shared" si="39"/>
        <v>18.009040022946227</v>
      </c>
      <c r="CB28" s="22">
        <f t="shared" si="10"/>
        <v>141.67594470663133</v>
      </c>
      <c r="CC28" s="60">
        <f t="shared" si="11"/>
        <v>435.00927803996467</v>
      </c>
      <c r="CD28" s="60">
        <f ca="1">AVERAGE(OFFSET($CC$3,0,0,'Données projet'!$E$12+1,1))-AVERAGE(OFFSET($H$3,0,0,'Données projet'!$E$12+1,1))</f>
        <v>303.73499739059076</v>
      </c>
      <c r="CE28" s="60">
        <f t="shared" si="40"/>
        <v>172.32171001882188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>
        <f>VLOOKUP(A28,'Données projet'!$A$139:$I$159,2,0)</f>
        <v>70</v>
      </c>
      <c r="CR28" s="13">
        <f>VLOOKUP(A28,'Données projet'!$A$139:$I$159,9,0)</f>
        <v>5.6</v>
      </c>
      <c r="CS28" s="13">
        <f t="array" ref="CS28">INDEX(CR:CR,MIN(IF(ISNUMBER(CR28:CR224),ROW(CR28:CR224),"")))</f>
        <v>5.6</v>
      </c>
      <c r="CT28" s="13">
        <f>IF('Données projet'!$A$140&gt;35,CT27+CS28-DB27,IF(A28&lt;'Données projet'!$A$140,$CQ$205^A28,IF(A28='Données projet'!$A$140,'Données projet'!$B$140,CT27+CS28-DB27)))</f>
        <v>70</v>
      </c>
      <c r="CU28" s="18">
        <f>CT28*VLOOKUP('Données projet'!$B$13,Paramètres!$A$1:$I$89,3,0)*VLOOKUP('Données projet'!$B$13,Paramètres!$A$1:$I$89,5,0)</f>
        <v>70.98</v>
      </c>
      <c r="CV28" s="14">
        <f t="shared" si="41"/>
        <v>19.916628839746853</v>
      </c>
      <c r="CW28" s="22">
        <f t="shared" si="13"/>
        <v>158.31162856255909</v>
      </c>
      <c r="CX28" s="60">
        <f t="shared" si="14"/>
        <v>451.64496189589238</v>
      </c>
      <c r="CY28" s="60">
        <f ca="1">AVERAGE(OFFSET($CX$3,0,0,'Données projet'!$E$13+1,1))-AVERAGE(OFFSET($H$3,0,0,'Données projet'!$E$13+1,1))</f>
        <v>350.3652766444938</v>
      </c>
      <c r="CZ28" s="60">
        <f t="shared" si="42"/>
        <v>197.04549436738586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>
        <f>VLOOKUP(A28,'Données projet'!$A$165:$I$185,2,0)</f>
        <v>70</v>
      </c>
      <c r="DM28" s="13">
        <f>VLOOKUP(A28,'Données projet'!$A$165:$I$185,9,0)</f>
        <v>5.6</v>
      </c>
      <c r="DN28" s="13">
        <f t="array" ref="DN28">INDEX(DM:DM,MIN(IF(ISNUMBER(DM28:DM224),ROW(DM28:DM224),"")))</f>
        <v>5.6</v>
      </c>
      <c r="DO28" s="13">
        <f>IF('Données projet'!$A$166&gt;35,DO27+DN28-DW27,IF(A28&lt;'Données projet'!$A$166,$DL$205^A28,IF(A28='Données projet'!$A$166,'Données projet'!$B$166,DO27+DN28-DW27)))</f>
        <v>70</v>
      </c>
      <c r="DP28" s="18">
        <f>DO28*VLOOKUP('Données projet'!$B$14,Paramètres!$A$1:$I$89,3,0)*VLOOKUP('Données projet'!$B$14,Paramètres!$A$1:$I$89,5,0)</f>
        <v>75.347999999999999</v>
      </c>
      <c r="DQ28" s="14">
        <f t="shared" si="43"/>
        <v>20.99581051771704</v>
      </c>
      <c r="DR28" s="22">
        <f t="shared" si="16"/>
        <v>167.79880331835713</v>
      </c>
      <c r="DS28" s="60">
        <f t="shared" si="17"/>
        <v>461.13213665169042</v>
      </c>
      <c r="DT28" s="60">
        <f ca="1">AVERAGE(OFFSET($DS$3,0,0,'Données projet'!$E$14+1,1))-AVERAGE(OFFSET($H$3,0,0,'Données projet'!$E$14+1,1))</f>
        <v>376.96388721258387</v>
      </c>
      <c r="DU28" s="60">
        <f t="shared" si="44"/>
        <v>211.14628470344377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>
        <f>VLOOKUP(A28,'Données projet'!$A$191:$I$211,2,0)</f>
        <v>70</v>
      </c>
      <c r="EH28" s="13">
        <f>VLOOKUP(A28,'Données projet'!$A$191:$I$211,9,0)</f>
        <v>5.6</v>
      </c>
      <c r="EI28" s="13">
        <f t="array" ref="EI28">INDEX(EH:EH,MIN(IF(ISNUMBER(EH28:EH224),ROW(EH28:EH224),"")))</f>
        <v>5.6</v>
      </c>
      <c r="EJ28" s="13">
        <f>IF('Données projet'!$A$192&gt;35,EJ27+EI28-ER27,IF(A28&lt;'Données projet'!$A$192,$EG$205^A28,IF(A28='Données projet'!$A$192,'Données projet'!$B$192,EJ27+EI28-ER27)))</f>
        <v>70</v>
      </c>
      <c r="EK28" s="18">
        <f>EJ28*VLOOKUP('Données projet'!$B$15,Paramètres!$A$1:$I$89,3,0)*VLOOKUP('Données projet'!$B$15,Paramètres!$A$1:$I$89,5,0)</f>
        <v>67.703999999999994</v>
      </c>
      <c r="EL28" s="14">
        <f t="shared" si="45"/>
        <v>19.102177882771514</v>
      </c>
      <c r="EM28" s="22">
        <f t="shared" si="19"/>
        <v>151.18742647916039</v>
      </c>
      <c r="EN28" s="60">
        <f t="shared" si="20"/>
        <v>444.52075981249368</v>
      </c>
      <c r="EO28" s="60">
        <f ca="1">AVERAGE(OFFSET($EN$3,0,0,'Données projet'!$E$15+1,1))-AVERAGE(OFFSET($H$3,0,0,'Données projet'!$E$15+1,1))</f>
        <v>330.39429528665841</v>
      </c>
      <c r="EP28" s="60">
        <f t="shared" si="46"/>
        <v>186.45728006007261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8">
        <f t="shared" si="1"/>
        <v>326.42505655450702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18.900000000000006</v>
      </c>
      <c r="N29" s="14">
        <f>IF('Données projet'!$A$36&gt;35,N28+M29-V28,IF(A29&lt;'Données projet'!$A$36,$K$205^A29,IF(A29='Données projet'!$A$36,'Données projet'!$B$36,N28+M29-V28)))</f>
        <v>199.5</v>
      </c>
      <c r="O29" s="14">
        <f>N29*VLOOKUP('Données projet'!$B$9,Paramètres!$A$1:$I$89,3,0)*VLOOKUP('Données projet'!$B$9,Paramètres!$A$1:$I$89,5,0)</f>
        <v>119.30100000000002</v>
      </c>
      <c r="P29" s="14">
        <f t="shared" si="33"/>
        <v>31.51191363312137</v>
      </c>
      <c r="Q29" s="22">
        <f t="shared" si="2"/>
        <v>262.66582457768635</v>
      </c>
      <c r="R29" s="60">
        <f t="shared" si="0"/>
        <v>555.99915791101967</v>
      </c>
      <c r="S29" s="60">
        <f ca="1">AVERAGE(OFFSET($R$3,0,0,'Données projet'!$E$9+1,1))-AVERAGE(OFFSET($H$3,0,0,'Données projet'!$E$9+1,1))</f>
        <v>155.11440101086782</v>
      </c>
      <c r="T29" s="60">
        <f t="shared" si="34"/>
        <v>239.53454701506638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2.7022859284757517</v>
      </c>
      <c r="AA29" s="23">
        <f>EXP(-LN(2)/25)*AA28+(1-EXP(-LN(2)/25))/(LN(2)/25)*Calculateur!V29*Calculateur!X29*VLOOKUP('Données projet'!$B$9,Paramètres!$A$1:$I$89,3,0)*0.475*44/12</f>
        <v>4.1067273205041195</v>
      </c>
      <c r="AB29" s="23">
        <f>EXP(-LN(2)/2)*AB28+(1-EXP(-LN(2)/2))/(LN(2)/2)*V29*Y29*VLOOKUP('Données projet'!$B$9,Paramètres!$A$1:$I$89,3,0)*0.475*44/12</f>
        <v>1.3587113662059416</v>
      </c>
      <c r="AC29" s="24">
        <f t="shared" si="3"/>
        <v>8.1677246151858132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19</v>
      </c>
      <c r="AI29" s="14">
        <f>IF('Données projet'!$A$62&gt;35,AI28+AH29-AQ28,IF(A29&lt;'Données projet'!$A$62,$AF$205^A29,IF(A29='Données projet'!$A$62,'Données projet'!$B$62,AI28+AH29-AQ28)))</f>
        <v>242</v>
      </c>
      <c r="AJ29" s="14">
        <f>AI29*VLOOKUP('Données projet'!$B$10,Paramètres!$A$1:$I$89,3,0)*VLOOKUP('Données projet'!$B$10,Paramètres!$A$1:$I$89,5,0)</f>
        <v>135.27800000000002</v>
      </c>
      <c r="AK29" s="14">
        <f t="shared" si="35"/>
        <v>35.213110998543605</v>
      </c>
      <c r="AL29" s="22">
        <f t="shared" si="4"/>
        <v>296.93868498913014</v>
      </c>
      <c r="AM29" s="60">
        <f t="shared" si="5"/>
        <v>590.27201832246351</v>
      </c>
      <c r="AN29" s="60">
        <f ca="1">AVERAGE(OFFSET($AM$3,0,0,'Données projet'!$E$10+1,1))-AVERAGE(OFFSET($H$3,0,0,'Données projet'!$E$10+1,1))</f>
        <v>302.20483575440988</v>
      </c>
      <c r="AO29" s="60">
        <f t="shared" si="36"/>
        <v>275.32862097158687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2.2280454510790118</v>
      </c>
      <c r="AW29" s="23">
        <f>EXP(-LN(2)/2)*AW28+(1-EXP(-LN(2)/2))/(LN(2)/2)*AQ29*AT29*VLOOKUP('Données projet'!$B$10,Paramètres!$A$1:$I$89,3,0)*0.475*44/12</f>
        <v>2.8195051923473304</v>
      </c>
      <c r="AX29" s="23">
        <f t="shared" si="6"/>
        <v>5.0475506434263426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11</v>
      </c>
      <c r="BD29" s="13">
        <f>IF('Données projet'!$A$88&gt;35,BD28+BC29-BL28,IF(A29&lt;'Données projet'!$A$88,$BA$205^A29,IF(A29='Données projet'!$A$88,'Données projet'!$B$88,BD28+BC29-BL28)))</f>
        <v>125.00000000000003</v>
      </c>
      <c r="BE29" s="14">
        <f>BD29*VLOOKUP('Données projet'!$B$11,Paramètres!$A$1:$I$89,3,0)*VLOOKUP('Données projet'!$B$11,Paramètres!$A$1:$I$89,5,0)</f>
        <v>109.20000000000005</v>
      </c>
      <c r="BF29" s="14">
        <f t="shared" si="37"/>
        <v>29.142418334948612</v>
      </c>
      <c r="BG29" s="22">
        <f t="shared" si="7"/>
        <v>240.94637860003556</v>
      </c>
      <c r="BH29" s="60">
        <f t="shared" si="8"/>
        <v>534.27971193336884</v>
      </c>
      <c r="BI29" s="60">
        <f ca="1">AVERAGE(OFFSET($BH$3,0,0,'Données projet'!$E$11+1,1))-AVERAGE(OFFSET($H$3,0,0,'Données projet'!$E$11+1,1))</f>
        <v>314.62110015707839</v>
      </c>
      <c r="BJ29" s="60">
        <f t="shared" si="38"/>
        <v>285.36905470736582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77</v>
      </c>
      <c r="BZ29" s="14">
        <f>BY29*VLOOKUP('Données projet'!$B$12,Paramètres!$A$1:$I$89,3,0)*VLOOKUP('Données projet'!$B$12,Paramètres!$A$1:$I$89,5,0)</f>
        <v>69.669600000000003</v>
      </c>
      <c r="CA29" s="14">
        <f t="shared" si="39"/>
        <v>19.591385027476957</v>
      </c>
      <c r="CB29" s="22">
        <f t="shared" si="10"/>
        <v>155.46288225618903</v>
      </c>
      <c r="CC29" s="60">
        <f t="shared" si="11"/>
        <v>448.79621558952238</v>
      </c>
      <c r="CD29" s="60">
        <f ca="1">AVERAGE(OFFSET($CC$3,0,0,'Données projet'!$E$12+1,1))-AVERAGE(OFFSET($H$3,0,0,'Données projet'!$E$12+1,1))</f>
        <v>303.73499739059076</v>
      </c>
      <c r="CE29" s="60">
        <f t="shared" si="40"/>
        <v>172.32171001882188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77</v>
      </c>
      <c r="CU29" s="18">
        <f>CT29*VLOOKUP('Données projet'!$B$13,Paramètres!$A$1:$I$89,3,0)*VLOOKUP('Données projet'!$B$13,Paramètres!$A$1:$I$89,5,0)</f>
        <v>78.078000000000003</v>
      </c>
      <c r="CV29" s="14">
        <f t="shared" si="41"/>
        <v>21.666582091642084</v>
      </c>
      <c r="CW29" s="22">
        <f t="shared" si="13"/>
        <v>173.72181380960993</v>
      </c>
      <c r="CX29" s="60">
        <f t="shared" si="14"/>
        <v>467.05514714294327</v>
      </c>
      <c r="CY29" s="60">
        <f ca="1">AVERAGE(OFFSET($CX$3,0,0,'Données projet'!$E$13+1,1))-AVERAGE(OFFSET($H$3,0,0,'Données projet'!$E$13+1,1))</f>
        <v>350.3652766444938</v>
      </c>
      <c r="CZ29" s="60">
        <f t="shared" si="42"/>
        <v>197.04549436738586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77</v>
      </c>
      <c r="DP29" s="18">
        <f>DO29*VLOOKUP('Données projet'!$B$14,Paramètres!$A$1:$I$89,3,0)*VLOOKUP('Données projet'!$B$14,Paramètres!$A$1:$I$89,5,0)</f>
        <v>82.882799999999989</v>
      </c>
      <c r="DQ29" s="14">
        <f t="shared" si="43"/>
        <v>22.840584911380041</v>
      </c>
      <c r="DR29" s="22">
        <f t="shared" si="16"/>
        <v>184.1348953873202</v>
      </c>
      <c r="DS29" s="60">
        <f t="shared" si="17"/>
        <v>477.46822872065354</v>
      </c>
      <c r="DT29" s="60">
        <f ca="1">AVERAGE(OFFSET($DS$3,0,0,'Données projet'!$E$14+1,1))-AVERAGE(OFFSET($H$3,0,0,'Données projet'!$E$14+1,1))</f>
        <v>376.96388721258387</v>
      </c>
      <c r="DU29" s="60">
        <f t="shared" si="44"/>
        <v>211.14628470344377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7</v>
      </c>
      <c r="EJ29" s="13">
        <f>IF('Données projet'!$A$192&gt;35,EJ28+EI29-ER28,IF(A29&lt;'Données projet'!$A$192,$EG$205^A29,IF(A29='Données projet'!$A$192,'Données projet'!$B$192,EJ28+EI29-ER28)))</f>
        <v>77</v>
      </c>
      <c r="EK29" s="18">
        <f>EJ29*VLOOKUP('Données projet'!$B$15,Paramètres!$A$1:$I$89,3,0)*VLOOKUP('Données projet'!$B$15,Paramètres!$A$1:$I$89,5,0)</f>
        <v>74.474400000000003</v>
      </c>
      <c r="EL29" s="14">
        <f t="shared" si="45"/>
        <v>20.780570274034375</v>
      </c>
      <c r="EM29" s="22">
        <f t="shared" si="19"/>
        <v>165.90240656060988</v>
      </c>
      <c r="EN29" s="60">
        <f t="shared" si="20"/>
        <v>459.23573989394322</v>
      </c>
      <c r="EO29" s="60">
        <f ca="1">AVERAGE(OFFSET($EN$3,0,0,'Données projet'!$E$15+1,1))-AVERAGE(OFFSET($H$3,0,0,'Données projet'!$E$15+1,1))</f>
        <v>330.39429528665841</v>
      </c>
      <c r="EP29" s="60">
        <f t="shared" si="46"/>
        <v>186.45728006007261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8">
        <f t="shared" si="1"/>
        <v>327.65972904304982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>
        <f>VLOOKUP(A30,'Données projet'!$A$35:$I$55,2,0)</f>
        <v>218.4</v>
      </c>
      <c r="L30" s="13">
        <f>VLOOKUP(A30,'Données projet'!$A$35:$I$55,9,0)</f>
        <v>18.900000000000006</v>
      </c>
      <c r="M30" s="13">
        <f t="array" ref="M30">INDEX(L:L,MIN(IF(ISNUMBER(L30:L226),ROW(L30:L226),"")))</f>
        <v>18.900000000000006</v>
      </c>
      <c r="N30" s="14">
        <f>IF('Données projet'!$A$36&gt;35,N29+M30-V29,IF(A30&lt;'Données projet'!$A$36,$K$205^A30,IF(A30='Données projet'!$A$36,'Données projet'!$B$36,N29+M30-V29)))</f>
        <v>218.4</v>
      </c>
      <c r="O30" s="14">
        <f>N30*VLOOKUP('Données projet'!$B$9,Paramètres!$A$1:$I$89,3,0)*VLOOKUP('Données projet'!$B$9,Paramètres!$A$1:$I$89,5,0)</f>
        <v>130.60320000000002</v>
      </c>
      <c r="P30" s="14">
        <f t="shared" si="33"/>
        <v>34.135703567016428</v>
      </c>
      <c r="Q30" s="22">
        <f t="shared" si="2"/>
        <v>286.92025704588701</v>
      </c>
      <c r="R30" s="60">
        <f t="shared" si="0"/>
        <v>580.25359037922033</v>
      </c>
      <c r="S30" s="60">
        <f ca="1">AVERAGE(OFFSET($R$3,0,0,'Données projet'!$E$9+1,1))-AVERAGE(OFFSET($H$3,0,0,'Données projet'!$E$9+1,1))</f>
        <v>155.11440101086782</v>
      </c>
      <c r="T30" s="60">
        <f t="shared" si="34"/>
        <v>239.53454701506638</v>
      </c>
      <c r="U30" s="16">
        <f>IF(ISNA(VLOOKUP(A30,'Données projet'!$A$35:$I$55,3,0)),0,VLOOKUP(A30,'Données projet'!$A$35:$I$55,3,0))</f>
        <v>3</v>
      </c>
      <c r="V30" s="16">
        <f>IF(ISNA(VLOOKUP(A30,'Données projet'!$A$35:$I$55,4,0)),0,VLOOKUP(A30,'Données projet'!$A$35:$I$55,4,0))</f>
        <v>54.5</v>
      </c>
      <c r="W30" s="17">
        <f>IF(ISNA(VLOOKUP(A30,'Données projet'!$A$35:$I$55,5,0)),0%,VLOOKUP(A30,'Données projet'!$A$35:$I$55,5,0)*VLOOKUP('Données projet'!$B$9,Paramètres!$A$1:$I$89,7,0))</f>
        <v>0.27</v>
      </c>
      <c r="X30" s="17">
        <f>IF(ISNA(VLOOKUP(A30,'Données projet'!$A$35:$I$55,6,0)),0%,VLOOKUP(A30,'Données projet'!$A$35:$I$55,6,0)*VLOOKUP('Données projet'!$B$9,Paramètres!$A$1:$I$89,7,0))</f>
        <v>9.0000000000000011E-2</v>
      </c>
      <c r="Y30" s="17">
        <f>IF(ISNA(VLOOKUP(A30,'Données projet'!$A$35:$I$55,7,0)),0%,VLOOKUP(A30,'Données projet'!$A$35:$I$55,7,0))</f>
        <v>0.2</v>
      </c>
      <c r="Z30" s="23">
        <f>EXP(-LN(2)/35)*Z29+(1-EXP(-LN(2)/35))/(LN(2)/35)*V30*W30*VLOOKUP('Données projet'!$B$9,Paramètres!$A$1:$I$89,3,0)*0.475*44/12</f>
        <v>14.322492534802127</v>
      </c>
      <c r="AA30" s="23">
        <f>EXP(-LN(2)/25)*AA29+(1-EXP(-LN(2)/25))/(LN(2)/25)*Calculateur!V30*Calculateur!X30*VLOOKUP('Données projet'!$B$9,Paramètres!$A$1:$I$89,3,0)*0.475*44/12</f>
        <v>7.8701736331522945</v>
      </c>
      <c r="AB30" s="23">
        <f>EXP(-LN(2)/2)*AB29+(1-EXP(-LN(2)/2))/(LN(2)/2)*V30*Y30*VLOOKUP('Données projet'!$B$9,Paramètres!$A$1:$I$89,3,0)*0.475*44/12</f>
        <v>8.3408705824564713</v>
      </c>
      <c r="AC30" s="24">
        <f t="shared" si="3"/>
        <v>30.533536750410892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19</v>
      </c>
      <c r="AI30" s="14">
        <f>IF('Données projet'!$A$62&gt;35,AI29+AH30-AQ29,IF(A30&lt;'Données projet'!$A$62,$AF$205^A30,IF(A30='Données projet'!$A$62,'Données projet'!$B$62,AI29+AH30-AQ29)))</f>
        <v>261</v>
      </c>
      <c r="AJ30" s="14">
        <f>AI30*VLOOKUP('Données projet'!$B$10,Paramètres!$A$1:$I$89,3,0)*VLOOKUP('Données projet'!$B$10,Paramètres!$A$1:$I$89,5,0)</f>
        <v>145.899</v>
      </c>
      <c r="AK30" s="14">
        <f t="shared" si="35"/>
        <v>37.645120410716935</v>
      </c>
      <c r="AL30" s="22">
        <f t="shared" si="4"/>
        <v>319.67267638199866</v>
      </c>
      <c r="AM30" s="60">
        <f t="shared" si="5"/>
        <v>613.00600971533197</v>
      </c>
      <c r="AN30" s="60">
        <f ca="1">AVERAGE(OFFSET($AM$3,0,0,'Données projet'!$E$10+1,1))-AVERAGE(OFFSET($H$3,0,0,'Données projet'!$E$10+1,1))</f>
        <v>302.20483575440988</v>
      </c>
      <c r="AO30" s="60">
        <f t="shared" si="36"/>
        <v>275.32862097158687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2.1671194310514381</v>
      </c>
      <c r="AW30" s="23">
        <f>EXP(-LN(2)/2)*AW29+(1-EXP(-LN(2)/2))/(LN(2)/2)*AQ30*AT30*VLOOKUP('Données projet'!$B$10,Paramètres!$A$1:$I$89,3,0)*0.475*44/12</f>
        <v>1.9936912410994785</v>
      </c>
      <c r="AX30" s="23">
        <f t="shared" si="6"/>
        <v>4.1608106721509168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11</v>
      </c>
      <c r="BD30" s="13">
        <f>IF('Données projet'!$A$88&gt;35,BD29+BC30-BL29,IF(A30&lt;'Données projet'!$A$88,$BA$205^A30,IF(A30='Données projet'!$A$88,'Données projet'!$B$88,BD29+BC30-BL29)))</f>
        <v>136.00000000000003</v>
      </c>
      <c r="BE30" s="14">
        <f>BD30*VLOOKUP('Données projet'!$B$11,Paramètres!$A$1:$I$89,3,0)*VLOOKUP('Données projet'!$B$11,Paramètres!$A$1:$I$89,5,0)</f>
        <v>118.80960000000005</v>
      </c>
      <c r="BF30" s="14">
        <f t="shared" si="37"/>
        <v>31.397197153337245</v>
      </c>
      <c r="BG30" s="22">
        <f t="shared" si="7"/>
        <v>261.61017170872907</v>
      </c>
      <c r="BH30" s="60">
        <f t="shared" si="8"/>
        <v>554.94350504206238</v>
      </c>
      <c r="BI30" s="60">
        <f ca="1">AVERAGE(OFFSET($BH$3,0,0,'Données projet'!$E$11+1,1))-AVERAGE(OFFSET($H$3,0,0,'Données projet'!$E$11+1,1))</f>
        <v>314.62110015707839</v>
      </c>
      <c r="BJ30" s="60">
        <f t="shared" si="38"/>
        <v>285.36905470736582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84</v>
      </c>
      <c r="BZ30" s="14">
        <f>BY30*VLOOKUP('Données projet'!$B$12,Paramètres!$A$1:$I$89,3,0)*VLOOKUP('Données projet'!$B$12,Paramètres!$A$1:$I$89,5,0)</f>
        <v>76.003200000000007</v>
      </c>
      <c r="CA30" s="14">
        <f t="shared" si="39"/>
        <v>21.157049992000456</v>
      </c>
      <c r="CB30" s="22">
        <f t="shared" si="10"/>
        <v>169.22076873606747</v>
      </c>
      <c r="CC30" s="60">
        <f t="shared" si="11"/>
        <v>462.55410206940076</v>
      </c>
      <c r="CD30" s="60">
        <f ca="1">AVERAGE(OFFSET($CC$3,0,0,'Données projet'!$E$12+1,1))-AVERAGE(OFFSET($H$3,0,0,'Données projet'!$E$12+1,1))</f>
        <v>303.73499739059076</v>
      </c>
      <c r="CE30" s="60">
        <f t="shared" si="40"/>
        <v>172.32171001882188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84</v>
      </c>
      <c r="CU30" s="18">
        <f>CT30*VLOOKUP('Données projet'!$B$13,Paramètres!$A$1:$I$89,3,0)*VLOOKUP('Données projet'!$B$13,Paramètres!$A$1:$I$89,5,0)</f>
        <v>85.176000000000002</v>
      </c>
      <c r="CV30" s="14">
        <f t="shared" si="41"/>
        <v>23.398088487656441</v>
      </c>
      <c r="CW30" s="22">
        <f t="shared" si="13"/>
        <v>189.09987078266829</v>
      </c>
      <c r="CX30" s="60">
        <f t="shared" si="14"/>
        <v>482.4332041160016</v>
      </c>
      <c r="CY30" s="60">
        <f ca="1">AVERAGE(OFFSET($CX$3,0,0,'Données projet'!$E$13+1,1))-AVERAGE(OFFSET($H$3,0,0,'Données projet'!$E$13+1,1))</f>
        <v>350.3652766444938</v>
      </c>
      <c r="CZ30" s="60">
        <f t="shared" si="42"/>
        <v>197.04549436738586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84</v>
      </c>
      <c r="DP30" s="18">
        <f>DO30*VLOOKUP('Données projet'!$B$14,Paramètres!$A$1:$I$89,3,0)*VLOOKUP('Données projet'!$B$14,Paramètres!$A$1:$I$89,5,0)</f>
        <v>90.417599999999993</v>
      </c>
      <c r="DQ30" s="14">
        <f t="shared" si="43"/>
        <v>24.665912907068826</v>
      </c>
      <c r="DR30" s="22">
        <f t="shared" si="16"/>
        <v>200.43711831314488</v>
      </c>
      <c r="DS30" s="60">
        <f t="shared" si="17"/>
        <v>493.77045164647819</v>
      </c>
      <c r="DT30" s="60">
        <f ca="1">AVERAGE(OFFSET($DS$3,0,0,'Données projet'!$E$14+1,1))-AVERAGE(OFFSET($H$3,0,0,'Données projet'!$E$14+1,1))</f>
        <v>376.96388721258387</v>
      </c>
      <c r="DU30" s="60">
        <f t="shared" si="44"/>
        <v>211.14628470344377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7</v>
      </c>
      <c r="EJ30" s="13">
        <f>IF('Données projet'!$A$192&gt;35,EJ29+EI30-ER29,IF(A30&lt;'Données projet'!$A$192,$EG$205^A30,IF(A30='Données projet'!$A$192,'Données projet'!$B$192,EJ29+EI30-ER29)))</f>
        <v>84</v>
      </c>
      <c r="EK30" s="18">
        <f>EJ30*VLOOKUP('Données projet'!$B$15,Paramètres!$A$1:$I$89,3,0)*VLOOKUP('Données projet'!$B$15,Paramètres!$A$1:$I$89,5,0)</f>
        <v>81.244799999999998</v>
      </c>
      <c r="EL30" s="14">
        <f t="shared" si="45"/>
        <v>22.441270156928962</v>
      </c>
      <c r="EM30" s="22">
        <f t="shared" si="19"/>
        <v>180.58657218998462</v>
      </c>
      <c r="EN30" s="60">
        <f t="shared" si="20"/>
        <v>473.91990552331794</v>
      </c>
      <c r="EO30" s="60">
        <f ca="1">AVERAGE(OFFSET($EN$3,0,0,'Données projet'!$E$15+1,1))-AVERAGE(OFFSET($H$3,0,0,'Données projet'!$E$15+1,1))</f>
        <v>330.39429528665841</v>
      </c>
      <c r="EP30" s="60">
        <f t="shared" si="46"/>
        <v>186.45728006007261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8">
        <f t="shared" si="1"/>
        <v>328.89318071040799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179.2</v>
      </c>
      <c r="L31" s="13">
        <f>VLOOKUP(A31,'Données projet'!$A$35:$I$55,9,0)</f>
        <v>15.299999999999983</v>
      </c>
      <c r="M31" s="13">
        <f t="array" ref="M31">INDEX(L:L,MIN(IF(ISNUMBER(L31:L227),ROW(L31:L227),"")))</f>
        <v>15.299999999999983</v>
      </c>
      <c r="N31" s="14">
        <f>IF('Données projet'!$A$36&gt;35,N30+M31-V30,IF(A31&lt;'Données projet'!$A$36,$K$205^A31,IF(A31='Données projet'!$A$36,'Données projet'!$B$36,N30+M31-V30)))</f>
        <v>179.2</v>
      </c>
      <c r="O31" s="14">
        <f>N31*VLOOKUP('Données projet'!$B$9,Paramètres!$A$1:$I$89,3,0)*VLOOKUP('Données projet'!$B$9,Paramètres!$A$1:$I$89,5,0)</f>
        <v>107.16160000000001</v>
      </c>
      <c r="P31" s="14">
        <f t="shared" si="33"/>
        <v>28.661221307723455</v>
      </c>
      <c r="Q31" s="22">
        <f t="shared" si="2"/>
        <v>236.55808044428508</v>
      </c>
      <c r="R31" s="60">
        <f t="shared" si="0"/>
        <v>529.89141377761837</v>
      </c>
      <c r="S31" s="60">
        <f ca="1">AVERAGE(OFFSET($R$3,0,0,'Données projet'!$E$9+1,1))-AVERAGE(OFFSET($H$3,0,0,'Données projet'!$E$9+1,1))</f>
        <v>155.11440101086782</v>
      </c>
      <c r="T31" s="60">
        <f t="shared" si="34"/>
        <v>239.53454701506638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14.041637192052509</v>
      </c>
      <c r="AA31" s="23">
        <f>EXP(-LN(2)/25)*AA30+(1-EXP(-LN(2)/25))/(LN(2)/25)*Calculateur!V31*Calculateur!X31*VLOOKUP('Données projet'!$B$9,Paramètres!$A$1:$I$89,3,0)*0.475*44/12</f>
        <v>7.6549633212793013</v>
      </c>
      <c r="AB31" s="23">
        <f>EXP(-LN(2)/2)*AB30+(1-EXP(-LN(2)/2))/(LN(2)/2)*V31*Y31*VLOOKUP('Données projet'!$B$9,Paramètres!$A$1:$I$89,3,0)*0.475*44/12</f>
        <v>5.8978861498543598</v>
      </c>
      <c r="AC31" s="24">
        <f t="shared" si="3"/>
        <v>27.594486663186167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>
        <f>VLOOKUP(A31,'Données projet'!$A$61:$I$81,2,0)</f>
        <v>280</v>
      </c>
      <c r="AG31" s="13">
        <f>VLOOKUP(A31,'Données projet'!$A$61:$I$81,9,0)</f>
        <v>19</v>
      </c>
      <c r="AH31" s="13">
        <f t="array" ref="AH31">INDEX(AG:AG,MIN(IF(ISNUMBER(AG31:AG227),ROW(AG31:AG227),"")))</f>
        <v>19</v>
      </c>
      <c r="AI31" s="14">
        <f>IF('Données projet'!$A$62&gt;35,AI30+AH31-AQ30,IF(A31&lt;'Données projet'!$A$62,$AF$205^A31,IF(A31='Données projet'!$A$62,'Données projet'!$B$62,AI30+AH31-AQ30)))</f>
        <v>280</v>
      </c>
      <c r="AJ31" s="14">
        <f>AI31*VLOOKUP('Données projet'!$B$10,Paramètres!$A$1:$I$89,3,0)*VLOOKUP('Données projet'!$B$10,Paramètres!$A$1:$I$89,5,0)</f>
        <v>156.51999999999998</v>
      </c>
      <c r="AK31" s="14">
        <f t="shared" si="35"/>
        <v>40.056589961286939</v>
      </c>
      <c r="AL31" s="22">
        <f t="shared" si="4"/>
        <v>342.37089418257466</v>
      </c>
      <c r="AM31" s="60">
        <f t="shared" si="5"/>
        <v>635.70422751590797</v>
      </c>
      <c r="AN31" s="60">
        <f ca="1">AVERAGE(OFFSET($AM$3,0,0,'Données projet'!$E$10+1,1))-AVERAGE(OFFSET($H$3,0,0,'Données projet'!$E$10+1,1))</f>
        <v>302.20483575440988</v>
      </c>
      <c r="AO31" s="60">
        <f t="shared" si="36"/>
        <v>275.32862097158687</v>
      </c>
      <c r="AP31" s="16">
        <f>IF(ISNA(VLOOKUP(A31,'Données projet'!$A$61:$I$81,3,0)),0,VLOOKUP(A31,'Données projet'!$A$61:$I$81,3,0))</f>
        <v>2</v>
      </c>
      <c r="AQ31" s="16">
        <f>IF(ISNA(VLOOKUP(A31,'Données projet'!$A$61:$I$81,4,0)),0,VLOOKUP(A31,'Données projet'!$A$61:$I$81,4,0))</f>
        <v>64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0.11000000000000001</v>
      </c>
      <c r="AT31" s="17">
        <f>IF(ISNA(VLOOKUP(A31,'Données projet'!$A$61:$I$81,7,0)),0%,VLOOKUP(A31,'Données projet'!$A$61:$I$81,7,0))</f>
        <v>0.4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7.3078129997006407</v>
      </c>
      <c r="AW31" s="23">
        <f>EXP(-LN(2)/2)*AW30+(1-EXP(-LN(2)/2))/(LN(2)/2)*AQ31*AT31*VLOOKUP('Données projet'!$B$10,Paramètres!$A$1:$I$89,3,0)*0.475*44/12</f>
        <v>17.612449666696403</v>
      </c>
      <c r="AX31" s="23">
        <f t="shared" si="6"/>
        <v>24.920262666397043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11</v>
      </c>
      <c r="BD31" s="13">
        <f>IF('Données projet'!$A$88&gt;35,BD30+BC31-BL30,IF(A31&lt;'Données projet'!$A$88,$BA$205^A31,IF(A31='Données projet'!$A$88,'Données projet'!$B$88,BD30+BC31-BL30)))</f>
        <v>147.00000000000003</v>
      </c>
      <c r="BE31" s="14">
        <f>BD31*VLOOKUP('Données projet'!$B$11,Paramètres!$A$1:$I$89,3,0)*VLOOKUP('Données projet'!$B$11,Paramètres!$A$1:$I$89,5,0)</f>
        <v>128.41920000000005</v>
      </c>
      <c r="BF31" s="14">
        <f t="shared" si="37"/>
        <v>33.630823177860762</v>
      </c>
      <c r="BG31" s="22">
        <f t="shared" si="7"/>
        <v>282.23712370144091</v>
      </c>
      <c r="BH31" s="60">
        <f t="shared" si="8"/>
        <v>575.57045703477422</v>
      </c>
      <c r="BI31" s="60">
        <f ca="1">AVERAGE(OFFSET($BH$3,0,0,'Données projet'!$E$11+1,1))-AVERAGE(OFFSET($H$3,0,0,'Données projet'!$E$11+1,1))</f>
        <v>314.62110015707839</v>
      </c>
      <c r="BJ31" s="60">
        <f t="shared" si="38"/>
        <v>285.36905470736582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91</v>
      </c>
      <c r="BZ31" s="14">
        <f>BY31*VLOOKUP('Données projet'!$B$12,Paramètres!$A$1:$I$89,3,0)*VLOOKUP('Données projet'!$B$12,Paramètres!$A$1:$I$89,5,0)</f>
        <v>82.336799999999997</v>
      </c>
      <c r="CA31" s="14">
        <f t="shared" si="39"/>
        <v>22.707582950885364</v>
      </c>
      <c r="CB31" s="22">
        <f t="shared" si="10"/>
        <v>182.95230030612535</v>
      </c>
      <c r="CC31" s="60">
        <f t="shared" si="11"/>
        <v>476.28563363945864</v>
      </c>
      <c r="CD31" s="60">
        <f ca="1">AVERAGE(OFFSET($CC$3,0,0,'Données projet'!$E$12+1,1))-AVERAGE(OFFSET($H$3,0,0,'Données projet'!$E$12+1,1))</f>
        <v>303.73499739059076</v>
      </c>
      <c r="CE31" s="60">
        <f t="shared" si="40"/>
        <v>172.32171001882188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91</v>
      </c>
      <c r="CU31" s="18">
        <f>CT31*VLOOKUP('Données projet'!$B$13,Paramètres!$A$1:$I$89,3,0)*VLOOKUP('Données projet'!$B$13,Paramètres!$A$1:$I$89,5,0)</f>
        <v>92.274000000000001</v>
      </c>
      <c r="CV31" s="14">
        <f t="shared" si="41"/>
        <v>25.112860036087575</v>
      </c>
      <c r="CW31" s="22">
        <f t="shared" si="13"/>
        <v>204.4487812295192</v>
      </c>
      <c r="CX31" s="60">
        <f t="shared" si="14"/>
        <v>497.78211456285248</v>
      </c>
      <c r="CY31" s="60">
        <f ca="1">AVERAGE(OFFSET($CX$3,0,0,'Données projet'!$E$13+1,1))-AVERAGE(OFFSET($H$3,0,0,'Données projet'!$E$13+1,1))</f>
        <v>350.3652766444938</v>
      </c>
      <c r="CZ31" s="60">
        <f t="shared" si="42"/>
        <v>197.04549436738586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91</v>
      </c>
      <c r="DP31" s="18">
        <f>DO31*VLOOKUP('Données projet'!$B$14,Paramètres!$A$1:$I$89,3,0)*VLOOKUP('Données projet'!$B$14,Paramètres!$A$1:$I$89,5,0)</f>
        <v>97.952399999999997</v>
      </c>
      <c r="DQ31" s="14">
        <f t="shared" si="43"/>
        <v>26.473599278177087</v>
      </c>
      <c r="DR31" s="22">
        <f t="shared" si="16"/>
        <v>216.70861540949173</v>
      </c>
      <c r="DS31" s="60">
        <f t="shared" si="17"/>
        <v>510.04194874282507</v>
      </c>
      <c r="DT31" s="60">
        <f ca="1">AVERAGE(OFFSET($DS$3,0,0,'Données projet'!$E$14+1,1))-AVERAGE(OFFSET($H$3,0,0,'Données projet'!$E$14+1,1))</f>
        <v>376.96388721258387</v>
      </c>
      <c r="DU31" s="60">
        <f t="shared" si="44"/>
        <v>211.14628470344377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7</v>
      </c>
      <c r="EJ31" s="13">
        <f>IF('Données projet'!$A$192&gt;35,EJ30+EI31-ER30,IF(A31&lt;'Données projet'!$A$192,$EG$205^A31,IF(A31='Données projet'!$A$192,'Données projet'!$B$192,EJ30+EI31-ER30)))</f>
        <v>91</v>
      </c>
      <c r="EK31" s="18">
        <f>EJ31*VLOOKUP('Données projet'!$B$15,Paramètres!$A$1:$I$89,3,0)*VLOOKUP('Données projet'!$B$15,Paramètres!$A$1:$I$89,5,0)</f>
        <v>88.015200000000007</v>
      </c>
      <c r="EL31" s="14">
        <f t="shared" si="45"/>
        <v>24.085919530575829</v>
      </c>
      <c r="EM31" s="22">
        <f t="shared" si="19"/>
        <v>195.24278318241954</v>
      </c>
      <c r="EN31" s="60">
        <f t="shared" si="20"/>
        <v>488.57611651575286</v>
      </c>
      <c r="EO31" s="60">
        <f ca="1">AVERAGE(OFFSET($EN$3,0,0,'Données projet'!$E$15+1,1))-AVERAGE(OFFSET($H$3,0,0,'Données projet'!$E$15+1,1))</f>
        <v>330.39429528665841</v>
      </c>
      <c r="EP31" s="60">
        <f t="shared" si="46"/>
        <v>186.45728006007261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8">
        <f t="shared" si="1"/>
        <v>330.12546015243771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15.950000000000003</v>
      </c>
      <c r="N32" s="14">
        <f>IF('Données projet'!$A$36&gt;35,N31+M32-V31,IF(A32&lt;'Données projet'!$A$36,$K$205^A32,IF(A32='Données projet'!$A$36,'Données projet'!$B$36,N31+M32-V31)))</f>
        <v>195.14999999999998</v>
      </c>
      <c r="O32" s="14">
        <f>N32*VLOOKUP('Données projet'!$B$9,Paramètres!$A$1:$I$89,3,0)*VLOOKUP('Données projet'!$B$9,Paramètres!$A$1:$I$89,5,0)</f>
        <v>116.69969999999999</v>
      </c>
      <c r="P32" s="14">
        <f t="shared" si="33"/>
        <v>30.904013637526155</v>
      </c>
      <c r="Q32" s="22">
        <f t="shared" si="2"/>
        <v>257.07646791869132</v>
      </c>
      <c r="R32" s="60">
        <f t="shared" si="0"/>
        <v>550.40980125202464</v>
      </c>
      <c r="S32" s="60">
        <f ca="1">AVERAGE(OFFSET($R$3,0,0,'Données projet'!$E$9+1,1))-AVERAGE(OFFSET($H$3,0,0,'Données projet'!$E$9+1,1))</f>
        <v>155.11440101086782</v>
      </c>
      <c r="T32" s="60">
        <f t="shared" si="34"/>
        <v>239.53454701506638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13.766289251269367</v>
      </c>
      <c r="AA32" s="23">
        <f>EXP(-LN(2)/25)*AA31+(1-EXP(-LN(2)/25))/(LN(2)/25)*Calculateur!V32*Calculateur!X32*VLOOKUP('Données projet'!$B$9,Paramètres!$A$1:$I$89,3,0)*0.475*44/12</f>
        <v>7.4456379467018934</v>
      </c>
      <c r="AB32" s="23">
        <f>EXP(-LN(2)/2)*AB31+(1-EXP(-LN(2)/2))/(LN(2)/2)*V32*Y32*VLOOKUP('Données projet'!$B$9,Paramètres!$A$1:$I$89,3,0)*0.475*44/12</f>
        <v>4.1704352912282365</v>
      </c>
      <c r="AC32" s="24">
        <f t="shared" si="3"/>
        <v>25.382362489199497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19.857142857142858</v>
      </c>
      <c r="AI32" s="14">
        <f>IF('Données projet'!$A$62&gt;35,AI31+AH32-AQ31,IF(A32&lt;'Données projet'!$A$62,$AF$205^A32,IF(A32='Données projet'!$A$62,'Données projet'!$B$62,AI31+AH32-AQ31)))</f>
        <v>235.85714285714283</v>
      </c>
      <c r="AJ32" s="14">
        <f>AI32*VLOOKUP('Données projet'!$B$10,Paramètres!$A$1:$I$89,3,0)*VLOOKUP('Données projet'!$B$10,Paramètres!$A$1:$I$89,5,0)</f>
        <v>131.84414285714283</v>
      </c>
      <c r="AK32" s="14">
        <f t="shared" si="35"/>
        <v>34.422136630345072</v>
      </c>
      <c r="AL32" s="22">
        <f t="shared" si="4"/>
        <v>289.5804367740414</v>
      </c>
      <c r="AM32" s="60">
        <f t="shared" si="5"/>
        <v>582.91377010737472</v>
      </c>
      <c r="AN32" s="60">
        <f ca="1">AVERAGE(OFFSET($AM$3,0,0,'Données projet'!$E$10+1,1))-AVERAGE(OFFSET($H$3,0,0,'Données projet'!$E$10+1,1))</f>
        <v>302.20483575440988</v>
      </c>
      <c r="AO32" s="60">
        <f t="shared" si="36"/>
        <v>275.32862097158687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7.1079804689226433</v>
      </c>
      <c r="AW32" s="23">
        <f>EXP(-LN(2)/2)*AW31+(1-EXP(-LN(2)/2))/(LN(2)/2)*AQ32*AT32*VLOOKUP('Données projet'!$B$10,Paramètres!$A$1:$I$89,3,0)*0.475*44/12</f>
        <v>12.453882592627776</v>
      </c>
      <c r="AX32" s="23">
        <f t="shared" si="6"/>
        <v>19.561863061550419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11</v>
      </c>
      <c r="BD32" s="13">
        <f>IF('Données projet'!$A$88&gt;35,BD31+BC32-BL31,IF(A32&lt;'Données projet'!$A$88,$BA$205^A32,IF(A32='Données projet'!$A$88,'Données projet'!$B$88,BD31+BC32-BL31)))</f>
        <v>158.00000000000003</v>
      </c>
      <c r="BE32" s="14">
        <f>BD32*VLOOKUP('Données projet'!$B$11,Paramètres!$A$1:$I$89,3,0)*VLOOKUP('Données projet'!$B$11,Paramètres!$A$1:$I$89,5,0)</f>
        <v>138.02880000000005</v>
      </c>
      <c r="BF32" s="14">
        <f t="shared" si="37"/>
        <v>35.845059256813073</v>
      </c>
      <c r="BG32" s="22">
        <f t="shared" si="7"/>
        <v>302.83030487228285</v>
      </c>
      <c r="BH32" s="60">
        <f t="shared" si="8"/>
        <v>596.16363820561617</v>
      </c>
      <c r="BI32" s="60">
        <f ca="1">AVERAGE(OFFSET($BH$3,0,0,'Données projet'!$E$11+1,1))-AVERAGE(OFFSET($H$3,0,0,'Données projet'!$E$11+1,1))</f>
        <v>314.62110015707839</v>
      </c>
      <c r="BJ32" s="60">
        <f t="shared" si="38"/>
        <v>285.36905470736582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98</v>
      </c>
      <c r="BZ32" s="14">
        <f>BY32*VLOOKUP('Données projet'!$B$12,Paramètres!$A$1:$I$89,3,0)*VLOOKUP('Données projet'!$B$12,Paramètres!$A$1:$I$89,5,0)</f>
        <v>88.670400000000001</v>
      </c>
      <c r="CA32" s="14">
        <f t="shared" si="39"/>
        <v>24.244280250395512</v>
      </c>
      <c r="CB32" s="22">
        <f t="shared" si="10"/>
        <v>196.65973476943884</v>
      </c>
      <c r="CC32" s="60">
        <f t="shared" si="11"/>
        <v>489.99306810277216</v>
      </c>
      <c r="CD32" s="60">
        <f ca="1">AVERAGE(OFFSET($CC$3,0,0,'Données projet'!$E$12+1,1))-AVERAGE(OFFSET($H$3,0,0,'Données projet'!$E$12+1,1))</f>
        <v>303.73499739059076</v>
      </c>
      <c r="CE32" s="60">
        <f t="shared" si="40"/>
        <v>172.32171001882188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98</v>
      </c>
      <c r="CU32" s="18">
        <f>CT32*VLOOKUP('Données projet'!$B$13,Paramètres!$A$1:$I$89,3,0)*VLOOKUP('Données projet'!$B$13,Paramètres!$A$1:$I$89,5,0)</f>
        <v>99.372000000000014</v>
      </c>
      <c r="CV32" s="14">
        <f t="shared" si="41"/>
        <v>26.812330397327713</v>
      </c>
      <c r="CW32" s="22">
        <f t="shared" si="13"/>
        <v>219.7710421086791</v>
      </c>
      <c r="CX32" s="60">
        <f t="shared" si="14"/>
        <v>513.10437544201238</v>
      </c>
      <c r="CY32" s="60">
        <f ca="1">AVERAGE(OFFSET($CX$3,0,0,'Données projet'!$E$13+1,1))-AVERAGE(OFFSET($H$3,0,0,'Données projet'!$E$13+1,1))</f>
        <v>350.3652766444938</v>
      </c>
      <c r="CZ32" s="60">
        <f t="shared" si="42"/>
        <v>197.04549436738586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98</v>
      </c>
      <c r="DP32" s="18">
        <f>DO32*VLOOKUP('Données projet'!$B$14,Paramètres!$A$1:$I$89,3,0)*VLOOKUP('Données projet'!$B$14,Paramètres!$A$1:$I$89,5,0)</f>
        <v>105.48719999999999</v>
      </c>
      <c r="DQ32" s="14">
        <f t="shared" si="43"/>
        <v>28.265155367923839</v>
      </c>
      <c r="DR32" s="22">
        <f t="shared" si="16"/>
        <v>232.95201893246733</v>
      </c>
      <c r="DS32" s="60">
        <f t="shared" si="17"/>
        <v>526.28535226580061</v>
      </c>
      <c r="DT32" s="60">
        <f ca="1">AVERAGE(OFFSET($DS$3,0,0,'Données projet'!$E$14+1,1))-AVERAGE(OFFSET($H$3,0,0,'Données projet'!$E$14+1,1))</f>
        <v>376.96388721258387</v>
      </c>
      <c r="DU32" s="60">
        <f t="shared" si="44"/>
        <v>211.14628470344377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7</v>
      </c>
      <c r="EJ32" s="13">
        <f>IF('Données projet'!$A$192&gt;35,EJ31+EI32-ER31,IF(A32&lt;'Données projet'!$A$192,$EG$205^A32,IF(A32='Données projet'!$A$192,'Données projet'!$B$192,EJ31+EI32-ER31)))</f>
        <v>98</v>
      </c>
      <c r="EK32" s="18">
        <f>EJ32*VLOOKUP('Données projet'!$B$15,Paramètres!$A$1:$I$89,3,0)*VLOOKUP('Données projet'!$B$15,Paramètres!$A$1:$I$89,5,0)</f>
        <v>94.785600000000002</v>
      </c>
      <c r="EL32" s="14">
        <f t="shared" si="45"/>
        <v>25.715893428674526</v>
      </c>
      <c r="EM32" s="22">
        <f t="shared" si="19"/>
        <v>209.87343438827483</v>
      </c>
      <c r="EN32" s="60">
        <f t="shared" si="20"/>
        <v>503.20676772160812</v>
      </c>
      <c r="EO32" s="60">
        <f ca="1">AVERAGE(OFFSET($EN$3,0,0,'Données projet'!$E$15+1,1))-AVERAGE(OFFSET($H$3,0,0,'Données projet'!$E$15+1,1))</f>
        <v>330.39429528665841</v>
      </c>
      <c r="EP32" s="60">
        <f t="shared" si="46"/>
        <v>186.45728006007261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8">
        <f t="shared" si="1"/>
        <v>331.35661242347447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211.1</v>
      </c>
      <c r="L33" s="13">
        <f>VLOOKUP(A33,'Données projet'!$A$35:$I$55,9,0)</f>
        <v>15.950000000000003</v>
      </c>
      <c r="M33" s="13">
        <f t="array" ref="M33">INDEX(L:L,MIN(IF(ISNUMBER(L33:L229),ROW(L33:L229),"")))</f>
        <v>15.950000000000003</v>
      </c>
      <c r="N33" s="14">
        <f>IF('Données projet'!$A$36&gt;35,N32+M33-V32,IF(A33&lt;'Données projet'!$A$36,$K$205^A33,IF(A33='Données projet'!$A$36,'Données projet'!$B$36,N32+M33-V32)))</f>
        <v>211.09999999999997</v>
      </c>
      <c r="O33" s="14">
        <f>N33*VLOOKUP('Données projet'!$B$9,Paramètres!$A$1:$I$89,3,0)*VLOOKUP('Données projet'!$B$9,Paramètres!$A$1:$I$89,5,0)</f>
        <v>126.23779999999999</v>
      </c>
      <c r="P33" s="14">
        <f t="shared" si="33"/>
        <v>33.12554513217659</v>
      </c>
      <c r="Q33" s="22">
        <f t="shared" si="2"/>
        <v>277.55782610520754</v>
      </c>
      <c r="R33" s="60">
        <f t="shared" si="0"/>
        <v>570.89115943854085</v>
      </c>
      <c r="S33" s="60">
        <f ca="1">AVERAGE(OFFSET($R$3,0,0,'Données projet'!$E$9+1,1))-AVERAGE(OFFSET($H$3,0,0,'Données projet'!$E$9+1,1))</f>
        <v>155.11440101086782</v>
      </c>
      <c r="T33" s="60">
        <f t="shared" si="34"/>
        <v>239.53454701506638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13.496340715659322</v>
      </c>
      <c r="AA33" s="23">
        <f>EXP(-LN(2)/25)*AA32+(1-EXP(-LN(2)/25))/(LN(2)/25)*Calculateur!V33*Calculateur!X33*VLOOKUP('Données projet'!$B$9,Paramètres!$A$1:$I$89,3,0)*0.475*44/12</f>
        <v>7.242036585500248</v>
      </c>
      <c r="AB33" s="23">
        <f>EXP(-LN(2)/2)*AB32+(1-EXP(-LN(2)/2))/(LN(2)/2)*V33*Y33*VLOOKUP('Données projet'!$B$9,Paramètres!$A$1:$I$89,3,0)*0.475*44/12</f>
        <v>2.9489430749271803</v>
      </c>
      <c r="AC33" s="24">
        <f t="shared" si="3"/>
        <v>23.687320376086749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19.857142857142858</v>
      </c>
      <c r="AI33" s="14">
        <f>IF('Données projet'!$A$62&gt;35,AI32+AH33-AQ32,IF(A33&lt;'Données projet'!$A$62,$AF$205^A33,IF(A33='Données projet'!$A$62,'Données projet'!$B$62,AI32+AH33-AQ32)))</f>
        <v>255.71428571428569</v>
      </c>
      <c r="AJ33" s="14">
        <f>AI33*VLOOKUP('Données projet'!$B$10,Paramètres!$A$1:$I$89,3,0)*VLOOKUP('Données projet'!$B$10,Paramètres!$A$1:$I$89,5,0)</f>
        <v>142.94428571428571</v>
      </c>
      <c r="AK33" s="14">
        <f t="shared" si="35"/>
        <v>36.970680828333286</v>
      </c>
      <c r="AL33" s="22">
        <f t="shared" si="4"/>
        <v>313.35190006172803</v>
      </c>
      <c r="AM33" s="60">
        <f t="shared" si="5"/>
        <v>606.68523339506135</v>
      </c>
      <c r="AN33" s="60">
        <f ca="1">AVERAGE(OFFSET($AM$3,0,0,'Données projet'!$E$10+1,1))-AVERAGE(OFFSET($H$3,0,0,'Données projet'!$E$10+1,1))</f>
        <v>302.20483575440988</v>
      </c>
      <c r="AO33" s="60">
        <f t="shared" si="36"/>
        <v>275.32862097158687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6.913612369207506</v>
      </c>
      <c r="AW33" s="23">
        <f>EXP(-LN(2)/2)*AW32+(1-EXP(-LN(2)/2))/(LN(2)/2)*AQ33*AT33*VLOOKUP('Données projet'!$B$10,Paramètres!$A$1:$I$89,3,0)*0.475*44/12</f>
        <v>8.8062248333482032</v>
      </c>
      <c r="AX33" s="23">
        <f t="shared" si="6"/>
        <v>15.719837202555709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169</v>
      </c>
      <c r="BB33" s="13">
        <f>VLOOKUP(A33,'Données projet'!$A$87:$I$107,9,0)</f>
        <v>11</v>
      </c>
      <c r="BC33" s="13">
        <f t="array" ref="BC33">INDEX(BB:BB,MIN(IF(ISNUMBER(BB33:BB229),ROW(BB33:BB229),"")))</f>
        <v>11</v>
      </c>
      <c r="BD33" s="13">
        <f>IF('Données projet'!$A$88&gt;35,BD32+BC33-BL32,IF(A33&lt;'Données projet'!$A$88,$BA$205^A33,IF(A33='Données projet'!$A$88,'Données projet'!$B$88,BD32+BC33-BL32)))</f>
        <v>169.00000000000003</v>
      </c>
      <c r="BE33" s="14">
        <f>BD33*VLOOKUP('Données projet'!$B$11,Paramètres!$A$1:$I$89,3,0)*VLOOKUP('Données projet'!$B$11,Paramètres!$A$1:$I$89,5,0)</f>
        <v>147.63840000000005</v>
      </c>
      <c r="BF33" s="14">
        <f t="shared" si="37"/>
        <v>38.04140887895133</v>
      </c>
      <c r="BG33" s="22">
        <f t="shared" si="7"/>
        <v>323.39233379750698</v>
      </c>
      <c r="BH33" s="60">
        <f t="shared" si="8"/>
        <v>616.72566713084029</v>
      </c>
      <c r="BI33" s="60">
        <f ca="1">AVERAGE(OFFSET($BH$3,0,0,'Données projet'!$E$11+1,1))-AVERAGE(OFFSET($H$3,0,0,'Données projet'!$E$11+1,1))</f>
        <v>314.62110015707839</v>
      </c>
      <c r="BJ33" s="60">
        <f t="shared" si="38"/>
        <v>285.36905470736582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105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105</v>
      </c>
      <c r="BZ33" s="14">
        <f>BY33*VLOOKUP('Données projet'!$B$12,Paramètres!$A$1:$I$89,3,0)*VLOOKUP('Données projet'!$B$12,Paramètres!$A$1:$I$89,5,0)</f>
        <v>95.004000000000005</v>
      </c>
      <c r="CA33" s="14">
        <f t="shared" si="39"/>
        <v>25.768242550600785</v>
      </c>
      <c r="CB33" s="22">
        <f t="shared" si="10"/>
        <v>210.34498910896306</v>
      </c>
      <c r="CC33" s="60">
        <f t="shared" si="11"/>
        <v>503.67832244229635</v>
      </c>
      <c r="CD33" s="60">
        <f ca="1">AVERAGE(OFFSET($CC$3,0,0,'Données projet'!$E$12+1,1))-AVERAGE(OFFSET($H$3,0,0,'Données projet'!$E$12+1,1))</f>
        <v>303.73499739059076</v>
      </c>
      <c r="CE33" s="60">
        <f t="shared" si="40"/>
        <v>172.32171001882188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29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105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105</v>
      </c>
      <c r="CU33" s="18">
        <f>CT33*VLOOKUP('Données projet'!$B$13,Paramètres!$A$1:$I$89,3,0)*VLOOKUP('Données projet'!$B$13,Paramètres!$A$1:$I$89,5,0)</f>
        <v>106.47</v>
      </c>
      <c r="CV33" s="14">
        <f t="shared" si="41"/>
        <v>28.49771681771891</v>
      </c>
      <c r="CW33" s="22">
        <f t="shared" si="13"/>
        <v>235.06877345752704</v>
      </c>
      <c r="CX33" s="60">
        <f t="shared" si="14"/>
        <v>528.40210679086033</v>
      </c>
      <c r="CY33" s="60">
        <f ca="1">AVERAGE(OFFSET($CX$3,0,0,'Données projet'!$E$13+1,1))-AVERAGE(OFFSET($H$3,0,0,'Données projet'!$E$13+1,1))</f>
        <v>350.3652766444938</v>
      </c>
      <c r="CZ33" s="60">
        <f t="shared" si="42"/>
        <v>197.04549436738586</v>
      </c>
      <c r="DA33" s="16">
        <f>IF(ISNA(VLOOKUP(A33,'Données projet'!$A$139:$I$159,3,0)),0,VLOOKUP(A33,'Données projet'!$A$139:$I$159,3,0))</f>
        <v>1</v>
      </c>
      <c r="DB33" s="16">
        <f>IF(ISNA(VLOOKUP(A33,'Données projet'!$A$139:$I$159,4,0)),0,VLOOKUP(A33,'Données projet'!$A$139:$I$159,4,0))</f>
        <v>29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105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105</v>
      </c>
      <c r="DP33" s="18">
        <f>DO33*VLOOKUP('Données projet'!$B$14,Paramètres!$A$1:$I$89,3,0)*VLOOKUP('Données projet'!$B$14,Paramètres!$A$1:$I$89,5,0)</f>
        <v>113.02199999999999</v>
      </c>
      <c r="DQ33" s="14">
        <f t="shared" si="43"/>
        <v>30.041864379091852</v>
      </c>
      <c r="DR33" s="22">
        <f t="shared" si="16"/>
        <v>249.16956379358496</v>
      </c>
      <c r="DS33" s="60">
        <f t="shared" si="17"/>
        <v>542.50289712691824</v>
      </c>
      <c r="DT33" s="60">
        <f ca="1">AVERAGE(OFFSET($DS$3,0,0,'Données projet'!$E$14+1,1))-AVERAGE(OFFSET($H$3,0,0,'Données projet'!$E$14+1,1))</f>
        <v>376.96388721258387</v>
      </c>
      <c r="DU33" s="60">
        <f t="shared" si="44"/>
        <v>211.14628470344377</v>
      </c>
      <c r="DV33" s="16">
        <f>IF(ISNA(VLOOKUP(A33,'Données projet'!$A$165:$I$185,3,0)),0,VLOOKUP(A33,'Données projet'!$A$165:$I$185,3,0))</f>
        <v>1</v>
      </c>
      <c r="DW33" s="16">
        <f>IF(ISNA(VLOOKUP(A33,'Données projet'!$A$165:$I$185,4,0)),0,VLOOKUP(A33,'Données projet'!$A$165:$I$185,4,0))</f>
        <v>29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105</v>
      </c>
      <c r="EH33" s="13">
        <f>VLOOKUP(A33,'Données projet'!$A$191:$I$211,9,0)</f>
        <v>7</v>
      </c>
      <c r="EI33" s="13">
        <f t="array" ref="EI33">INDEX(EH:EH,MIN(IF(ISNUMBER(EH33:EH229),ROW(EH33:EH229),"")))</f>
        <v>7</v>
      </c>
      <c r="EJ33" s="13">
        <f>IF('Données projet'!$A$192&gt;35,EJ32+EI33-ER32,IF(A33&lt;'Données projet'!$A$192,$EG$205^A33,IF(A33='Données projet'!$A$192,'Données projet'!$B$192,EJ32+EI33-ER32)))</f>
        <v>105</v>
      </c>
      <c r="EK33" s="18">
        <f>EJ33*VLOOKUP('Données projet'!$B$15,Paramètres!$A$1:$I$89,3,0)*VLOOKUP('Données projet'!$B$15,Paramètres!$A$1:$I$89,5,0)</f>
        <v>101.556</v>
      </c>
      <c r="EL33" s="14">
        <f t="shared" si="45"/>
        <v>27.332359320696909</v>
      </c>
      <c r="EM33" s="22">
        <f t="shared" si="19"/>
        <v>224.48055915021379</v>
      </c>
      <c r="EN33" s="60">
        <f t="shared" si="20"/>
        <v>517.81389248354708</v>
      </c>
      <c r="EO33" s="60">
        <f ca="1">AVERAGE(OFFSET($EN$3,0,0,'Données projet'!$E$15+1,1))-AVERAGE(OFFSET($H$3,0,0,'Données projet'!$E$15+1,1))</f>
        <v>330.39429528665841</v>
      </c>
      <c r="EP33" s="60">
        <f t="shared" si="46"/>
        <v>186.45728006007261</v>
      </c>
      <c r="EQ33" s="16">
        <f>IF(ISNA(VLOOKUP(A33,'Données projet'!$A$191:$I$211,3,0)),0,VLOOKUP(A33,'Données projet'!$A$191:$I$211,3,0))</f>
        <v>1</v>
      </c>
      <c r="ER33" s="16">
        <f>IF(ISNA(VLOOKUP(A33,'Données projet'!$A$191:$I$211,4,0)),0,VLOOKUP(A33,'Données projet'!$A$191:$I$211,4,0))</f>
        <v>29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8">
        <f t="shared" si="1"/>
        <v>332.58667940379132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16.150000000000006</v>
      </c>
      <c r="N34" s="14">
        <f>IF('Données projet'!$A$36&gt;35,N33+M34-V33,IF(A34&lt;'Données projet'!$A$36,$K$205^A34,IF(A34='Données projet'!$A$36,'Données projet'!$B$36,N33+M34-V33)))</f>
        <v>227.24999999999997</v>
      </c>
      <c r="O34" s="14">
        <f>N34*VLOOKUP('Données projet'!$B$9,Paramètres!$A$1:$I$89,3,0)*VLOOKUP('Données projet'!$B$9,Paramètres!$A$1:$I$89,5,0)</f>
        <v>135.8955</v>
      </c>
      <c r="P34" s="14">
        <f t="shared" si="33"/>
        <v>35.355099996655149</v>
      </c>
      <c r="Q34" s="22">
        <f t="shared" si="2"/>
        <v>298.26146166084101</v>
      </c>
      <c r="R34" s="60">
        <f t="shared" si="0"/>
        <v>591.59479499417432</v>
      </c>
      <c r="S34" s="60">
        <f ca="1">AVERAGE(OFFSET($R$3,0,0,'Données projet'!$E$9+1,1))-AVERAGE(OFFSET($H$3,0,0,'Données projet'!$E$9+1,1))</f>
        <v>155.11440101086782</v>
      </c>
      <c r="T34" s="60">
        <f t="shared" si="34"/>
        <v>239.53454701506638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13.231685706180242</v>
      </c>
      <c r="AA34" s="23">
        <f>EXP(-LN(2)/25)*AA33+(1-EXP(-LN(2)/25))/(LN(2)/25)*Calculateur!V34*Calculateur!X34*VLOOKUP('Données projet'!$B$9,Paramètres!$A$1:$I$89,3,0)*0.475*44/12</f>
        <v>7.0440027142275916</v>
      </c>
      <c r="AB34" s="23">
        <f>EXP(-LN(2)/2)*AB33+(1-EXP(-LN(2)/2))/(LN(2)/2)*V34*Y34*VLOOKUP('Données projet'!$B$9,Paramètres!$A$1:$I$89,3,0)*0.475*44/12</f>
        <v>2.0852176456141183</v>
      </c>
      <c r="AC34" s="24">
        <f t="shared" si="3"/>
        <v>22.360906066021951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19.857142857142858</v>
      </c>
      <c r="AI34" s="14">
        <f>IF('Données projet'!$A$62&gt;35,AI33+AH34-AQ33,IF(A34&lt;'Données projet'!$A$62,$AF$205^A34,IF(A34='Données projet'!$A$62,'Données projet'!$B$62,AI33+AH34-AQ33)))</f>
        <v>275.57142857142856</v>
      </c>
      <c r="AJ34" s="14">
        <f>AI34*VLOOKUP('Données projet'!$B$10,Paramètres!$A$1:$I$89,3,0)*VLOOKUP('Données projet'!$B$10,Paramètres!$A$1:$I$89,5,0)</f>
        <v>154.04442857142857</v>
      </c>
      <c r="AK34" s="14">
        <f t="shared" si="35"/>
        <v>39.496268491280283</v>
      </c>
      <c r="AL34" s="22">
        <f t="shared" si="4"/>
        <v>337.08338071755128</v>
      </c>
      <c r="AM34" s="60">
        <f t="shared" si="5"/>
        <v>630.41671405088459</v>
      </c>
      <c r="AN34" s="60">
        <f ca="1">AVERAGE(OFFSET($AM$3,0,0,'Données projet'!$E$10+1,1))-AVERAGE(OFFSET($H$3,0,0,'Données projet'!$E$10+1,1))</f>
        <v>302.20483575440988</v>
      </c>
      <c r="AO34" s="60">
        <f t="shared" si="36"/>
        <v>275.32862097158687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6.7245592754004537</v>
      </c>
      <c r="AW34" s="23">
        <f>EXP(-LN(2)/2)*AW33+(1-EXP(-LN(2)/2))/(LN(2)/2)*AQ34*AT34*VLOOKUP('Données projet'!$B$10,Paramètres!$A$1:$I$89,3,0)*0.475*44/12</f>
        <v>6.226941296313889</v>
      </c>
      <c r="AX34" s="23">
        <f t="shared" si="6"/>
        <v>12.951500571714343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10.4</v>
      </c>
      <c r="BD34" s="13">
        <f>IF('Données projet'!$A$88&gt;35,BD33+BC34-BL33,IF(A34&lt;'Données projet'!$A$88,$BA$205^A34,IF(A34='Données projet'!$A$88,'Données projet'!$B$88,BD33+BC34-BL33)))</f>
        <v>179.40000000000003</v>
      </c>
      <c r="BE34" s="14">
        <f>BD34*VLOOKUP('Données projet'!$B$11,Paramètres!$A$1:$I$89,3,0)*VLOOKUP('Données projet'!$B$11,Paramètres!$A$1:$I$89,5,0)</f>
        <v>156.72384000000005</v>
      </c>
      <c r="BF34" s="14">
        <f t="shared" si="37"/>
        <v>40.102680984620484</v>
      </c>
      <c r="BG34" s="22">
        <f t="shared" si="7"/>
        <v>342.80619071488076</v>
      </c>
      <c r="BH34" s="60">
        <f t="shared" si="8"/>
        <v>636.13952404821407</v>
      </c>
      <c r="BI34" s="60">
        <f ca="1">AVERAGE(OFFSET($BH$3,0,0,'Données projet'!$E$11+1,1))-AVERAGE(OFFSET($H$3,0,0,'Données projet'!$E$11+1,1))</f>
        <v>314.62110015707839</v>
      </c>
      <c r="BJ34" s="60">
        <f t="shared" si="38"/>
        <v>285.36905470736582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</v>
      </c>
      <c r="BY34" s="13">
        <f>IF('Données projet'!$A$114&gt;35,BY33+BX34-CG33,IF(A34&lt;'Données projet'!$A$114,$BV$205^A34,IF(A34='Données projet'!$A$114,'Données projet'!$B$114,BY33+BX34-CG33)))</f>
        <v>84</v>
      </c>
      <c r="BZ34" s="14">
        <f>BY34*VLOOKUP('Données projet'!$B$12,Paramètres!$A$1:$I$89,3,0)*VLOOKUP('Données projet'!$B$12,Paramètres!$A$1:$I$89,5,0)</f>
        <v>76.003200000000007</v>
      </c>
      <c r="CA34" s="14">
        <f t="shared" si="39"/>
        <v>21.157049992000456</v>
      </c>
      <c r="CB34" s="22">
        <f t="shared" si="10"/>
        <v>169.22076873606747</v>
      </c>
      <c r="CC34" s="60">
        <f t="shared" si="11"/>
        <v>462.55410206940076</v>
      </c>
      <c r="CD34" s="60">
        <f ca="1">AVERAGE(OFFSET($CC$3,0,0,'Données projet'!$E$12+1,1))-AVERAGE(OFFSET($H$3,0,0,'Données projet'!$E$12+1,1))</f>
        <v>303.73499739059076</v>
      </c>
      <c r="CE34" s="60">
        <f t="shared" si="40"/>
        <v>172.32171001882188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</v>
      </c>
      <c r="CT34" s="13">
        <f>IF('Données projet'!$A$140&gt;35,CT33+CS34-DB33,IF(A34&lt;'Données projet'!$A$140,$CQ$205^A34,IF(A34='Données projet'!$A$140,'Données projet'!$B$140,CT33+CS34-DB33)))</f>
        <v>84</v>
      </c>
      <c r="CU34" s="18">
        <f>CT34*VLOOKUP('Données projet'!$B$13,Paramètres!$A$1:$I$89,3,0)*VLOOKUP('Données projet'!$B$13,Paramètres!$A$1:$I$89,5,0)</f>
        <v>85.176000000000002</v>
      </c>
      <c r="CV34" s="14">
        <f t="shared" si="41"/>
        <v>23.398088487656441</v>
      </c>
      <c r="CW34" s="22">
        <f t="shared" si="13"/>
        <v>189.09987078266829</v>
      </c>
      <c r="CX34" s="60">
        <f t="shared" si="14"/>
        <v>482.4332041160016</v>
      </c>
      <c r="CY34" s="60">
        <f ca="1">AVERAGE(OFFSET($CX$3,0,0,'Données projet'!$E$13+1,1))-AVERAGE(OFFSET($H$3,0,0,'Données projet'!$E$13+1,1))</f>
        <v>350.3652766444938</v>
      </c>
      <c r="CZ34" s="60">
        <f t="shared" si="42"/>
        <v>197.04549436738586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</v>
      </c>
      <c r="DO34" s="13">
        <f>IF('Données projet'!$A$166&gt;35,DO33+DN34-DW33,IF(A34&lt;'Données projet'!$A$166,$DL$205^A34,IF(A34='Données projet'!$A$166,'Données projet'!$B$166,DO33+DN34-DW33)))</f>
        <v>84</v>
      </c>
      <c r="DP34" s="18">
        <f>DO34*VLOOKUP('Données projet'!$B$14,Paramètres!$A$1:$I$89,3,0)*VLOOKUP('Données projet'!$B$14,Paramètres!$A$1:$I$89,5,0)</f>
        <v>90.417599999999993</v>
      </c>
      <c r="DQ34" s="14">
        <f t="shared" si="43"/>
        <v>24.665912907068826</v>
      </c>
      <c r="DR34" s="22">
        <f t="shared" si="16"/>
        <v>200.43711831314488</v>
      </c>
      <c r="DS34" s="60">
        <f t="shared" si="17"/>
        <v>493.77045164647819</v>
      </c>
      <c r="DT34" s="60">
        <f ca="1">AVERAGE(OFFSET($DS$3,0,0,'Données projet'!$E$14+1,1))-AVERAGE(OFFSET($H$3,0,0,'Données projet'!$E$14+1,1))</f>
        <v>376.96388721258387</v>
      </c>
      <c r="DU34" s="60">
        <f t="shared" si="44"/>
        <v>211.14628470344377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</v>
      </c>
      <c r="EJ34" s="13">
        <f>IF('Données projet'!$A$192&gt;35,EJ33+EI34-ER33,IF(A34&lt;'Données projet'!$A$192,$EG$205^A34,IF(A34='Données projet'!$A$192,'Données projet'!$B$192,EJ33+EI34-ER33)))</f>
        <v>84</v>
      </c>
      <c r="EK34" s="18">
        <f>EJ34*VLOOKUP('Données projet'!$B$15,Paramètres!$A$1:$I$89,3,0)*VLOOKUP('Données projet'!$B$15,Paramètres!$A$1:$I$89,5,0)</f>
        <v>81.244799999999998</v>
      </c>
      <c r="EL34" s="14">
        <f t="shared" si="45"/>
        <v>22.441270156928962</v>
      </c>
      <c r="EM34" s="22">
        <f t="shared" si="19"/>
        <v>180.58657218998462</v>
      </c>
      <c r="EN34" s="60">
        <f t="shared" si="20"/>
        <v>473.91990552331794</v>
      </c>
      <c r="EO34" s="60">
        <f ca="1">AVERAGE(OFFSET($EN$3,0,0,'Données projet'!$E$15+1,1))-AVERAGE(OFFSET($H$3,0,0,'Données projet'!$E$15+1,1))</f>
        <v>330.39429528665841</v>
      </c>
      <c r="EP34" s="60">
        <f t="shared" si="46"/>
        <v>186.45728006007261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8">
        <f t="shared" si="1"/>
        <v>333.81570011831167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>
        <f>VLOOKUP(A35,'Données projet'!$A$35:$I$55,2,0)</f>
        <v>243.4</v>
      </c>
      <c r="L35" s="13">
        <f>VLOOKUP(A35,'Données projet'!$A$35:$I$55,9,0)</f>
        <v>16.150000000000006</v>
      </c>
      <c r="M35" s="13">
        <f t="array" ref="M35">INDEX(L:L,MIN(IF(ISNUMBER(L35:L231),ROW(L35:L231),"")))</f>
        <v>16.150000000000006</v>
      </c>
      <c r="N35" s="14">
        <f>IF('Données projet'!$A$36&gt;35,N34+M35-V34,IF(A35&lt;'Données projet'!$A$36,$K$205^A35,IF(A35='Données projet'!$A$36,'Données projet'!$B$36,N34+M35-V34)))</f>
        <v>243.39999999999998</v>
      </c>
      <c r="O35" s="14">
        <f>N35*VLOOKUP('Données projet'!$B$9,Paramètres!$A$1:$I$89,3,0)*VLOOKUP('Données projet'!$B$9,Paramètres!$A$1:$I$89,5,0)</f>
        <v>145.5532</v>
      </c>
      <c r="P35" s="14">
        <f t="shared" si="33"/>
        <v>37.566271258601809</v>
      </c>
      <c r="Q35" s="22">
        <f t="shared" ref="Q35:Q66" si="53">(O35+P35)*0.475*44/12</f>
        <v>318.93307910873148</v>
      </c>
      <c r="R35" s="60">
        <f t="shared" si="0"/>
        <v>612.26641244206485</v>
      </c>
      <c r="S35" s="60">
        <f ca="1">AVERAGE(OFFSET($R$3,0,0,'Données projet'!$E$9+1,1))-AVERAGE(OFFSET($H$3,0,0,'Données projet'!$E$9+1,1))</f>
        <v>155.11440101086782</v>
      </c>
      <c r="T35" s="60">
        <f t="shared" si="34"/>
        <v>239.53454701506638</v>
      </c>
      <c r="U35" s="16">
        <f>IF(ISNA(VLOOKUP(A35,'Données projet'!$A$35:$I$55,3,0)),0,VLOOKUP(A35,'Données projet'!$A$35:$I$55,3,0))</f>
        <v>4</v>
      </c>
      <c r="V35" s="16">
        <f>IF(ISNA(VLOOKUP(A35,'Données projet'!$A$35:$I$55,4,0)),0,VLOOKUP(A35,'Données projet'!$A$35:$I$55,4,0))</f>
        <v>62.7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12.972220420013429</v>
      </c>
      <c r="AA35" s="23">
        <f>EXP(-LN(2)/25)*AA34+(1-EXP(-LN(2)/25))/(LN(2)/25)*Calculateur!V35*Calculateur!X35*VLOOKUP('Données projet'!$B$9,Paramètres!$A$1:$I$89,3,0)*0.475*44/12</f>
        <v>6.8513840895790343</v>
      </c>
      <c r="AB35" s="23">
        <f>EXP(-LN(2)/2)*AB34+(1-EXP(-LN(2)/2))/(LN(2)/2)*V35*Y35*VLOOKUP('Données projet'!$B$9,Paramètres!$A$1:$I$89,3,0)*0.475*44/12</f>
        <v>1.4744715374635902</v>
      </c>
      <c r="AC35" s="24">
        <f t="shared" si="3"/>
        <v>21.298076047056053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19.857142857142858</v>
      </c>
      <c r="AI35" s="14">
        <f>IF('Données projet'!$A$62&gt;35,AI34+AH35-AQ34,IF(A35&lt;'Données projet'!$A$62,$AF$205^A35,IF(A35='Données projet'!$A$62,'Données projet'!$B$62,AI34+AH35-AQ34)))</f>
        <v>295.42857142857139</v>
      </c>
      <c r="AJ35" s="14">
        <f>AI35*VLOOKUP('Données projet'!$B$10,Paramètres!$A$1:$I$89,3,0)*VLOOKUP('Données projet'!$B$10,Paramètres!$A$1:$I$89,5,0)</f>
        <v>165.14457142857142</v>
      </c>
      <c r="AK35" s="14">
        <f t="shared" si="35"/>
        <v>42.000741952671746</v>
      </c>
      <c r="AL35" s="22">
        <f t="shared" si="4"/>
        <v>360.77808747233183</v>
      </c>
      <c r="AM35" s="60">
        <f t="shared" si="5"/>
        <v>654.11142080566515</v>
      </c>
      <c r="AN35" s="60">
        <f ca="1">AVERAGE(OFFSET($AM$3,0,0,'Données projet'!$E$10+1,1))-AVERAGE(OFFSET($H$3,0,0,'Données projet'!$E$10+1,1))</f>
        <v>302.20483575440988</v>
      </c>
      <c r="AO35" s="60">
        <f t="shared" si="36"/>
        <v>275.32862097158687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6.5406758483854253</v>
      </c>
      <c r="AW35" s="23">
        <f>EXP(-LN(2)/2)*AW34+(1-EXP(-LN(2)/2))/(LN(2)/2)*AQ35*AT35*VLOOKUP('Données projet'!$B$10,Paramètres!$A$1:$I$89,3,0)*0.475*44/12</f>
        <v>4.4031124166741025</v>
      </c>
      <c r="AX35" s="23">
        <f t="shared" si="6"/>
        <v>10.943788265059528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10.4</v>
      </c>
      <c r="BD35" s="13">
        <f>IF('Données projet'!$A$88&gt;35,BD34+BC35-BL34,IF(A35&lt;'Données projet'!$A$88,$BA$205^A35,IF(A35='Données projet'!$A$88,'Données projet'!$B$88,BD34+BC35-BL34)))</f>
        <v>189.80000000000004</v>
      </c>
      <c r="BE35" s="14">
        <f>BD35*VLOOKUP('Données projet'!$B$11,Paramètres!$A$1:$I$89,3,0)*VLOOKUP('Données projet'!$B$11,Paramètres!$A$1:$I$89,5,0)</f>
        <v>165.80928000000006</v>
      </c>
      <c r="BF35" s="14">
        <f t="shared" si="37"/>
        <v>42.15008260726156</v>
      </c>
      <c r="BG35" s="22">
        <f t="shared" si="7"/>
        <v>362.19588987431393</v>
      </c>
      <c r="BH35" s="60">
        <f t="shared" si="8"/>
        <v>655.52922320764719</v>
      </c>
      <c r="BI35" s="60">
        <f ca="1">AVERAGE(OFFSET($BH$3,0,0,'Données projet'!$E$11+1,1))-AVERAGE(OFFSET($H$3,0,0,'Données projet'!$E$11+1,1))</f>
        <v>314.62110015707839</v>
      </c>
      <c r="BJ35" s="60">
        <f t="shared" si="38"/>
        <v>285.36905470736582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</v>
      </c>
      <c r="BY35" s="13">
        <f>IF('Données projet'!$A$114&gt;35,BY34+BX35-CG34,IF(A35&lt;'Données projet'!$A$114,$BV$205^A35,IF(A35='Données projet'!$A$114,'Données projet'!$B$114,BY34+BX35-CG34)))</f>
        <v>92</v>
      </c>
      <c r="BZ35" s="14">
        <f>BY35*VLOOKUP('Données projet'!$B$12,Paramètres!$A$1:$I$89,3,0)*VLOOKUP('Données projet'!$B$12,Paramètres!$A$1:$I$89,5,0)</f>
        <v>83.241600000000005</v>
      </c>
      <c r="CA35" s="14">
        <f t="shared" si="39"/>
        <v>22.927930643846508</v>
      </c>
      <c r="CB35" s="22">
        <f t="shared" si="10"/>
        <v>184.91193253803269</v>
      </c>
      <c r="CC35" s="60">
        <f t="shared" si="11"/>
        <v>478.24526587136597</v>
      </c>
      <c r="CD35" s="60">
        <f ca="1">AVERAGE(OFFSET($CC$3,0,0,'Données projet'!$E$12+1,1))-AVERAGE(OFFSET($H$3,0,0,'Données projet'!$E$12+1,1))</f>
        <v>303.73499739059076</v>
      </c>
      <c r="CE35" s="60">
        <f t="shared" si="40"/>
        <v>172.32171001882188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</v>
      </c>
      <c r="CT35" s="13">
        <f>IF('Données projet'!$A$140&gt;35,CT34+CS35-DB34,IF(A35&lt;'Données projet'!$A$140,$CQ$205^A35,IF(A35='Données projet'!$A$140,'Données projet'!$B$140,CT34+CS35-DB34)))</f>
        <v>92</v>
      </c>
      <c r="CU35" s="18">
        <f>CT35*VLOOKUP('Données projet'!$B$13,Paramètres!$A$1:$I$89,3,0)*VLOOKUP('Données projet'!$B$13,Paramètres!$A$1:$I$89,5,0)</f>
        <v>93.288000000000011</v>
      </c>
      <c r="CV35" s="14">
        <f t="shared" si="41"/>
        <v>25.356547829040977</v>
      </c>
      <c r="CW35" s="22">
        <f t="shared" si="13"/>
        <v>206.63925413557971</v>
      </c>
      <c r="CX35" s="60">
        <f t="shared" si="14"/>
        <v>499.97258746891305</v>
      </c>
      <c r="CY35" s="60">
        <f ca="1">AVERAGE(OFFSET($CX$3,0,0,'Données projet'!$E$13+1,1))-AVERAGE(OFFSET($H$3,0,0,'Données projet'!$E$13+1,1))</f>
        <v>350.3652766444938</v>
      </c>
      <c r="CZ35" s="60">
        <f t="shared" si="42"/>
        <v>197.04549436738586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</v>
      </c>
      <c r="DO35" s="13">
        <f>IF('Données projet'!$A$166&gt;35,DO34+DN35-DW34,IF(A35&lt;'Données projet'!$A$166,$DL$205^A35,IF(A35='Données projet'!$A$166,'Données projet'!$B$166,DO34+DN35-DW34)))</f>
        <v>92</v>
      </c>
      <c r="DP35" s="18">
        <f>DO35*VLOOKUP('Données projet'!$B$14,Paramètres!$A$1:$I$89,3,0)*VLOOKUP('Données projet'!$B$14,Paramètres!$A$1:$I$89,5,0)</f>
        <v>99.028800000000004</v>
      </c>
      <c r="DQ35" s="14">
        <f t="shared" si="43"/>
        <v>26.730491283721712</v>
      </c>
      <c r="DR35" s="22">
        <f t="shared" si="16"/>
        <v>219.03076565248196</v>
      </c>
      <c r="DS35" s="60">
        <f t="shared" si="17"/>
        <v>512.3640989858153</v>
      </c>
      <c r="DT35" s="60">
        <f ca="1">AVERAGE(OFFSET($DS$3,0,0,'Données projet'!$E$14+1,1))-AVERAGE(OFFSET($H$3,0,0,'Données projet'!$E$14+1,1))</f>
        <v>376.96388721258387</v>
      </c>
      <c r="DU35" s="60">
        <f t="shared" si="44"/>
        <v>211.14628470344377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</v>
      </c>
      <c r="EJ35" s="13">
        <f>IF('Données projet'!$A$192&gt;35,EJ34+EI35-ER34,IF(A35&lt;'Données projet'!$A$192,$EG$205^A35,IF(A35='Données projet'!$A$192,'Données projet'!$B$192,EJ34+EI35-ER34)))</f>
        <v>92</v>
      </c>
      <c r="EK35" s="18">
        <f>EJ35*VLOOKUP('Données projet'!$B$15,Paramètres!$A$1:$I$89,3,0)*VLOOKUP('Données projet'!$B$15,Paramètres!$A$1:$I$89,5,0)</f>
        <v>88.982399999999998</v>
      </c>
      <c r="EL35" s="14">
        <f t="shared" si="45"/>
        <v>24.31964219550628</v>
      </c>
      <c r="EM35" s="22">
        <f t="shared" si="19"/>
        <v>197.3343901571734</v>
      </c>
      <c r="EN35" s="60">
        <f t="shared" si="20"/>
        <v>490.66772349050672</v>
      </c>
      <c r="EO35" s="60">
        <f ca="1">AVERAGE(OFFSET($EN$3,0,0,'Données projet'!$E$15+1,1))-AVERAGE(OFFSET($H$3,0,0,'Données projet'!$E$15+1,1))</f>
        <v>330.39429528665841</v>
      </c>
      <c r="EP35" s="60">
        <f t="shared" si="46"/>
        <v>186.45728006007261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8">
        <f t="shared" si="1"/>
        <v>335.04371101436357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12.800000000000011</v>
      </c>
      <c r="N36" s="14">
        <f>IF('Données projet'!$A$36&gt;35,N35+M36-V35,IF(A36&lt;'Données projet'!$A$36,$K$205^A36,IF(A36='Données projet'!$A$36,'Données projet'!$B$36,N35+M36-V35)))</f>
        <v>193.5</v>
      </c>
      <c r="O36" s="14">
        <f>N36*VLOOKUP('Données projet'!$B$9,Paramètres!$A$1:$I$89,3,0)*VLOOKUP('Données projet'!$B$9,Paramètres!$A$1:$I$89,5,0)</f>
        <v>115.71300000000001</v>
      </c>
      <c r="P36" s="14">
        <f t="shared" si="33"/>
        <v>30.673019842466044</v>
      </c>
      <c r="Q36" s="22">
        <f t="shared" si="53"/>
        <v>254.95565122562834</v>
      </c>
      <c r="R36" s="60">
        <f t="shared" si="0"/>
        <v>548.2889845589616</v>
      </c>
      <c r="S36" s="60">
        <f ca="1">AVERAGE(OFFSET($R$3,0,0,'Données projet'!$E$9+1,1))-AVERAGE(OFFSET($H$3,0,0,'Données projet'!$E$9+1,1))</f>
        <v>155.11440101086782</v>
      </c>
      <c r="T36" s="60">
        <f t="shared" si="34"/>
        <v>239.53454701506638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12.717843089850149</v>
      </c>
      <c r="AA36" s="23">
        <f>EXP(-LN(2)/25)*AA35+(1-EXP(-LN(2)/25))/(LN(2)/25)*Calculateur!V36*Calculateur!X36*VLOOKUP('Données projet'!$B$9,Paramètres!$A$1:$I$89,3,0)*0.475*44/12</f>
        <v>6.6640326313508655</v>
      </c>
      <c r="AB36" s="23">
        <f>EXP(-LN(2)/2)*AB35+(1-EXP(-LN(2)/2))/(LN(2)/2)*V36*Y36*VLOOKUP('Données projet'!$B$9,Paramètres!$A$1:$I$89,3,0)*0.475*44/12</f>
        <v>1.0426088228070591</v>
      </c>
      <c r="AC36" s="24">
        <f t="shared" si="3"/>
        <v>20.42448454400807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19.857142857142858</v>
      </c>
      <c r="AI36" s="14">
        <f>IF('Données projet'!$A$62&gt;35,AI35+AH36-AQ35,IF(A36&lt;'Données projet'!$A$62,$AF$205^A36,IF(A36='Données projet'!$A$62,'Données projet'!$B$62,AI35+AH36-AQ35)))</f>
        <v>315.28571428571422</v>
      </c>
      <c r="AJ36" s="14">
        <f>AI36*VLOOKUP('Données projet'!$B$10,Paramètres!$A$1:$I$89,3,0)*VLOOKUP('Données projet'!$B$10,Paramètres!$A$1:$I$89,5,0)</f>
        <v>176.24471428571425</v>
      </c>
      <c r="AK36" s="14">
        <f t="shared" si="35"/>
        <v>44.485681868533291</v>
      </c>
      <c r="AL36" s="22">
        <f t="shared" si="4"/>
        <v>384.43877330198114</v>
      </c>
      <c r="AM36" s="60">
        <f t="shared" si="5"/>
        <v>677.77210663531446</v>
      </c>
      <c r="AN36" s="60">
        <f ca="1">AVERAGE(OFFSET($AM$3,0,0,'Données projet'!$E$10+1,1))-AVERAGE(OFFSET($H$3,0,0,'Données projet'!$E$10+1,1))</f>
        <v>302.20483575440988</v>
      </c>
      <c r="AO36" s="60">
        <f t="shared" si="36"/>
        <v>275.32862097158687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6.3618207233521318</v>
      </c>
      <c r="AW36" s="23">
        <f>EXP(-LN(2)/2)*AW35+(1-EXP(-LN(2)/2))/(LN(2)/2)*AQ36*AT36*VLOOKUP('Données projet'!$B$10,Paramètres!$A$1:$I$89,3,0)*0.475*44/12</f>
        <v>3.1134706481569454</v>
      </c>
      <c r="AX36" s="23">
        <f t="shared" si="6"/>
        <v>9.4752913715090763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10.4</v>
      </c>
      <c r="BD36" s="13">
        <f>IF('Données projet'!$A$88&gt;35,BD35+BC36-BL35,IF(A36&lt;'Données projet'!$A$88,$BA$205^A36,IF(A36='Données projet'!$A$88,'Données projet'!$B$88,BD35+BC36-BL35)))</f>
        <v>200.20000000000005</v>
      </c>
      <c r="BE36" s="14">
        <f>BD36*VLOOKUP('Données projet'!$B$11,Paramètres!$A$1:$I$89,3,0)*VLOOKUP('Données projet'!$B$11,Paramètres!$A$1:$I$89,5,0)</f>
        <v>174.89472000000006</v>
      </c>
      <c r="BF36" s="14">
        <f t="shared" si="37"/>
        <v>44.184460410211607</v>
      </c>
      <c r="BG36" s="22">
        <f t="shared" si="7"/>
        <v>381.5629058811187</v>
      </c>
      <c r="BH36" s="60">
        <f t="shared" si="8"/>
        <v>674.89623921445195</v>
      </c>
      <c r="BI36" s="60">
        <f ca="1">AVERAGE(OFFSET($BH$3,0,0,'Données projet'!$E$11+1,1))-AVERAGE(OFFSET($H$3,0,0,'Données projet'!$E$11+1,1))</f>
        <v>314.62110015707839</v>
      </c>
      <c r="BJ36" s="60">
        <f t="shared" si="38"/>
        <v>285.36905470736582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</v>
      </c>
      <c r="BY36" s="13">
        <f>IF('Données projet'!$A$114&gt;35,BY35+BX36-CG35,IF(A36&lt;'Données projet'!$A$114,$BV$205^A36,IF(A36='Données projet'!$A$114,'Données projet'!$B$114,BY35+BX36-CG35)))</f>
        <v>100</v>
      </c>
      <c r="BZ36" s="14">
        <f>BY36*VLOOKUP('Données projet'!$B$12,Paramètres!$A$1:$I$89,3,0)*VLOOKUP('Données projet'!$B$12,Paramètres!$A$1:$I$89,5,0)</f>
        <v>90.47999999999999</v>
      </c>
      <c r="CA36" s="14">
        <f t="shared" si="39"/>
        <v>24.680953573367994</v>
      </c>
      <c r="CB36" s="22">
        <f t="shared" si="10"/>
        <v>200.57199414028256</v>
      </c>
      <c r="CC36" s="60">
        <f t="shared" si="11"/>
        <v>493.9053274736159</v>
      </c>
      <c r="CD36" s="60">
        <f ca="1">AVERAGE(OFFSET($CC$3,0,0,'Données projet'!$E$12+1,1))-AVERAGE(OFFSET($H$3,0,0,'Données projet'!$E$12+1,1))</f>
        <v>303.73499739059076</v>
      </c>
      <c r="CE36" s="60">
        <f t="shared" si="40"/>
        <v>172.32171001882188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</v>
      </c>
      <c r="CT36" s="13">
        <f>IF('Données projet'!$A$140&gt;35,CT35+CS36-DB35,IF(A36&lt;'Données projet'!$A$140,$CQ$205^A36,IF(A36='Données projet'!$A$140,'Données projet'!$B$140,CT35+CS36-DB35)))</f>
        <v>100</v>
      </c>
      <c r="CU36" s="18">
        <f>CT36*VLOOKUP('Données projet'!$B$13,Paramètres!$A$1:$I$89,3,0)*VLOOKUP('Données projet'!$B$13,Paramètres!$A$1:$I$89,5,0)</f>
        <v>101.4</v>
      </c>
      <c r="CV36" s="14">
        <f t="shared" si="41"/>
        <v>27.295257887453797</v>
      </c>
      <c r="CW36" s="22">
        <f t="shared" si="13"/>
        <v>224.14424082064872</v>
      </c>
      <c r="CX36" s="60">
        <f t="shared" si="14"/>
        <v>517.477574153982</v>
      </c>
      <c r="CY36" s="60">
        <f ca="1">AVERAGE(OFFSET($CX$3,0,0,'Données projet'!$E$13+1,1))-AVERAGE(OFFSET($H$3,0,0,'Données projet'!$E$13+1,1))</f>
        <v>350.3652766444938</v>
      </c>
      <c r="CZ36" s="60">
        <f t="shared" si="42"/>
        <v>197.04549436738586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</v>
      </c>
      <c r="DO36" s="13">
        <f>IF('Données projet'!$A$166&gt;35,DO35+DN36-DW35,IF(A36&lt;'Données projet'!$A$166,$DL$205^A36,IF(A36='Données projet'!$A$166,'Données projet'!$B$166,DO35+DN36-DW35)))</f>
        <v>100</v>
      </c>
      <c r="DP36" s="18">
        <f>DO36*VLOOKUP('Données projet'!$B$14,Paramètres!$A$1:$I$89,3,0)*VLOOKUP('Données projet'!$B$14,Paramètres!$A$1:$I$89,5,0)</f>
        <v>107.64</v>
      </c>
      <c r="DQ36" s="14">
        <f t="shared" si="43"/>
        <v>28.774250263353583</v>
      </c>
      <c r="DR36" s="22">
        <f t="shared" si="16"/>
        <v>237.58815254200749</v>
      </c>
      <c r="DS36" s="60">
        <f t="shared" si="17"/>
        <v>530.92148587534075</v>
      </c>
      <c r="DT36" s="60">
        <f ca="1">AVERAGE(OFFSET($DS$3,0,0,'Données projet'!$E$14+1,1))-AVERAGE(OFFSET($H$3,0,0,'Données projet'!$E$14+1,1))</f>
        <v>376.96388721258387</v>
      </c>
      <c r="DU36" s="60">
        <f t="shared" si="44"/>
        <v>211.14628470344377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</v>
      </c>
      <c r="EJ36" s="13">
        <f>IF('Données projet'!$A$192&gt;35,EJ35+EI36-ER35,IF(A36&lt;'Données projet'!$A$192,$EG$205^A36,IF(A36='Données projet'!$A$192,'Données projet'!$B$192,EJ35+EI36-ER35)))</f>
        <v>100</v>
      </c>
      <c r="EK36" s="18">
        <f>EJ36*VLOOKUP('Données projet'!$B$15,Paramètres!$A$1:$I$89,3,0)*VLOOKUP('Données projet'!$B$15,Paramètres!$A$1:$I$89,5,0)</f>
        <v>96.72</v>
      </c>
      <c r="EL36" s="14">
        <f t="shared" si="45"/>
        <v>26.179072558792139</v>
      </c>
      <c r="EM36" s="22">
        <f t="shared" si="19"/>
        <v>214.04921803989632</v>
      </c>
      <c r="EN36" s="60">
        <f t="shared" si="20"/>
        <v>507.3825513732296</v>
      </c>
      <c r="EO36" s="60">
        <f ca="1">AVERAGE(OFFSET($EN$3,0,0,'Données projet'!$E$15+1,1))-AVERAGE(OFFSET($H$3,0,0,'Données projet'!$E$15+1,1))</f>
        <v>330.39429528665841</v>
      </c>
      <c r="EP36" s="60">
        <f t="shared" si="46"/>
        <v>186.45728006007261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8">
        <f t="shared" si="1"/>
        <v>336.27074620482119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206.3</v>
      </c>
      <c r="L37" s="13">
        <f>VLOOKUP(A37,'Données projet'!$A$35:$I$55,9,0)</f>
        <v>12.800000000000011</v>
      </c>
      <c r="M37" s="13">
        <f t="array" ref="M37">INDEX(L:L,MIN(IF(ISNUMBER(L37:L233),ROW(L37:L233),"")))</f>
        <v>12.800000000000011</v>
      </c>
      <c r="N37" s="14">
        <f>IF('Données projet'!$A$36&gt;35,N36+M37-V36,IF(A37&lt;'Données projet'!$A$36,$K$205^A37,IF(A37='Données projet'!$A$36,'Données projet'!$B$36,N36+M37-V36)))</f>
        <v>206.3</v>
      </c>
      <c r="O37" s="14">
        <f>N37*VLOOKUP('Données projet'!$B$9,Paramètres!$A$1:$I$89,3,0)*VLOOKUP('Données projet'!$B$9,Paramètres!$A$1:$I$89,5,0)</f>
        <v>123.36740000000002</v>
      </c>
      <c r="P37" s="14">
        <f t="shared" si="33"/>
        <v>32.459120552876648</v>
      </c>
      <c r="Q37" s="22">
        <f t="shared" si="53"/>
        <v>271.39785662959355</v>
      </c>
      <c r="R37" s="60">
        <f t="shared" si="0"/>
        <v>564.73118996292692</v>
      </c>
      <c r="S37" s="60">
        <f ca="1">AVERAGE(OFFSET($R$3,0,0,'Données projet'!$E$9+1,1))-AVERAGE(OFFSET($H$3,0,0,'Données projet'!$E$9+1,1))</f>
        <v>155.11440101086782</v>
      </c>
      <c r="T37" s="60">
        <f t="shared" si="34"/>
        <v>239.53454701506638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12.46845394397652</v>
      </c>
      <c r="AA37" s="23">
        <f>EXP(-LN(2)/25)*AA36+(1-EXP(-LN(2)/25))/(LN(2)/25)*Calculateur!V37*Calculateur!X37*VLOOKUP('Données projet'!$B$9,Paramètres!$A$1:$I$89,3,0)*0.475*44/12</f>
        <v>6.4818043086003305</v>
      </c>
      <c r="AB37" s="23">
        <f>EXP(-LN(2)/2)*AB36+(1-EXP(-LN(2)/2))/(LN(2)/2)*V37*Y37*VLOOKUP('Données projet'!$B$9,Paramètres!$A$1:$I$89,3,0)*0.475*44/12</f>
        <v>0.73723576873179508</v>
      </c>
      <c r="AC37" s="24">
        <f t="shared" si="3"/>
        <v>19.687494021308648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19.857142857142858</v>
      </c>
      <c r="AI37" s="14">
        <f>IF('Données projet'!$A$62&gt;35,AI36+AH37-AQ36,IF(A37&lt;'Données projet'!$A$62,$AF$205^A37,IF(A37='Données projet'!$A$62,'Données projet'!$B$62,AI36+AH37-AQ36)))</f>
        <v>335.14285714285705</v>
      </c>
      <c r="AJ37" s="14">
        <f>AI37*VLOOKUP('Données projet'!$B$10,Paramètres!$A$1:$I$89,3,0)*VLOOKUP('Données projet'!$B$10,Paramètres!$A$1:$I$89,5,0)</f>
        <v>187.34485714285708</v>
      </c>
      <c r="AK37" s="14">
        <f t="shared" si="35"/>
        <v>46.95245853654621</v>
      </c>
      <c r="AL37" s="22">
        <f t="shared" si="4"/>
        <v>408.06782480829406</v>
      </c>
      <c r="AM37" s="60">
        <f t="shared" si="5"/>
        <v>701.40115814162732</v>
      </c>
      <c r="AN37" s="60">
        <f ca="1">AVERAGE(OFFSET($AM$3,0,0,'Données projet'!$E$10+1,1))-AVERAGE(OFFSET($H$3,0,0,'Données projet'!$E$10+1,1))</f>
        <v>302.20483575440988</v>
      </c>
      <c r="AO37" s="60">
        <f t="shared" si="36"/>
        <v>275.32862097158687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6.1878564011184558</v>
      </c>
      <c r="AW37" s="23">
        <f>EXP(-LN(2)/2)*AW36+(1-EXP(-LN(2)/2))/(LN(2)/2)*AQ37*AT37*VLOOKUP('Données projet'!$B$10,Paramètres!$A$1:$I$89,3,0)*0.475*44/12</f>
        <v>2.2015562083370517</v>
      </c>
      <c r="AX37" s="23">
        <f t="shared" si="6"/>
        <v>8.3894126094555084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10.4</v>
      </c>
      <c r="BD37" s="13">
        <f>IF('Données projet'!$A$88&gt;35,BD36+BC37-BL36,IF(A37&lt;'Données projet'!$A$88,$BA$205^A37,IF(A37='Données projet'!$A$88,'Données projet'!$B$88,BD36+BC37-BL36)))</f>
        <v>210.60000000000005</v>
      </c>
      <c r="BE37" s="14">
        <f>BD37*VLOOKUP('Données projet'!$B$11,Paramètres!$A$1:$I$89,3,0)*VLOOKUP('Données projet'!$B$11,Paramètres!$A$1:$I$89,5,0)</f>
        <v>183.98016000000007</v>
      </c>
      <c r="BF37" s="14">
        <f t="shared" si="37"/>
        <v>46.206568123393758</v>
      </c>
      <c r="BG37" s="22">
        <f t="shared" si="7"/>
        <v>400.9085514815776</v>
      </c>
      <c r="BH37" s="60">
        <f t="shared" si="8"/>
        <v>694.24188481491092</v>
      </c>
      <c r="BI37" s="60">
        <f ca="1">AVERAGE(OFFSET($BH$3,0,0,'Données projet'!$E$11+1,1))-AVERAGE(OFFSET($H$3,0,0,'Données projet'!$E$11+1,1))</f>
        <v>314.62110015707839</v>
      </c>
      <c r="BJ37" s="60">
        <f t="shared" si="38"/>
        <v>285.36905470736582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</v>
      </c>
      <c r="BY37" s="13">
        <f>IF('Données projet'!$A$114&gt;35,BY36+BX37-CG36,IF(A37&lt;'Données projet'!$A$114,$BV$205^A37,IF(A37='Données projet'!$A$114,'Données projet'!$B$114,BY36+BX37-CG36)))</f>
        <v>108</v>
      </c>
      <c r="BZ37" s="14">
        <f>BY37*VLOOKUP('Données projet'!$B$12,Paramètres!$A$1:$I$89,3,0)*VLOOKUP('Données projet'!$B$12,Paramètres!$A$1:$I$89,5,0)</f>
        <v>97.718399999999988</v>
      </c>
      <c r="CA37" s="14">
        <f t="shared" si="39"/>
        <v>26.417709819192194</v>
      </c>
      <c r="CB37" s="22">
        <f t="shared" si="10"/>
        <v>216.20372460175972</v>
      </c>
      <c r="CC37" s="60">
        <f t="shared" si="11"/>
        <v>509.537057935093</v>
      </c>
      <c r="CD37" s="60">
        <f ca="1">AVERAGE(OFFSET($CC$3,0,0,'Données projet'!$E$12+1,1))-AVERAGE(OFFSET($H$3,0,0,'Données projet'!$E$12+1,1))</f>
        <v>303.73499739059076</v>
      </c>
      <c r="CE37" s="60">
        <f t="shared" si="40"/>
        <v>172.32171001882188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</v>
      </c>
      <c r="CT37" s="13">
        <f>IF('Données projet'!$A$140&gt;35,CT36+CS37-DB36,IF(A37&lt;'Données projet'!$A$140,$CQ$205^A37,IF(A37='Données projet'!$A$140,'Données projet'!$B$140,CT36+CS37-DB36)))</f>
        <v>108</v>
      </c>
      <c r="CU37" s="18">
        <f>CT37*VLOOKUP('Données projet'!$B$13,Paramètres!$A$1:$I$89,3,0)*VLOOKUP('Données projet'!$B$13,Paramètres!$A$1:$I$89,5,0)</f>
        <v>109.51200000000001</v>
      </c>
      <c r="CV37" s="14">
        <f t="shared" si="41"/>
        <v>29.215978230632555</v>
      </c>
      <c r="CW37" s="22">
        <f t="shared" si="13"/>
        <v>241.61789541835174</v>
      </c>
      <c r="CX37" s="60">
        <f t="shared" si="14"/>
        <v>534.95122875168499</v>
      </c>
      <c r="CY37" s="60">
        <f ca="1">AVERAGE(OFFSET($CX$3,0,0,'Données projet'!$E$13+1,1))-AVERAGE(OFFSET($H$3,0,0,'Données projet'!$E$13+1,1))</f>
        <v>350.3652766444938</v>
      </c>
      <c r="CZ37" s="60">
        <f t="shared" si="42"/>
        <v>197.04549436738586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</v>
      </c>
      <c r="DO37" s="13">
        <f>IF('Données projet'!$A$166&gt;35,DO36+DN37-DW36,IF(A37&lt;'Données projet'!$A$166,$DL$205^A37,IF(A37='Données projet'!$A$166,'Données projet'!$B$166,DO36+DN37-DW36)))</f>
        <v>108</v>
      </c>
      <c r="DP37" s="18">
        <f>DO37*VLOOKUP('Données projet'!$B$14,Paramètres!$A$1:$I$89,3,0)*VLOOKUP('Données projet'!$B$14,Paramètres!$A$1:$I$89,5,0)</f>
        <v>116.2512</v>
      </c>
      <c r="DQ37" s="14">
        <f t="shared" si="43"/>
        <v>30.799044755804328</v>
      </c>
      <c r="DR37" s="22">
        <f t="shared" si="16"/>
        <v>256.1125096163592</v>
      </c>
      <c r="DS37" s="60">
        <f t="shared" si="17"/>
        <v>549.44584294969252</v>
      </c>
      <c r="DT37" s="60">
        <f ca="1">AVERAGE(OFFSET($DS$3,0,0,'Données projet'!$E$14+1,1))-AVERAGE(OFFSET($H$3,0,0,'Données projet'!$E$14+1,1))</f>
        <v>376.96388721258387</v>
      </c>
      <c r="DU37" s="60">
        <f t="shared" si="44"/>
        <v>211.14628470344377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</v>
      </c>
      <c r="EJ37" s="13">
        <f>IF('Données projet'!$A$192&gt;35,EJ36+EI37-ER36,IF(A37&lt;'Données projet'!$A$192,$EG$205^A37,IF(A37='Données projet'!$A$192,'Données projet'!$B$192,EJ36+EI37-ER36)))</f>
        <v>108</v>
      </c>
      <c r="EK37" s="18">
        <f>EJ37*VLOOKUP('Données projet'!$B$15,Paramètres!$A$1:$I$89,3,0)*VLOOKUP('Données projet'!$B$15,Paramètres!$A$1:$I$89,5,0)</f>
        <v>104.4576</v>
      </c>
      <c r="EL37" s="14">
        <f t="shared" si="45"/>
        <v>28.021248860498272</v>
      </c>
      <c r="EM37" s="22">
        <f t="shared" si="19"/>
        <v>230.73399509870114</v>
      </c>
      <c r="EN37" s="60">
        <f t="shared" si="20"/>
        <v>524.0673284320344</v>
      </c>
      <c r="EO37" s="60">
        <f ca="1">AVERAGE(OFFSET($EN$3,0,0,'Données projet'!$E$15+1,1))-AVERAGE(OFFSET($H$3,0,0,'Données projet'!$E$15+1,1))</f>
        <v>330.39429528665841</v>
      </c>
      <c r="EP37" s="60">
        <f t="shared" si="46"/>
        <v>186.45728006007261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8">
        <f t="shared" si="1"/>
        <v>337.49683768183723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12.949999999999989</v>
      </c>
      <c r="N38" s="14">
        <f>IF('Données projet'!$A$36&gt;35,N37+M38-V37,IF(A38&lt;'Données projet'!$A$36,$K$205^A38,IF(A38='Données projet'!$A$36,'Données projet'!$B$36,N37+M38-V37)))</f>
        <v>219.25</v>
      </c>
      <c r="O38" s="14">
        <f>N38*VLOOKUP('Données projet'!$B$9,Paramètres!$A$1:$I$89,3,0)*VLOOKUP('Données projet'!$B$9,Paramètres!$A$1:$I$89,5,0)</f>
        <v>131.11150000000001</v>
      </c>
      <c r="P38" s="14">
        <f t="shared" si="33"/>
        <v>34.253066949042768</v>
      </c>
      <c r="Q38" s="22">
        <f t="shared" si="53"/>
        <v>288.00995410291614</v>
      </c>
      <c r="R38" s="60">
        <f t="shared" si="0"/>
        <v>581.34328743624951</v>
      </c>
      <c r="S38" s="60">
        <f ca="1">AVERAGE(OFFSET($R$3,0,0,'Données projet'!$E$9+1,1))-AVERAGE(OFFSET($H$3,0,0,'Données projet'!$E$9+1,1))</f>
        <v>155.11440101086782</v>
      </c>
      <c r="T38" s="60">
        <f t="shared" si="34"/>
        <v>239.53454701506638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12.223955167141115</v>
      </c>
      <c r="AA38" s="23">
        <f>EXP(-LN(2)/25)*AA37+(1-EXP(-LN(2)/25))/(LN(2)/25)*Calculateur!V38*Calculateur!X38*VLOOKUP('Données projet'!$B$9,Paramètres!$A$1:$I$89,3,0)*0.475*44/12</f>
        <v>6.3045590289183799</v>
      </c>
      <c r="AB38" s="23">
        <f>EXP(-LN(2)/2)*AB37+(1-EXP(-LN(2)/2))/(LN(2)/2)*V38*Y38*VLOOKUP('Données projet'!$B$9,Paramètres!$A$1:$I$89,3,0)*0.475*44/12</f>
        <v>0.52130441140352957</v>
      </c>
      <c r="AC38" s="24">
        <f t="shared" si="3"/>
        <v>19.049818607463028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355</v>
      </c>
      <c r="AG38" s="13">
        <f>VLOOKUP(A38,'Données projet'!$A$61:$I$81,9,0)</f>
        <v>19.857142857142858</v>
      </c>
      <c r="AH38" s="13">
        <f t="array" ref="AH38">INDEX(AG:AG,MIN(IF(ISNUMBER(AG38:AG234),ROW(AG38:AG234),"")))</f>
        <v>19.857142857142858</v>
      </c>
      <c r="AI38" s="14">
        <f>IF('Données projet'!$A$62&gt;35,AI37+AH38-AQ37,IF(A38&lt;'Données projet'!$A$62,$AF$205^A38,IF(A38='Données projet'!$A$62,'Données projet'!$B$62,AI37+AH38-AQ37)))</f>
        <v>354.99999999999989</v>
      </c>
      <c r="AJ38" s="14">
        <f>AI38*VLOOKUP('Données projet'!$B$10,Paramètres!$A$1:$I$89,3,0)*VLOOKUP('Données projet'!$B$10,Paramètres!$A$1:$I$89,5,0)</f>
        <v>198.44499999999994</v>
      </c>
      <c r="AK38" s="14">
        <f t="shared" si="35"/>
        <v>49.40227070134226</v>
      </c>
      <c r="AL38" s="22">
        <f t="shared" si="4"/>
        <v>431.66732980483766</v>
      </c>
      <c r="AM38" s="60">
        <f t="shared" si="5"/>
        <v>725.00066313817092</v>
      </c>
      <c r="AN38" s="60">
        <f ca="1">AVERAGE(OFFSET($AM$3,0,0,'Données projet'!$E$10+1,1))-AVERAGE(OFFSET($H$3,0,0,'Données projet'!$E$10+1,1))</f>
        <v>302.20483575440988</v>
      </c>
      <c r="AO38" s="60">
        <f t="shared" si="36"/>
        <v>275.32862097158687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73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6.0186491424246462</v>
      </c>
      <c r="AW38" s="23">
        <f>EXP(-LN(2)/2)*AW37+(1-EXP(-LN(2)/2))/(LN(2)/2)*AQ38*AT38*VLOOKUP('Données projet'!$B$10,Paramètres!$A$1:$I$89,3,0)*0.475*44/12</f>
        <v>1.5567353240784729</v>
      </c>
      <c r="AX38" s="23">
        <f t="shared" si="6"/>
        <v>7.5753844665031194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221</v>
      </c>
      <c r="BB38" s="13">
        <f>VLOOKUP(A38,'Données projet'!$A$87:$I$107,9,0)</f>
        <v>10.4</v>
      </c>
      <c r="BC38" s="13">
        <f t="array" ref="BC38">INDEX(BB:BB,MIN(IF(ISNUMBER(BB38:BB234),ROW(BB38:BB234),"")))</f>
        <v>10.4</v>
      </c>
      <c r="BD38" s="13">
        <f>IF('Données projet'!$A$88&gt;35,BD37+BC38-BL37,IF(A38&lt;'Données projet'!$A$88,$BA$205^A38,IF(A38='Données projet'!$A$88,'Données projet'!$B$88,BD37+BC38-BL37)))</f>
        <v>221.00000000000006</v>
      </c>
      <c r="BE38" s="14">
        <f>BD38*VLOOKUP('Données projet'!$B$11,Paramètres!$A$1:$I$89,3,0)*VLOOKUP('Données projet'!$B$11,Paramètres!$A$1:$I$89,5,0)</f>
        <v>193.06560000000007</v>
      </c>
      <c r="BF38" s="14">
        <f t="shared" si="37"/>
        <v>48.217080828790458</v>
      </c>
      <c r="BG38" s="22">
        <f t="shared" si="7"/>
        <v>420.23400244347687</v>
      </c>
      <c r="BH38" s="60">
        <f t="shared" si="8"/>
        <v>713.56733577681018</v>
      </c>
      <c r="BI38" s="60">
        <f ca="1">AVERAGE(OFFSET($BH$3,0,0,'Données projet'!$E$11+1,1))-AVERAGE(OFFSET($H$3,0,0,'Données projet'!$E$11+1,1))</f>
        <v>314.62110015707839</v>
      </c>
      <c r="BJ38" s="60">
        <f t="shared" si="38"/>
        <v>285.36905470736582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64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8</v>
      </c>
      <c r="BX38" s="13">
        <f t="array" ref="BX38">INDEX(BW:BW,MIN(IF(ISNUMBER(BW38:BW234),ROW(BW38:BW234),"")))</f>
        <v>8</v>
      </c>
      <c r="BY38" s="13">
        <f>IF('Données projet'!$A$114&gt;35,BY37+BX38-CG37,IF(A38&lt;'Données projet'!$A$114,$BV$205^A38,IF(A38='Données projet'!$A$114,'Données projet'!$B$114,BY37+BX38-CG37)))</f>
        <v>116</v>
      </c>
      <c r="BZ38" s="14">
        <f>BY38*VLOOKUP('Données projet'!$B$12,Paramètres!$A$1:$I$89,3,0)*VLOOKUP('Données projet'!$B$12,Paramètres!$A$1:$I$89,5,0)</f>
        <v>104.9568</v>
      </c>
      <c r="CA38" s="14">
        <f t="shared" si="39"/>
        <v>28.139541339232373</v>
      </c>
      <c r="CB38" s="22">
        <f t="shared" si="10"/>
        <v>231.8094611658297</v>
      </c>
      <c r="CC38" s="60">
        <f t="shared" si="11"/>
        <v>525.14279449916307</v>
      </c>
      <c r="CD38" s="60">
        <f ca="1">AVERAGE(OFFSET($CC$3,0,0,'Données projet'!$E$12+1,1))-AVERAGE(OFFSET($H$3,0,0,'Données projet'!$E$12+1,1))</f>
        <v>303.73499739059076</v>
      </c>
      <c r="CE38" s="60">
        <f t="shared" si="40"/>
        <v>172.32171001882188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116</v>
      </c>
      <c r="CR38" s="13">
        <f>VLOOKUP(A38,'Données projet'!$A$139:$I$159,9,0)</f>
        <v>8</v>
      </c>
      <c r="CS38" s="13">
        <f t="array" ref="CS38">INDEX(CR:CR,MIN(IF(ISNUMBER(CR38:CR234),ROW(CR38:CR234),"")))</f>
        <v>8</v>
      </c>
      <c r="CT38" s="13">
        <f>IF('Données projet'!$A$140&gt;35,CT37+CS38-DB37,IF(A38&lt;'Données projet'!$A$140,$CQ$205^A38,IF(A38='Données projet'!$A$140,'Données projet'!$B$140,CT37+CS38-DB37)))</f>
        <v>116</v>
      </c>
      <c r="CU38" s="18">
        <f>CT38*VLOOKUP('Données projet'!$B$13,Paramètres!$A$1:$I$89,3,0)*VLOOKUP('Données projet'!$B$13,Paramètres!$A$1:$I$89,5,0)</f>
        <v>117.62400000000001</v>
      </c>
      <c r="CV38" s="14">
        <f t="shared" si="41"/>
        <v>31.120192961985413</v>
      </c>
      <c r="CW38" s="22">
        <f t="shared" si="13"/>
        <v>259.06280274212457</v>
      </c>
      <c r="CX38" s="60">
        <f t="shared" si="14"/>
        <v>552.39613607545789</v>
      </c>
      <c r="CY38" s="60">
        <f ca="1">AVERAGE(OFFSET($CX$3,0,0,'Données projet'!$E$13+1,1))-AVERAGE(OFFSET($H$3,0,0,'Données projet'!$E$13+1,1))</f>
        <v>350.3652766444938</v>
      </c>
      <c r="CZ38" s="60">
        <f t="shared" si="42"/>
        <v>197.04549436738586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116</v>
      </c>
      <c r="DM38" s="13">
        <f>VLOOKUP(A38,'Données projet'!$A$165:$I$185,9,0)</f>
        <v>8</v>
      </c>
      <c r="DN38" s="13">
        <f t="array" ref="DN38">INDEX(DM:DM,MIN(IF(ISNUMBER(DM38:DM234),ROW(DM38:DM234),"")))</f>
        <v>8</v>
      </c>
      <c r="DO38" s="13">
        <f>IF('Données projet'!$A$166&gt;35,DO37+DN38-DW37,IF(A38&lt;'Données projet'!$A$166,$DL$205^A38,IF(A38='Données projet'!$A$166,'Données projet'!$B$166,DO37+DN38-DW37)))</f>
        <v>116</v>
      </c>
      <c r="DP38" s="18">
        <f>DO38*VLOOKUP('Données projet'!$B$14,Paramètres!$A$1:$I$89,3,0)*VLOOKUP('Données projet'!$B$14,Paramètres!$A$1:$I$89,5,0)</f>
        <v>124.86239999999999</v>
      </c>
      <c r="DQ38" s="14">
        <f t="shared" si="43"/>
        <v>32.806439280561598</v>
      </c>
      <c r="DR38" s="22">
        <f t="shared" si="16"/>
        <v>274.60656174697812</v>
      </c>
      <c r="DS38" s="60">
        <f t="shared" si="17"/>
        <v>567.93989508031143</v>
      </c>
      <c r="DT38" s="60">
        <f ca="1">AVERAGE(OFFSET($DS$3,0,0,'Données projet'!$E$14+1,1))-AVERAGE(OFFSET($H$3,0,0,'Données projet'!$E$14+1,1))</f>
        <v>376.96388721258387</v>
      </c>
      <c r="DU38" s="60">
        <f t="shared" si="44"/>
        <v>211.14628470344377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116</v>
      </c>
      <c r="EH38" s="13">
        <f>VLOOKUP(A38,'Données projet'!$A$191:$I$211,9,0)</f>
        <v>8</v>
      </c>
      <c r="EI38" s="13">
        <f t="array" ref="EI38">INDEX(EH:EH,MIN(IF(ISNUMBER(EH38:EH234),ROW(EH38:EH234),"")))</f>
        <v>8</v>
      </c>
      <c r="EJ38" s="13">
        <f>IF('Données projet'!$A$192&gt;35,EJ37+EI38-ER37,IF(A38&lt;'Données projet'!$A$192,$EG$205^A38,IF(A38='Données projet'!$A$192,'Données projet'!$B$192,EJ37+EI38-ER37)))</f>
        <v>116</v>
      </c>
      <c r="EK38" s="18">
        <f>EJ38*VLOOKUP('Données projet'!$B$15,Paramètres!$A$1:$I$89,3,0)*VLOOKUP('Données projet'!$B$15,Paramètres!$A$1:$I$89,5,0)</f>
        <v>112.1952</v>
      </c>
      <c r="EL38" s="14">
        <f t="shared" si="45"/>
        <v>29.847594514573263</v>
      </c>
      <c r="EM38" s="22">
        <f t="shared" si="19"/>
        <v>247.39120044621509</v>
      </c>
      <c r="EN38" s="60">
        <f t="shared" si="20"/>
        <v>540.72453377954844</v>
      </c>
      <c r="EO38" s="60">
        <f ca="1">AVERAGE(OFFSET($EN$3,0,0,'Données projet'!$E$15+1,1))-AVERAGE(OFFSET($H$3,0,0,'Données projet'!$E$15+1,1))</f>
        <v>330.39429528665841</v>
      </c>
      <c r="EP38" s="60">
        <f t="shared" si="46"/>
        <v>186.45728006007261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8">
        <f t="shared" si="1"/>
        <v>338.72201550546265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232.2</v>
      </c>
      <c r="L39" s="13">
        <f>VLOOKUP(A39,'Données projet'!$A$35:$I$55,9,0)</f>
        <v>12.949999999999989</v>
      </c>
      <c r="M39" s="13">
        <f t="array" ref="M39">INDEX(L:L,MIN(IF(ISNUMBER(L39:L235),ROW(L39:L235),"")))</f>
        <v>12.949999999999989</v>
      </c>
      <c r="N39" s="14">
        <f>IF('Données projet'!$A$36&gt;35,N38+M39-V38,IF(A39&lt;'Données projet'!$A$36,$K$205^A39,IF(A39='Données projet'!$A$36,'Données projet'!$B$36,N38+M39-V38)))</f>
        <v>232.2</v>
      </c>
      <c r="O39" s="14">
        <f>N39*VLOOKUP('Données projet'!$B$9,Paramètres!$A$1:$I$89,3,0)*VLOOKUP('Données projet'!$B$9,Paramètres!$A$1:$I$89,5,0)</f>
        <v>138.85560000000001</v>
      </c>
      <c r="P39" s="14">
        <f t="shared" si="33"/>
        <v>36.034714420414154</v>
      </c>
      <c r="Q39" s="22">
        <f t="shared" si="53"/>
        <v>304.60063094888801</v>
      </c>
      <c r="R39" s="60">
        <f t="shared" si="0"/>
        <v>597.93396428222127</v>
      </c>
      <c r="S39" s="60">
        <f ca="1">AVERAGE(OFFSET($R$3,0,0,'Données projet'!$E$9+1,1))-AVERAGE(OFFSET($H$3,0,0,'Données projet'!$E$9+1,1))</f>
        <v>155.11440101086782</v>
      </c>
      <c r="T39" s="60">
        <f t="shared" si="34"/>
        <v>239.53454701506638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11.984250862189924</v>
      </c>
      <c r="AA39" s="23">
        <f>EXP(-LN(2)/25)*AA38+(1-EXP(-LN(2)/25))/(LN(2)/25)*Calculateur!V39*Calculateur!X39*VLOOKUP('Données projet'!$B$9,Paramètres!$A$1:$I$89,3,0)*0.475*44/12</f>
        <v>6.1321605307302569</v>
      </c>
      <c r="AB39" s="23">
        <f>EXP(-LN(2)/2)*AB38+(1-EXP(-LN(2)/2))/(LN(2)/2)*V39*Y39*VLOOKUP('Données projet'!$B$9,Paramètres!$A$1:$I$89,3,0)*0.475*44/12</f>
        <v>0.36861788436589754</v>
      </c>
      <c r="AC39" s="24">
        <f t="shared" si="3"/>
        <v>18.485029277286078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19.571428571428573</v>
      </c>
      <c r="AI39" s="14">
        <f>IF('Données projet'!$A$62&gt;35,AI38+AH39-AQ38,IF(A39&lt;'Données projet'!$A$62,$AF$205^A39,IF(A39='Données projet'!$A$62,'Données projet'!$B$62,AI38+AH39-AQ38)))</f>
        <v>301.57142857142844</v>
      </c>
      <c r="AJ39" s="14">
        <f>AI39*VLOOKUP('Données projet'!$B$10,Paramètres!$A$1:$I$89,3,0)*VLOOKUP('Données projet'!$B$10,Paramètres!$A$1:$I$89,5,0)</f>
        <v>168.5784285714285</v>
      </c>
      <c r="AK39" s="14">
        <f t="shared" si="35"/>
        <v>42.771483439273169</v>
      </c>
      <c r="AL39" s="22">
        <f t="shared" si="4"/>
        <v>368.10109675197208</v>
      </c>
      <c r="AM39" s="60">
        <f t="shared" si="5"/>
        <v>661.43443008530539</v>
      </c>
      <c r="AN39" s="60">
        <f ca="1">AVERAGE(OFFSET($AM$3,0,0,'Données projet'!$E$10+1,1))-AVERAGE(OFFSET($H$3,0,0,'Données projet'!$E$10+1,1))</f>
        <v>302.20483575440988</v>
      </c>
      <c r="AO39" s="60">
        <f t="shared" si="36"/>
        <v>275.32862097158687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5.8540688651180419</v>
      </c>
      <c r="AW39" s="23">
        <f>EXP(-LN(2)/2)*AW38+(1-EXP(-LN(2)/2))/(LN(2)/2)*AQ39*AT39*VLOOKUP('Données projet'!$B$10,Paramètres!$A$1:$I$89,3,0)*0.475*44/12</f>
        <v>1.1007781041685261</v>
      </c>
      <c r="AX39" s="23">
        <f t="shared" si="6"/>
        <v>6.9548469692865682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9.8000000000000007</v>
      </c>
      <c r="BD39" s="13">
        <f>IF('Données projet'!$A$88&gt;35,BD38+BC39-BL38,IF(A39&lt;'Données projet'!$A$88,$BA$205^A39,IF(A39='Données projet'!$A$88,'Données projet'!$B$88,BD38+BC39-BL38)))</f>
        <v>166.80000000000007</v>
      </c>
      <c r="BE39" s="14">
        <f>BD39*VLOOKUP('Données projet'!$B$11,Paramètres!$A$1:$I$89,3,0)*VLOOKUP('Données projet'!$B$11,Paramètres!$A$1:$I$89,5,0)</f>
        <v>145.71648000000008</v>
      </c>
      <c r="BF39" s="14">
        <f t="shared" si="37"/>
        <v>37.60350500083149</v>
      </c>
      <c r="BG39" s="22">
        <f t="shared" si="7"/>
        <v>319.28230720978166</v>
      </c>
      <c r="BH39" s="60">
        <f t="shared" si="8"/>
        <v>612.61564054311498</v>
      </c>
      <c r="BI39" s="60">
        <f ca="1">AVERAGE(OFFSET($BH$3,0,0,'Données projet'!$E$11+1,1))-AVERAGE(OFFSET($H$3,0,0,'Données projet'!$E$11+1,1))</f>
        <v>314.62110015707839</v>
      </c>
      <c r="BJ39" s="60">
        <f t="shared" si="38"/>
        <v>285.36905470736582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124.4</v>
      </c>
      <c r="BZ39" s="14">
        <f>BY39*VLOOKUP('Données projet'!$B$12,Paramètres!$A$1:$I$89,3,0)*VLOOKUP('Données projet'!$B$12,Paramètres!$A$1:$I$89,5,0)</f>
        <v>112.55712000000001</v>
      </c>
      <c r="CA39" s="14">
        <f t="shared" si="39"/>
        <v>29.932653834140599</v>
      </c>
      <c r="CB39" s="22">
        <f t="shared" si="10"/>
        <v>248.16968942779488</v>
      </c>
      <c r="CC39" s="60">
        <f t="shared" si="11"/>
        <v>541.50302276112825</v>
      </c>
      <c r="CD39" s="60">
        <f ca="1">AVERAGE(OFFSET($CC$3,0,0,'Données projet'!$E$12+1,1))-AVERAGE(OFFSET($H$3,0,0,'Données projet'!$E$12+1,1))</f>
        <v>303.73499739059076</v>
      </c>
      <c r="CE39" s="60">
        <f t="shared" si="40"/>
        <v>172.32171001882188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124.4</v>
      </c>
      <c r="CU39" s="18">
        <f>CT39*VLOOKUP('Données projet'!$B$13,Paramètres!$A$1:$I$89,3,0)*VLOOKUP('Données projet'!$B$13,Paramètres!$A$1:$I$89,5,0)</f>
        <v>126.1416</v>
      </c>
      <c r="CV39" s="14">
        <f t="shared" si="41"/>
        <v>33.10323903126482</v>
      </c>
      <c r="CW39" s="22">
        <f t="shared" si="13"/>
        <v>277.35142797945286</v>
      </c>
      <c r="CX39" s="60">
        <f t="shared" si="14"/>
        <v>570.68476131278612</v>
      </c>
      <c r="CY39" s="60">
        <f ca="1">AVERAGE(OFFSET($CX$3,0,0,'Données projet'!$E$13+1,1))-AVERAGE(OFFSET($H$3,0,0,'Données projet'!$E$13+1,1))</f>
        <v>350.3652766444938</v>
      </c>
      <c r="CZ39" s="60">
        <f t="shared" si="42"/>
        <v>197.04549436738586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124.4</v>
      </c>
      <c r="DP39" s="18">
        <f>DO39*VLOOKUP('Données projet'!$B$14,Paramètres!$A$1:$I$89,3,0)*VLOOKUP('Données projet'!$B$14,Paramètres!$A$1:$I$89,5,0)</f>
        <v>133.90415999999999</v>
      </c>
      <c r="DQ39" s="14">
        <f t="shared" si="43"/>
        <v>34.896936615903982</v>
      </c>
      <c r="DR39" s="22">
        <f t="shared" si="16"/>
        <v>293.99524327269938</v>
      </c>
      <c r="DS39" s="60">
        <f t="shared" si="17"/>
        <v>587.3285766060327</v>
      </c>
      <c r="DT39" s="60">
        <f ca="1">AVERAGE(OFFSET($DS$3,0,0,'Données projet'!$E$14+1,1))-AVERAGE(OFFSET($H$3,0,0,'Données projet'!$E$14+1,1))</f>
        <v>376.96388721258387</v>
      </c>
      <c r="DU39" s="60">
        <f t="shared" si="44"/>
        <v>211.14628470344377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8.4</v>
      </c>
      <c r="EJ39" s="13">
        <f>IF('Données projet'!$A$192&gt;35,EJ38+EI39-ER38,IF(A39&lt;'Données projet'!$A$192,$EG$205^A39,IF(A39='Données projet'!$A$192,'Données projet'!$B$192,EJ38+EI39-ER38)))</f>
        <v>124.4</v>
      </c>
      <c r="EK39" s="18">
        <f>EJ39*VLOOKUP('Données projet'!$B$15,Paramètres!$A$1:$I$89,3,0)*VLOOKUP('Données projet'!$B$15,Paramètres!$A$1:$I$89,5,0)</f>
        <v>120.31968000000001</v>
      </c>
      <c r="EL39" s="14">
        <f t="shared" si="45"/>
        <v>31.74954785566829</v>
      </c>
      <c r="EM39" s="22">
        <f t="shared" si="19"/>
        <v>264.85390518195555</v>
      </c>
      <c r="EN39" s="60">
        <f t="shared" si="20"/>
        <v>558.18723851528887</v>
      </c>
      <c r="EO39" s="60">
        <f ca="1">AVERAGE(OFFSET($EN$3,0,0,'Données projet'!$E$15+1,1))-AVERAGE(OFFSET($H$3,0,0,'Données projet'!$E$15+1,1))</f>
        <v>330.39429528665841</v>
      </c>
      <c r="EP39" s="60">
        <f t="shared" si="46"/>
        <v>186.45728006007261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8">
        <f t="shared" si="1"/>
        <v>339.94630797071892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13.150000000000006</v>
      </c>
      <c r="N40" s="14">
        <f>IF('Données projet'!$A$36&gt;35,N39+M40-V39,IF(A40&lt;'Données projet'!$A$36,$K$205^A40,IF(A40='Données projet'!$A$36,'Données projet'!$B$36,N39+M40-V39)))</f>
        <v>245.35</v>
      </c>
      <c r="O40" s="14">
        <f>N40*VLOOKUP('Données projet'!$B$9,Paramètres!$A$1:$I$89,3,0)*VLOOKUP('Données projet'!$B$9,Paramètres!$A$1:$I$89,5,0)</f>
        <v>146.7193</v>
      </c>
      <c r="P40" s="14">
        <f t="shared" si="33"/>
        <v>37.832077938438708</v>
      </c>
      <c r="Q40" s="22">
        <f t="shared" si="53"/>
        <v>321.42698324278075</v>
      </c>
      <c r="R40" s="60">
        <f t="shared" si="0"/>
        <v>614.76031657611406</v>
      </c>
      <c r="S40" s="60">
        <f ca="1">AVERAGE(OFFSET($R$3,0,0,'Données projet'!$E$9+1,1))-AVERAGE(OFFSET($H$3,0,0,'Données projet'!$E$9+1,1))</f>
        <v>155.11440101086782</v>
      </c>
      <c r="T40" s="60">
        <f t="shared" si="34"/>
        <v>239.53454701506638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11.749247012453635</v>
      </c>
      <c r="AA40" s="23">
        <f>EXP(-LN(2)/25)*AA39+(1-EXP(-LN(2)/25))/(LN(2)/25)*Calculateur!V40*Calculateur!X40*VLOOKUP('Données projet'!$B$9,Paramètres!$A$1:$I$89,3,0)*0.475*44/12</f>
        <v>5.9644762785411309</v>
      </c>
      <c r="AB40" s="23">
        <f>EXP(-LN(2)/2)*AB39+(1-EXP(-LN(2)/2))/(LN(2)/2)*V40*Y40*VLOOKUP('Données projet'!$B$9,Paramètres!$A$1:$I$89,3,0)*0.475*44/12</f>
        <v>0.26065220570176478</v>
      </c>
      <c r="AC40" s="24">
        <f t="shared" si="3"/>
        <v>17.974375496696528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19.571428571428573</v>
      </c>
      <c r="AI40" s="14">
        <f>IF('Données projet'!$A$62&gt;35,AI39+AH40-AQ39,IF(A40&lt;'Données projet'!$A$62,$AF$205^A40,IF(A40='Données projet'!$A$62,'Données projet'!$B$62,AI39+AH40-AQ39)))</f>
        <v>321.142857142857</v>
      </c>
      <c r="AJ40" s="14">
        <f>AI40*VLOOKUP('Données projet'!$B$10,Paramètres!$A$1:$I$89,3,0)*VLOOKUP('Données projet'!$B$10,Paramètres!$A$1:$I$89,5,0)</f>
        <v>179.51885714285706</v>
      </c>
      <c r="AK40" s="14">
        <f t="shared" si="35"/>
        <v>45.215124075787188</v>
      </c>
      <c r="AL40" s="22">
        <f t="shared" si="4"/>
        <v>391.41168395580547</v>
      </c>
      <c r="AM40" s="60">
        <f t="shared" si="5"/>
        <v>684.74501728913879</v>
      </c>
      <c r="AN40" s="60">
        <f ca="1">AVERAGE(OFFSET($AM$3,0,0,'Données projet'!$E$10+1,1))-AVERAGE(OFFSET($H$3,0,0,'Données projet'!$E$10+1,1))</f>
        <v>302.20483575440988</v>
      </c>
      <c r="AO40" s="60">
        <f t="shared" si="36"/>
        <v>275.32862097158687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5.6939890441492871</v>
      </c>
      <c r="AW40" s="23">
        <f>EXP(-LN(2)/2)*AW39+(1-EXP(-LN(2)/2))/(LN(2)/2)*AQ40*AT40*VLOOKUP('Données projet'!$B$10,Paramètres!$A$1:$I$89,3,0)*0.475*44/12</f>
        <v>0.77836766203923657</v>
      </c>
      <c r="AX40" s="23">
        <f t="shared" si="6"/>
        <v>6.4723567061885241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9.8000000000000007</v>
      </c>
      <c r="BD40" s="13">
        <f>IF('Données projet'!$A$88&gt;35,BD39+BC40-BL39,IF(A40&lt;'Données projet'!$A$88,$BA$205^A40,IF(A40='Données projet'!$A$88,'Données projet'!$B$88,BD39+BC40-BL39)))</f>
        <v>176.60000000000008</v>
      </c>
      <c r="BE40" s="14">
        <f>BD40*VLOOKUP('Données projet'!$B$11,Paramètres!$A$1:$I$89,3,0)*VLOOKUP('Données projet'!$B$11,Paramètres!$A$1:$I$89,5,0)</f>
        <v>154.27776000000009</v>
      </c>
      <c r="BF40" s="14">
        <f t="shared" si="37"/>
        <v>39.549125277353333</v>
      </c>
      <c r="BG40" s="22">
        <f t="shared" si="7"/>
        <v>337.58182519139058</v>
      </c>
      <c r="BH40" s="60">
        <f t="shared" si="8"/>
        <v>630.91515852472389</v>
      </c>
      <c r="BI40" s="60">
        <f ca="1">AVERAGE(OFFSET($BH$3,0,0,'Données projet'!$E$11+1,1))-AVERAGE(OFFSET($H$3,0,0,'Données projet'!$E$11+1,1))</f>
        <v>314.62110015707839</v>
      </c>
      <c r="BJ40" s="60">
        <f t="shared" si="38"/>
        <v>285.36905470736582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132.80000000000001</v>
      </c>
      <c r="BZ40" s="14">
        <f>BY40*VLOOKUP('Données projet'!$B$12,Paramètres!$A$1:$I$89,3,0)*VLOOKUP('Données projet'!$B$12,Paramètres!$A$1:$I$89,5,0)</f>
        <v>120.15744000000001</v>
      </c>
      <c r="CA40" s="14">
        <f t="shared" si="39"/>
        <v>31.711716786129845</v>
      </c>
      <c r="CB40" s="22">
        <f t="shared" si="10"/>
        <v>264.50544806917611</v>
      </c>
      <c r="CC40" s="60">
        <f t="shared" si="11"/>
        <v>557.83878140250943</v>
      </c>
      <c r="CD40" s="60">
        <f ca="1">AVERAGE(OFFSET($CC$3,0,0,'Données projet'!$E$12+1,1))-AVERAGE(OFFSET($H$3,0,0,'Données projet'!$E$12+1,1))</f>
        <v>303.73499739059076</v>
      </c>
      <c r="CE40" s="60">
        <f t="shared" si="40"/>
        <v>172.32171001882188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132.80000000000001</v>
      </c>
      <c r="CU40" s="18">
        <f>CT40*VLOOKUP('Données projet'!$B$13,Paramètres!$A$1:$I$89,3,0)*VLOOKUP('Données projet'!$B$13,Paramètres!$A$1:$I$89,5,0)</f>
        <v>134.65920000000003</v>
      </c>
      <c r="CV40" s="14">
        <f t="shared" si="41"/>
        <v>35.07074737441733</v>
      </c>
      <c r="CW40" s="22">
        <f t="shared" si="13"/>
        <v>295.61299167711019</v>
      </c>
      <c r="CX40" s="60">
        <f t="shared" si="14"/>
        <v>588.9463250104435</v>
      </c>
      <c r="CY40" s="60">
        <f ca="1">AVERAGE(OFFSET($CX$3,0,0,'Données projet'!$E$13+1,1))-AVERAGE(OFFSET($H$3,0,0,'Données projet'!$E$13+1,1))</f>
        <v>350.3652766444938</v>
      </c>
      <c r="CZ40" s="60">
        <f t="shared" si="42"/>
        <v>197.04549436738586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132.80000000000001</v>
      </c>
      <c r="DP40" s="18">
        <f>DO40*VLOOKUP('Données projet'!$B$14,Paramètres!$A$1:$I$89,3,0)*VLOOKUP('Données projet'!$B$14,Paramètres!$A$1:$I$89,5,0)</f>
        <v>142.94592</v>
      </c>
      <c r="DQ40" s="14">
        <f t="shared" si="43"/>
        <v>36.971054314096854</v>
      </c>
      <c r="DR40" s="22">
        <f t="shared" si="16"/>
        <v>313.35539693038533</v>
      </c>
      <c r="DS40" s="60">
        <f t="shared" si="17"/>
        <v>606.68873026371864</v>
      </c>
      <c r="DT40" s="60">
        <f ca="1">AVERAGE(OFFSET($DS$3,0,0,'Données projet'!$E$14+1,1))-AVERAGE(OFFSET($H$3,0,0,'Données projet'!$E$14+1,1))</f>
        <v>376.96388721258387</v>
      </c>
      <c r="DU40" s="60">
        <f t="shared" si="44"/>
        <v>211.14628470344377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8.4</v>
      </c>
      <c r="EJ40" s="13">
        <f>IF('Données projet'!$A$192&gt;35,EJ39+EI40-ER39,IF(A40&lt;'Données projet'!$A$192,$EG$205^A40,IF(A40='Données projet'!$A$192,'Données projet'!$B$192,EJ39+EI40-ER39)))</f>
        <v>132.80000000000001</v>
      </c>
      <c r="EK40" s="18">
        <f>EJ40*VLOOKUP('Données projet'!$B$15,Paramètres!$A$1:$I$89,3,0)*VLOOKUP('Données projet'!$B$15,Paramètres!$A$1:$I$89,5,0)</f>
        <v>128.44416000000001</v>
      </c>
      <c r="EL40" s="14">
        <f t="shared" si="45"/>
        <v>33.636598855068925</v>
      </c>
      <c r="EM40" s="22">
        <f t="shared" si="19"/>
        <v>282.29065500591173</v>
      </c>
      <c r="EN40" s="60">
        <f t="shared" si="20"/>
        <v>575.62398833924499</v>
      </c>
      <c r="EO40" s="60">
        <f ca="1">AVERAGE(OFFSET($EN$3,0,0,'Données projet'!$E$15+1,1))-AVERAGE(OFFSET($H$3,0,0,'Données projet'!$E$15+1,1))</f>
        <v>330.39429528665841</v>
      </c>
      <c r="EP40" s="60">
        <f t="shared" si="46"/>
        <v>186.45728006007261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8">
        <f t="shared" si="1"/>
        <v>341.16974175610096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258.5</v>
      </c>
      <c r="L41" s="13">
        <f>VLOOKUP(A41,'Données projet'!$A$35:$I$55,9,0)</f>
        <v>13.150000000000006</v>
      </c>
      <c r="M41" s="13">
        <f t="array" ref="M41">INDEX(L:L,MIN(IF(ISNUMBER(L41:L237),ROW(L41:L237),"")))</f>
        <v>13.150000000000006</v>
      </c>
      <c r="N41" s="14">
        <f>IF('Données projet'!$A$36&gt;35,N40+M41-V40,IF(A41&lt;'Données projet'!$A$36,$K$205^A41,IF(A41='Données projet'!$A$36,'Données projet'!$B$36,N40+M41-V40)))</f>
        <v>258.5</v>
      </c>
      <c r="O41" s="14">
        <f>N41*VLOOKUP('Données projet'!$B$9,Paramètres!$A$1:$I$89,3,0)*VLOOKUP('Données projet'!$B$9,Paramètres!$A$1:$I$89,5,0)</f>
        <v>154.58300000000003</v>
      </c>
      <c r="P41" s="14">
        <f t="shared" si="33"/>
        <v>39.618257534260778</v>
      </c>
      <c r="Q41" s="22">
        <f t="shared" si="53"/>
        <v>338.23385687217092</v>
      </c>
      <c r="R41" s="60">
        <f t="shared" si="0"/>
        <v>631.56719020550418</v>
      </c>
      <c r="S41" s="60">
        <f ca="1">AVERAGE(OFFSET($R$3,0,0,'Données projet'!$E$9+1,1))-AVERAGE(OFFSET($H$3,0,0,'Données projet'!$E$9+1,1))</f>
        <v>155.11440101086782</v>
      </c>
      <c r="T41" s="60">
        <f t="shared" si="34"/>
        <v>239.53454701506638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11.51885144487248</v>
      </c>
      <c r="AA41" s="23">
        <f>EXP(-LN(2)/25)*AA40+(1-EXP(-LN(2)/25))/(LN(2)/25)*Calculateur!V41*Calculateur!X41*VLOOKUP('Données projet'!$B$9,Paramètres!$A$1:$I$89,3,0)*0.475*44/12</f>
        <v>5.8013773610462485</v>
      </c>
      <c r="AB41" s="23">
        <f>EXP(-LN(2)/2)*AB40+(1-EXP(-LN(2)/2))/(LN(2)/2)*V41*Y41*VLOOKUP('Données projet'!$B$9,Paramètres!$A$1:$I$89,3,0)*0.475*44/12</f>
        <v>0.18430894218294877</v>
      </c>
      <c r="AC41" s="24">
        <f t="shared" si="3"/>
        <v>17.504537748101676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19.571428571428573</v>
      </c>
      <c r="AI41" s="14">
        <f>IF('Données projet'!$A$62&gt;35,AI40+AH41-AQ40,IF(A41&lt;'Données projet'!$A$62,$AF$205^A41,IF(A41='Données projet'!$A$62,'Données projet'!$B$62,AI40+AH41-AQ40)))</f>
        <v>340.71428571428555</v>
      </c>
      <c r="AJ41" s="14">
        <f>AI41*VLOOKUP('Données projet'!$B$10,Paramètres!$A$1:$I$89,3,0)*VLOOKUP('Données projet'!$B$10,Paramètres!$A$1:$I$89,5,0)</f>
        <v>190.45928571428561</v>
      </c>
      <c r="AK41" s="14">
        <f t="shared" si="35"/>
        <v>47.641480128932045</v>
      </c>
      <c r="AL41" s="22">
        <f t="shared" si="4"/>
        <v>414.6921671769374</v>
      </c>
      <c r="AM41" s="60">
        <f t="shared" si="5"/>
        <v>708.02550051027072</v>
      </c>
      <c r="AN41" s="60">
        <f ca="1">AVERAGE(OFFSET($AM$3,0,0,'Données projet'!$E$10+1,1))-AVERAGE(OFFSET($H$3,0,0,'Données projet'!$E$10+1,1))</f>
        <v>302.20483575440988</v>
      </c>
      <c r="AO41" s="60">
        <f t="shared" si="36"/>
        <v>275.32862097158687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5.5382866143031544</v>
      </c>
      <c r="AW41" s="23">
        <f>EXP(-LN(2)/2)*AW40+(1-EXP(-LN(2)/2))/(LN(2)/2)*AQ41*AT41*VLOOKUP('Données projet'!$B$10,Paramètres!$A$1:$I$89,3,0)*0.475*44/12</f>
        <v>0.55038905208426303</v>
      </c>
      <c r="AX41" s="23">
        <f t="shared" si="6"/>
        <v>6.0886756663874175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9.8000000000000007</v>
      </c>
      <c r="BD41" s="13">
        <f>IF('Données projet'!$A$88&gt;35,BD40+BC41-BL40,IF(A41&lt;'Données projet'!$A$88,$BA$205^A41,IF(A41='Données projet'!$A$88,'Données projet'!$B$88,BD40+BC41-BL40)))</f>
        <v>186.40000000000009</v>
      </c>
      <c r="BE41" s="14">
        <f>BD41*VLOOKUP('Données projet'!$B$11,Paramètres!$A$1:$I$89,3,0)*VLOOKUP('Données projet'!$B$11,Paramètres!$A$1:$I$89,5,0)</f>
        <v>162.8390400000001</v>
      </c>
      <c r="BF41" s="14">
        <f t="shared" si="37"/>
        <v>41.482211836000147</v>
      </c>
      <c r="BG41" s="22">
        <f t="shared" si="7"/>
        <v>355.85951361436713</v>
      </c>
      <c r="BH41" s="60">
        <f t="shared" si="8"/>
        <v>649.19284694770045</v>
      </c>
      <c r="BI41" s="60">
        <f ca="1">AVERAGE(OFFSET($BH$3,0,0,'Données projet'!$E$11+1,1))-AVERAGE(OFFSET($H$3,0,0,'Données projet'!$E$11+1,1))</f>
        <v>314.62110015707839</v>
      </c>
      <c r="BJ41" s="60">
        <f t="shared" si="38"/>
        <v>285.36905470736582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141.20000000000002</v>
      </c>
      <c r="BZ41" s="14">
        <f>BY41*VLOOKUP('Données projet'!$B$12,Paramètres!$A$1:$I$89,3,0)*VLOOKUP('Données projet'!$B$12,Paramètres!$A$1:$I$89,5,0)</f>
        <v>127.75776</v>
      </c>
      <c r="CA41" s="14">
        <f t="shared" si="39"/>
        <v>33.477720030956604</v>
      </c>
      <c r="CB41" s="22">
        <f t="shared" si="10"/>
        <v>280.81846105391611</v>
      </c>
      <c r="CC41" s="60">
        <f t="shared" si="11"/>
        <v>574.15179438724942</v>
      </c>
      <c r="CD41" s="60">
        <f ca="1">AVERAGE(OFFSET($CC$3,0,0,'Données projet'!$E$12+1,1))-AVERAGE(OFFSET($H$3,0,0,'Données projet'!$E$12+1,1))</f>
        <v>303.73499739059076</v>
      </c>
      <c r="CE41" s="60">
        <f t="shared" si="40"/>
        <v>172.32171001882188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141.20000000000002</v>
      </c>
      <c r="CU41" s="18">
        <f>CT41*VLOOKUP('Données projet'!$B$13,Paramètres!$A$1:$I$89,3,0)*VLOOKUP('Données projet'!$B$13,Paramètres!$A$1:$I$89,5,0)</f>
        <v>143.17680000000004</v>
      </c>
      <c r="CV41" s="14">
        <f t="shared" si="41"/>
        <v>37.023812674521515</v>
      </c>
      <c r="CW41" s="22">
        <f t="shared" si="13"/>
        <v>313.84940040812506</v>
      </c>
      <c r="CX41" s="60">
        <f t="shared" si="14"/>
        <v>607.18273374145838</v>
      </c>
      <c r="CY41" s="60">
        <f ca="1">AVERAGE(OFFSET($CX$3,0,0,'Données projet'!$E$13+1,1))-AVERAGE(OFFSET($H$3,0,0,'Données projet'!$E$13+1,1))</f>
        <v>350.3652766444938</v>
      </c>
      <c r="CZ41" s="60">
        <f t="shared" si="42"/>
        <v>197.04549436738586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141.20000000000002</v>
      </c>
      <c r="DP41" s="18">
        <f>DO41*VLOOKUP('Données projet'!$B$14,Paramètres!$A$1:$I$89,3,0)*VLOOKUP('Données projet'!$B$14,Paramètres!$A$1:$I$89,5,0)</f>
        <v>151.98768000000001</v>
      </c>
      <c r="DQ41" s="14">
        <f t="shared" si="43"/>
        <v>39.029946373574369</v>
      </c>
      <c r="DR41" s="22">
        <f t="shared" si="16"/>
        <v>332.68903260064207</v>
      </c>
      <c r="DS41" s="60">
        <f t="shared" si="17"/>
        <v>626.02236593397538</v>
      </c>
      <c r="DT41" s="60">
        <f ca="1">AVERAGE(OFFSET($DS$3,0,0,'Données projet'!$E$14+1,1))-AVERAGE(OFFSET($H$3,0,0,'Données projet'!$E$14+1,1))</f>
        <v>376.96388721258387</v>
      </c>
      <c r="DU41" s="60">
        <f t="shared" si="44"/>
        <v>211.14628470344377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8.4</v>
      </c>
      <c r="EJ41" s="13">
        <f>IF('Données projet'!$A$192&gt;35,EJ40+EI41-ER40,IF(A41&lt;'Données projet'!$A$192,$EG$205^A41,IF(A41='Données projet'!$A$192,'Données projet'!$B$192,EJ40+EI41-ER40)))</f>
        <v>141.20000000000002</v>
      </c>
      <c r="EK41" s="18">
        <f>EJ41*VLOOKUP('Données projet'!$B$15,Paramètres!$A$1:$I$89,3,0)*VLOOKUP('Données projet'!$B$15,Paramètres!$A$1:$I$89,5,0)</f>
        <v>136.56864000000002</v>
      </c>
      <c r="EL41" s="14">
        <f t="shared" si="45"/>
        <v>35.509797430964703</v>
      </c>
      <c r="EM41" s="22">
        <f t="shared" si="19"/>
        <v>299.70327852559689</v>
      </c>
      <c r="EN41" s="60">
        <f t="shared" si="20"/>
        <v>593.0366118589302</v>
      </c>
      <c r="EO41" s="60">
        <f ca="1">AVERAGE(OFFSET($EN$3,0,0,'Données projet'!$E$15+1,1))-AVERAGE(OFFSET($H$3,0,0,'Données projet'!$E$15+1,1))</f>
        <v>330.39429528665841</v>
      </c>
      <c r="EP41" s="60">
        <f t="shared" si="46"/>
        <v>186.45728006007261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8">
        <f t="shared" si="1"/>
        <v>342.3923420560082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13.150000000000006</v>
      </c>
      <c r="N42" s="14">
        <f>IF('Données projet'!$A$36&gt;35,N41+M42-V41,IF(A42&lt;'Données projet'!$A$36,$K$205^A42,IF(A42='Données projet'!$A$36,'Données projet'!$B$36,N41+M42-V41)))</f>
        <v>271.64999999999998</v>
      </c>
      <c r="O42" s="14">
        <f>N42*VLOOKUP('Données projet'!$B$9,Paramètres!$A$1:$I$89,3,0)*VLOOKUP('Données projet'!$B$9,Paramètres!$A$1:$I$89,5,0)</f>
        <v>162.44669999999999</v>
      </c>
      <c r="P42" s="14">
        <f t="shared" si="33"/>
        <v>41.393887045479943</v>
      </c>
      <c r="Q42" s="22">
        <f t="shared" si="53"/>
        <v>355.02235577087754</v>
      </c>
      <c r="R42" s="60">
        <f t="shared" si="0"/>
        <v>648.3556891042108</v>
      </c>
      <c r="S42" s="60">
        <f ca="1">AVERAGE(OFFSET($R$3,0,0,'Données projet'!$E$9+1,1))-AVERAGE(OFFSET($H$3,0,0,'Données projet'!$E$9+1,1))</f>
        <v>155.11440101086782</v>
      </c>
      <c r="T42" s="60">
        <f t="shared" si="34"/>
        <v>239.53454701506638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11.292973793844171</v>
      </c>
      <c r="AA42" s="23">
        <f>EXP(-LN(2)/25)*AA41+(1-EXP(-LN(2)/25))/(LN(2)/25)*Calculateur!V42*Calculateur!X42*VLOOKUP('Données projet'!$B$9,Paramètres!$A$1:$I$89,3,0)*0.475*44/12</f>
        <v>5.6427383920272627</v>
      </c>
      <c r="AB42" s="23">
        <f>EXP(-LN(2)/2)*AB41+(1-EXP(-LN(2)/2))/(LN(2)/2)*V42*Y42*VLOOKUP('Données projet'!$B$9,Paramètres!$A$1:$I$89,3,0)*0.475*44/12</f>
        <v>0.13032610285088239</v>
      </c>
      <c r="AC42" s="24">
        <f t="shared" si="3"/>
        <v>17.066038288722318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19.571428571428573</v>
      </c>
      <c r="AI42" s="14">
        <f>IF('Données projet'!$A$62&gt;35,AI41+AH42-AQ41,IF(A42&lt;'Données projet'!$A$62,$AF$205^A42,IF(A42='Données projet'!$A$62,'Données projet'!$B$62,AI41+AH42-AQ41)))</f>
        <v>360.28571428571411</v>
      </c>
      <c r="AJ42" s="14">
        <f>AI42*VLOOKUP('Données projet'!$B$10,Paramètres!$A$1:$I$89,3,0)*VLOOKUP('Données projet'!$B$10,Paramètres!$A$1:$I$89,5,0)</f>
        <v>201.39971428571417</v>
      </c>
      <c r="AK42" s="14">
        <f t="shared" si="35"/>
        <v>50.051657588658017</v>
      </c>
      <c r="AL42" s="22">
        <f t="shared" si="4"/>
        <v>437.94447268119819</v>
      </c>
      <c r="AM42" s="60">
        <f t="shared" si="5"/>
        <v>731.27780601453151</v>
      </c>
      <c r="AN42" s="60">
        <f ca="1">AVERAGE(OFFSET($AM$3,0,0,'Données projet'!$E$10+1,1))-AVERAGE(OFFSET($H$3,0,0,'Données projet'!$E$10+1,1))</f>
        <v>302.20483575440988</v>
      </c>
      <c r="AO42" s="60">
        <f t="shared" si="36"/>
        <v>275.32862097158687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5.3868418755891998</v>
      </c>
      <c r="AW42" s="23">
        <f>EXP(-LN(2)/2)*AW41+(1-EXP(-LN(2)/2))/(LN(2)/2)*AQ42*AT42*VLOOKUP('Données projet'!$B$10,Paramètres!$A$1:$I$89,3,0)*0.475*44/12</f>
        <v>0.38918383101961829</v>
      </c>
      <c r="AX42" s="23">
        <f t="shared" si="6"/>
        <v>5.7760257066088183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9.8000000000000007</v>
      </c>
      <c r="BD42" s="13">
        <f>IF('Données projet'!$A$88&gt;35,BD41+BC42-BL41,IF(A42&lt;'Données projet'!$A$88,$BA$205^A42,IF(A42='Données projet'!$A$88,'Données projet'!$B$88,BD41+BC42-BL41)))</f>
        <v>196.2000000000001</v>
      </c>
      <c r="BE42" s="14">
        <f>BD42*VLOOKUP('Données projet'!$B$11,Paramètres!$A$1:$I$89,3,0)*VLOOKUP('Données projet'!$B$11,Paramètres!$A$1:$I$89,5,0)</f>
        <v>171.40032000000011</v>
      </c>
      <c r="BF42" s="14">
        <f t="shared" si="37"/>
        <v>43.40349878862115</v>
      </c>
      <c r="BG42" s="22">
        <f t="shared" si="7"/>
        <v>374.11665105684864</v>
      </c>
      <c r="BH42" s="60">
        <f t="shared" si="8"/>
        <v>667.44998439018195</v>
      </c>
      <c r="BI42" s="60">
        <f ca="1">AVERAGE(OFFSET($BH$3,0,0,'Données projet'!$E$11+1,1))-AVERAGE(OFFSET($H$3,0,0,'Données projet'!$E$11+1,1))</f>
        <v>314.62110015707839</v>
      </c>
      <c r="BJ42" s="60">
        <f t="shared" si="38"/>
        <v>285.36905470736582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149.60000000000002</v>
      </c>
      <c r="BZ42" s="14">
        <f>BY42*VLOOKUP('Données projet'!$B$12,Paramètres!$A$1:$I$89,3,0)*VLOOKUP('Données projet'!$B$12,Paramètres!$A$1:$I$89,5,0)</f>
        <v>135.35808</v>
      </c>
      <c r="CA42" s="14">
        <f t="shared" si="39"/>
        <v>35.231528980112834</v>
      </c>
      <c r="CB42" s="22">
        <f t="shared" si="10"/>
        <v>297.11023564036316</v>
      </c>
      <c r="CC42" s="60">
        <f t="shared" si="11"/>
        <v>590.44356897369653</v>
      </c>
      <c r="CD42" s="60">
        <f ca="1">AVERAGE(OFFSET($CC$3,0,0,'Données projet'!$E$12+1,1))-AVERAGE(OFFSET($H$3,0,0,'Données projet'!$E$12+1,1))</f>
        <v>303.73499739059076</v>
      </c>
      <c r="CE42" s="60">
        <f t="shared" si="40"/>
        <v>172.32171001882188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149.60000000000002</v>
      </c>
      <c r="CU42" s="18">
        <f>CT42*VLOOKUP('Données projet'!$B$13,Paramètres!$A$1:$I$89,3,0)*VLOOKUP('Données projet'!$B$13,Paramètres!$A$1:$I$89,5,0)</f>
        <v>151.69440000000003</v>
      </c>
      <c r="CV42" s="14">
        <f t="shared" si="41"/>
        <v>38.963392010880654</v>
      </c>
      <c r="CW42" s="22">
        <f t="shared" si="13"/>
        <v>332.06232108561716</v>
      </c>
      <c r="CX42" s="60">
        <f t="shared" si="14"/>
        <v>625.39565441895047</v>
      </c>
      <c r="CY42" s="60">
        <f ca="1">AVERAGE(OFFSET($CX$3,0,0,'Données projet'!$E$13+1,1))-AVERAGE(OFFSET($H$3,0,0,'Données projet'!$E$13+1,1))</f>
        <v>350.3652766444938</v>
      </c>
      <c r="CZ42" s="60">
        <f t="shared" si="42"/>
        <v>197.04549436738586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149.60000000000002</v>
      </c>
      <c r="DP42" s="18">
        <f>DO42*VLOOKUP('Données projet'!$B$14,Paramètres!$A$1:$I$89,3,0)*VLOOKUP('Données projet'!$B$14,Paramètres!$A$1:$I$89,5,0)</f>
        <v>161.02944000000002</v>
      </c>
      <c r="DQ42" s="14">
        <f t="shared" si="43"/>
        <v>41.074621732940685</v>
      </c>
      <c r="DR42" s="22">
        <f t="shared" si="16"/>
        <v>351.99790751820501</v>
      </c>
      <c r="DS42" s="60">
        <f t="shared" si="17"/>
        <v>645.33124085153827</v>
      </c>
      <c r="DT42" s="60">
        <f ca="1">AVERAGE(OFFSET($DS$3,0,0,'Données projet'!$E$14+1,1))-AVERAGE(OFFSET($H$3,0,0,'Données projet'!$E$14+1,1))</f>
        <v>376.96388721258387</v>
      </c>
      <c r="DU42" s="60">
        <f t="shared" si="44"/>
        <v>211.14628470344377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8.4</v>
      </c>
      <c r="EJ42" s="13">
        <f>IF('Données projet'!$A$192&gt;35,EJ41+EI42-ER41,IF(A42&lt;'Données projet'!$A$192,$EG$205^A42,IF(A42='Données projet'!$A$192,'Données projet'!$B$192,EJ41+EI42-ER41)))</f>
        <v>149.60000000000002</v>
      </c>
      <c r="EK42" s="18">
        <f>EJ42*VLOOKUP('Données projet'!$B$15,Paramètres!$A$1:$I$89,3,0)*VLOOKUP('Données projet'!$B$15,Paramètres!$A$1:$I$89,5,0)</f>
        <v>144.69312000000002</v>
      </c>
      <c r="EL42" s="14">
        <f t="shared" si="45"/>
        <v>37.370061524802772</v>
      </c>
      <c r="EM42" s="22">
        <f t="shared" si="19"/>
        <v>317.09337448903148</v>
      </c>
      <c r="EN42" s="60">
        <f t="shared" si="20"/>
        <v>610.42670782236473</v>
      </c>
      <c r="EO42" s="60">
        <f ca="1">AVERAGE(OFFSET($EN$3,0,0,'Données projet'!$E$15+1,1))-AVERAGE(OFFSET($H$3,0,0,'Données projet'!$E$15+1,1))</f>
        <v>330.39429528665841</v>
      </c>
      <c r="EP42" s="60">
        <f t="shared" si="46"/>
        <v>186.45728006007261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8">
        <f t="shared" si="1"/>
        <v>343.61413269921093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284.8</v>
      </c>
      <c r="L43" s="13">
        <f>VLOOKUP(A43,'Données projet'!$A$35:$I$55,9,0)</f>
        <v>13.150000000000006</v>
      </c>
      <c r="M43" s="13">
        <f t="array" ref="M43">INDEX(L:L,MIN(IF(ISNUMBER(L43:L239),ROW(L43:L239),"")))</f>
        <v>13.150000000000006</v>
      </c>
      <c r="N43" s="14">
        <f>IF('Données projet'!$A$36&gt;35,N42+M43-V42,IF(A43&lt;'Données projet'!$A$36,$K$205^A43,IF(A43='Données projet'!$A$36,'Données projet'!$B$36,N42+M43-V42)))</f>
        <v>284.79999999999995</v>
      </c>
      <c r="O43" s="14">
        <f>N43*VLOOKUP('Données projet'!$B$9,Paramètres!$A$1:$I$89,3,0)*VLOOKUP('Données projet'!$B$9,Paramètres!$A$1:$I$89,5,0)</f>
        <v>170.31039999999999</v>
      </c>
      <c r="P43" s="14">
        <f t="shared" si="33"/>
        <v>43.159535477110296</v>
      </c>
      <c r="Q43" s="22">
        <f t="shared" si="53"/>
        <v>371.79347095596705</v>
      </c>
      <c r="R43" s="60">
        <f t="shared" si="0"/>
        <v>665.12680428930037</v>
      </c>
      <c r="S43" s="60">
        <f ca="1">AVERAGE(OFFSET($R$3,0,0,'Données projet'!$E$9+1,1))-AVERAGE(OFFSET($H$3,0,0,'Données projet'!$E$9+1,1))</f>
        <v>155.11440101086782</v>
      </c>
      <c r="T43" s="60">
        <f t="shared" si="34"/>
        <v>239.53454701506638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11.071525465780764</v>
      </c>
      <c r="AA43" s="23">
        <f>EXP(-LN(2)/25)*AA42+(1-EXP(-LN(2)/25))/(LN(2)/25)*Calculateur!V43*Calculateur!X43*VLOOKUP('Données projet'!$B$9,Paramètres!$A$1:$I$89,3,0)*0.475*44/12</f>
        <v>5.4884374139585619</v>
      </c>
      <c r="AB43" s="23">
        <f>EXP(-LN(2)/2)*AB42+(1-EXP(-LN(2)/2))/(LN(2)/2)*V43*Y43*VLOOKUP('Données projet'!$B$9,Paramètres!$A$1:$I$89,3,0)*0.475*44/12</f>
        <v>9.2154471091474385E-2</v>
      </c>
      <c r="AC43" s="24">
        <f t="shared" si="3"/>
        <v>16.652117350830803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19.571428571428573</v>
      </c>
      <c r="AI43" s="14">
        <f>IF('Données projet'!$A$62&gt;35,AI42+AH43-AQ42,IF(A43&lt;'Données projet'!$A$62,$AF$205^A43,IF(A43='Données projet'!$A$62,'Données projet'!$B$62,AI42+AH43-AQ42)))</f>
        <v>379.85714285714266</v>
      </c>
      <c r="AJ43" s="14">
        <f>AI43*VLOOKUP('Données projet'!$B$10,Paramètres!$A$1:$I$89,3,0)*VLOOKUP('Données projet'!$B$10,Paramètres!$A$1:$I$89,5,0)</f>
        <v>212.34014285714278</v>
      </c>
      <c r="AK43" s="14">
        <f t="shared" si="35"/>
        <v>52.446635499473253</v>
      </c>
      <c r="AL43" s="22">
        <f t="shared" si="4"/>
        <v>461.17030563777286</v>
      </c>
      <c r="AM43" s="60">
        <f t="shared" si="5"/>
        <v>754.50363897110617</v>
      </c>
      <c r="AN43" s="60">
        <f ca="1">AVERAGE(OFFSET($AM$3,0,0,'Données projet'!$E$10+1,1))-AVERAGE(OFFSET($H$3,0,0,'Données projet'!$E$10+1,1))</f>
        <v>302.20483575440988</v>
      </c>
      <c r="AO43" s="60">
        <f t="shared" si="36"/>
        <v>275.32862097158687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5.2395384012195105</v>
      </c>
      <c r="AW43" s="23">
        <f>EXP(-LN(2)/2)*AW42+(1-EXP(-LN(2)/2))/(LN(2)/2)*AQ43*AT43*VLOOKUP('Données projet'!$B$10,Paramètres!$A$1:$I$89,3,0)*0.475*44/12</f>
        <v>0.27519452604213152</v>
      </c>
      <c r="AX43" s="23">
        <f t="shared" si="6"/>
        <v>5.5147329272616421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206</v>
      </c>
      <c r="BB43" s="13">
        <f>VLOOKUP(A43,'Données projet'!$A$87:$I$107,9,0)</f>
        <v>9.8000000000000007</v>
      </c>
      <c r="BC43" s="13">
        <f t="array" ref="BC43">INDEX(BB:BB,MIN(IF(ISNUMBER(BB43:BB239),ROW(BB43:BB239),"")))</f>
        <v>9.8000000000000007</v>
      </c>
      <c r="BD43" s="13">
        <f>IF('Données projet'!$A$88&gt;35,BD42+BC43-BL42,IF(A43&lt;'Données projet'!$A$88,$BA$205^A43,IF(A43='Données projet'!$A$88,'Données projet'!$B$88,BD42+BC43-BL42)))</f>
        <v>206.00000000000011</v>
      </c>
      <c r="BE43" s="14">
        <f>BD43*VLOOKUP('Données projet'!$B$11,Paramètres!$A$1:$I$89,3,0)*VLOOKUP('Données projet'!$B$11,Paramètres!$A$1:$I$89,5,0)</f>
        <v>179.96160000000012</v>
      </c>
      <c r="BF43" s="14">
        <f t="shared" si="37"/>
        <v>45.313642767960104</v>
      </c>
      <c r="BG43" s="22">
        <f t="shared" si="7"/>
        <v>392.35438115419737</v>
      </c>
      <c r="BH43" s="60">
        <f t="shared" si="8"/>
        <v>685.68771448753068</v>
      </c>
      <c r="BI43" s="60">
        <f ca="1">AVERAGE(OFFSET($BH$3,0,0,'Données projet'!$E$11+1,1))-AVERAGE(OFFSET($H$3,0,0,'Données projet'!$E$11+1,1))</f>
        <v>314.62110015707839</v>
      </c>
      <c r="BJ43" s="60">
        <f t="shared" si="38"/>
        <v>285.36905470736582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158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158.00000000000003</v>
      </c>
      <c r="BZ43" s="14">
        <f>BY43*VLOOKUP('Données projet'!$B$12,Paramètres!$A$1:$I$89,3,0)*VLOOKUP('Données projet'!$B$12,Paramètres!$A$1:$I$89,5,0)</f>
        <v>142.95840000000004</v>
      </c>
      <c r="CA43" s="14">
        <f t="shared" si="39"/>
        <v>36.973906370811264</v>
      </c>
      <c r="CB43" s="22">
        <f t="shared" si="10"/>
        <v>313.38210026249641</v>
      </c>
      <c r="CC43" s="60">
        <f t="shared" si="11"/>
        <v>606.71543359582972</v>
      </c>
      <c r="CD43" s="60">
        <f ca="1">AVERAGE(OFFSET($CC$3,0,0,'Données projet'!$E$12+1,1))-AVERAGE(OFFSET($H$3,0,0,'Données projet'!$E$12+1,1))</f>
        <v>303.73499739059076</v>
      </c>
      <c r="CE43" s="60">
        <f t="shared" si="40"/>
        <v>172.32171001882188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42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158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158.00000000000003</v>
      </c>
      <c r="CU43" s="18">
        <f>CT43*VLOOKUP('Données projet'!$B$13,Paramètres!$A$1:$I$89,3,0)*VLOOKUP('Données projet'!$B$13,Paramètres!$A$1:$I$89,5,0)</f>
        <v>160.21200000000005</v>
      </c>
      <c r="CV43" s="14">
        <f t="shared" si="41"/>
        <v>40.890328912852695</v>
      </c>
      <c r="CW43" s="22">
        <f t="shared" si="13"/>
        <v>350.25322285655176</v>
      </c>
      <c r="CX43" s="60">
        <f t="shared" si="14"/>
        <v>643.58655618988507</v>
      </c>
      <c r="CY43" s="60">
        <f ca="1">AVERAGE(OFFSET($CX$3,0,0,'Données projet'!$E$13+1,1))-AVERAGE(OFFSET($H$3,0,0,'Données projet'!$E$13+1,1))</f>
        <v>350.3652766444938</v>
      </c>
      <c r="CZ43" s="60">
        <f t="shared" si="42"/>
        <v>197.04549436738586</v>
      </c>
      <c r="DA43" s="16">
        <f>IF(ISNA(VLOOKUP(A43,'Données projet'!$A$139:$I$159,3,0)),0,VLOOKUP(A43,'Données projet'!$A$139:$I$159,3,0))</f>
        <v>2</v>
      </c>
      <c r="DB43" s="16">
        <f>IF(ISNA(VLOOKUP(A43,'Données projet'!$A$139:$I$159,4,0)),0,VLOOKUP(A43,'Données projet'!$A$139:$I$159,4,0))</f>
        <v>42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158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158.00000000000003</v>
      </c>
      <c r="DP43" s="18">
        <f>DO43*VLOOKUP('Données projet'!$B$14,Paramètres!$A$1:$I$89,3,0)*VLOOKUP('Données projet'!$B$14,Paramètres!$A$1:$I$89,5,0)</f>
        <v>170.07120000000003</v>
      </c>
      <c r="DQ43" s="14">
        <f t="shared" si="43"/>
        <v>43.10596962815594</v>
      </c>
      <c r="DR43" s="22">
        <f t="shared" si="16"/>
        <v>371.28357043570503</v>
      </c>
      <c r="DS43" s="60">
        <f t="shared" si="17"/>
        <v>664.61690376903834</v>
      </c>
      <c r="DT43" s="60">
        <f ca="1">AVERAGE(OFFSET($DS$3,0,0,'Données projet'!$E$14+1,1))-AVERAGE(OFFSET($H$3,0,0,'Données projet'!$E$14+1,1))</f>
        <v>376.96388721258387</v>
      </c>
      <c r="DU43" s="60">
        <f t="shared" si="44"/>
        <v>211.14628470344377</v>
      </c>
      <c r="DV43" s="16">
        <f>IF(ISNA(VLOOKUP(A43,'Données projet'!$A$165:$I$185,3,0)),0,VLOOKUP(A43,'Données projet'!$A$165:$I$185,3,0))</f>
        <v>2</v>
      </c>
      <c r="DW43" s="16">
        <f>IF(ISNA(VLOOKUP(A43,'Données projet'!$A$165:$I$185,4,0)),0,VLOOKUP(A43,'Données projet'!$A$165:$I$185,4,0))</f>
        <v>42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158</v>
      </c>
      <c r="EH43" s="13">
        <f>VLOOKUP(A43,'Données projet'!$A$191:$I$211,9,0)</f>
        <v>8.4</v>
      </c>
      <c r="EI43" s="13">
        <f t="array" ref="EI43">INDEX(EH:EH,MIN(IF(ISNUMBER(EH43:EH239),ROW(EH43:EH239),"")))</f>
        <v>8.4</v>
      </c>
      <c r="EJ43" s="13">
        <f>IF('Données projet'!$A$192&gt;35,EJ42+EI43-ER42,IF(A43&lt;'Données projet'!$A$192,$EG$205^A43,IF(A43='Données projet'!$A$192,'Données projet'!$B$192,EJ42+EI43-ER42)))</f>
        <v>158.00000000000003</v>
      </c>
      <c r="EK43" s="18">
        <f>EJ43*VLOOKUP('Données projet'!$B$15,Paramètres!$A$1:$I$89,3,0)*VLOOKUP('Données projet'!$B$15,Paramètres!$A$1:$I$89,5,0)</f>
        <v>152.81760000000003</v>
      </c>
      <c r="EL43" s="14">
        <f t="shared" si="45"/>
        <v>39.218200171484227</v>
      </c>
      <c r="EM43" s="22">
        <f t="shared" si="19"/>
        <v>334.46235196533502</v>
      </c>
      <c r="EN43" s="60">
        <f t="shared" si="20"/>
        <v>627.79568529866833</v>
      </c>
      <c r="EO43" s="60">
        <f ca="1">AVERAGE(OFFSET($EN$3,0,0,'Données projet'!$E$15+1,1))-AVERAGE(OFFSET($H$3,0,0,'Données projet'!$E$15+1,1))</f>
        <v>330.39429528665841</v>
      </c>
      <c r="EP43" s="60">
        <f t="shared" si="46"/>
        <v>186.45728006007261</v>
      </c>
      <c r="EQ43" s="16">
        <f>IF(ISNA(VLOOKUP(A43,'Données projet'!$A$191:$I$211,3,0)),0,VLOOKUP(A43,'Données projet'!$A$191:$I$211,3,0))</f>
        <v>2</v>
      </c>
      <c r="ER43" s="16">
        <f>IF(ISNA(VLOOKUP(A43,'Données projet'!$A$191:$I$211,4,0)),0,VLOOKUP(A43,'Données projet'!$A$191:$I$211,4,0))</f>
        <v>42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8">
        <f t="shared" si="1"/>
        <v>344.83513625513632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13.25</v>
      </c>
      <c r="N44" s="14">
        <f>IF('Données projet'!$A$36&gt;35,N43+M44-V43,IF(A44&lt;'Données projet'!$A$36,$K$205^A44,IF(A44='Données projet'!$A$36,'Données projet'!$B$36,N43+M44-V43)))</f>
        <v>298.04999999999995</v>
      </c>
      <c r="O44" s="14">
        <f>N44*VLOOKUP('Données projet'!$B$9,Paramètres!$A$1:$I$89,3,0)*VLOOKUP('Données projet'!$B$9,Paramètres!$A$1:$I$89,5,0)</f>
        <v>178.23389999999998</v>
      </c>
      <c r="P44" s="14">
        <f t="shared" si="33"/>
        <v>44.929036256162249</v>
      </c>
      <c r="Q44" s="22">
        <f t="shared" si="53"/>
        <v>388.67544731281583</v>
      </c>
      <c r="R44" s="60">
        <f t="shared" si="0"/>
        <v>682.00878064614915</v>
      </c>
      <c r="S44" s="60">
        <f ca="1">AVERAGE(OFFSET($R$3,0,0,'Données projet'!$E$9+1,1))-AVERAGE(OFFSET($H$3,0,0,'Données projet'!$E$9+1,1))</f>
        <v>155.11440101086782</v>
      </c>
      <c r="T44" s="60">
        <f t="shared" si="34"/>
        <v>239.53454701506638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10.854419604360539</v>
      </c>
      <c r="AA44" s="23">
        <f>EXP(-LN(2)/25)*AA43+(1-EXP(-LN(2)/25))/(LN(2)/25)*Calculateur!V44*Calculateur!X44*VLOOKUP('Données projet'!$B$9,Paramètres!$A$1:$I$89,3,0)*0.475*44/12</f>
        <v>5.3383558042494856</v>
      </c>
      <c r="AB44" s="23">
        <f>EXP(-LN(2)/2)*AB43+(1-EXP(-LN(2)/2))/(LN(2)/2)*V44*Y44*VLOOKUP('Données projet'!$B$9,Paramètres!$A$1:$I$89,3,0)*0.475*44/12</f>
        <v>6.5163051425441196E-2</v>
      </c>
      <c r="AC44" s="24">
        <f t="shared" si="3"/>
        <v>16.257938460035465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19.571428571428573</v>
      </c>
      <c r="AI44" s="14">
        <f>IF('Données projet'!$A$62&gt;35,AI43+AH44-AQ43,IF(A44&lt;'Données projet'!$A$62,$AF$205^A44,IF(A44='Données projet'!$A$62,'Données projet'!$B$62,AI43+AH44-AQ43)))</f>
        <v>399.42857142857122</v>
      </c>
      <c r="AJ44" s="14">
        <f>AI44*VLOOKUP('Données projet'!$B$10,Paramètres!$A$1:$I$89,3,0)*VLOOKUP('Données projet'!$B$10,Paramètres!$A$1:$I$89,5,0)</f>
        <v>223.28057142857133</v>
      </c>
      <c r="AK44" s="14">
        <f t="shared" si="35"/>
        <v>54.827286320639246</v>
      </c>
      <c r="AL44" s="22">
        <f t="shared" si="4"/>
        <v>484.37118557987498</v>
      </c>
      <c r="AM44" s="60">
        <f t="shared" si="5"/>
        <v>777.70451891320829</v>
      </c>
      <c r="AN44" s="60">
        <f ca="1">AVERAGE(OFFSET($AM$3,0,0,'Données projet'!$E$10+1,1))-AVERAGE(OFFSET($H$3,0,0,'Données projet'!$E$10+1,1))</f>
        <v>302.20483575440988</v>
      </c>
      <c r="AO44" s="60">
        <f t="shared" si="36"/>
        <v>275.32862097158687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5.0962629481028134</v>
      </c>
      <c r="AW44" s="23">
        <f>EXP(-LN(2)/2)*AW43+(1-EXP(-LN(2)/2))/(LN(2)/2)*AQ44*AT44*VLOOKUP('Données projet'!$B$10,Paramètres!$A$1:$I$89,3,0)*0.475*44/12</f>
        <v>0.19459191550980914</v>
      </c>
      <c r="AX44" s="23">
        <f t="shared" si="6"/>
        <v>5.2908548636126227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8.8000000000000007</v>
      </c>
      <c r="BD44" s="13">
        <f>IF('Données projet'!$A$88&gt;35,BD43+BC44-BL43,IF(A44&lt;'Données projet'!$A$88,$BA$205^A44,IF(A44='Données projet'!$A$88,'Données projet'!$B$88,BD43+BC44-BL43)))</f>
        <v>214.80000000000013</v>
      </c>
      <c r="BE44" s="14">
        <f>BD44*VLOOKUP('Données projet'!$B$11,Paramètres!$A$1:$I$89,3,0)*VLOOKUP('Données projet'!$B$11,Paramètres!$A$1:$I$89,5,0)</f>
        <v>187.64928000000015</v>
      </c>
      <c r="BF44" s="14">
        <f t="shared" si="37"/>
        <v>47.019866076567546</v>
      </c>
      <c r="BG44" s="22">
        <f t="shared" si="7"/>
        <v>408.71542941668872</v>
      </c>
      <c r="BH44" s="60">
        <f t="shared" si="8"/>
        <v>702.04876275002198</v>
      </c>
      <c r="BI44" s="60">
        <f ca="1">AVERAGE(OFFSET($BH$3,0,0,'Données projet'!$E$11+1,1))-AVERAGE(OFFSET($H$3,0,0,'Données projet'!$E$11+1,1))</f>
        <v>314.62110015707839</v>
      </c>
      <c r="BJ44" s="60">
        <f t="shared" si="38"/>
        <v>285.36905470736582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124.40000000000003</v>
      </c>
      <c r="BZ44" s="14">
        <f>BY44*VLOOKUP('Données projet'!$B$12,Paramètres!$A$1:$I$89,3,0)*VLOOKUP('Données projet'!$B$12,Paramètres!$A$1:$I$89,5,0)</f>
        <v>112.55712000000003</v>
      </c>
      <c r="CA44" s="14">
        <f t="shared" si="39"/>
        <v>29.932653834140599</v>
      </c>
      <c r="CB44" s="22">
        <f t="shared" si="10"/>
        <v>248.16968942779496</v>
      </c>
      <c r="CC44" s="60">
        <f t="shared" si="11"/>
        <v>541.50302276112825</v>
      </c>
      <c r="CD44" s="60">
        <f ca="1">AVERAGE(OFFSET($CC$3,0,0,'Données projet'!$E$12+1,1))-AVERAGE(OFFSET($H$3,0,0,'Données projet'!$E$12+1,1))</f>
        <v>303.73499739059076</v>
      </c>
      <c r="CE44" s="60">
        <f t="shared" si="40"/>
        <v>172.32171001882188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124.40000000000003</v>
      </c>
      <c r="CU44" s="18">
        <f>CT44*VLOOKUP('Données projet'!$B$13,Paramètres!$A$1:$I$89,3,0)*VLOOKUP('Données projet'!$B$13,Paramètres!$A$1:$I$89,5,0)</f>
        <v>126.14160000000005</v>
      </c>
      <c r="CV44" s="14">
        <f t="shared" si="41"/>
        <v>33.10323903126482</v>
      </c>
      <c r="CW44" s="22">
        <f t="shared" si="13"/>
        <v>277.35142797945298</v>
      </c>
      <c r="CX44" s="60">
        <f t="shared" si="14"/>
        <v>570.68476131278635</v>
      </c>
      <c r="CY44" s="60">
        <f ca="1">AVERAGE(OFFSET($CX$3,0,0,'Données projet'!$E$13+1,1))-AVERAGE(OFFSET($H$3,0,0,'Données projet'!$E$13+1,1))</f>
        <v>350.3652766444938</v>
      </c>
      <c r="CZ44" s="60">
        <f t="shared" si="42"/>
        <v>197.04549436738586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124.40000000000003</v>
      </c>
      <c r="DP44" s="18">
        <f>DO44*VLOOKUP('Données projet'!$B$14,Paramètres!$A$1:$I$89,3,0)*VLOOKUP('Données projet'!$B$14,Paramètres!$A$1:$I$89,5,0)</f>
        <v>133.90416000000002</v>
      </c>
      <c r="DQ44" s="14">
        <f t="shared" si="43"/>
        <v>34.896936615903982</v>
      </c>
      <c r="DR44" s="22">
        <f t="shared" si="16"/>
        <v>293.99524327269938</v>
      </c>
      <c r="DS44" s="60">
        <f t="shared" si="17"/>
        <v>587.3285766060327</v>
      </c>
      <c r="DT44" s="60">
        <f ca="1">AVERAGE(OFFSET($DS$3,0,0,'Données projet'!$E$14+1,1))-AVERAGE(OFFSET($H$3,0,0,'Données projet'!$E$14+1,1))</f>
        <v>376.96388721258387</v>
      </c>
      <c r="DU44" s="60">
        <f t="shared" si="44"/>
        <v>211.14628470344377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8.4</v>
      </c>
      <c r="EJ44" s="13">
        <f>IF('Données projet'!$A$192&gt;35,EJ43+EI44-ER43,IF(A44&lt;'Données projet'!$A$192,$EG$205^A44,IF(A44='Données projet'!$A$192,'Données projet'!$B$192,EJ43+EI44-ER43)))</f>
        <v>124.40000000000003</v>
      </c>
      <c r="EK44" s="18">
        <f>EJ44*VLOOKUP('Données projet'!$B$15,Paramètres!$A$1:$I$89,3,0)*VLOOKUP('Données projet'!$B$15,Paramètres!$A$1:$I$89,5,0)</f>
        <v>120.31968000000002</v>
      </c>
      <c r="EL44" s="14">
        <f t="shared" si="45"/>
        <v>31.74954785566829</v>
      </c>
      <c r="EM44" s="22">
        <f t="shared" si="19"/>
        <v>264.85390518195561</v>
      </c>
      <c r="EN44" s="60">
        <f t="shared" si="20"/>
        <v>558.18723851528898</v>
      </c>
      <c r="EO44" s="60">
        <f ca="1">AVERAGE(OFFSET($EN$3,0,0,'Données projet'!$E$15+1,1))-AVERAGE(OFFSET($H$3,0,0,'Données projet'!$E$15+1,1))</f>
        <v>330.39429528665841</v>
      </c>
      <c r="EP44" s="60">
        <f t="shared" si="46"/>
        <v>186.45728006007261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8">
        <f t="shared" si="1"/>
        <v>346.05537412949326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311.3</v>
      </c>
      <c r="L45" s="13">
        <f>VLOOKUP(A45,'Données projet'!$A$35:$I$55,9,0)</f>
        <v>13.25</v>
      </c>
      <c r="M45" s="13">
        <f t="array" ref="M45">INDEX(L:L,MIN(IF(ISNUMBER(L45:L241),ROW(L45:L241),"")))</f>
        <v>13.25</v>
      </c>
      <c r="N45" s="14">
        <f>IF('Données projet'!$A$36&gt;35,N44+M45-V44,IF(A45&lt;'Données projet'!$A$36,$K$205^A45,IF(A45='Données projet'!$A$36,'Données projet'!$B$36,N44+M45-V44)))</f>
        <v>311.29999999999995</v>
      </c>
      <c r="O45" s="14">
        <f>N45*VLOOKUP('Données projet'!$B$9,Paramètres!$A$1:$I$89,3,0)*VLOOKUP('Données projet'!$B$9,Paramètres!$A$1:$I$89,5,0)</f>
        <v>186.15739999999997</v>
      </c>
      <c r="P45" s="14">
        <f t="shared" si="33"/>
        <v>46.689400986642845</v>
      </c>
      <c r="Q45" s="22">
        <f t="shared" si="53"/>
        <v>405.54151171840289</v>
      </c>
      <c r="R45" s="60">
        <f t="shared" si="0"/>
        <v>698.8748450517362</v>
      </c>
      <c r="S45" s="60">
        <f ca="1">AVERAGE(OFFSET($R$3,0,0,'Données projet'!$E$9+1,1))-AVERAGE(OFFSET($H$3,0,0,'Données projet'!$E$9+1,1))</f>
        <v>155.11440101086782</v>
      </c>
      <c r="T45" s="60">
        <f t="shared" si="34"/>
        <v>239.53454701506638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10.641571056461263</v>
      </c>
      <c r="AA45" s="23">
        <f>EXP(-LN(2)/25)*AA44+(1-EXP(-LN(2)/25))/(LN(2)/25)*Calculateur!V45*Calculateur!X45*VLOOKUP('Données projet'!$B$9,Paramètres!$A$1:$I$89,3,0)*0.475*44/12</f>
        <v>5.1923781840503525</v>
      </c>
      <c r="AB45" s="23">
        <f>EXP(-LN(2)/2)*AB44+(1-EXP(-LN(2)/2))/(LN(2)/2)*V45*Y45*VLOOKUP('Données projet'!$B$9,Paramètres!$A$1:$I$89,3,0)*0.475*44/12</f>
        <v>4.6077235545737193E-2</v>
      </c>
      <c r="AC45" s="24">
        <f t="shared" si="3"/>
        <v>15.880026476057353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419</v>
      </c>
      <c r="AG45" s="13">
        <f>VLOOKUP(A45,'Données projet'!$A$61:$I$81,9,0)</f>
        <v>19.571428571428573</v>
      </c>
      <c r="AH45" s="13">
        <f t="array" ref="AH45">INDEX(AG:AG,MIN(IF(ISNUMBER(AG45:AG241),ROW(AG45:AG241),"")))</f>
        <v>19.571428571428573</v>
      </c>
      <c r="AI45" s="14">
        <f>IF('Données projet'!$A$62&gt;35,AI44+AH45-AQ44,IF(A45&lt;'Données projet'!$A$62,$AF$205^A45,IF(A45='Données projet'!$A$62,'Données projet'!$B$62,AI44+AH45-AQ44)))</f>
        <v>418.99999999999977</v>
      </c>
      <c r="AJ45" s="14">
        <f>AI45*VLOOKUP('Données projet'!$B$10,Paramètres!$A$1:$I$89,3,0)*VLOOKUP('Données projet'!$B$10,Paramètres!$A$1:$I$89,5,0)</f>
        <v>234.22099999999989</v>
      </c>
      <c r="AK45" s="14">
        <f t="shared" si="35"/>
        <v>57.194392182630075</v>
      </c>
      <c r="AL45" s="22">
        <f t="shared" si="4"/>
        <v>507.54847471808051</v>
      </c>
      <c r="AM45" s="60">
        <f t="shared" si="5"/>
        <v>800.88180805141383</v>
      </c>
      <c r="AN45" s="60">
        <f ca="1">AVERAGE(OFFSET($AM$3,0,0,'Données projet'!$E$10+1,1))-AVERAGE(OFFSET($H$3,0,0,'Données projet'!$E$10+1,1))</f>
        <v>302.20483575440988</v>
      </c>
      <c r="AO45" s="60">
        <f t="shared" si="36"/>
        <v>275.32862097158687</v>
      </c>
      <c r="AP45" s="16">
        <f>IF(ISNA(VLOOKUP(A45,'Données projet'!$A$61:$I$81,3,0)),0,VLOOKUP(A45,'Données projet'!$A$61:$I$81,3,0))</f>
        <v>4</v>
      </c>
      <c r="AQ45" s="16">
        <f>IF(ISNA(VLOOKUP(A45,'Données projet'!$A$61:$I$81,4,0)),0,VLOOKUP(A45,'Données projet'!$A$61:$I$81,4,0))</f>
        <v>77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4.9569053697861216</v>
      </c>
      <c r="AW45" s="23">
        <f>EXP(-LN(2)/2)*AW44+(1-EXP(-LN(2)/2))/(LN(2)/2)*AQ45*AT45*VLOOKUP('Données projet'!$B$10,Paramètres!$A$1:$I$89,3,0)*0.475*44/12</f>
        <v>0.13759726302106576</v>
      </c>
      <c r="AX45" s="23">
        <f t="shared" si="6"/>
        <v>5.0945026328071874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8.8000000000000007</v>
      </c>
      <c r="BD45" s="13">
        <f>IF('Données projet'!$A$88&gt;35,BD44+BC45-BL44,IF(A45&lt;'Données projet'!$A$88,$BA$205^A45,IF(A45='Données projet'!$A$88,'Données projet'!$B$88,BD44+BC45-BL44)))</f>
        <v>223.60000000000014</v>
      </c>
      <c r="BE45" s="14">
        <f>BD45*VLOOKUP('Données projet'!$B$11,Paramètres!$A$1:$I$89,3,0)*VLOOKUP('Données projet'!$B$11,Paramètres!$A$1:$I$89,5,0)</f>
        <v>195.33696000000015</v>
      </c>
      <c r="BF45" s="14">
        <f t="shared" si="37"/>
        <v>48.717969863105488</v>
      </c>
      <c r="BG45" s="22">
        <f t="shared" si="7"/>
        <v>425.06233617824228</v>
      </c>
      <c r="BH45" s="60">
        <f t="shared" si="8"/>
        <v>718.39566951157553</v>
      </c>
      <c r="BI45" s="60">
        <f ca="1">AVERAGE(OFFSET($BH$3,0,0,'Données projet'!$E$11+1,1))-AVERAGE(OFFSET($H$3,0,0,'Données projet'!$E$11+1,1))</f>
        <v>314.62110015707839</v>
      </c>
      <c r="BJ45" s="60">
        <f t="shared" si="38"/>
        <v>285.36905470736582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132.80000000000004</v>
      </c>
      <c r="BZ45" s="14">
        <f>BY45*VLOOKUP('Données projet'!$B$12,Paramètres!$A$1:$I$89,3,0)*VLOOKUP('Données projet'!$B$12,Paramètres!$A$1:$I$89,5,0)</f>
        <v>120.15744000000002</v>
      </c>
      <c r="CA45" s="14">
        <f t="shared" si="39"/>
        <v>31.711716786129845</v>
      </c>
      <c r="CB45" s="22">
        <f t="shared" si="10"/>
        <v>264.50544806917623</v>
      </c>
      <c r="CC45" s="60">
        <f t="shared" si="11"/>
        <v>557.83878140250954</v>
      </c>
      <c r="CD45" s="60">
        <f ca="1">AVERAGE(OFFSET($CC$3,0,0,'Données projet'!$E$12+1,1))-AVERAGE(OFFSET($H$3,0,0,'Données projet'!$E$12+1,1))</f>
        <v>303.73499739059076</v>
      </c>
      <c r="CE45" s="60">
        <f t="shared" si="40"/>
        <v>172.32171001882188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132.80000000000004</v>
      </c>
      <c r="CU45" s="18">
        <f>CT45*VLOOKUP('Données projet'!$B$13,Paramètres!$A$1:$I$89,3,0)*VLOOKUP('Données projet'!$B$13,Paramètres!$A$1:$I$89,5,0)</f>
        <v>134.65920000000006</v>
      </c>
      <c r="CV45" s="14">
        <f t="shared" si="41"/>
        <v>35.07074737441733</v>
      </c>
      <c r="CW45" s="22">
        <f t="shared" si="13"/>
        <v>295.61299167711024</v>
      </c>
      <c r="CX45" s="60">
        <f t="shared" si="14"/>
        <v>588.94632501044362</v>
      </c>
      <c r="CY45" s="60">
        <f ca="1">AVERAGE(OFFSET($CX$3,0,0,'Données projet'!$E$13+1,1))-AVERAGE(OFFSET($H$3,0,0,'Données projet'!$E$13+1,1))</f>
        <v>350.3652766444938</v>
      </c>
      <c r="CZ45" s="60">
        <f t="shared" si="42"/>
        <v>197.04549436738586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132.80000000000004</v>
      </c>
      <c r="DP45" s="18">
        <f>DO45*VLOOKUP('Données projet'!$B$14,Paramètres!$A$1:$I$89,3,0)*VLOOKUP('Données projet'!$B$14,Paramètres!$A$1:$I$89,5,0)</f>
        <v>142.94592000000003</v>
      </c>
      <c r="DQ45" s="14">
        <f t="shared" si="43"/>
        <v>36.971054314096854</v>
      </c>
      <c r="DR45" s="22">
        <f t="shared" si="16"/>
        <v>313.35539693038538</v>
      </c>
      <c r="DS45" s="60">
        <f t="shared" si="17"/>
        <v>606.68873026371875</v>
      </c>
      <c r="DT45" s="60">
        <f ca="1">AVERAGE(OFFSET($DS$3,0,0,'Données projet'!$E$14+1,1))-AVERAGE(OFFSET($H$3,0,0,'Données projet'!$E$14+1,1))</f>
        <v>376.96388721258387</v>
      </c>
      <c r="DU45" s="60">
        <f t="shared" si="44"/>
        <v>211.14628470344377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8.4</v>
      </c>
      <c r="EJ45" s="13">
        <f>IF('Données projet'!$A$192&gt;35,EJ44+EI45-ER44,IF(A45&lt;'Données projet'!$A$192,$EG$205^A45,IF(A45='Données projet'!$A$192,'Données projet'!$B$192,EJ44+EI45-ER44)))</f>
        <v>132.80000000000004</v>
      </c>
      <c r="EK45" s="18">
        <f>EJ45*VLOOKUP('Données projet'!$B$15,Paramètres!$A$1:$I$89,3,0)*VLOOKUP('Données projet'!$B$15,Paramètres!$A$1:$I$89,5,0)</f>
        <v>128.44416000000004</v>
      </c>
      <c r="EL45" s="14">
        <f t="shared" si="45"/>
        <v>33.636598855068954</v>
      </c>
      <c r="EM45" s="22">
        <f t="shared" si="19"/>
        <v>282.29065500591184</v>
      </c>
      <c r="EN45" s="60">
        <f t="shared" si="20"/>
        <v>575.62398833924522</v>
      </c>
      <c r="EO45" s="60">
        <f ca="1">AVERAGE(OFFSET($EN$3,0,0,'Données projet'!$E$15+1,1))-AVERAGE(OFFSET($H$3,0,0,'Données projet'!$E$15+1,1))</f>
        <v>330.39429528665841</v>
      </c>
      <c r="EP45" s="60">
        <f t="shared" si="46"/>
        <v>186.45728006007261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8">
        <f t="shared" si="1"/>
        <v>347.27486665053362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13.25</v>
      </c>
      <c r="N46" s="14">
        <f>IF('Données projet'!$A$36&gt;35,N45+M46-V45,IF(A46&lt;'Données projet'!$A$36,$K$205^A46,IF(A46='Données projet'!$A$36,'Données projet'!$B$36,N45+M46-V45)))</f>
        <v>324.54999999999995</v>
      </c>
      <c r="O46" s="14">
        <f>N46*VLOOKUP('Données projet'!$B$9,Paramètres!$A$1:$I$89,3,0)*VLOOKUP('Données projet'!$B$9,Paramètres!$A$1:$I$89,5,0)</f>
        <v>194.08089999999999</v>
      </c>
      <c r="P46" s="14">
        <f t="shared" si="33"/>
        <v>48.441062987070808</v>
      </c>
      <c r="Q46" s="22">
        <f t="shared" si="53"/>
        <v>422.39241886914829</v>
      </c>
      <c r="R46" s="60">
        <f t="shared" si="0"/>
        <v>715.72575220248154</v>
      </c>
      <c r="S46" s="60">
        <f ca="1">AVERAGE(OFFSET($R$3,0,0,'Données projet'!$E$9+1,1))-AVERAGE(OFFSET($H$3,0,0,'Données projet'!$E$9+1,1))</f>
        <v>155.11440101086782</v>
      </c>
      <c r="T46" s="60">
        <f t="shared" si="34"/>
        <v>239.53454701506638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10.432896338761497</v>
      </c>
      <c r="AA46" s="23">
        <f>EXP(-LN(2)/25)*AA45+(1-EXP(-LN(2)/25))/(LN(2)/25)*Calculateur!V46*Calculateur!X46*VLOOKUP('Données projet'!$B$9,Paramètres!$A$1:$I$89,3,0)*0.475*44/12</f>
        <v>5.050392329552194</v>
      </c>
      <c r="AB46" s="23">
        <f>EXP(-LN(2)/2)*AB45+(1-EXP(-LN(2)/2))/(LN(2)/2)*V46*Y46*VLOOKUP('Données projet'!$B$9,Paramètres!$A$1:$I$89,3,0)*0.475*44/12</f>
        <v>3.2581525712720598E-2</v>
      </c>
      <c r="AC46" s="24">
        <f t="shared" si="3"/>
        <v>15.515870194026411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18.714285714285715</v>
      </c>
      <c r="AI46" s="14">
        <f>IF('Données projet'!$A$62&gt;35,AI45+AH46-AQ45,IF(A46&lt;'Données projet'!$A$62,$AF$205^A46,IF(A46='Données projet'!$A$62,'Données projet'!$B$62,AI45+AH46-AQ45)))</f>
        <v>360.7142857142855</v>
      </c>
      <c r="AJ46" s="14">
        <f>AI46*VLOOKUP('Données projet'!$B$10,Paramètres!$A$1:$I$89,3,0)*VLOOKUP('Données projet'!$B$10,Paramètres!$A$1:$I$89,5,0)</f>
        <v>201.63928571428559</v>
      </c>
      <c r="AK46" s="14">
        <f t="shared" si="35"/>
        <v>50.104261772905943</v>
      </c>
      <c r="AL46" s="22">
        <f t="shared" si="4"/>
        <v>438.45334520685856</v>
      </c>
      <c r="AM46" s="60">
        <f t="shared" si="5"/>
        <v>731.78667854019182</v>
      </c>
      <c r="AN46" s="60">
        <f ca="1">AVERAGE(OFFSET($AM$3,0,0,'Données projet'!$E$10+1,1))-AVERAGE(OFFSET($H$3,0,0,'Données projet'!$E$10+1,1))</f>
        <v>302.20483575440988</v>
      </c>
      <c r="AO46" s="60">
        <f t="shared" si="36"/>
        <v>275.32862097158687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4.8213585317769958</v>
      </c>
      <c r="AW46" s="23">
        <f>EXP(-LN(2)/2)*AW45+(1-EXP(-LN(2)/2))/(LN(2)/2)*AQ46*AT46*VLOOKUP('Données projet'!$B$10,Paramètres!$A$1:$I$89,3,0)*0.475*44/12</f>
        <v>9.7295957754904572E-2</v>
      </c>
      <c r="AX46" s="23">
        <f t="shared" si="6"/>
        <v>4.9186544895319004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8.8000000000000007</v>
      </c>
      <c r="BD46" s="13">
        <f>IF('Données projet'!$A$88&gt;35,BD45+BC46-BL45,IF(A46&lt;'Données projet'!$A$88,$BA$205^A46,IF(A46='Données projet'!$A$88,'Données projet'!$B$88,BD45+BC46-BL45)))</f>
        <v>232.40000000000015</v>
      </c>
      <c r="BE46" s="14">
        <f>BD46*VLOOKUP('Données projet'!$B$11,Paramètres!$A$1:$I$89,3,0)*VLOOKUP('Données projet'!$B$11,Paramètres!$A$1:$I$89,5,0)</f>
        <v>203.02464000000015</v>
      </c>
      <c r="BF46" s="14">
        <f t="shared" si="37"/>
        <v>50.408310246654239</v>
      </c>
      <c r="BG46" s="22">
        <f t="shared" si="7"/>
        <v>441.39572167958977</v>
      </c>
      <c r="BH46" s="60">
        <f t="shared" si="8"/>
        <v>734.72905501292303</v>
      </c>
      <c r="BI46" s="60">
        <f ca="1">AVERAGE(OFFSET($BH$3,0,0,'Données projet'!$E$11+1,1))-AVERAGE(OFFSET($H$3,0,0,'Données projet'!$E$11+1,1))</f>
        <v>314.62110015707839</v>
      </c>
      <c r="BJ46" s="60">
        <f t="shared" si="38"/>
        <v>285.36905470736582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141.20000000000005</v>
      </c>
      <c r="BZ46" s="14">
        <f>BY46*VLOOKUP('Données projet'!$B$12,Paramètres!$A$1:$I$89,3,0)*VLOOKUP('Données projet'!$B$12,Paramètres!$A$1:$I$89,5,0)</f>
        <v>127.75776000000003</v>
      </c>
      <c r="CA46" s="14">
        <f t="shared" si="39"/>
        <v>33.477720030956604</v>
      </c>
      <c r="CB46" s="22">
        <f t="shared" si="10"/>
        <v>280.81846105391611</v>
      </c>
      <c r="CC46" s="60">
        <f t="shared" si="11"/>
        <v>574.15179438724942</v>
      </c>
      <c r="CD46" s="60">
        <f ca="1">AVERAGE(OFFSET($CC$3,0,0,'Données projet'!$E$12+1,1))-AVERAGE(OFFSET($H$3,0,0,'Données projet'!$E$12+1,1))</f>
        <v>303.73499739059076</v>
      </c>
      <c r="CE46" s="60">
        <f t="shared" si="40"/>
        <v>172.32171001882188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141.20000000000005</v>
      </c>
      <c r="CU46" s="18">
        <f>CT46*VLOOKUP('Données projet'!$B$13,Paramètres!$A$1:$I$89,3,0)*VLOOKUP('Données projet'!$B$13,Paramètres!$A$1:$I$89,5,0)</f>
        <v>143.17680000000004</v>
      </c>
      <c r="CV46" s="14">
        <f t="shared" si="41"/>
        <v>37.023812674521515</v>
      </c>
      <c r="CW46" s="22">
        <f t="shared" si="13"/>
        <v>313.84940040812506</v>
      </c>
      <c r="CX46" s="60">
        <f t="shared" si="14"/>
        <v>607.18273374145838</v>
      </c>
      <c r="CY46" s="60">
        <f ca="1">AVERAGE(OFFSET($CX$3,0,0,'Données projet'!$E$13+1,1))-AVERAGE(OFFSET($H$3,0,0,'Données projet'!$E$13+1,1))</f>
        <v>350.3652766444938</v>
      </c>
      <c r="CZ46" s="60">
        <f t="shared" si="42"/>
        <v>197.04549436738586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141.20000000000005</v>
      </c>
      <c r="DP46" s="18">
        <f>DO46*VLOOKUP('Données projet'!$B$14,Paramètres!$A$1:$I$89,3,0)*VLOOKUP('Données projet'!$B$14,Paramètres!$A$1:$I$89,5,0)</f>
        <v>151.98768000000004</v>
      </c>
      <c r="DQ46" s="14">
        <f t="shared" si="43"/>
        <v>39.029946373574369</v>
      </c>
      <c r="DR46" s="22">
        <f t="shared" si="16"/>
        <v>332.68903260064207</v>
      </c>
      <c r="DS46" s="60">
        <f t="shared" si="17"/>
        <v>626.02236593397538</v>
      </c>
      <c r="DT46" s="60">
        <f ca="1">AVERAGE(OFFSET($DS$3,0,0,'Données projet'!$E$14+1,1))-AVERAGE(OFFSET($H$3,0,0,'Données projet'!$E$14+1,1))</f>
        <v>376.96388721258387</v>
      </c>
      <c r="DU46" s="60">
        <f t="shared" si="44"/>
        <v>211.14628470344377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8.4</v>
      </c>
      <c r="EJ46" s="13">
        <f>IF('Données projet'!$A$192&gt;35,EJ45+EI46-ER45,IF(A46&lt;'Données projet'!$A$192,$EG$205^A46,IF(A46='Données projet'!$A$192,'Données projet'!$B$192,EJ45+EI46-ER45)))</f>
        <v>141.20000000000005</v>
      </c>
      <c r="EK46" s="18">
        <f>EJ46*VLOOKUP('Données projet'!$B$15,Paramètres!$A$1:$I$89,3,0)*VLOOKUP('Données projet'!$B$15,Paramètres!$A$1:$I$89,5,0)</f>
        <v>136.56864000000004</v>
      </c>
      <c r="EL46" s="14">
        <f t="shared" si="45"/>
        <v>35.509797430964703</v>
      </c>
      <c r="EM46" s="22">
        <f t="shared" si="19"/>
        <v>299.70327852559694</v>
      </c>
      <c r="EN46" s="60">
        <f t="shared" si="20"/>
        <v>593.0366118589302</v>
      </c>
      <c r="EO46" s="60">
        <f ca="1">AVERAGE(OFFSET($EN$3,0,0,'Données projet'!$E$15+1,1))-AVERAGE(OFFSET($H$3,0,0,'Données projet'!$E$15+1,1))</f>
        <v>330.39429528665841</v>
      </c>
      <c r="EP46" s="60">
        <f t="shared" si="46"/>
        <v>186.45728006007261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8">
        <f t="shared" si="1"/>
        <v>348.49363314706295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>
        <f>VLOOKUP(A47,'Données projet'!$A$35:$I$55,2,0)</f>
        <v>337.8</v>
      </c>
      <c r="L47" s="13">
        <f>VLOOKUP(A47,'Données projet'!$A$35:$I$55,9,0)</f>
        <v>13.25</v>
      </c>
      <c r="M47" s="13">
        <f t="array" ref="M47">INDEX(L:L,MIN(IF(ISNUMBER(L47:L243),ROW(L47:L243),"")))</f>
        <v>13.25</v>
      </c>
      <c r="N47" s="14">
        <f>IF('Données projet'!$A$36&gt;35,N46+M47-V46,IF(A47&lt;'Données projet'!$A$36,$K$205^A47,IF(A47='Données projet'!$A$36,'Données projet'!$B$36,N46+M47-V46)))</f>
        <v>337.79999999999995</v>
      </c>
      <c r="O47" s="14">
        <f>N47*VLOOKUP('Données projet'!$B$9,Paramètres!$A$1:$I$89,3,0)*VLOOKUP('Données projet'!$B$9,Paramètres!$A$1:$I$89,5,0)</f>
        <v>202.00439999999998</v>
      </c>
      <c r="P47" s="14">
        <f t="shared" si="33"/>
        <v>50.184418192658534</v>
      </c>
      <c r="Q47" s="22">
        <f t="shared" si="53"/>
        <v>439.22885835221359</v>
      </c>
      <c r="R47" s="60">
        <f t="shared" si="0"/>
        <v>732.56219168554685</v>
      </c>
      <c r="S47" s="60">
        <f ca="1">AVERAGE(OFFSET($R$3,0,0,'Données projet'!$E$9+1,1))-AVERAGE(OFFSET($H$3,0,0,'Données projet'!$E$9+1,1))</f>
        <v>155.11440101086782</v>
      </c>
      <c r="T47" s="60">
        <f t="shared" si="34"/>
        <v>239.53454701506638</v>
      </c>
      <c r="U47" s="16">
        <f>IF(ISNA(VLOOKUP(A47,'Données projet'!$A$35:$I$55,3,0)),0,VLOOKUP(A47,'Données projet'!$A$35:$I$55,3,0))</f>
        <v>5</v>
      </c>
      <c r="V47" s="16">
        <f>IF(ISNA(VLOOKUP(A47,'Données projet'!$A$35:$I$55,4,0)),0,VLOOKUP(A47,'Données projet'!$A$35:$I$55,4,0))</f>
        <v>337.8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10.228313604996814</v>
      </c>
      <c r="AA47" s="23">
        <f>EXP(-LN(2)/25)*AA46+(1-EXP(-LN(2)/25))/(LN(2)/25)*Calculateur!V47*Calculateur!X47*VLOOKUP('Données projet'!$B$9,Paramètres!$A$1:$I$89,3,0)*0.475*44/12</f>
        <v>4.9122890857119996</v>
      </c>
      <c r="AB47" s="23">
        <f>EXP(-LN(2)/2)*AB46+(1-EXP(-LN(2)/2))/(LN(2)/2)*V47*Y47*VLOOKUP('Données projet'!$B$9,Paramètres!$A$1:$I$89,3,0)*0.475*44/12</f>
        <v>2.3038617772868596E-2</v>
      </c>
      <c r="AC47" s="24">
        <f t="shared" si="3"/>
        <v>15.163641308481683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18.714285714285715</v>
      </c>
      <c r="AI47" s="14">
        <f>IF('Données projet'!$A$62&gt;35,AI46+AH47-AQ46,IF(A47&lt;'Données projet'!$A$62,$AF$205^A47,IF(A47='Données projet'!$A$62,'Données projet'!$B$62,AI46+AH47-AQ46)))</f>
        <v>379.42857142857122</v>
      </c>
      <c r="AJ47" s="14">
        <f>AI47*VLOOKUP('Données projet'!$B$10,Paramètres!$A$1:$I$89,3,0)*VLOOKUP('Données projet'!$B$10,Paramètres!$A$1:$I$89,5,0)</f>
        <v>212.10057142857133</v>
      </c>
      <c r="AK47" s="14">
        <f t="shared" si="35"/>
        <v>52.394347167709434</v>
      </c>
      <c r="AL47" s="22">
        <f t="shared" si="4"/>
        <v>460.66198322185556</v>
      </c>
      <c r="AM47" s="60">
        <f t="shared" si="5"/>
        <v>753.99531655518888</v>
      </c>
      <c r="AN47" s="60">
        <f ca="1">AVERAGE(OFFSET($AM$3,0,0,'Données projet'!$E$10+1,1))-AVERAGE(OFFSET($H$3,0,0,'Données projet'!$E$10+1,1))</f>
        <v>302.20483575440988</v>
      </c>
      <c r="AO47" s="60">
        <f t="shared" si="36"/>
        <v>275.32862097158687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4.6895182291813278</v>
      </c>
      <c r="AW47" s="23">
        <f>EXP(-LN(2)/2)*AW46+(1-EXP(-LN(2)/2))/(LN(2)/2)*AQ47*AT47*VLOOKUP('Données projet'!$B$10,Paramètres!$A$1:$I$89,3,0)*0.475*44/12</f>
        <v>6.8798631510532879E-2</v>
      </c>
      <c r="AX47" s="23">
        <f t="shared" si="6"/>
        <v>4.7583168606918607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8.8000000000000007</v>
      </c>
      <c r="BD47" s="13">
        <f>IF('Données projet'!$A$88&gt;35,BD46+BC47-BL46,IF(A47&lt;'Données projet'!$A$88,$BA$205^A47,IF(A47='Données projet'!$A$88,'Données projet'!$B$88,BD46+BC47-BL46)))</f>
        <v>241.20000000000016</v>
      </c>
      <c r="BE47" s="14">
        <f>BD47*VLOOKUP('Données projet'!$B$11,Paramètres!$A$1:$I$89,3,0)*VLOOKUP('Données projet'!$B$11,Paramètres!$A$1:$I$89,5,0)</f>
        <v>210.71232000000015</v>
      </c>
      <c r="BF47" s="14">
        <f t="shared" si="37"/>
        <v>52.091214849236422</v>
      </c>
      <c r="BG47" s="22">
        <f t="shared" si="7"/>
        <v>457.71615652908707</v>
      </c>
      <c r="BH47" s="60">
        <f t="shared" si="8"/>
        <v>751.04948986242039</v>
      </c>
      <c r="BI47" s="60">
        <f ca="1">AVERAGE(OFFSET($BH$3,0,0,'Données projet'!$E$11+1,1))-AVERAGE(OFFSET($H$3,0,0,'Données projet'!$E$11+1,1))</f>
        <v>314.62110015707839</v>
      </c>
      <c r="BJ47" s="60">
        <f t="shared" si="38"/>
        <v>285.36905470736582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149.60000000000005</v>
      </c>
      <c r="BZ47" s="14">
        <f>BY47*VLOOKUP('Données projet'!$B$12,Paramètres!$A$1:$I$89,3,0)*VLOOKUP('Données projet'!$B$12,Paramètres!$A$1:$I$89,5,0)</f>
        <v>135.35808000000006</v>
      </c>
      <c r="CA47" s="14">
        <f t="shared" si="39"/>
        <v>35.231528980112834</v>
      </c>
      <c r="CB47" s="22">
        <f t="shared" si="10"/>
        <v>297.11023564036327</v>
      </c>
      <c r="CC47" s="60">
        <f t="shared" si="11"/>
        <v>590.44356897369653</v>
      </c>
      <c r="CD47" s="60">
        <f ca="1">AVERAGE(OFFSET($CC$3,0,0,'Données projet'!$E$12+1,1))-AVERAGE(OFFSET($H$3,0,0,'Données projet'!$E$12+1,1))</f>
        <v>303.73499739059076</v>
      </c>
      <c r="CE47" s="60">
        <f t="shared" si="40"/>
        <v>172.32171001882188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149.60000000000005</v>
      </c>
      <c r="CU47" s="18">
        <f>CT47*VLOOKUP('Données projet'!$B$13,Paramètres!$A$1:$I$89,3,0)*VLOOKUP('Données projet'!$B$13,Paramètres!$A$1:$I$89,5,0)</f>
        <v>151.69440000000006</v>
      </c>
      <c r="CV47" s="14">
        <f t="shared" si="41"/>
        <v>38.963392010880654</v>
      </c>
      <c r="CW47" s="22">
        <f t="shared" si="13"/>
        <v>332.06232108561721</v>
      </c>
      <c r="CX47" s="60">
        <f t="shared" si="14"/>
        <v>625.39565441895047</v>
      </c>
      <c r="CY47" s="60">
        <f ca="1">AVERAGE(OFFSET($CX$3,0,0,'Données projet'!$E$13+1,1))-AVERAGE(OFFSET($H$3,0,0,'Données projet'!$E$13+1,1))</f>
        <v>350.3652766444938</v>
      </c>
      <c r="CZ47" s="60">
        <f t="shared" si="42"/>
        <v>197.04549436738586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149.60000000000005</v>
      </c>
      <c r="DP47" s="18">
        <f>DO47*VLOOKUP('Données projet'!$B$14,Paramètres!$A$1:$I$89,3,0)*VLOOKUP('Données projet'!$B$14,Paramètres!$A$1:$I$89,5,0)</f>
        <v>161.02944000000005</v>
      </c>
      <c r="DQ47" s="14">
        <f t="shared" si="43"/>
        <v>41.074621732940727</v>
      </c>
      <c r="DR47" s="22">
        <f t="shared" si="16"/>
        <v>351.99790751820518</v>
      </c>
      <c r="DS47" s="60">
        <f t="shared" si="17"/>
        <v>645.3312408515385</v>
      </c>
      <c r="DT47" s="60">
        <f ca="1">AVERAGE(OFFSET($DS$3,0,0,'Données projet'!$E$14+1,1))-AVERAGE(OFFSET($H$3,0,0,'Données projet'!$E$14+1,1))</f>
        <v>376.96388721258387</v>
      </c>
      <c r="DU47" s="60">
        <f t="shared" si="44"/>
        <v>211.14628470344377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8.4</v>
      </c>
      <c r="EJ47" s="13">
        <f>IF('Données projet'!$A$192&gt;35,EJ46+EI47-ER46,IF(A47&lt;'Données projet'!$A$192,$EG$205^A47,IF(A47='Données projet'!$A$192,'Données projet'!$B$192,EJ46+EI47-ER46)))</f>
        <v>149.60000000000005</v>
      </c>
      <c r="EK47" s="18">
        <f>EJ47*VLOOKUP('Données projet'!$B$15,Paramètres!$A$1:$I$89,3,0)*VLOOKUP('Données projet'!$B$15,Paramètres!$A$1:$I$89,5,0)</f>
        <v>144.69312000000005</v>
      </c>
      <c r="EL47" s="14">
        <f t="shared" si="45"/>
        <v>37.370061524802772</v>
      </c>
      <c r="EM47" s="22">
        <f t="shared" si="19"/>
        <v>317.09337448903153</v>
      </c>
      <c r="EN47" s="60">
        <f t="shared" si="20"/>
        <v>610.42670782236485</v>
      </c>
      <c r="EO47" s="60">
        <f ca="1">AVERAGE(OFFSET($EN$3,0,0,'Données projet'!$E$15+1,1))-AVERAGE(OFFSET($H$3,0,0,'Données projet'!$E$15+1,1))</f>
        <v>330.39429528665841</v>
      </c>
      <c r="EP47" s="60">
        <f t="shared" si="46"/>
        <v>186.45728006007261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8">
        <f t="shared" si="1"/>
        <v>349.7116920191595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-5.6843418860808015E-14</v>
      </c>
      <c r="O48" s="14">
        <f>N48*VLOOKUP('Données projet'!$B$9,Paramètres!$A$1:$I$89,3,0)*VLOOKUP('Données projet'!$B$9,Paramètres!$A$1:$I$89,5,0)</f>
        <v>-3.3992364478763198E-14</v>
      </c>
      <c r="P48" s="14" t="e">
        <f t="shared" si="33"/>
        <v>#NUM!</v>
      </c>
      <c r="Q48" s="22" t="e">
        <f t="shared" si="53"/>
        <v>#NUM!</v>
      </c>
      <c r="R48" s="60" t="e">
        <f t="shared" si="0"/>
        <v>#NUM!</v>
      </c>
      <c r="S48" s="60">
        <f ca="1">AVERAGE(OFFSET($R$3,0,0,'Données projet'!$E$9+1,1))-AVERAGE(OFFSET($H$3,0,0,'Données projet'!$E$9+1,1))</f>
        <v>155.11440101086782</v>
      </c>
      <c r="T48" s="60">
        <f t="shared" si="34"/>
        <v>239.53454701506638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10.027742613858109</v>
      </c>
      <c r="AA48" s="23">
        <f>EXP(-LN(2)/25)*AA47+(1-EXP(-LN(2)/25))/(LN(2)/25)*Calculateur!V48*Calculateur!X48*VLOOKUP('Données projet'!$B$9,Paramètres!$A$1:$I$89,3,0)*0.475*44/12</f>
        <v>4.7779622823371488</v>
      </c>
      <c r="AB48" s="23">
        <f>EXP(-LN(2)/2)*AB47+(1-EXP(-LN(2)/2))/(LN(2)/2)*V48*Y48*VLOOKUP('Données projet'!$B$9,Paramètres!$A$1:$I$89,3,0)*0.475*44/12</f>
        <v>1.6290762856360299E-2</v>
      </c>
      <c r="AC48" s="24">
        <f t="shared" si="3"/>
        <v>14.82199565905162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18.714285714285715</v>
      </c>
      <c r="AI48" s="14">
        <f>IF('Données projet'!$A$62&gt;35,AI47+AH48-AQ47,IF(A48&lt;'Données projet'!$A$62,$AF$205^A48,IF(A48='Données projet'!$A$62,'Données projet'!$B$62,AI47+AH48-AQ47)))</f>
        <v>398.14285714285694</v>
      </c>
      <c r="AJ48" s="14">
        <f>AI48*VLOOKUP('Données projet'!$B$10,Paramètres!$A$1:$I$89,3,0)*VLOOKUP('Données projet'!$B$10,Paramètres!$A$1:$I$89,5,0)</f>
        <v>222.56185714285704</v>
      </c>
      <c r="AK48" s="14">
        <f t="shared" si="35"/>
        <v>54.671316974727738</v>
      </c>
      <c r="AL48" s="22">
        <f t="shared" si="4"/>
        <v>482.84777825479341</v>
      </c>
      <c r="AM48" s="60">
        <f t="shared" si="5"/>
        <v>776.18111158812667</v>
      </c>
      <c r="AN48" s="60">
        <f ca="1">AVERAGE(OFFSET($AM$3,0,0,'Données projet'!$E$10+1,1))-AVERAGE(OFFSET($H$3,0,0,'Données projet'!$E$10+1,1))</f>
        <v>302.20483575440988</v>
      </c>
      <c r="AO48" s="60">
        <f t="shared" si="36"/>
        <v>275.32862097158687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4.5612831065933186</v>
      </c>
      <c r="AW48" s="23">
        <f>EXP(-LN(2)/2)*AW47+(1-EXP(-LN(2)/2))/(LN(2)/2)*AQ48*AT48*VLOOKUP('Données projet'!$B$10,Paramètres!$A$1:$I$89,3,0)*0.475*44/12</f>
        <v>4.8647978877452286E-2</v>
      </c>
      <c r="AX48" s="23">
        <f t="shared" si="6"/>
        <v>4.6099310854707705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250</v>
      </c>
      <c r="BB48" s="13">
        <f>VLOOKUP(A48,'Données projet'!$A$87:$I$107,9,0)</f>
        <v>8.8000000000000007</v>
      </c>
      <c r="BC48" s="13">
        <f t="array" ref="BC48">INDEX(BB:BB,MIN(IF(ISNUMBER(BB48:BB244),ROW(BB48:BB244),"")))</f>
        <v>8.8000000000000007</v>
      </c>
      <c r="BD48" s="13">
        <f>IF('Données projet'!$A$88&gt;35,BD47+BC48-BL47,IF(A48&lt;'Données projet'!$A$88,$BA$205^A48,IF(A48='Données projet'!$A$88,'Données projet'!$B$88,BD47+BC48-BL47)))</f>
        <v>250.00000000000017</v>
      </c>
      <c r="BE48" s="14">
        <f>BD48*VLOOKUP('Données projet'!$B$11,Paramètres!$A$1:$I$89,3,0)*VLOOKUP('Données projet'!$B$11,Paramètres!$A$1:$I$89,5,0)</f>
        <v>218.40000000000018</v>
      </c>
      <c r="BF48" s="14">
        <f t="shared" si="37"/>
        <v>53.76698603199857</v>
      </c>
      <c r="BG48" s="22">
        <f t="shared" si="7"/>
        <v>474.02416733906449</v>
      </c>
      <c r="BH48" s="60">
        <f t="shared" si="8"/>
        <v>767.3575006723978</v>
      </c>
      <c r="BI48" s="60">
        <f ca="1">AVERAGE(OFFSET($BH$3,0,0,'Données projet'!$E$11+1,1))-AVERAGE(OFFSET($H$3,0,0,'Données projet'!$E$11+1,1))</f>
        <v>314.62110015707839</v>
      </c>
      <c r="BJ48" s="60">
        <f t="shared" si="38"/>
        <v>285.36905470736582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61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158.00000000000006</v>
      </c>
      <c r="BZ48" s="14">
        <f>BY48*VLOOKUP('Données projet'!$B$12,Paramètres!$A$1:$I$89,3,0)*VLOOKUP('Données projet'!$B$12,Paramètres!$A$1:$I$89,5,0)</f>
        <v>142.95840000000004</v>
      </c>
      <c r="CA48" s="14">
        <f t="shared" si="39"/>
        <v>36.973906370811264</v>
      </c>
      <c r="CB48" s="22">
        <f t="shared" si="10"/>
        <v>313.38210026249641</v>
      </c>
      <c r="CC48" s="60">
        <f t="shared" si="11"/>
        <v>606.71543359582972</v>
      </c>
      <c r="CD48" s="60">
        <f ca="1">AVERAGE(OFFSET($CC$3,0,0,'Données projet'!$E$12+1,1))-AVERAGE(OFFSET($H$3,0,0,'Données projet'!$E$12+1,1))</f>
        <v>303.73499739059076</v>
      </c>
      <c r="CE48" s="60">
        <f t="shared" si="40"/>
        <v>172.32171001882188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158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158.00000000000006</v>
      </c>
      <c r="CU48" s="18">
        <f>CT48*VLOOKUP('Données projet'!$B$13,Paramètres!$A$1:$I$89,3,0)*VLOOKUP('Données projet'!$B$13,Paramètres!$A$1:$I$89,5,0)</f>
        <v>160.21200000000007</v>
      </c>
      <c r="CV48" s="14">
        <f t="shared" si="41"/>
        <v>40.890328912852731</v>
      </c>
      <c r="CW48" s="22">
        <f t="shared" si="13"/>
        <v>350.25322285655193</v>
      </c>
      <c r="CX48" s="60">
        <f t="shared" si="14"/>
        <v>643.58655618988519</v>
      </c>
      <c r="CY48" s="60">
        <f ca="1">AVERAGE(OFFSET($CX$3,0,0,'Données projet'!$E$13+1,1))-AVERAGE(OFFSET($H$3,0,0,'Données projet'!$E$13+1,1))</f>
        <v>350.3652766444938</v>
      </c>
      <c r="CZ48" s="60">
        <f t="shared" si="42"/>
        <v>197.04549436738586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158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158.00000000000006</v>
      </c>
      <c r="DP48" s="18">
        <f>DO48*VLOOKUP('Données projet'!$B$14,Paramètres!$A$1:$I$89,3,0)*VLOOKUP('Données projet'!$B$14,Paramètres!$A$1:$I$89,5,0)</f>
        <v>170.07120000000003</v>
      </c>
      <c r="DQ48" s="14">
        <f t="shared" si="43"/>
        <v>43.10596962815594</v>
      </c>
      <c r="DR48" s="22">
        <f t="shared" si="16"/>
        <v>371.28357043570503</v>
      </c>
      <c r="DS48" s="60">
        <f t="shared" si="17"/>
        <v>664.61690376903834</v>
      </c>
      <c r="DT48" s="60">
        <f ca="1">AVERAGE(OFFSET($DS$3,0,0,'Données projet'!$E$14+1,1))-AVERAGE(OFFSET($H$3,0,0,'Données projet'!$E$14+1,1))</f>
        <v>376.96388721258387</v>
      </c>
      <c r="DU48" s="60">
        <f t="shared" si="44"/>
        <v>211.14628470344377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158</v>
      </c>
      <c r="EH48" s="13">
        <f>VLOOKUP(A48,'Données projet'!$A$191:$I$211,9,0)</f>
        <v>8.4</v>
      </c>
      <c r="EI48" s="13">
        <f t="array" ref="EI48">INDEX(EH:EH,MIN(IF(ISNUMBER(EH48:EH244),ROW(EH48:EH244),"")))</f>
        <v>8.4</v>
      </c>
      <c r="EJ48" s="13">
        <f>IF('Données projet'!$A$192&gt;35,EJ47+EI48-ER47,IF(A48&lt;'Données projet'!$A$192,$EG$205^A48,IF(A48='Données projet'!$A$192,'Données projet'!$B$192,EJ47+EI48-ER47)))</f>
        <v>158.00000000000006</v>
      </c>
      <c r="EK48" s="18">
        <f>EJ48*VLOOKUP('Données projet'!$B$15,Paramètres!$A$1:$I$89,3,0)*VLOOKUP('Données projet'!$B$15,Paramètres!$A$1:$I$89,5,0)</f>
        <v>152.81760000000006</v>
      </c>
      <c r="EL48" s="14">
        <f t="shared" si="45"/>
        <v>39.218200171484227</v>
      </c>
      <c r="EM48" s="22">
        <f t="shared" si="19"/>
        <v>334.46235196533513</v>
      </c>
      <c r="EN48" s="60">
        <f t="shared" si="20"/>
        <v>627.79568529866845</v>
      </c>
      <c r="EO48" s="60">
        <f ca="1">AVERAGE(OFFSET($EN$3,0,0,'Données projet'!$E$15+1,1))-AVERAGE(OFFSET($H$3,0,0,'Données projet'!$E$15+1,1))</f>
        <v>330.39429528665841</v>
      </c>
      <c r="EP48" s="60">
        <f t="shared" si="46"/>
        <v>186.45728006007261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8">
        <f t="shared" si="1"/>
        <v>350.92906080242972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-5.6843418860808015E-14</v>
      </c>
      <c r="O49" s="14">
        <f>N49*VLOOKUP('Données projet'!$B$9,Paramètres!$A$1:$I$89,3,0)*VLOOKUP('Données projet'!$B$9,Paramètres!$A$1:$I$89,5,0)</f>
        <v>-3.3992364478763198E-14</v>
      </c>
      <c r="P49" s="14" t="e">
        <f t="shared" si="33"/>
        <v>#NUM!</v>
      </c>
      <c r="Q49" s="22" t="e">
        <f t="shared" si="53"/>
        <v>#NUM!</v>
      </c>
      <c r="R49" s="60" t="e">
        <f t="shared" si="0"/>
        <v>#NUM!</v>
      </c>
      <c r="S49" s="60">
        <f ca="1">AVERAGE(OFFSET($R$3,0,0,'Données projet'!$E$9+1,1))-AVERAGE(OFFSET($H$3,0,0,'Données projet'!$E$9+1,1))</f>
        <v>155.11440101086782</v>
      </c>
      <c r="T49" s="60">
        <f t="shared" si="34"/>
        <v>239.53454701506638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9.8311046975194092</v>
      </c>
      <c r="AA49" s="23">
        <f>EXP(-LN(2)/25)*AA48+(1-EXP(-LN(2)/25))/(LN(2)/25)*Calculateur!V49*Calculateur!X49*VLOOKUP('Données projet'!$B$9,Paramètres!$A$1:$I$89,3,0)*0.475*44/12</f>
        <v>4.6473086524645231</v>
      </c>
      <c r="AB49" s="23">
        <f>EXP(-LN(2)/2)*AB48+(1-EXP(-LN(2)/2))/(LN(2)/2)*V49*Y49*VLOOKUP('Données projet'!$B$9,Paramètres!$A$1:$I$89,3,0)*0.475*44/12</f>
        <v>1.1519308886434298E-2</v>
      </c>
      <c r="AC49" s="24">
        <f t="shared" si="3"/>
        <v>14.489932658870366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18.714285714285715</v>
      </c>
      <c r="AI49" s="14">
        <f>IF('Données projet'!$A$62&gt;35,AI48+AH49-AQ48,IF(A49&lt;'Données projet'!$A$62,$AF$205^A49,IF(A49='Données projet'!$A$62,'Données projet'!$B$62,AI48+AH49-AQ48)))</f>
        <v>416.85714285714266</v>
      </c>
      <c r="AJ49" s="14">
        <f>AI49*VLOOKUP('Données projet'!$B$10,Paramètres!$A$1:$I$89,3,0)*VLOOKUP('Données projet'!$B$10,Paramètres!$A$1:$I$89,5,0)</f>
        <v>233.02314285714277</v>
      </c>
      <c r="AK49" s="14">
        <f t="shared" si="35"/>
        <v>56.935858075040223</v>
      </c>
      <c r="AL49" s="22">
        <f t="shared" si="4"/>
        <v>505.01192662355203</v>
      </c>
      <c r="AM49" s="60">
        <f t="shared" si="5"/>
        <v>798.34525995688534</v>
      </c>
      <c r="AN49" s="60">
        <f ca="1">AVERAGE(OFFSET($AM$3,0,0,'Données projet'!$E$10+1,1))-AVERAGE(OFFSET($H$3,0,0,'Données projet'!$E$10+1,1))</f>
        <v>302.20483575440988</v>
      </c>
      <c r="AO49" s="60">
        <f t="shared" si="36"/>
        <v>275.32862097158687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4.4365545801760708</v>
      </c>
      <c r="AW49" s="23">
        <f>EXP(-LN(2)/2)*AW48+(1-EXP(-LN(2)/2))/(LN(2)/2)*AQ49*AT49*VLOOKUP('Données projet'!$B$10,Paramètres!$A$1:$I$89,3,0)*0.475*44/12</f>
        <v>3.4399315755266439E-2</v>
      </c>
      <c r="AX49" s="23">
        <f t="shared" si="6"/>
        <v>4.4709538959313369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197.20000000000016</v>
      </c>
      <c r="BE49" s="14">
        <f>BD49*VLOOKUP('Données projet'!$B$11,Paramètres!$A$1:$I$89,3,0)*VLOOKUP('Données projet'!$B$11,Paramètres!$A$1:$I$89,5,0)</f>
        <v>172.27392000000017</v>
      </c>
      <c r="BF49" s="14">
        <f t="shared" si="37"/>
        <v>43.59891151369964</v>
      </c>
      <c r="BG49" s="22">
        <f t="shared" si="7"/>
        <v>375.97851488636047</v>
      </c>
      <c r="BH49" s="60">
        <f t="shared" si="8"/>
        <v>669.31184821969373</v>
      </c>
      <c r="BI49" s="60">
        <f ca="1">AVERAGE(OFFSET($BH$3,0,0,'Données projet'!$E$11+1,1))-AVERAGE(OFFSET($H$3,0,0,'Données projet'!$E$11+1,1))</f>
        <v>314.62110015707839</v>
      </c>
      <c r="BJ49" s="60">
        <f t="shared" si="38"/>
        <v>285.36905470736582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166.20000000000005</v>
      </c>
      <c r="BZ49" s="14">
        <f>BY49*VLOOKUP('Données projet'!$B$12,Paramètres!$A$1:$I$89,3,0)*VLOOKUP('Données projet'!$B$12,Paramètres!$A$1:$I$89,5,0)</f>
        <v>150.37776000000002</v>
      </c>
      <c r="CA49" s="14">
        <f t="shared" si="39"/>
        <v>38.664420365454049</v>
      </c>
      <c r="CB49" s="22">
        <f t="shared" si="10"/>
        <v>329.24846413649914</v>
      </c>
      <c r="CC49" s="60">
        <f t="shared" si="11"/>
        <v>622.58179746983251</v>
      </c>
      <c r="CD49" s="60">
        <f ca="1">AVERAGE(OFFSET($CC$3,0,0,'Données projet'!$E$12+1,1))-AVERAGE(OFFSET($H$3,0,0,'Données projet'!$E$12+1,1))</f>
        <v>303.73499739059076</v>
      </c>
      <c r="CE49" s="60">
        <f t="shared" si="40"/>
        <v>172.32171001882188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8.1999999999999993</v>
      </c>
      <c r="CT49" s="13">
        <f>IF('Données projet'!$A$140&gt;35,CT48+CS49-DB48,IF(A49&lt;'Données projet'!$A$140,$CQ$205^A49,IF(A49='Données projet'!$A$140,'Données projet'!$B$140,CT48+CS49-DB48)))</f>
        <v>166.20000000000005</v>
      </c>
      <c r="CU49" s="18">
        <f>CT49*VLOOKUP('Données projet'!$B$13,Paramètres!$A$1:$I$89,3,0)*VLOOKUP('Données projet'!$B$13,Paramètres!$A$1:$I$89,5,0)</f>
        <v>168.52680000000007</v>
      </c>
      <c r="CV49" s="14">
        <f t="shared" si="41"/>
        <v>42.759908842532369</v>
      </c>
      <c r="CW49" s="22">
        <f t="shared" si="13"/>
        <v>367.991017900744</v>
      </c>
      <c r="CX49" s="60">
        <f t="shared" si="14"/>
        <v>661.32435123407731</v>
      </c>
      <c r="CY49" s="60">
        <f ca="1">AVERAGE(OFFSET($CX$3,0,0,'Données projet'!$E$13+1,1))-AVERAGE(OFFSET($H$3,0,0,'Données projet'!$E$13+1,1))</f>
        <v>350.3652766444938</v>
      </c>
      <c r="CZ49" s="60">
        <f t="shared" si="42"/>
        <v>197.04549436738586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8.1999999999999993</v>
      </c>
      <c r="DO49" s="13">
        <f>IF('Données projet'!$A$166&gt;35,DO48+DN49-DW48,IF(A49&lt;'Données projet'!$A$166,$DL$205^A49,IF(A49='Données projet'!$A$166,'Données projet'!$B$166,DO48+DN49-DW48)))</f>
        <v>166.20000000000005</v>
      </c>
      <c r="DP49" s="18">
        <f>DO49*VLOOKUP('Données projet'!$B$14,Paramètres!$A$1:$I$89,3,0)*VLOOKUP('Données projet'!$B$14,Paramètres!$A$1:$I$89,5,0)</f>
        <v>178.89768000000004</v>
      </c>
      <c r="DQ49" s="14">
        <f t="shared" si="43"/>
        <v>45.076852665999411</v>
      </c>
      <c r="DR49" s="22">
        <f t="shared" si="16"/>
        <v>390.08897772661572</v>
      </c>
      <c r="DS49" s="60">
        <f t="shared" si="17"/>
        <v>683.42231105994904</v>
      </c>
      <c r="DT49" s="60">
        <f ca="1">AVERAGE(OFFSET($DS$3,0,0,'Données projet'!$E$14+1,1))-AVERAGE(OFFSET($H$3,0,0,'Données projet'!$E$14+1,1))</f>
        <v>376.96388721258387</v>
      </c>
      <c r="DU49" s="60">
        <f t="shared" si="44"/>
        <v>211.14628470344377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8.1999999999999993</v>
      </c>
      <c r="EJ49" s="13">
        <f>IF('Données projet'!$A$192&gt;35,EJ48+EI49-ER48,IF(A49&lt;'Données projet'!$A$192,$EG$205^A49,IF(A49='Données projet'!$A$192,'Données projet'!$B$192,EJ48+EI49-ER48)))</f>
        <v>166.20000000000005</v>
      </c>
      <c r="EK49" s="18">
        <f>EJ49*VLOOKUP('Données projet'!$B$15,Paramètres!$A$1:$I$89,3,0)*VLOOKUP('Données projet'!$B$15,Paramètres!$A$1:$I$89,5,0)</f>
        <v>160.74864000000005</v>
      </c>
      <c r="EL49" s="14">
        <f t="shared" si="45"/>
        <v>41.011327345272264</v>
      </c>
      <c r="EM49" s="22">
        <f t="shared" si="19"/>
        <v>351.39860979301596</v>
      </c>
      <c r="EN49" s="60">
        <f t="shared" si="20"/>
        <v>644.73194312634928</v>
      </c>
      <c r="EO49" s="60">
        <f ca="1">AVERAGE(OFFSET($EN$3,0,0,'Données projet'!$E$15+1,1))-AVERAGE(OFFSET($H$3,0,0,'Données projet'!$E$15+1,1))</f>
        <v>330.39429528665841</v>
      </c>
      <c r="EP49" s="60">
        <f t="shared" si="46"/>
        <v>186.45728006007261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8">
        <f t="shared" si="1"/>
        <v>352.14575622651876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-5.6843418860808015E-14</v>
      </c>
      <c r="O50" s="14">
        <f>N50*VLOOKUP('Données projet'!$B$9,Paramètres!$A$1:$I$89,3,0)*VLOOKUP('Données projet'!$B$9,Paramètres!$A$1:$I$89,5,0)</f>
        <v>-3.3992364478763198E-14</v>
      </c>
      <c r="P50" s="14" t="e">
        <f t="shared" si="33"/>
        <v>#NUM!</v>
      </c>
      <c r="Q50" s="22" t="e">
        <f t="shared" si="53"/>
        <v>#NUM!</v>
      </c>
      <c r="R50" s="60" t="e">
        <f t="shared" si="0"/>
        <v>#NUM!</v>
      </c>
      <c r="S50" s="60">
        <f ca="1">AVERAGE(OFFSET($R$3,0,0,'Données projet'!$E$9+1,1))-AVERAGE(OFFSET($H$3,0,0,'Données projet'!$E$9+1,1))</f>
        <v>155.11440101086782</v>
      </c>
      <c r="T50" s="60">
        <f t="shared" si="34"/>
        <v>239.53454701506638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9.638322730782825</v>
      </c>
      <c r="AA50" s="23">
        <f>EXP(-LN(2)/25)*AA49+(1-EXP(-LN(2)/25))/(LN(2)/25)*Calculateur!V50*Calculateur!X50*VLOOKUP('Données projet'!$B$9,Paramètres!$A$1:$I$89,3,0)*0.475*44/12</f>
        <v>4.5202277529715404</v>
      </c>
      <c r="AB50" s="23">
        <f>EXP(-LN(2)/2)*AB49+(1-EXP(-LN(2)/2))/(LN(2)/2)*V50*Y50*VLOOKUP('Données projet'!$B$9,Paramètres!$A$1:$I$89,3,0)*0.475*44/12</f>
        <v>8.1453814281801495E-3</v>
      </c>
      <c r="AC50" s="24">
        <f t="shared" si="3"/>
        <v>14.166695865182545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18.714285714285715</v>
      </c>
      <c r="AI50" s="14">
        <f>IF('Données projet'!$A$62&gt;35,AI49+AH50-AQ49,IF(A50&lt;'Données projet'!$A$62,$AF$205^A50,IF(A50='Données projet'!$A$62,'Données projet'!$B$62,AI49+AH50-AQ49)))</f>
        <v>435.57142857142838</v>
      </c>
      <c r="AJ50" s="14">
        <f>AI50*VLOOKUP('Données projet'!$B$10,Paramètres!$A$1:$I$89,3,0)*VLOOKUP('Données projet'!$B$10,Paramètres!$A$1:$I$89,5,0)</f>
        <v>243.48442857142848</v>
      </c>
      <c r="AK50" s="14">
        <f t="shared" si="35"/>
        <v>59.188592189821975</v>
      </c>
      <c r="AL50" s="22">
        <f t="shared" si="4"/>
        <v>527.15551115917788</v>
      </c>
      <c r="AM50" s="60">
        <f t="shared" si="5"/>
        <v>820.48884449251113</v>
      </c>
      <c r="AN50" s="60">
        <f ca="1">AVERAGE(OFFSET($AM$3,0,0,'Données projet'!$E$10+1,1))-AVERAGE(OFFSET($H$3,0,0,'Données projet'!$E$10+1,1))</f>
        <v>302.20483575440988</v>
      </c>
      <c r="AO50" s="60">
        <f t="shared" si="36"/>
        <v>275.32862097158687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4.3152367618728906</v>
      </c>
      <c r="AW50" s="23">
        <f>EXP(-LN(2)/2)*AW49+(1-EXP(-LN(2)/2))/(LN(2)/2)*AQ50*AT50*VLOOKUP('Données projet'!$B$10,Paramètres!$A$1:$I$89,3,0)*0.475*44/12</f>
        <v>2.4323989438726143E-2</v>
      </c>
      <c r="AX50" s="23">
        <f t="shared" si="6"/>
        <v>4.339560751311617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205.40000000000015</v>
      </c>
      <c r="BE50" s="14">
        <f>BD50*VLOOKUP('Données projet'!$B$11,Paramètres!$A$1:$I$89,3,0)*VLOOKUP('Données projet'!$B$11,Paramètres!$A$1:$I$89,5,0)</f>
        <v>179.43744000000015</v>
      </c>
      <c r="BF50" s="14">
        <f t="shared" si="37"/>
        <v>45.197004138831659</v>
      </c>
      <c r="BG50" s="22">
        <f t="shared" si="7"/>
        <v>391.23832354179871</v>
      </c>
      <c r="BH50" s="60">
        <f t="shared" si="8"/>
        <v>684.57165687513202</v>
      </c>
      <c r="BI50" s="60">
        <f ca="1">AVERAGE(OFFSET($BH$3,0,0,'Données projet'!$E$11+1,1))-AVERAGE(OFFSET($H$3,0,0,'Données projet'!$E$11+1,1))</f>
        <v>314.62110015707839</v>
      </c>
      <c r="BJ50" s="60">
        <f t="shared" si="38"/>
        <v>285.36905470736582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174.40000000000003</v>
      </c>
      <c r="BZ50" s="14">
        <f>BY50*VLOOKUP('Données projet'!$B$12,Paramètres!$A$1:$I$89,3,0)*VLOOKUP('Données projet'!$B$12,Paramètres!$A$1:$I$89,5,0)</f>
        <v>157.79712000000004</v>
      </c>
      <c r="CA50" s="14">
        <f t="shared" si="39"/>
        <v>40.345249481546155</v>
      </c>
      <c r="CB50" s="22">
        <f t="shared" si="10"/>
        <v>345.09796018035962</v>
      </c>
      <c r="CC50" s="60">
        <f t="shared" si="11"/>
        <v>638.43129351369294</v>
      </c>
      <c r="CD50" s="60">
        <f ca="1">AVERAGE(OFFSET($CC$3,0,0,'Données projet'!$E$12+1,1))-AVERAGE(OFFSET($H$3,0,0,'Données projet'!$E$12+1,1))</f>
        <v>303.73499739059076</v>
      </c>
      <c r="CE50" s="60">
        <f t="shared" si="40"/>
        <v>172.32171001882188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8.1999999999999993</v>
      </c>
      <c r="CT50" s="13">
        <f>IF('Données projet'!$A$140&gt;35,CT49+CS50-DB49,IF(A50&lt;'Données projet'!$A$140,$CQ$205^A50,IF(A50='Données projet'!$A$140,'Données projet'!$B$140,CT49+CS50-DB49)))</f>
        <v>174.40000000000003</v>
      </c>
      <c r="CU50" s="18">
        <f>CT50*VLOOKUP('Données projet'!$B$13,Paramètres!$A$1:$I$89,3,0)*VLOOKUP('Données projet'!$B$13,Paramètres!$A$1:$I$89,5,0)</f>
        <v>176.84160000000006</v>
      </c>
      <c r="CV50" s="14">
        <f t="shared" si="41"/>
        <v>44.618778032982952</v>
      </c>
      <c r="CW50" s="22">
        <f t="shared" si="13"/>
        <v>385.71015840744536</v>
      </c>
      <c r="CX50" s="60">
        <f t="shared" si="14"/>
        <v>679.04349174077868</v>
      </c>
      <c r="CY50" s="60">
        <f ca="1">AVERAGE(OFFSET($CX$3,0,0,'Données projet'!$E$13+1,1))-AVERAGE(OFFSET($H$3,0,0,'Données projet'!$E$13+1,1))</f>
        <v>350.3652766444938</v>
      </c>
      <c r="CZ50" s="60">
        <f t="shared" si="42"/>
        <v>197.04549436738586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8.1999999999999993</v>
      </c>
      <c r="DO50" s="13">
        <f>IF('Données projet'!$A$166&gt;35,DO49+DN50-DW49,IF(A50&lt;'Données projet'!$A$166,$DL$205^A50,IF(A50='Données projet'!$A$166,'Données projet'!$B$166,DO49+DN50-DW49)))</f>
        <v>174.40000000000003</v>
      </c>
      <c r="DP50" s="18">
        <f>DO50*VLOOKUP('Données projet'!$B$14,Paramètres!$A$1:$I$89,3,0)*VLOOKUP('Données projet'!$B$14,Paramètres!$A$1:$I$89,5,0)</f>
        <v>187.72416000000004</v>
      </c>
      <c r="DQ50" s="14">
        <f t="shared" si="43"/>
        <v>47.036444603668812</v>
      </c>
      <c r="DR50" s="22">
        <f t="shared" si="16"/>
        <v>408.87471968472323</v>
      </c>
      <c r="DS50" s="60">
        <f t="shared" si="17"/>
        <v>702.20805301805649</v>
      </c>
      <c r="DT50" s="60">
        <f ca="1">AVERAGE(OFFSET($DS$3,0,0,'Données projet'!$E$14+1,1))-AVERAGE(OFFSET($H$3,0,0,'Données projet'!$E$14+1,1))</f>
        <v>376.96388721258387</v>
      </c>
      <c r="DU50" s="60">
        <f t="shared" si="44"/>
        <v>211.14628470344377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8.1999999999999993</v>
      </c>
      <c r="EJ50" s="13">
        <f>IF('Données projet'!$A$192&gt;35,EJ49+EI50-ER49,IF(A50&lt;'Données projet'!$A$192,$EG$205^A50,IF(A50='Données projet'!$A$192,'Données projet'!$B$192,EJ49+EI50-ER49)))</f>
        <v>174.40000000000003</v>
      </c>
      <c r="EK50" s="18">
        <f>EJ50*VLOOKUP('Données projet'!$B$15,Paramètres!$A$1:$I$89,3,0)*VLOOKUP('Données projet'!$B$15,Paramètres!$A$1:$I$89,5,0)</f>
        <v>168.67968000000002</v>
      </c>
      <c r="EL50" s="14">
        <f t="shared" si="45"/>
        <v>42.794181774227013</v>
      </c>
      <c r="EM50" s="22">
        <f t="shared" si="19"/>
        <v>368.3169759234454</v>
      </c>
      <c r="EN50" s="60">
        <f t="shared" si="20"/>
        <v>661.65030925677866</v>
      </c>
      <c r="EO50" s="60">
        <f ca="1">AVERAGE(OFFSET($EN$3,0,0,'Données projet'!$E$15+1,1))-AVERAGE(OFFSET($H$3,0,0,'Données projet'!$E$15+1,1))</f>
        <v>330.39429528665841</v>
      </c>
      <c r="EP50" s="60">
        <f t="shared" si="46"/>
        <v>186.45728006007261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8">
        <f t="shared" si="1"/>
        <v>353.361794268501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-5.6843418860808015E-14</v>
      </c>
      <c r="O51" s="14">
        <f>N51*VLOOKUP('Données projet'!$B$9,Paramètres!$A$1:$I$89,3,0)*VLOOKUP('Données projet'!$B$9,Paramètres!$A$1:$I$89,5,0)</f>
        <v>-3.3992364478763198E-14</v>
      </c>
      <c r="P51" s="14" t="e">
        <f t="shared" si="33"/>
        <v>#NUM!</v>
      </c>
      <c r="Q51" s="22" t="e">
        <f t="shared" si="53"/>
        <v>#NUM!</v>
      </c>
      <c r="R51" s="60" t="e">
        <f t="shared" si="0"/>
        <v>#NUM!</v>
      </c>
      <c r="S51" s="60">
        <f ca="1">AVERAGE(OFFSET($R$3,0,0,'Données projet'!$E$9+1,1))-AVERAGE(OFFSET($H$3,0,0,'Données projet'!$E$9+1,1))</f>
        <v>155.11440101086782</v>
      </c>
      <c r="T51" s="60">
        <f t="shared" si="34"/>
        <v>239.53454701506638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9.4493211008285574</v>
      </c>
      <c r="AA51" s="23">
        <f>EXP(-LN(2)/25)*AA50+(1-EXP(-LN(2)/25))/(LN(2)/25)*Calculateur!V51*Calculateur!X51*VLOOKUP('Données projet'!$B$9,Paramètres!$A$1:$I$89,3,0)*0.475*44/12</f>
        <v>4.3966218873580871</v>
      </c>
      <c r="AB51" s="23">
        <f>EXP(-LN(2)/2)*AB50+(1-EXP(-LN(2)/2))/(LN(2)/2)*V51*Y51*VLOOKUP('Données projet'!$B$9,Paramètres!$A$1:$I$89,3,0)*0.475*44/12</f>
        <v>5.7596544432171491E-3</v>
      </c>
      <c r="AC51" s="24">
        <f t="shared" si="3"/>
        <v>13.851702642629862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18.714285714285715</v>
      </c>
      <c r="AI51" s="14">
        <f>IF('Données projet'!$A$62&gt;35,AI50+AH51-AQ50,IF(A51&lt;'Données projet'!$A$62,$AF$205^A51,IF(A51='Données projet'!$A$62,'Données projet'!$B$62,AI50+AH51-AQ50)))</f>
        <v>454.28571428571411</v>
      </c>
      <c r="AJ51" s="14">
        <f>AI51*VLOOKUP('Données projet'!$B$10,Paramètres!$A$1:$I$89,3,0)*VLOOKUP('Données projet'!$B$10,Paramètres!$A$1:$I$89,5,0)</f>
        <v>253.94571428571419</v>
      </c>
      <c r="AK51" s="14">
        <f t="shared" si="35"/>
        <v>61.430084594341928</v>
      </c>
      <c r="AL51" s="22">
        <f t="shared" si="4"/>
        <v>549.27951638276431</v>
      </c>
      <c r="AM51" s="60">
        <f t="shared" si="5"/>
        <v>842.61284971609757</v>
      </c>
      <c r="AN51" s="60">
        <f ca="1">AVERAGE(OFFSET($AM$3,0,0,'Données projet'!$E$10+1,1))-AVERAGE(OFFSET($H$3,0,0,'Données projet'!$E$10+1,1))</f>
        <v>302.20483575440988</v>
      </c>
      <c r="AO51" s="60">
        <f t="shared" si="36"/>
        <v>275.32862097158687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4.1972363856910375</v>
      </c>
      <c r="AW51" s="23">
        <f>EXP(-LN(2)/2)*AW50+(1-EXP(-LN(2)/2))/(LN(2)/2)*AQ51*AT51*VLOOKUP('Données projet'!$B$10,Paramètres!$A$1:$I$89,3,0)*0.475*44/12</f>
        <v>1.719965787763322E-2</v>
      </c>
      <c r="AX51" s="23">
        <f t="shared" si="6"/>
        <v>4.2144360435686705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213.60000000000014</v>
      </c>
      <c r="BE51" s="14">
        <f>BD51*VLOOKUP('Données projet'!$B$11,Paramètres!$A$1:$I$89,3,0)*VLOOKUP('Données projet'!$B$11,Paramètres!$A$1:$I$89,5,0)</f>
        <v>186.60096000000013</v>
      </c>
      <c r="BF51" s="14">
        <f t="shared" si="37"/>
        <v>46.787685683664144</v>
      </c>
      <c r="BG51" s="22">
        <f t="shared" si="7"/>
        <v>406.48522456571527</v>
      </c>
      <c r="BH51" s="60">
        <f t="shared" si="8"/>
        <v>699.81855789904853</v>
      </c>
      <c r="BI51" s="60">
        <f ca="1">AVERAGE(OFFSET($BH$3,0,0,'Données projet'!$E$11+1,1))-AVERAGE(OFFSET($H$3,0,0,'Données projet'!$E$11+1,1))</f>
        <v>314.62110015707839</v>
      </c>
      <c r="BJ51" s="60">
        <f t="shared" si="38"/>
        <v>285.36905470736582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182.60000000000002</v>
      </c>
      <c r="BZ51" s="14">
        <f>BY51*VLOOKUP('Données projet'!$B$12,Paramètres!$A$1:$I$89,3,0)*VLOOKUP('Données projet'!$B$12,Paramètres!$A$1:$I$89,5,0)</f>
        <v>165.21648000000002</v>
      </c>
      <c r="CA51" s="14">
        <f t="shared" si="39"/>
        <v>42.016901084500397</v>
      </c>
      <c r="CB51" s="22">
        <f t="shared" si="10"/>
        <v>360.93147205550491</v>
      </c>
      <c r="CC51" s="60">
        <f t="shared" si="11"/>
        <v>654.26480538883823</v>
      </c>
      <c r="CD51" s="60">
        <f ca="1">AVERAGE(OFFSET($CC$3,0,0,'Données projet'!$E$12+1,1))-AVERAGE(OFFSET($H$3,0,0,'Données projet'!$E$12+1,1))</f>
        <v>303.73499739059076</v>
      </c>
      <c r="CE51" s="60">
        <f t="shared" si="40"/>
        <v>172.32171001882188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8.1999999999999993</v>
      </c>
      <c r="CT51" s="13">
        <f>IF('Données projet'!$A$140&gt;35,CT50+CS51-DB50,IF(A51&lt;'Données projet'!$A$140,$CQ$205^A51,IF(A51='Données projet'!$A$140,'Données projet'!$B$140,CT50+CS51-DB50)))</f>
        <v>182.60000000000002</v>
      </c>
      <c r="CU51" s="18">
        <f>CT51*VLOOKUP('Données projet'!$B$13,Paramètres!$A$1:$I$89,3,0)*VLOOKUP('Données projet'!$B$13,Paramètres!$A$1:$I$89,5,0)</f>
        <v>185.15640000000002</v>
      </c>
      <c r="CV51" s="14">
        <f t="shared" si="41"/>
        <v>46.467497591770453</v>
      </c>
      <c r="CW51" s="22">
        <f t="shared" si="13"/>
        <v>403.4116216390002</v>
      </c>
      <c r="CX51" s="60">
        <f t="shared" si="14"/>
        <v>696.74495497233352</v>
      </c>
      <c r="CY51" s="60">
        <f ca="1">AVERAGE(OFFSET($CX$3,0,0,'Données projet'!$E$13+1,1))-AVERAGE(OFFSET($H$3,0,0,'Données projet'!$E$13+1,1))</f>
        <v>350.3652766444938</v>
      </c>
      <c r="CZ51" s="60">
        <f t="shared" si="42"/>
        <v>197.04549436738586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8.1999999999999993</v>
      </c>
      <c r="DO51" s="13">
        <f>IF('Données projet'!$A$166&gt;35,DO50+DN51-DW50,IF(A51&lt;'Données projet'!$A$166,$DL$205^A51,IF(A51='Données projet'!$A$166,'Données projet'!$B$166,DO50+DN51-DW50)))</f>
        <v>182.60000000000002</v>
      </c>
      <c r="DP51" s="18">
        <f>DO51*VLOOKUP('Données projet'!$B$14,Paramètres!$A$1:$I$89,3,0)*VLOOKUP('Données projet'!$B$14,Paramètres!$A$1:$I$89,5,0)</f>
        <v>196.55064000000002</v>
      </c>
      <c r="DQ51" s="14">
        <f t="shared" si="43"/>
        <v>48.985336952319578</v>
      </c>
      <c r="DR51" s="22">
        <f t="shared" si="16"/>
        <v>427.6418265252899</v>
      </c>
      <c r="DS51" s="60">
        <f t="shared" si="17"/>
        <v>720.97515985862321</v>
      </c>
      <c r="DT51" s="60">
        <f ca="1">AVERAGE(OFFSET($DS$3,0,0,'Données projet'!$E$14+1,1))-AVERAGE(OFFSET($H$3,0,0,'Données projet'!$E$14+1,1))</f>
        <v>376.96388721258387</v>
      </c>
      <c r="DU51" s="60">
        <f t="shared" si="44"/>
        <v>211.14628470344377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8.1999999999999993</v>
      </c>
      <c r="EJ51" s="13">
        <f>IF('Données projet'!$A$192&gt;35,EJ50+EI51-ER50,IF(A51&lt;'Données projet'!$A$192,$EG$205^A51,IF(A51='Données projet'!$A$192,'Données projet'!$B$192,EJ50+EI51-ER50)))</f>
        <v>182.60000000000002</v>
      </c>
      <c r="EK51" s="18">
        <f>EJ51*VLOOKUP('Données projet'!$B$15,Paramètres!$A$1:$I$89,3,0)*VLOOKUP('Données projet'!$B$15,Paramètres!$A$1:$I$89,5,0)</f>
        <v>176.61072000000004</v>
      </c>
      <c r="EL51" s="14">
        <f t="shared" si="45"/>
        <v>44.56730162053563</v>
      </c>
      <c r="EM51" s="22">
        <f t="shared" si="19"/>
        <v>385.21838765576626</v>
      </c>
      <c r="EN51" s="60">
        <f t="shared" si="20"/>
        <v>678.55172098909952</v>
      </c>
      <c r="EO51" s="60">
        <f ca="1">AVERAGE(OFFSET($EN$3,0,0,'Données projet'!$E$15+1,1))-AVERAGE(OFFSET($H$3,0,0,'Données projet'!$E$15+1,1))</f>
        <v>330.39429528665841</v>
      </c>
      <c r="EP51" s="60">
        <f t="shared" si="46"/>
        <v>186.45728006007261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8">
        <f t="shared" si="1"/>
        <v>354.57719020169571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-5.6843418860808015E-14</v>
      </c>
      <c r="O52" s="14">
        <f>N52*VLOOKUP('Données projet'!$B$9,Paramètres!$A$1:$I$89,3,0)*VLOOKUP('Données projet'!$B$9,Paramètres!$A$1:$I$89,5,0)</f>
        <v>-3.3992364478763198E-14</v>
      </c>
      <c r="P52" s="14" t="e">
        <f t="shared" si="33"/>
        <v>#NUM!</v>
      </c>
      <c r="Q52" s="22" t="e">
        <f t="shared" si="53"/>
        <v>#NUM!</v>
      </c>
      <c r="R52" s="60" t="e">
        <f t="shared" si="0"/>
        <v>#NUM!</v>
      </c>
      <c r="S52" s="60">
        <f ca="1">AVERAGE(OFFSET($R$3,0,0,'Données projet'!$E$9+1,1))-AVERAGE(OFFSET($H$3,0,0,'Données projet'!$E$9+1,1))</f>
        <v>155.11440101086782</v>
      </c>
      <c r="T52" s="60">
        <f t="shared" si="34"/>
        <v>239.53454701506638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9.2640256775580809</v>
      </c>
      <c r="AA52" s="23">
        <f>EXP(-LN(2)/25)*AA51+(1-EXP(-LN(2)/25))/(LN(2)/25)*Calculateur!V52*Calculateur!X52*VLOOKUP('Données projet'!$B$9,Paramètres!$A$1:$I$89,3,0)*0.475*44/12</f>
        <v>4.276396030639984</v>
      </c>
      <c r="AB52" s="23">
        <f>EXP(-LN(2)/2)*AB51+(1-EXP(-LN(2)/2))/(LN(2)/2)*V52*Y52*VLOOKUP('Données projet'!$B$9,Paramètres!$A$1:$I$89,3,0)*0.475*44/12</f>
        <v>4.0726907140900747E-3</v>
      </c>
      <c r="AC52" s="24">
        <f t="shared" si="3"/>
        <v>13.544494398912153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>
        <f>VLOOKUP(A52,'Données projet'!$A$61:$I$81,2,0)</f>
        <v>473</v>
      </c>
      <c r="AG52" s="13">
        <f>VLOOKUP(A52,'Données projet'!$A$61:$I$81,9,0)</f>
        <v>18.714285714285715</v>
      </c>
      <c r="AH52" s="13">
        <f t="array" ref="AH52">INDEX(AG:AG,MIN(IF(ISNUMBER(AG52:AG248),ROW(AG52:AG248),"")))</f>
        <v>18.714285714285715</v>
      </c>
      <c r="AI52" s="14">
        <f>IF('Données projet'!$A$62&gt;35,AI51+AH52-AQ51,IF(A52&lt;'Données projet'!$A$62,$AF$205^A52,IF(A52='Données projet'!$A$62,'Données projet'!$B$62,AI51+AH52-AQ51)))</f>
        <v>472.99999999999983</v>
      </c>
      <c r="AJ52" s="14">
        <f>AI52*VLOOKUP('Données projet'!$B$10,Paramètres!$A$1:$I$89,3,0)*VLOOKUP('Données projet'!$B$10,Paramètres!$A$1:$I$89,5,0)</f>
        <v>264.40699999999993</v>
      </c>
      <c r="AK52" s="14">
        <f t="shared" si="35"/>
        <v>63.660851355620842</v>
      </c>
      <c r="AL52" s="22">
        <f t="shared" si="4"/>
        <v>571.38484111103946</v>
      </c>
      <c r="AM52" s="60">
        <f t="shared" si="5"/>
        <v>864.71817444437283</v>
      </c>
      <c r="AN52" s="60">
        <f ca="1">AVERAGE(OFFSET($AM$3,0,0,'Données projet'!$E$10+1,1))-AVERAGE(OFFSET($H$3,0,0,'Données projet'!$E$10+1,1))</f>
        <v>302.20483575440988</v>
      </c>
      <c r="AO52" s="60">
        <f t="shared" si="36"/>
        <v>275.32862097158687</v>
      </c>
      <c r="AP52" s="16">
        <f>IF(ISNA(VLOOKUP(A52,'Données projet'!$A$61:$I$81,3,0)),0,VLOOKUP(A52,'Données projet'!$A$61:$I$81,3,0))</f>
        <v>5</v>
      </c>
      <c r="AQ52" s="16">
        <f>IF(ISNA(VLOOKUP(A52,'Données projet'!$A$61:$I$81,4,0)),0,VLOOKUP(A52,'Données projet'!$A$61:$I$81,4,0))</f>
        <v>80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4.0824627360012471</v>
      </c>
      <c r="AW52" s="23">
        <f>EXP(-LN(2)/2)*AW51+(1-EXP(-LN(2)/2))/(LN(2)/2)*AQ52*AT52*VLOOKUP('Données projet'!$B$10,Paramètres!$A$1:$I$89,3,0)*0.475*44/12</f>
        <v>1.2161994719363071E-2</v>
      </c>
      <c r="AX52" s="23">
        <f t="shared" si="6"/>
        <v>4.0946247307206098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221.80000000000013</v>
      </c>
      <c r="BE52" s="14">
        <f>BD52*VLOOKUP('Données projet'!$B$11,Paramètres!$A$1:$I$89,3,0)*VLOOKUP('Données projet'!$B$11,Paramètres!$A$1:$I$89,5,0)</f>
        <v>193.76448000000013</v>
      </c>
      <c r="BF52" s="14">
        <f t="shared" si="37"/>
        <v>48.371273222646494</v>
      </c>
      <c r="BG52" s="22">
        <f t="shared" si="7"/>
        <v>421.71977019610955</v>
      </c>
      <c r="BH52" s="60">
        <f t="shared" si="8"/>
        <v>715.05310352944286</v>
      </c>
      <c r="BI52" s="60">
        <f ca="1">AVERAGE(OFFSET($BH$3,0,0,'Données projet'!$E$11+1,1))-AVERAGE(OFFSET($H$3,0,0,'Données projet'!$E$11+1,1))</f>
        <v>314.62110015707839</v>
      </c>
      <c r="BJ52" s="60">
        <f t="shared" si="38"/>
        <v>285.36905470736582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190.8</v>
      </c>
      <c r="BZ52" s="14">
        <f>BY52*VLOOKUP('Données projet'!$B$12,Paramètres!$A$1:$I$89,3,0)*VLOOKUP('Données projet'!$B$12,Paramètres!$A$1:$I$89,5,0)</f>
        <v>172.63584</v>
      </c>
      <c r="CA52" s="14">
        <f t="shared" si="39"/>
        <v>43.679834395222109</v>
      </c>
      <c r="CB52" s="22">
        <f t="shared" si="10"/>
        <v>376.74979957167847</v>
      </c>
      <c r="CC52" s="60">
        <f t="shared" si="11"/>
        <v>670.08313290501178</v>
      </c>
      <c r="CD52" s="60">
        <f ca="1">AVERAGE(OFFSET($CC$3,0,0,'Données projet'!$E$12+1,1))-AVERAGE(OFFSET($H$3,0,0,'Données projet'!$E$12+1,1))</f>
        <v>303.73499739059076</v>
      </c>
      <c r="CE52" s="60">
        <f t="shared" si="40"/>
        <v>172.32171001882188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8.1999999999999993</v>
      </c>
      <c r="CT52" s="13">
        <f>IF('Données projet'!$A$140&gt;35,CT51+CS52-DB51,IF(A52&lt;'Données projet'!$A$140,$CQ$205^A52,IF(A52='Données projet'!$A$140,'Données projet'!$B$140,CT51+CS52-DB51)))</f>
        <v>190.8</v>
      </c>
      <c r="CU52" s="18">
        <f>CT52*VLOOKUP('Données projet'!$B$13,Paramètres!$A$1:$I$89,3,0)*VLOOKUP('Données projet'!$B$13,Paramètres!$A$1:$I$89,5,0)</f>
        <v>193.47120000000001</v>
      </c>
      <c r="CV52" s="14">
        <f t="shared" si="41"/>
        <v>48.306575382296536</v>
      </c>
      <c r="CW52" s="22">
        <f t="shared" si="13"/>
        <v>421.09629212416644</v>
      </c>
      <c r="CX52" s="60">
        <f t="shared" si="14"/>
        <v>714.4296254574997</v>
      </c>
      <c r="CY52" s="60">
        <f ca="1">AVERAGE(OFFSET($CX$3,0,0,'Données projet'!$E$13+1,1))-AVERAGE(OFFSET($H$3,0,0,'Données projet'!$E$13+1,1))</f>
        <v>350.3652766444938</v>
      </c>
      <c r="CZ52" s="60">
        <f t="shared" si="42"/>
        <v>197.04549436738586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8.1999999999999993</v>
      </c>
      <c r="DO52" s="13">
        <f>IF('Données projet'!$A$166&gt;35,DO51+DN52-DW51,IF(A52&lt;'Données projet'!$A$166,$DL$205^A52,IF(A52='Données projet'!$A$166,'Données projet'!$B$166,DO51+DN52-DW51)))</f>
        <v>190.8</v>
      </c>
      <c r="DP52" s="18">
        <f>DO52*VLOOKUP('Données projet'!$B$14,Paramètres!$A$1:$I$89,3,0)*VLOOKUP('Données projet'!$B$14,Paramètres!$A$1:$I$89,5,0)</f>
        <v>205.37711999999999</v>
      </c>
      <c r="DQ52" s="14">
        <f t="shared" si="43"/>
        <v>50.924065093909938</v>
      </c>
      <c r="DR52" s="22">
        <f t="shared" si="16"/>
        <v>446.39123070522641</v>
      </c>
      <c r="DS52" s="60">
        <f t="shared" si="17"/>
        <v>739.72456403855972</v>
      </c>
      <c r="DT52" s="60">
        <f ca="1">AVERAGE(OFFSET($DS$3,0,0,'Données projet'!$E$14+1,1))-AVERAGE(OFFSET($H$3,0,0,'Données projet'!$E$14+1,1))</f>
        <v>376.96388721258387</v>
      </c>
      <c r="DU52" s="60">
        <f t="shared" si="44"/>
        <v>211.14628470344377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8.1999999999999993</v>
      </c>
      <c r="EJ52" s="13">
        <f>IF('Données projet'!$A$192&gt;35,EJ51+EI52-ER51,IF(A52&lt;'Données projet'!$A$192,$EG$205^A52,IF(A52='Données projet'!$A$192,'Données projet'!$B$192,EJ51+EI52-ER51)))</f>
        <v>190.8</v>
      </c>
      <c r="EK52" s="18">
        <f>EJ52*VLOOKUP('Données projet'!$B$15,Paramètres!$A$1:$I$89,3,0)*VLOOKUP('Données projet'!$B$15,Paramètres!$A$1:$I$89,5,0)</f>
        <v>184.54176000000001</v>
      </c>
      <c r="EL52" s="14">
        <f t="shared" si="45"/>
        <v>46.33117397953523</v>
      </c>
      <c r="EM52" s="22">
        <f t="shared" si="19"/>
        <v>402.10369334769052</v>
      </c>
      <c r="EN52" s="60">
        <f t="shared" si="20"/>
        <v>695.43702668102378</v>
      </c>
      <c r="EO52" s="60">
        <f ca="1">AVERAGE(OFFSET($EN$3,0,0,'Données projet'!$E$15+1,1))-AVERAGE(OFFSET($H$3,0,0,'Données projet'!$E$15+1,1))</f>
        <v>330.39429528665841</v>
      </c>
      <c r="EP52" s="60">
        <f t="shared" si="46"/>
        <v>186.45728006007261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8">
        <f t="shared" si="1"/>
        <v>355.79195864038502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-5.6843418860808015E-14</v>
      </c>
      <c r="O53" s="14">
        <f>N53*VLOOKUP('Données projet'!$B$9,Paramètres!$A$1:$I$89,3,0)*VLOOKUP('Données projet'!$B$9,Paramètres!$A$1:$I$89,5,0)</f>
        <v>-3.3992364478763198E-14</v>
      </c>
      <c r="P53" s="14" t="e">
        <f t="shared" si="33"/>
        <v>#NUM!</v>
      </c>
      <c r="Q53" s="22" t="e">
        <f t="shared" si="53"/>
        <v>#NUM!</v>
      </c>
      <c r="R53" s="60" t="e">
        <f t="shared" si="0"/>
        <v>#NUM!</v>
      </c>
      <c r="S53" s="60">
        <f ca="1">AVERAGE(OFFSET($R$3,0,0,'Données projet'!$E$9+1,1))-AVERAGE(OFFSET($H$3,0,0,'Données projet'!$E$9+1,1))</f>
        <v>155.11440101086782</v>
      </c>
      <c r="T53" s="60">
        <f t="shared" si="34"/>
        <v>239.53454701506638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9.0823637845188898</v>
      </c>
      <c r="AA53" s="23">
        <f>EXP(-LN(2)/25)*AA52+(1-EXP(-LN(2)/25))/(LN(2)/25)*Calculateur!V53*Calculateur!X53*VLOOKUP('Données projet'!$B$9,Paramètres!$A$1:$I$89,3,0)*0.475*44/12</f>
        <v>4.1594577562962405</v>
      </c>
      <c r="AB53" s="23">
        <f>EXP(-LN(2)/2)*AB52+(1-EXP(-LN(2)/2))/(LN(2)/2)*V53*Y53*VLOOKUP('Données projet'!$B$9,Paramètres!$A$1:$I$89,3,0)*0.475*44/12</f>
        <v>2.8798272216085745E-3</v>
      </c>
      <c r="AC53" s="24">
        <f t="shared" si="3"/>
        <v>13.24470136803674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17.285714285714285</v>
      </c>
      <c r="AI53" s="14">
        <f>IF('Données projet'!$A$62&gt;35,AI52+AH53-AQ52,IF(A53&lt;'Données projet'!$A$62,$AF$205^A53,IF(A53='Données projet'!$A$62,'Données projet'!$B$62,AI52+AH53-AQ52)))</f>
        <v>410.28571428571411</v>
      </c>
      <c r="AJ53" s="14">
        <f>AI53*VLOOKUP('Données projet'!$B$10,Paramètres!$A$1:$I$89,3,0)*VLOOKUP('Données projet'!$B$10,Paramètres!$A$1:$I$89,5,0)</f>
        <v>229.34971428571419</v>
      </c>
      <c r="AK53" s="14">
        <f t="shared" si="35"/>
        <v>56.142051394693567</v>
      </c>
      <c r="AL53" s="22">
        <f t="shared" si="4"/>
        <v>497.23149189337681</v>
      </c>
      <c r="AM53" s="60">
        <f t="shared" si="5"/>
        <v>790.56482522671013</v>
      </c>
      <c r="AN53" s="60">
        <f ca="1">AVERAGE(OFFSET($AM$3,0,0,'Données projet'!$E$10+1,1))-AVERAGE(OFFSET($H$3,0,0,'Données projet'!$E$10+1,1))</f>
        <v>302.20483575440988</v>
      </c>
      <c r="AO53" s="60">
        <f t="shared" si="36"/>
        <v>275.32862097158687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3.9708275777979085</v>
      </c>
      <c r="AW53" s="23">
        <f>EXP(-LN(2)/2)*AW52+(1-EXP(-LN(2)/2))/(LN(2)/2)*AQ53*AT53*VLOOKUP('Données projet'!$B$10,Paramètres!$A$1:$I$89,3,0)*0.475*44/12</f>
        <v>8.5998289388166099E-3</v>
      </c>
      <c r="AX53" s="23">
        <f t="shared" si="6"/>
        <v>3.979427406736725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230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230.00000000000011</v>
      </c>
      <c r="BE53" s="14">
        <f>BD53*VLOOKUP('Données projet'!$B$11,Paramètres!$A$1:$I$89,3,0)*VLOOKUP('Données projet'!$B$11,Paramètres!$A$1:$I$89,5,0)</f>
        <v>200.92800000000011</v>
      </c>
      <c r="BF53" s="14">
        <f t="shared" si="37"/>
        <v>49.948059057189084</v>
      </c>
      <c r="BG53" s="22">
        <f t="shared" si="7"/>
        <v>436.94246952460452</v>
      </c>
      <c r="BH53" s="60">
        <f t="shared" si="8"/>
        <v>730.27580285793783</v>
      </c>
      <c r="BI53" s="60">
        <f ca="1">AVERAGE(OFFSET($BH$3,0,0,'Données projet'!$E$11+1,1))-AVERAGE(OFFSET($H$3,0,0,'Données projet'!$E$11+1,1))</f>
        <v>314.62110015707839</v>
      </c>
      <c r="BJ53" s="60">
        <f t="shared" si="38"/>
        <v>285.36905470736582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199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199</v>
      </c>
      <c r="BZ53" s="14">
        <f>BY53*VLOOKUP('Données projet'!$B$12,Paramètres!$A$1:$I$89,3,0)*VLOOKUP('Données projet'!$B$12,Paramètres!$A$1:$I$89,5,0)</f>
        <v>180.05519999999999</v>
      </c>
      <c r="CA53" s="14">
        <f t="shared" si="39"/>
        <v>45.334466930398364</v>
      </c>
      <c r="CB53" s="22">
        <f t="shared" si="10"/>
        <v>392.55366990377706</v>
      </c>
      <c r="CC53" s="60">
        <f t="shared" si="11"/>
        <v>685.88700323711032</v>
      </c>
      <c r="CD53" s="60">
        <f ca="1">AVERAGE(OFFSET($CC$3,0,0,'Données projet'!$E$12+1,1))-AVERAGE(OFFSET($H$3,0,0,'Données projet'!$E$12+1,1))</f>
        <v>303.73499739059076</v>
      </c>
      <c r="CE53" s="60">
        <f t="shared" si="40"/>
        <v>172.32171001882188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42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199</v>
      </c>
      <c r="CR53" s="13">
        <f>VLOOKUP(A53,'Données projet'!$A$139:$I$159,9,0)</f>
        <v>8.1999999999999993</v>
      </c>
      <c r="CS53" s="13">
        <f t="array" ref="CS53">INDEX(CR:CR,MIN(IF(ISNUMBER(CR53:CR249),ROW(CR53:CR249),"")))</f>
        <v>8.1999999999999993</v>
      </c>
      <c r="CT53" s="13">
        <f>IF('Données projet'!$A$140&gt;35,CT52+CS53-DB52,IF(A53&lt;'Données projet'!$A$140,$CQ$205^A53,IF(A53='Données projet'!$A$140,'Données projet'!$B$140,CT52+CS53-DB52)))</f>
        <v>199</v>
      </c>
      <c r="CU53" s="18">
        <f>CT53*VLOOKUP('Données projet'!$B$13,Paramètres!$A$1:$I$89,3,0)*VLOOKUP('Données projet'!$B$13,Paramètres!$A$1:$I$89,5,0)</f>
        <v>201.786</v>
      </c>
      <c r="CV53" s="14">
        <f t="shared" si="41"/>
        <v>50.136473146268756</v>
      </c>
      <c r="CW53" s="22">
        <f t="shared" si="13"/>
        <v>438.76497406308476</v>
      </c>
      <c r="CX53" s="60">
        <f t="shared" si="14"/>
        <v>732.09830739641802</v>
      </c>
      <c r="CY53" s="60">
        <f ca="1">AVERAGE(OFFSET($CX$3,0,0,'Données projet'!$E$13+1,1))-AVERAGE(OFFSET($H$3,0,0,'Données projet'!$E$13+1,1))</f>
        <v>350.3652766444938</v>
      </c>
      <c r="CZ53" s="60">
        <f t="shared" si="42"/>
        <v>197.04549436738586</v>
      </c>
      <c r="DA53" s="16">
        <f>IF(ISNA(VLOOKUP(A53,'Données projet'!$A$139:$I$159,3,0)),0,VLOOKUP(A53,'Données projet'!$A$139:$I$159,3,0))</f>
        <v>3</v>
      </c>
      <c r="DB53" s="16">
        <f>IF(ISNA(VLOOKUP(A53,'Données projet'!$A$139:$I$159,4,0)),0,VLOOKUP(A53,'Données projet'!$A$139:$I$159,4,0))</f>
        <v>42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199</v>
      </c>
      <c r="DM53" s="13">
        <f>VLOOKUP(A53,'Données projet'!$A$165:$I$185,9,0)</f>
        <v>8.1999999999999993</v>
      </c>
      <c r="DN53" s="13">
        <f t="array" ref="DN53">INDEX(DM:DM,MIN(IF(ISNUMBER(DM53:DM249),ROW(DM53:DM249),"")))</f>
        <v>8.1999999999999993</v>
      </c>
      <c r="DO53" s="13">
        <f>IF('Données projet'!$A$166&gt;35,DO52+DN53-DW52,IF(A53&lt;'Données projet'!$A$166,$DL$205^A53,IF(A53='Données projet'!$A$166,'Données projet'!$B$166,DO52+DN53-DW52)))</f>
        <v>199</v>
      </c>
      <c r="DP53" s="18">
        <f>DO53*VLOOKUP('Données projet'!$B$14,Paramètres!$A$1:$I$89,3,0)*VLOOKUP('Données projet'!$B$14,Paramètres!$A$1:$I$89,5,0)</f>
        <v>214.20360000000002</v>
      </c>
      <c r="DQ53" s="14">
        <f t="shared" si="43"/>
        <v>52.853115789602029</v>
      </c>
      <c r="DR53" s="22">
        <f t="shared" si="16"/>
        <v>465.12378000022358</v>
      </c>
      <c r="DS53" s="60">
        <f t="shared" si="17"/>
        <v>758.45711333355689</v>
      </c>
      <c r="DT53" s="60">
        <f ca="1">AVERAGE(OFFSET($DS$3,0,0,'Données projet'!$E$14+1,1))-AVERAGE(OFFSET($H$3,0,0,'Données projet'!$E$14+1,1))</f>
        <v>376.96388721258387</v>
      </c>
      <c r="DU53" s="60">
        <f t="shared" si="44"/>
        <v>211.14628470344377</v>
      </c>
      <c r="DV53" s="16">
        <f>IF(ISNA(VLOOKUP(A53,'Données projet'!$A$165:$I$185,3,0)),0,VLOOKUP(A53,'Données projet'!$A$165:$I$185,3,0))</f>
        <v>3</v>
      </c>
      <c r="DW53" s="16">
        <f>IF(ISNA(VLOOKUP(A53,'Données projet'!$A$165:$I$185,4,0)),0,VLOOKUP(A53,'Données projet'!$A$165:$I$185,4,0))</f>
        <v>42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199</v>
      </c>
      <c r="EH53" s="13">
        <f>VLOOKUP(A53,'Données projet'!$A$191:$I$211,9,0)</f>
        <v>8.1999999999999993</v>
      </c>
      <c r="EI53" s="13">
        <f t="array" ref="EI53">INDEX(EH:EH,MIN(IF(ISNUMBER(EH53:EH249),ROW(EH53:EH249),"")))</f>
        <v>8.1999999999999993</v>
      </c>
      <c r="EJ53" s="13">
        <f>IF('Données projet'!$A$192&gt;35,EJ52+EI53-ER52,IF(A53&lt;'Données projet'!$A$192,$EG$205^A53,IF(A53='Données projet'!$A$192,'Données projet'!$B$192,EJ52+EI53-ER52)))</f>
        <v>199</v>
      </c>
      <c r="EK53" s="18">
        <f>EJ53*VLOOKUP('Données projet'!$B$15,Paramètres!$A$1:$I$89,3,0)*VLOOKUP('Données projet'!$B$15,Paramètres!$A$1:$I$89,5,0)</f>
        <v>192.47280000000001</v>
      </c>
      <c r="EL53" s="14">
        <f t="shared" si="45"/>
        <v>48.086241710923829</v>
      </c>
      <c r="EM53" s="22">
        <f t="shared" si="19"/>
        <v>418.97366431319239</v>
      </c>
      <c r="EN53" s="60">
        <f t="shared" si="20"/>
        <v>712.3069976465257</v>
      </c>
      <c r="EO53" s="60">
        <f ca="1">AVERAGE(OFFSET($EN$3,0,0,'Données projet'!$E$15+1,1))-AVERAGE(OFFSET($H$3,0,0,'Données projet'!$E$15+1,1))</f>
        <v>330.39429528665841</v>
      </c>
      <c r="EP53" s="60">
        <f t="shared" si="46"/>
        <v>186.45728006007261</v>
      </c>
      <c r="EQ53" s="16">
        <f>IF(ISNA(VLOOKUP(A53,'Données projet'!$A$191:$I$211,3,0)),0,VLOOKUP(A53,'Données projet'!$A$191:$I$211,3,0))</f>
        <v>3</v>
      </c>
      <c r="ER53" s="16">
        <f>IF(ISNA(VLOOKUP(A53,'Données projet'!$A$191:$I$211,4,0)),0,VLOOKUP(A53,'Données projet'!$A$191:$I$211,4,0))</f>
        <v>42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8">
        <f t="shared" si="1"/>
        <v>357.00611358085365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-5.6843418860808015E-14</v>
      </c>
      <c r="O54" s="14">
        <f>N54*VLOOKUP('Données projet'!$B$9,Paramètres!$A$1:$I$89,3,0)*VLOOKUP('Données projet'!$B$9,Paramètres!$A$1:$I$89,5,0)</f>
        <v>-3.3992364478763198E-14</v>
      </c>
      <c r="P54" s="14" t="e">
        <f t="shared" si="33"/>
        <v>#NUM!</v>
      </c>
      <c r="Q54" s="22" t="e">
        <f t="shared" si="53"/>
        <v>#NUM!</v>
      </c>
      <c r="R54" s="60" t="e">
        <f t="shared" si="0"/>
        <v>#NUM!</v>
      </c>
      <c r="S54" s="60">
        <f ca="1">AVERAGE(OFFSET($R$3,0,0,'Données projet'!$E$9+1,1))-AVERAGE(OFFSET($H$3,0,0,'Données projet'!$E$9+1,1))</f>
        <v>155.11440101086782</v>
      </c>
      <c r="T54" s="60">
        <f t="shared" si="34"/>
        <v>239.53454701506638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8.904264170399383</v>
      </c>
      <c r="AA54" s="23">
        <f>EXP(-LN(2)/25)*AA53+(1-EXP(-LN(2)/25))/(LN(2)/25)*Calculateur!V54*Calculateur!X54*VLOOKUP('Données projet'!$B$9,Paramètres!$A$1:$I$89,3,0)*0.475*44/12</f>
        <v>4.0457171652139428</v>
      </c>
      <c r="AB54" s="23">
        <f>EXP(-LN(2)/2)*AB53+(1-EXP(-LN(2)/2))/(LN(2)/2)*V54*Y54*VLOOKUP('Données projet'!$B$9,Paramètres!$A$1:$I$89,3,0)*0.475*44/12</f>
        <v>2.0363453570450374E-3</v>
      </c>
      <c r="AC54" s="24">
        <f t="shared" si="3"/>
        <v>12.952017680970371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17.285714285714285</v>
      </c>
      <c r="AI54" s="14">
        <f>IF('Données projet'!$A$62&gt;35,AI53+AH54-AQ53,IF(A54&lt;'Données projet'!$A$62,$AF$205^A54,IF(A54='Données projet'!$A$62,'Données projet'!$B$62,AI53+AH54-AQ53)))</f>
        <v>427.57142857142838</v>
      </c>
      <c r="AJ54" s="14">
        <f>AI54*VLOOKUP('Données projet'!$B$10,Paramètres!$A$1:$I$89,3,0)*VLOOKUP('Données projet'!$B$10,Paramètres!$A$1:$I$89,5,0)</f>
        <v>239.01242857142847</v>
      </c>
      <c r="AK54" s="14">
        <f t="shared" si="35"/>
        <v>58.226998714225545</v>
      </c>
      <c r="AL54" s="22">
        <f t="shared" si="4"/>
        <v>517.69200252251403</v>
      </c>
      <c r="AM54" s="60">
        <f t="shared" si="5"/>
        <v>811.02533585584729</v>
      </c>
      <c r="AN54" s="60">
        <f ca="1">AVERAGE(OFFSET($AM$3,0,0,'Données projet'!$E$10+1,1))-AVERAGE(OFFSET($H$3,0,0,'Données projet'!$E$10+1,1))</f>
        <v>302.20483575440988</v>
      </c>
      <c r="AO54" s="60">
        <f t="shared" si="36"/>
        <v>275.32862097158687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3.862245088866278</v>
      </c>
      <c r="AW54" s="23">
        <f>EXP(-LN(2)/2)*AW53+(1-EXP(-LN(2)/2))/(LN(2)/2)*AQ54*AT54*VLOOKUP('Données projet'!$B$10,Paramètres!$A$1:$I$89,3,0)*0.475*44/12</f>
        <v>6.0809973596815357E-3</v>
      </c>
      <c r="AX54" s="23">
        <f t="shared" si="6"/>
        <v>3.8683260862259594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7.4</v>
      </c>
      <c r="BD54" s="13">
        <f>IF('Données projet'!$A$88&gt;35,BD53+BC54-BL53,IF(A54&lt;'Données projet'!$A$88,$BA$205^A54,IF(A54='Données projet'!$A$88,'Données projet'!$B$88,BD53+BC54-BL53)))</f>
        <v>237.40000000000012</v>
      </c>
      <c r="BE54" s="14">
        <f>BD54*VLOOKUP('Données projet'!$B$11,Paramètres!$A$1:$I$89,3,0)*VLOOKUP('Données projet'!$B$11,Paramètres!$A$1:$I$89,5,0)</f>
        <v>207.39264000000011</v>
      </c>
      <c r="BF54" s="14">
        <f t="shared" si="37"/>
        <v>51.3653982982472</v>
      </c>
      <c r="BG54" s="22">
        <f t="shared" si="7"/>
        <v>450.67025003611406</v>
      </c>
      <c r="BH54" s="60">
        <f t="shared" si="8"/>
        <v>744.00358336944737</v>
      </c>
      <c r="BI54" s="60">
        <f ca="1">AVERAGE(OFFSET($BH$3,0,0,'Données projet'!$E$11+1,1))-AVERAGE(OFFSET($H$3,0,0,'Données projet'!$E$11+1,1))</f>
        <v>314.62110015707839</v>
      </c>
      <c r="BJ54" s="60">
        <f t="shared" si="38"/>
        <v>285.36905470736582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165</v>
      </c>
      <c r="BZ54" s="14">
        <f>BY54*VLOOKUP('Données projet'!$B$12,Paramètres!$A$1:$I$89,3,0)*VLOOKUP('Données projet'!$B$12,Paramètres!$A$1:$I$89,5,0)</f>
        <v>149.29199999999997</v>
      </c>
      <c r="CA54" s="14">
        <f t="shared" si="39"/>
        <v>38.417645803815411</v>
      </c>
      <c r="CB54" s="22">
        <f t="shared" si="10"/>
        <v>326.9276331083118</v>
      </c>
      <c r="CC54" s="60">
        <f t="shared" si="11"/>
        <v>620.26096644164511</v>
      </c>
      <c r="CD54" s="60">
        <f ca="1">AVERAGE(OFFSET($CC$3,0,0,'Données projet'!$E$12+1,1))-AVERAGE(OFFSET($H$3,0,0,'Données projet'!$E$12+1,1))</f>
        <v>303.73499739059076</v>
      </c>
      <c r="CE54" s="60">
        <f t="shared" si="40"/>
        <v>172.32171001882188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165</v>
      </c>
      <c r="CU54" s="18">
        <f>CT54*VLOOKUP('Données projet'!$B$13,Paramètres!$A$1:$I$89,3,0)*VLOOKUP('Données projet'!$B$13,Paramètres!$A$1:$I$89,5,0)</f>
        <v>167.31</v>
      </c>
      <c r="CV54" s="14">
        <f t="shared" si="41"/>
        <v>42.486994942347515</v>
      </c>
      <c r="CW54" s="22">
        <f t="shared" si="13"/>
        <v>365.39643285792187</v>
      </c>
      <c r="CX54" s="60">
        <f t="shared" si="14"/>
        <v>658.72976619125518</v>
      </c>
      <c r="CY54" s="60">
        <f ca="1">AVERAGE(OFFSET($CX$3,0,0,'Données projet'!$E$13+1,1))-AVERAGE(OFFSET($H$3,0,0,'Données projet'!$E$13+1,1))</f>
        <v>350.3652766444938</v>
      </c>
      <c r="CZ54" s="60">
        <f t="shared" si="42"/>
        <v>197.04549436738586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165</v>
      </c>
      <c r="DP54" s="18">
        <f>DO54*VLOOKUP('Données projet'!$B$14,Paramètres!$A$1:$I$89,3,0)*VLOOKUP('Données projet'!$B$14,Paramètres!$A$1:$I$89,5,0)</f>
        <v>177.60599999999999</v>
      </c>
      <c r="DQ54" s="14">
        <f t="shared" si="43"/>
        <v>44.789150937858665</v>
      </c>
      <c r="DR54" s="22">
        <f t="shared" si="16"/>
        <v>387.33822121677048</v>
      </c>
      <c r="DS54" s="60">
        <f t="shared" si="17"/>
        <v>680.67155455010379</v>
      </c>
      <c r="DT54" s="60">
        <f ca="1">AVERAGE(OFFSET($DS$3,0,0,'Données projet'!$E$14+1,1))-AVERAGE(OFFSET($H$3,0,0,'Données projet'!$E$14+1,1))</f>
        <v>376.96388721258387</v>
      </c>
      <c r="DU54" s="60">
        <f t="shared" si="44"/>
        <v>211.14628470344377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8</v>
      </c>
      <c r="EJ54" s="13">
        <f>IF('Données projet'!$A$192&gt;35,EJ53+EI54-ER53,IF(A54&lt;'Données projet'!$A$192,$EG$205^A54,IF(A54='Données projet'!$A$192,'Données projet'!$B$192,EJ53+EI54-ER53)))</f>
        <v>165</v>
      </c>
      <c r="EK54" s="18">
        <f>EJ54*VLOOKUP('Données projet'!$B$15,Paramètres!$A$1:$I$89,3,0)*VLOOKUP('Données projet'!$B$15,Paramètres!$A$1:$I$89,5,0)</f>
        <v>159.58799999999999</v>
      </c>
      <c r="EL54" s="14">
        <f t="shared" si="45"/>
        <v>40.74957371668588</v>
      </c>
      <c r="EM54" s="22">
        <f t="shared" si="19"/>
        <v>348.92127422322784</v>
      </c>
      <c r="EN54" s="60">
        <f t="shared" si="20"/>
        <v>642.25460755656115</v>
      </c>
      <c r="EO54" s="60">
        <f ca="1">AVERAGE(OFFSET($EN$3,0,0,'Données projet'!$E$15+1,1))-AVERAGE(OFFSET($H$3,0,0,'Données projet'!$E$15+1,1))</f>
        <v>330.39429528665841</v>
      </c>
      <c r="EP54" s="60">
        <f t="shared" si="46"/>
        <v>186.45728006007261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8">
        <f t="shared" si="1"/>
        <v>358.21966843911872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-5.6843418860808015E-14</v>
      </c>
      <c r="O55" s="14">
        <f>N55*VLOOKUP('Données projet'!$B$9,Paramètres!$A$1:$I$89,3,0)*VLOOKUP('Données projet'!$B$9,Paramètres!$A$1:$I$89,5,0)</f>
        <v>-3.3992364478763198E-14</v>
      </c>
      <c r="P55" s="14" t="e">
        <f t="shared" si="33"/>
        <v>#NUM!</v>
      </c>
      <c r="Q55" s="22" t="e">
        <f t="shared" si="53"/>
        <v>#NUM!</v>
      </c>
      <c r="R55" s="60" t="e">
        <f t="shared" si="0"/>
        <v>#NUM!</v>
      </c>
      <c r="S55" s="60">
        <f ca="1">AVERAGE(OFFSET($R$3,0,0,'Données projet'!$E$9+1,1))-AVERAGE(OFFSET($H$3,0,0,'Données projet'!$E$9+1,1))</f>
        <v>155.11440101086782</v>
      </c>
      <c r="T55" s="60">
        <f t="shared" si="34"/>
        <v>239.53454701506638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8.7296569810827211</v>
      </c>
      <c r="AA55" s="23">
        <f>EXP(-LN(2)/25)*AA54+(1-EXP(-LN(2)/25))/(LN(2)/25)*Calculateur!V55*Calculateur!X55*VLOOKUP('Données projet'!$B$9,Paramètres!$A$1:$I$89,3,0)*0.475*44/12</f>
        <v>3.9350868165761486</v>
      </c>
      <c r="AB55" s="23">
        <f>EXP(-LN(2)/2)*AB54+(1-EXP(-LN(2)/2))/(LN(2)/2)*V55*Y55*VLOOKUP('Données projet'!$B$9,Paramètres!$A$1:$I$89,3,0)*0.475*44/12</f>
        <v>1.4399136108042873E-3</v>
      </c>
      <c r="AC55" s="24">
        <f t="shared" si="3"/>
        <v>12.666183711269674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17.285714285714285</v>
      </c>
      <c r="AI55" s="14">
        <f>IF('Données projet'!$A$62&gt;35,AI54+AH55-AQ54,IF(A55&lt;'Données projet'!$A$62,$AF$205^A55,IF(A55='Données projet'!$A$62,'Données projet'!$B$62,AI54+AH55-AQ54)))</f>
        <v>444.85714285714266</v>
      </c>
      <c r="AJ55" s="14">
        <f>AI55*VLOOKUP('Données projet'!$B$10,Paramètres!$A$1:$I$89,3,0)*VLOOKUP('Données projet'!$B$10,Paramètres!$A$1:$I$89,5,0)</f>
        <v>248.67514285714276</v>
      </c>
      <c r="AK55" s="14">
        <f t="shared" si="35"/>
        <v>60.30215496200401</v>
      </c>
      <c r="AL55" s="22">
        <f t="shared" si="4"/>
        <v>538.13546036834725</v>
      </c>
      <c r="AM55" s="60">
        <f t="shared" si="5"/>
        <v>831.46879370168062</v>
      </c>
      <c r="AN55" s="60">
        <f ca="1">AVERAGE(OFFSET($AM$3,0,0,'Données projet'!$E$10+1,1))-AVERAGE(OFFSET($H$3,0,0,'Données projet'!$E$10+1,1))</f>
        <v>302.20483575440988</v>
      </c>
      <c r="AO55" s="60">
        <f t="shared" si="36"/>
        <v>275.32862097158687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3.7566317938045879</v>
      </c>
      <c r="AW55" s="23">
        <f>EXP(-LN(2)/2)*AW54+(1-EXP(-LN(2)/2))/(LN(2)/2)*AQ55*AT55*VLOOKUP('Données projet'!$B$10,Paramètres!$A$1:$I$89,3,0)*0.475*44/12</f>
        <v>4.2999144694083049E-3</v>
      </c>
      <c r="AX55" s="23">
        <f t="shared" si="6"/>
        <v>3.7609317082739961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7.4</v>
      </c>
      <c r="BD55" s="13">
        <f>IF('Données projet'!$A$88&gt;35,BD54+BC55-BL54,IF(A55&lt;'Données projet'!$A$88,$BA$205^A55,IF(A55='Données projet'!$A$88,'Données projet'!$B$88,BD54+BC55-BL54)))</f>
        <v>244.80000000000013</v>
      </c>
      <c r="BE55" s="14">
        <f>BD55*VLOOKUP('Données projet'!$B$11,Paramètres!$A$1:$I$89,3,0)*VLOOKUP('Données projet'!$B$11,Paramètres!$A$1:$I$89,5,0)</f>
        <v>213.85728000000012</v>
      </c>
      <c r="BF55" s="14">
        <f t="shared" si="37"/>
        <v>52.777603437579678</v>
      </c>
      <c r="BG55" s="22">
        <f t="shared" si="7"/>
        <v>464.38908865378477</v>
      </c>
      <c r="BH55" s="60">
        <f t="shared" si="8"/>
        <v>757.72242198711808</v>
      </c>
      <c r="BI55" s="60">
        <f ca="1">AVERAGE(OFFSET($BH$3,0,0,'Données projet'!$E$11+1,1))-AVERAGE(OFFSET($H$3,0,0,'Données projet'!$E$11+1,1))</f>
        <v>314.62110015707839</v>
      </c>
      <c r="BJ55" s="60">
        <f t="shared" si="38"/>
        <v>285.36905470736582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173</v>
      </c>
      <c r="BZ55" s="14">
        <f>BY55*VLOOKUP('Données projet'!$B$12,Paramètres!$A$1:$I$89,3,0)*VLOOKUP('Données projet'!$B$12,Paramètres!$A$1:$I$89,5,0)</f>
        <v>156.53039999999999</v>
      </c>
      <c r="CA55" s="14">
        <f t="shared" si="39"/>
        <v>40.058941713182037</v>
      </c>
      <c r="CB55" s="22">
        <f t="shared" si="10"/>
        <v>342.393103483792</v>
      </c>
      <c r="CC55" s="60">
        <f t="shared" si="11"/>
        <v>635.72643681712532</v>
      </c>
      <c r="CD55" s="60">
        <f ca="1">AVERAGE(OFFSET($CC$3,0,0,'Données projet'!$E$12+1,1))-AVERAGE(OFFSET($H$3,0,0,'Données projet'!$E$12+1,1))</f>
        <v>303.73499739059076</v>
      </c>
      <c r="CE55" s="60">
        <f t="shared" si="40"/>
        <v>172.32171001882188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173</v>
      </c>
      <c r="CU55" s="18">
        <f>CT55*VLOOKUP('Données projet'!$B$13,Paramètres!$A$1:$I$89,3,0)*VLOOKUP('Données projet'!$B$13,Paramètres!$A$1:$I$89,5,0)</f>
        <v>175.422</v>
      </c>
      <c r="CV55" s="14">
        <f t="shared" si="41"/>
        <v>44.302143412304737</v>
      </c>
      <c r="CW55" s="22">
        <f t="shared" si="13"/>
        <v>382.68621644309741</v>
      </c>
      <c r="CX55" s="60">
        <f t="shared" si="14"/>
        <v>676.01954977643072</v>
      </c>
      <c r="CY55" s="60">
        <f ca="1">AVERAGE(OFFSET($CX$3,0,0,'Données projet'!$E$13+1,1))-AVERAGE(OFFSET($H$3,0,0,'Données projet'!$E$13+1,1))</f>
        <v>350.3652766444938</v>
      </c>
      <c r="CZ55" s="60">
        <f t="shared" si="42"/>
        <v>197.04549436738586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173</v>
      </c>
      <c r="DP55" s="18">
        <f>DO55*VLOOKUP('Données projet'!$B$14,Paramètres!$A$1:$I$89,3,0)*VLOOKUP('Données projet'!$B$14,Paramètres!$A$1:$I$89,5,0)</f>
        <v>186.21719999999999</v>
      </c>
      <c r="DQ55" s="14">
        <f t="shared" si="43"/>
        <v>46.702653149673253</v>
      </c>
      <c r="DR55" s="22">
        <f t="shared" si="16"/>
        <v>405.66874423568089</v>
      </c>
      <c r="DS55" s="60">
        <f t="shared" si="17"/>
        <v>699.0020775690142</v>
      </c>
      <c r="DT55" s="60">
        <f ca="1">AVERAGE(OFFSET($DS$3,0,0,'Données projet'!$E$14+1,1))-AVERAGE(OFFSET($H$3,0,0,'Données projet'!$E$14+1,1))</f>
        <v>376.96388721258387</v>
      </c>
      <c r="DU55" s="60">
        <f t="shared" si="44"/>
        <v>211.14628470344377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8</v>
      </c>
      <c r="EJ55" s="13">
        <f>IF('Données projet'!$A$192&gt;35,EJ54+EI55-ER54,IF(A55&lt;'Données projet'!$A$192,$EG$205^A55,IF(A55='Données projet'!$A$192,'Données projet'!$B$192,EJ54+EI55-ER54)))</f>
        <v>173</v>
      </c>
      <c r="EK55" s="18">
        <f>EJ55*VLOOKUP('Données projet'!$B$15,Paramètres!$A$1:$I$89,3,0)*VLOOKUP('Données projet'!$B$15,Paramètres!$A$1:$I$89,5,0)</f>
        <v>167.32560000000001</v>
      </c>
      <c r="EL55" s="14">
        <f t="shared" si="45"/>
        <v>42.490495297127609</v>
      </c>
      <c r="EM55" s="22">
        <f t="shared" si="19"/>
        <v>365.42969930916388</v>
      </c>
      <c r="EN55" s="60">
        <f t="shared" si="20"/>
        <v>658.76303264249714</v>
      </c>
      <c r="EO55" s="60">
        <f ca="1">AVERAGE(OFFSET($EN$3,0,0,'Données projet'!$E$15+1,1))-AVERAGE(OFFSET($H$3,0,0,'Données projet'!$E$15+1,1))</f>
        <v>330.39429528665841</v>
      </c>
      <c r="EP55" s="60">
        <f t="shared" si="46"/>
        <v>186.45728006007261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8">
        <f t="shared" si="1"/>
        <v>359.43263608567548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-5.6843418860808015E-14</v>
      </c>
      <c r="O56" s="14">
        <f>N56*VLOOKUP('Données projet'!$B$9,Paramètres!$A$1:$I$89,3,0)*VLOOKUP('Données projet'!$B$9,Paramètres!$A$1:$I$89,5,0)</f>
        <v>-3.3992364478763198E-14</v>
      </c>
      <c r="P56" s="14" t="e">
        <f t="shared" si="33"/>
        <v>#NUM!</v>
      </c>
      <c r="Q56" s="22" t="e">
        <f t="shared" si="53"/>
        <v>#NUM!</v>
      </c>
      <c r="R56" s="60" t="e">
        <f t="shared" si="0"/>
        <v>#NUM!</v>
      </c>
      <c r="S56" s="60">
        <f ca="1">AVERAGE(OFFSET($R$3,0,0,'Données projet'!$E$9+1,1))-AVERAGE(OFFSET($H$3,0,0,'Données projet'!$E$9+1,1))</f>
        <v>155.11440101086782</v>
      </c>
      <c r="T56" s="60">
        <f t="shared" si="34"/>
        <v>239.53454701506638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8.5584737322486895</v>
      </c>
      <c r="AA56" s="23">
        <f>EXP(-LN(2)/25)*AA55+(1-EXP(-LN(2)/25))/(LN(2)/25)*Calculateur!V56*Calculateur!X56*VLOOKUP('Données projet'!$B$9,Paramètres!$A$1:$I$89,3,0)*0.475*44/12</f>
        <v>3.827481660639652</v>
      </c>
      <c r="AB56" s="23">
        <f>EXP(-LN(2)/2)*AB55+(1-EXP(-LN(2)/2))/(LN(2)/2)*V56*Y56*VLOOKUP('Données projet'!$B$9,Paramètres!$A$1:$I$89,3,0)*0.475*44/12</f>
        <v>1.0181726785225187E-3</v>
      </c>
      <c r="AC56" s="24">
        <f t="shared" si="3"/>
        <v>12.386973565566864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17.285714285714285</v>
      </c>
      <c r="AI56" s="14">
        <f>IF('Données projet'!$A$62&gt;35,AI55+AH56-AQ55,IF(A56&lt;'Données projet'!$A$62,$AF$205^A56,IF(A56='Données projet'!$A$62,'Données projet'!$B$62,AI55+AH56-AQ55)))</f>
        <v>462.14285714285694</v>
      </c>
      <c r="AJ56" s="14">
        <f>AI56*VLOOKUP('Données projet'!$B$10,Paramètres!$A$1:$I$89,3,0)*VLOOKUP('Données projet'!$B$10,Paramètres!$A$1:$I$89,5,0)</f>
        <v>258.33785714285705</v>
      </c>
      <c r="AK56" s="14">
        <f t="shared" si="35"/>
        <v>62.367944130057822</v>
      </c>
      <c r="AL56" s="22">
        <f t="shared" si="4"/>
        <v>558.56260388366002</v>
      </c>
      <c r="AM56" s="60">
        <f t="shared" si="5"/>
        <v>851.89593721699339</v>
      </c>
      <c r="AN56" s="60">
        <f ca="1">AVERAGE(OFFSET($AM$3,0,0,'Données projet'!$E$10+1,1))-AVERAGE(OFFSET($H$3,0,0,'Données projet'!$E$10+1,1))</f>
        <v>302.20483575440988</v>
      </c>
      <c r="AO56" s="60">
        <f t="shared" si="36"/>
        <v>275.32862097158687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3.6539064998503212</v>
      </c>
      <c r="AW56" s="23">
        <f>EXP(-LN(2)/2)*AW55+(1-EXP(-LN(2)/2))/(LN(2)/2)*AQ56*AT56*VLOOKUP('Données projet'!$B$10,Paramètres!$A$1:$I$89,3,0)*0.475*44/12</f>
        <v>3.0404986798407679E-3</v>
      </c>
      <c r="AX56" s="23">
        <f t="shared" si="6"/>
        <v>3.6569469985301621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7.4</v>
      </c>
      <c r="BD56" s="13">
        <f>IF('Données projet'!$A$88&gt;35,BD55+BC56-BL55,IF(A56&lt;'Données projet'!$A$88,$BA$205^A56,IF(A56='Données projet'!$A$88,'Données projet'!$B$88,BD55+BC56-BL55)))</f>
        <v>252.20000000000013</v>
      </c>
      <c r="BE56" s="14">
        <f>BD56*VLOOKUP('Données projet'!$B$11,Paramètres!$A$1:$I$89,3,0)*VLOOKUP('Données projet'!$B$11,Paramètres!$A$1:$I$89,5,0)</f>
        <v>220.32192000000015</v>
      </c>
      <c r="BF56" s="14">
        <f t="shared" si="37"/>
        <v>54.18484748666981</v>
      </c>
      <c r="BG56" s="22">
        <f t="shared" si="7"/>
        <v>478.09928670595019</v>
      </c>
      <c r="BH56" s="60">
        <f t="shared" si="8"/>
        <v>771.43262003928351</v>
      </c>
      <c r="BI56" s="60">
        <f ca="1">AVERAGE(OFFSET($BH$3,0,0,'Données projet'!$E$11+1,1))-AVERAGE(OFFSET($H$3,0,0,'Données projet'!$E$11+1,1))</f>
        <v>314.62110015707839</v>
      </c>
      <c r="BJ56" s="60">
        <f t="shared" si="38"/>
        <v>285.36905470736582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181</v>
      </c>
      <c r="BZ56" s="14">
        <f>BY56*VLOOKUP('Données projet'!$B$12,Paramètres!$A$1:$I$89,3,0)*VLOOKUP('Données projet'!$B$12,Paramètres!$A$1:$I$89,5,0)</f>
        <v>163.7688</v>
      </c>
      <c r="CA56" s="14">
        <f t="shared" si="39"/>
        <v>41.691423503509803</v>
      </c>
      <c r="CB56" s="22">
        <f t="shared" si="10"/>
        <v>357.84322260194625</v>
      </c>
      <c r="CC56" s="60">
        <f t="shared" si="11"/>
        <v>651.17655593527957</v>
      </c>
      <c r="CD56" s="60">
        <f ca="1">AVERAGE(OFFSET($CC$3,0,0,'Données projet'!$E$12+1,1))-AVERAGE(OFFSET($H$3,0,0,'Données projet'!$E$12+1,1))</f>
        <v>303.73499739059076</v>
      </c>
      <c r="CE56" s="60">
        <f t="shared" si="40"/>
        <v>172.32171001882188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181</v>
      </c>
      <c r="CU56" s="18">
        <f>CT56*VLOOKUP('Données projet'!$B$13,Paramètres!$A$1:$I$89,3,0)*VLOOKUP('Données projet'!$B$13,Paramètres!$A$1:$I$89,5,0)</f>
        <v>183.53400000000002</v>
      </c>
      <c r="CV56" s="14">
        <f t="shared" si="41"/>
        <v>46.107544136839593</v>
      </c>
      <c r="CW56" s="22">
        <f t="shared" si="13"/>
        <v>399.95902270499568</v>
      </c>
      <c r="CX56" s="60">
        <f t="shared" si="14"/>
        <v>693.29235603832899</v>
      </c>
      <c r="CY56" s="60">
        <f ca="1">AVERAGE(OFFSET($CX$3,0,0,'Données projet'!$E$13+1,1))-AVERAGE(OFFSET($H$3,0,0,'Données projet'!$E$13+1,1))</f>
        <v>350.3652766444938</v>
      </c>
      <c r="CZ56" s="60">
        <f t="shared" si="42"/>
        <v>197.04549436738586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181</v>
      </c>
      <c r="DP56" s="18">
        <f>DO56*VLOOKUP('Données projet'!$B$14,Paramètres!$A$1:$I$89,3,0)*VLOOKUP('Données projet'!$B$14,Paramètres!$A$1:$I$89,5,0)</f>
        <v>194.82839999999999</v>
      </c>
      <c r="DQ56" s="14">
        <f t="shared" si="43"/>
        <v>48.605879434898533</v>
      </c>
      <c r="DR56" s="22">
        <f t="shared" si="16"/>
        <v>423.98137001578152</v>
      </c>
      <c r="DS56" s="60">
        <f t="shared" si="17"/>
        <v>717.31470334911478</v>
      </c>
      <c r="DT56" s="60">
        <f ca="1">AVERAGE(OFFSET($DS$3,0,0,'Données projet'!$E$14+1,1))-AVERAGE(OFFSET($H$3,0,0,'Données projet'!$E$14+1,1))</f>
        <v>376.96388721258387</v>
      </c>
      <c r="DU56" s="60">
        <f t="shared" si="44"/>
        <v>211.14628470344377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8</v>
      </c>
      <c r="EJ56" s="13">
        <f>IF('Données projet'!$A$192&gt;35,EJ55+EI56-ER55,IF(A56&lt;'Données projet'!$A$192,$EG$205^A56,IF(A56='Données projet'!$A$192,'Données projet'!$B$192,EJ55+EI56-ER55)))</f>
        <v>181</v>
      </c>
      <c r="EK56" s="18">
        <f>EJ56*VLOOKUP('Données projet'!$B$15,Paramètres!$A$1:$I$89,3,0)*VLOOKUP('Données projet'!$B$15,Paramètres!$A$1:$I$89,5,0)</f>
        <v>175.06319999999999</v>
      </c>
      <c r="EL56" s="14">
        <f t="shared" si="45"/>
        <v>44.22206774682472</v>
      </c>
      <c r="EM56" s="22">
        <f t="shared" si="19"/>
        <v>381.9218413257197</v>
      </c>
      <c r="EN56" s="60">
        <f t="shared" si="20"/>
        <v>675.25517465905295</v>
      </c>
      <c r="EO56" s="60">
        <f ca="1">AVERAGE(OFFSET($EN$3,0,0,'Données projet'!$E$15+1,1))-AVERAGE(OFFSET($H$3,0,0,'Données projet'!$E$15+1,1))</f>
        <v>330.39429528665841</v>
      </c>
      <c r="EP56" s="60">
        <f t="shared" si="46"/>
        <v>186.45728006007261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8">
        <f t="shared" si="1"/>
        <v>360.64502887754611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-5.6843418860808015E-14</v>
      </c>
      <c r="O57" s="14">
        <f>N57*VLOOKUP('Données projet'!$B$9,Paramètres!$A$1:$I$89,3,0)*VLOOKUP('Données projet'!$B$9,Paramètres!$A$1:$I$89,5,0)</f>
        <v>-3.3992364478763198E-14</v>
      </c>
      <c r="P57" s="14" t="e">
        <f t="shared" si="33"/>
        <v>#NUM!</v>
      </c>
      <c r="Q57" s="22" t="e">
        <f t="shared" si="53"/>
        <v>#NUM!</v>
      </c>
      <c r="R57" s="60" t="e">
        <f t="shared" si="0"/>
        <v>#NUM!</v>
      </c>
      <c r="S57" s="60">
        <f ca="1">AVERAGE(OFFSET($R$3,0,0,'Données projet'!$E$9+1,1))-AVERAGE(OFFSET($H$3,0,0,'Données projet'!$E$9+1,1))</f>
        <v>155.11440101086782</v>
      </c>
      <c r="T57" s="60">
        <f t="shared" si="34"/>
        <v>239.53454701506638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8.3906472825128215</v>
      </c>
      <c r="AA57" s="23">
        <f>EXP(-LN(2)/25)*AA56+(1-EXP(-LN(2)/25))/(LN(2)/25)*Calculateur!V57*Calculateur!X57*VLOOKUP('Données projet'!$B$9,Paramètres!$A$1:$I$89,3,0)*0.475*44/12</f>
        <v>3.722818973350948</v>
      </c>
      <c r="AB57" s="23">
        <f>EXP(-LN(2)/2)*AB56+(1-EXP(-LN(2)/2))/(LN(2)/2)*V57*Y57*VLOOKUP('Données projet'!$B$9,Paramètres!$A$1:$I$89,3,0)*0.475*44/12</f>
        <v>7.1995680540214364E-4</v>
      </c>
      <c r="AC57" s="24">
        <f t="shared" si="3"/>
        <v>12.114186212669171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17.285714285714285</v>
      </c>
      <c r="AI57" s="14">
        <f>IF('Données projet'!$A$62&gt;35,AI56+AH57-AQ56,IF(A57&lt;'Données projet'!$A$62,$AF$205^A57,IF(A57='Données projet'!$A$62,'Données projet'!$B$62,AI56+AH57-AQ56)))</f>
        <v>479.42857142857122</v>
      </c>
      <c r="AJ57" s="14">
        <f>AI57*VLOOKUP('Données projet'!$B$10,Paramètres!$A$1:$I$89,3,0)*VLOOKUP('Données projet'!$B$10,Paramètres!$A$1:$I$89,5,0)</f>
        <v>268.00057142857128</v>
      </c>
      <c r="AK57" s="14">
        <f t="shared" si="35"/>
        <v>64.42475669606354</v>
      </c>
      <c r="AL57" s="22">
        <f t="shared" si="4"/>
        <v>578.97411315040551</v>
      </c>
      <c r="AM57" s="60">
        <f t="shared" si="5"/>
        <v>872.30744648373889</v>
      </c>
      <c r="AN57" s="60">
        <f ca="1">AVERAGE(OFFSET($AM$3,0,0,'Données projet'!$E$10+1,1))-AVERAGE(OFFSET($H$3,0,0,'Données projet'!$E$10+1,1))</f>
        <v>302.20483575440988</v>
      </c>
      <c r="AO57" s="60">
        <f t="shared" si="36"/>
        <v>275.32862097158687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3.5539902344613226</v>
      </c>
      <c r="AW57" s="23">
        <f>EXP(-LN(2)/2)*AW56+(1-EXP(-LN(2)/2))/(LN(2)/2)*AQ57*AT57*VLOOKUP('Données projet'!$B$10,Paramètres!$A$1:$I$89,3,0)*0.475*44/12</f>
        <v>2.1499572347041525E-3</v>
      </c>
      <c r="AX57" s="23">
        <f t="shared" si="6"/>
        <v>3.5561401916960267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7.4</v>
      </c>
      <c r="BD57" s="13">
        <f>IF('Données projet'!$A$88&gt;35,BD56+BC57-BL56,IF(A57&lt;'Données projet'!$A$88,$BA$205^A57,IF(A57='Données projet'!$A$88,'Données projet'!$B$88,BD56+BC57-BL56)))</f>
        <v>259.60000000000014</v>
      </c>
      <c r="BE57" s="14">
        <f>BD57*VLOOKUP('Données projet'!$B$11,Paramètres!$A$1:$I$89,3,0)*VLOOKUP('Données projet'!$B$11,Paramètres!$A$1:$I$89,5,0)</f>
        <v>226.78656000000015</v>
      </c>
      <c r="BF57" s="14">
        <f t="shared" si="37"/>
        <v>55.587292726829872</v>
      </c>
      <c r="BG57" s="22">
        <f t="shared" si="7"/>
        <v>491.80112683256226</v>
      </c>
      <c r="BH57" s="60">
        <f t="shared" si="8"/>
        <v>785.13446016589558</v>
      </c>
      <c r="BI57" s="60">
        <f ca="1">AVERAGE(OFFSET($BH$3,0,0,'Données projet'!$E$11+1,1))-AVERAGE(OFFSET($H$3,0,0,'Données projet'!$E$11+1,1))</f>
        <v>314.62110015707839</v>
      </c>
      <c r="BJ57" s="60">
        <f t="shared" si="38"/>
        <v>285.36905470736582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189</v>
      </c>
      <c r="BZ57" s="14">
        <f>BY57*VLOOKUP('Données projet'!$B$12,Paramètres!$A$1:$I$89,3,0)*VLOOKUP('Données projet'!$B$12,Paramètres!$A$1:$I$89,5,0)</f>
        <v>171.00719999999998</v>
      </c>
      <c r="CA57" s="14">
        <f t="shared" si="39"/>
        <v>43.315525267338089</v>
      </c>
      <c r="CB57" s="22">
        <f t="shared" si="10"/>
        <v>373.27874650728046</v>
      </c>
      <c r="CC57" s="60">
        <f t="shared" si="11"/>
        <v>666.61207984061377</v>
      </c>
      <c r="CD57" s="60">
        <f ca="1">AVERAGE(OFFSET($CC$3,0,0,'Données projet'!$E$12+1,1))-AVERAGE(OFFSET($H$3,0,0,'Données projet'!$E$12+1,1))</f>
        <v>303.73499739059076</v>
      </c>
      <c r="CE57" s="60">
        <f t="shared" si="40"/>
        <v>172.32171001882188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189</v>
      </c>
      <c r="CU57" s="18">
        <f>CT57*VLOOKUP('Données projet'!$B$13,Paramètres!$A$1:$I$89,3,0)*VLOOKUP('Données projet'!$B$13,Paramètres!$A$1:$I$89,5,0)</f>
        <v>191.64600000000002</v>
      </c>
      <c r="CV57" s="14">
        <f t="shared" si="41"/>
        <v>47.903677189291635</v>
      </c>
      <c r="CW57" s="22">
        <f t="shared" si="13"/>
        <v>417.21568777134962</v>
      </c>
      <c r="CX57" s="60">
        <f t="shared" si="14"/>
        <v>710.54902110468288</v>
      </c>
      <c r="CY57" s="60">
        <f ca="1">AVERAGE(OFFSET($CX$3,0,0,'Données projet'!$E$13+1,1))-AVERAGE(OFFSET($H$3,0,0,'Données projet'!$E$13+1,1))</f>
        <v>350.3652766444938</v>
      </c>
      <c r="CZ57" s="60">
        <f t="shared" si="42"/>
        <v>197.04549436738586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189</v>
      </c>
      <c r="DP57" s="18">
        <f>DO57*VLOOKUP('Données projet'!$B$14,Paramètres!$A$1:$I$89,3,0)*VLOOKUP('Données projet'!$B$14,Paramètres!$A$1:$I$89,5,0)</f>
        <v>203.43960000000001</v>
      </c>
      <c r="DQ57" s="14">
        <f t="shared" si="43"/>
        <v>50.499335879627459</v>
      </c>
      <c r="DR57" s="22">
        <f t="shared" si="16"/>
        <v>442.27697999035109</v>
      </c>
      <c r="DS57" s="60">
        <f t="shared" si="17"/>
        <v>735.61031332368441</v>
      </c>
      <c r="DT57" s="60">
        <f ca="1">AVERAGE(OFFSET($DS$3,0,0,'Données projet'!$E$14+1,1))-AVERAGE(OFFSET($H$3,0,0,'Données projet'!$E$14+1,1))</f>
        <v>376.96388721258387</v>
      </c>
      <c r="DU57" s="60">
        <f t="shared" si="44"/>
        <v>211.14628470344377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8</v>
      </c>
      <c r="EJ57" s="13">
        <f>IF('Données projet'!$A$192&gt;35,EJ56+EI57-ER56,IF(A57&lt;'Données projet'!$A$192,$EG$205^A57,IF(A57='Données projet'!$A$192,'Données projet'!$B$192,EJ56+EI57-ER56)))</f>
        <v>189</v>
      </c>
      <c r="EK57" s="18">
        <f>EJ57*VLOOKUP('Données projet'!$B$15,Paramètres!$A$1:$I$89,3,0)*VLOOKUP('Données projet'!$B$15,Paramètres!$A$1:$I$89,5,0)</f>
        <v>182.80079999999998</v>
      </c>
      <c r="EL57" s="14">
        <f t="shared" si="45"/>
        <v>45.944751507471658</v>
      </c>
      <c r="EM57" s="22">
        <f t="shared" si="19"/>
        <v>398.39850220884642</v>
      </c>
      <c r="EN57" s="60">
        <f t="shared" si="20"/>
        <v>691.73183554217974</v>
      </c>
      <c r="EO57" s="60">
        <f ca="1">AVERAGE(OFFSET($EN$3,0,0,'Données projet'!$E$15+1,1))-AVERAGE(OFFSET($H$3,0,0,'Données projet'!$E$15+1,1))</f>
        <v>330.39429528665841</v>
      </c>
      <c r="EP57" s="60">
        <f t="shared" si="46"/>
        <v>186.45728006007261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8">
        <f t="shared" si="1"/>
        <v>361.85685868788795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-5.6843418860808015E-14</v>
      </c>
      <c r="O58" s="14">
        <f>N58*VLOOKUP('Données projet'!$B$9,Paramètres!$A$1:$I$89,3,0)*VLOOKUP('Données projet'!$B$9,Paramètres!$A$1:$I$89,5,0)</f>
        <v>-3.3992364478763198E-14</v>
      </c>
      <c r="P58" s="14" t="e">
        <f t="shared" si="33"/>
        <v>#NUM!</v>
      </c>
      <c r="Q58" s="22" t="e">
        <f t="shared" si="53"/>
        <v>#NUM!</v>
      </c>
      <c r="R58" s="60" t="e">
        <f t="shared" si="0"/>
        <v>#NUM!</v>
      </c>
      <c r="S58" s="60">
        <f ca="1">AVERAGE(OFFSET($R$3,0,0,'Données projet'!$E$9+1,1))-AVERAGE(OFFSET($H$3,0,0,'Données projet'!$E$9+1,1))</f>
        <v>155.11440101086782</v>
      </c>
      <c r="T58" s="60">
        <f t="shared" si="34"/>
        <v>239.53454701506638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8.2261118070922485</v>
      </c>
      <c r="AA58" s="23">
        <f>EXP(-LN(2)/25)*AA57+(1-EXP(-LN(2)/25))/(LN(2)/25)*Calculateur!V58*Calculateur!X58*VLOOKUP('Données projet'!$B$9,Paramètres!$A$1:$I$89,3,0)*0.475*44/12</f>
        <v>3.6210182927501253</v>
      </c>
      <c r="AB58" s="23">
        <f>EXP(-LN(2)/2)*AB57+(1-EXP(-LN(2)/2))/(LN(2)/2)*V58*Y58*VLOOKUP('Données projet'!$B$9,Paramètres!$A$1:$I$89,3,0)*0.475*44/12</f>
        <v>5.0908633926125934E-4</v>
      </c>
      <c r="AC58" s="24">
        <f t="shared" si="3"/>
        <v>11.847639186181636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17.285714285714285</v>
      </c>
      <c r="AI58" s="14">
        <f>IF('Données projet'!$A$62&gt;35,AI57+AH58-AQ57,IF(A58&lt;'Données projet'!$A$62,$AF$205^A58,IF(A58='Données projet'!$A$62,'Données projet'!$B$62,AI57+AH58-AQ57)))</f>
        <v>496.7142857142855</v>
      </c>
      <c r="AJ58" s="14">
        <f>AI58*VLOOKUP('Données projet'!$B$10,Paramètres!$A$1:$I$89,3,0)*VLOOKUP('Données projet'!$B$10,Paramètres!$A$1:$I$89,5,0)</f>
        <v>277.66328571428562</v>
      </c>
      <c r="AK58" s="14">
        <f t="shared" si="35"/>
        <v>66.47295338451616</v>
      </c>
      <c r="AL58" s="22">
        <f t="shared" si="4"/>
        <v>599.37061643041295</v>
      </c>
      <c r="AM58" s="60">
        <f t="shared" si="5"/>
        <v>892.70394976374632</v>
      </c>
      <c r="AN58" s="60">
        <f ca="1">AVERAGE(OFFSET($AM$3,0,0,'Données projet'!$E$10+1,1))-AVERAGE(OFFSET($H$3,0,0,'Données projet'!$E$10+1,1))</f>
        <v>302.20483575440988</v>
      </c>
      <c r="AO58" s="60">
        <f t="shared" si="36"/>
        <v>275.32862097158687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3.4568061846037539</v>
      </c>
      <c r="AW58" s="23">
        <f>EXP(-LN(2)/2)*AW57+(1-EXP(-LN(2)/2))/(LN(2)/2)*AQ58*AT58*VLOOKUP('Données projet'!$B$10,Paramètres!$A$1:$I$89,3,0)*0.475*44/12</f>
        <v>1.5202493399203839E-3</v>
      </c>
      <c r="AX58" s="23">
        <f t="shared" si="6"/>
        <v>3.4583264339436743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267</v>
      </c>
      <c r="BB58" s="13">
        <f>VLOOKUP(A58,'Données projet'!$A$87:$I$107,9,0)</f>
        <v>7.4</v>
      </c>
      <c r="BC58" s="13">
        <f t="array" ref="BC58">INDEX(BB:BB,MIN(IF(ISNUMBER(BB58:BB254),ROW(BB58:BB254),"")))</f>
        <v>7.4</v>
      </c>
      <c r="BD58" s="13">
        <f>IF('Données projet'!$A$88&gt;35,BD57+BC58-BL57,IF(A58&lt;'Données projet'!$A$88,$BA$205^A58,IF(A58='Données projet'!$A$88,'Données projet'!$B$88,BD57+BC58-BL57)))</f>
        <v>267.00000000000011</v>
      </c>
      <c r="BE58" s="14">
        <f>BD58*VLOOKUP('Données projet'!$B$11,Paramètres!$A$1:$I$89,3,0)*VLOOKUP('Données projet'!$B$11,Paramètres!$A$1:$I$89,5,0)</f>
        <v>233.25120000000013</v>
      </c>
      <c r="BF58" s="14">
        <f t="shared" si="37"/>
        <v>56.985091661350914</v>
      </c>
      <c r="BG58" s="22">
        <f t="shared" si="7"/>
        <v>505.49487464351972</v>
      </c>
      <c r="BH58" s="60">
        <f t="shared" si="8"/>
        <v>798.82820797685304</v>
      </c>
      <c r="BI58" s="60">
        <f ca="1">AVERAGE(OFFSET($BH$3,0,0,'Données projet'!$E$11+1,1))-AVERAGE(OFFSET($H$3,0,0,'Données projet'!$E$11+1,1))</f>
        <v>314.62110015707839</v>
      </c>
      <c r="BJ58" s="60">
        <f t="shared" si="38"/>
        <v>285.36905470736582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54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197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197</v>
      </c>
      <c r="BZ58" s="14">
        <f>BY58*VLOOKUP('Données projet'!$B$12,Paramètres!$A$1:$I$89,3,0)*VLOOKUP('Données projet'!$B$12,Paramètres!$A$1:$I$89,5,0)</f>
        <v>178.2456</v>
      </c>
      <c r="CA58" s="14">
        <f t="shared" si="39"/>
        <v>44.931642269910427</v>
      </c>
      <c r="CB58" s="22">
        <f t="shared" si="10"/>
        <v>388.70036362009404</v>
      </c>
      <c r="CC58" s="60">
        <f t="shared" si="11"/>
        <v>682.03369695342735</v>
      </c>
      <c r="CD58" s="60">
        <f ca="1">AVERAGE(OFFSET($CC$3,0,0,'Données projet'!$E$12+1,1))-AVERAGE(OFFSET($H$3,0,0,'Données projet'!$E$12+1,1))</f>
        <v>303.73499739059076</v>
      </c>
      <c r="CE58" s="60">
        <f t="shared" si="40"/>
        <v>172.32171001882188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197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197</v>
      </c>
      <c r="CU58" s="18">
        <f>CT58*VLOOKUP('Données projet'!$B$13,Paramètres!$A$1:$I$89,3,0)*VLOOKUP('Données projet'!$B$13,Paramètres!$A$1:$I$89,5,0)</f>
        <v>199.75800000000004</v>
      </c>
      <c r="CV58" s="14">
        <f t="shared" si="41"/>
        <v>49.690979702964015</v>
      </c>
      <c r="CW58" s="22">
        <f t="shared" si="13"/>
        <v>434.45697298266236</v>
      </c>
      <c r="CX58" s="60">
        <f t="shared" si="14"/>
        <v>727.79030631599562</v>
      </c>
      <c r="CY58" s="60">
        <f ca="1">AVERAGE(OFFSET($CX$3,0,0,'Données projet'!$E$13+1,1))-AVERAGE(OFFSET($H$3,0,0,'Données projet'!$E$13+1,1))</f>
        <v>350.3652766444938</v>
      </c>
      <c r="CZ58" s="60">
        <f t="shared" si="42"/>
        <v>197.04549436738586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197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197</v>
      </c>
      <c r="DP58" s="18">
        <f>DO58*VLOOKUP('Données projet'!$B$14,Paramètres!$A$1:$I$89,3,0)*VLOOKUP('Données projet'!$B$14,Paramètres!$A$1:$I$89,5,0)</f>
        <v>212.05079999999998</v>
      </c>
      <c r="DQ58" s="14">
        <f t="shared" si="43"/>
        <v>52.383483303212302</v>
      </c>
      <c r="DR58" s="22">
        <f t="shared" si="16"/>
        <v>460.55637675309475</v>
      </c>
      <c r="DS58" s="60">
        <f t="shared" si="17"/>
        <v>753.88971008642807</v>
      </c>
      <c r="DT58" s="60">
        <f ca="1">AVERAGE(OFFSET($DS$3,0,0,'Données projet'!$E$14+1,1))-AVERAGE(OFFSET($H$3,0,0,'Données projet'!$E$14+1,1))</f>
        <v>376.96388721258387</v>
      </c>
      <c r="DU58" s="60">
        <f t="shared" si="44"/>
        <v>211.14628470344377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197</v>
      </c>
      <c r="EH58" s="13">
        <f>VLOOKUP(A58,'Données projet'!$A$191:$I$211,9,0)</f>
        <v>8</v>
      </c>
      <c r="EI58" s="13">
        <f t="array" ref="EI58">INDEX(EH:EH,MIN(IF(ISNUMBER(EH58:EH254),ROW(EH58:EH254),"")))</f>
        <v>8</v>
      </c>
      <c r="EJ58" s="13">
        <f>IF('Données projet'!$A$192&gt;35,EJ57+EI58-ER57,IF(A58&lt;'Données projet'!$A$192,$EG$205^A58,IF(A58='Données projet'!$A$192,'Données projet'!$B$192,EJ57+EI58-ER57)))</f>
        <v>197</v>
      </c>
      <c r="EK58" s="18">
        <f>EJ58*VLOOKUP('Données projet'!$B$15,Paramètres!$A$1:$I$89,3,0)*VLOOKUP('Données projet'!$B$15,Paramètres!$A$1:$I$89,5,0)</f>
        <v>190.5384</v>
      </c>
      <c r="EL58" s="14">
        <f t="shared" si="45"/>
        <v>47.658965836673829</v>
      </c>
      <c r="EM58" s="22">
        <f t="shared" si="19"/>
        <v>414.86041216554025</v>
      </c>
      <c r="EN58" s="60">
        <f t="shared" si="20"/>
        <v>708.19374549887357</v>
      </c>
      <c r="EO58" s="60">
        <f ca="1">AVERAGE(OFFSET($EN$3,0,0,'Données projet'!$E$15+1,1))-AVERAGE(OFFSET($H$3,0,0,'Données projet'!$E$15+1,1))</f>
        <v>330.39429528665841</v>
      </c>
      <c r="EP58" s="60">
        <f t="shared" si="46"/>
        <v>186.45728006007261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8">
        <f t="shared" si="1"/>
        <v>363.068136933387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-5.6843418860808015E-14</v>
      </c>
      <c r="O59" s="14">
        <f>N59*VLOOKUP('Données projet'!$B$9,Paramètres!$A$1:$I$89,3,0)*VLOOKUP('Données projet'!$B$9,Paramètres!$A$1:$I$89,5,0)</f>
        <v>-3.3992364478763198E-14</v>
      </c>
      <c r="P59" s="14" t="e">
        <f t="shared" si="33"/>
        <v>#NUM!</v>
      </c>
      <c r="Q59" s="22" t="e">
        <f t="shared" si="53"/>
        <v>#NUM!</v>
      </c>
      <c r="R59" s="60" t="e">
        <f t="shared" si="0"/>
        <v>#NUM!</v>
      </c>
      <c r="S59" s="60">
        <f ca="1">AVERAGE(OFFSET($R$3,0,0,'Données projet'!$E$9+1,1))-AVERAGE(OFFSET($H$3,0,0,'Données projet'!$E$9+1,1))</f>
        <v>155.11440101086782</v>
      </c>
      <c r="T59" s="60">
        <f t="shared" si="34"/>
        <v>239.53454701506638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8.0648027719879423</v>
      </c>
      <c r="AA59" s="23">
        <f>EXP(-LN(2)/25)*AA58+(1-EXP(-LN(2)/25))/(LN(2)/25)*Calculateur!V59*Calculateur!X59*VLOOKUP('Données projet'!$B$9,Paramètres!$A$1:$I$89,3,0)*0.475*44/12</f>
        <v>3.5220013571137971</v>
      </c>
      <c r="AB59" s="23">
        <f>EXP(-LN(2)/2)*AB58+(1-EXP(-LN(2)/2))/(LN(2)/2)*V59*Y59*VLOOKUP('Données projet'!$B$9,Paramètres!$A$1:$I$89,3,0)*0.475*44/12</f>
        <v>3.5997840270107182E-4</v>
      </c>
      <c r="AC59" s="24">
        <f t="shared" si="3"/>
        <v>11.58716410750444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>
        <f>VLOOKUP(A59,'Données projet'!$A$61:$I$81,2,0)</f>
        <v>514</v>
      </c>
      <c r="AG59" s="13">
        <f>VLOOKUP(A59,'Données projet'!$A$61:$I$81,9,0)</f>
        <v>17.285714285714285</v>
      </c>
      <c r="AH59" s="13">
        <f t="array" ref="AH59">INDEX(AG:AG,MIN(IF(ISNUMBER(AG59:AG255),ROW(AG59:AG255),"")))</f>
        <v>17.285714285714285</v>
      </c>
      <c r="AI59" s="14">
        <f>IF('Données projet'!$A$62&gt;35,AI58+AH59-AQ58,IF(A59&lt;'Données projet'!$A$62,$AF$205^A59,IF(A59='Données projet'!$A$62,'Données projet'!$B$62,AI58+AH59-AQ58)))</f>
        <v>513.99999999999977</v>
      </c>
      <c r="AJ59" s="14">
        <f>AI59*VLOOKUP('Données projet'!$B$10,Paramètres!$A$1:$I$89,3,0)*VLOOKUP('Données projet'!$B$10,Paramètres!$A$1:$I$89,5,0)</f>
        <v>287.32599999999985</v>
      </c>
      <c r="AK59" s="14">
        <f t="shared" si="35"/>
        <v>68.512868389632061</v>
      </c>
      <c r="AL59" s="22">
        <f t="shared" si="4"/>
        <v>619.75269577860888</v>
      </c>
      <c r="AM59" s="60">
        <f t="shared" si="5"/>
        <v>913.08602911194225</v>
      </c>
      <c r="AN59" s="60">
        <f ca="1">AVERAGE(OFFSET($AM$3,0,0,'Données projet'!$E$10+1,1))-AVERAGE(OFFSET($H$3,0,0,'Données projet'!$E$10+1,1))</f>
        <v>302.20483575440988</v>
      </c>
      <c r="AO59" s="60">
        <f t="shared" si="36"/>
        <v>275.32862097158687</v>
      </c>
      <c r="AP59" s="16">
        <f>IF(ISNA(VLOOKUP(A59,'Données projet'!$A$61:$I$81,3,0)),0,VLOOKUP(A59,'Données projet'!$A$61:$I$81,3,0))</f>
        <v>6</v>
      </c>
      <c r="AQ59" s="16">
        <f>IF(ISNA(VLOOKUP(A59,'Données projet'!$A$61:$I$81,4,0)),0,VLOOKUP(A59,'Données projet'!$A$61:$I$81,4,0))</f>
        <v>85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3.3622796377002278</v>
      </c>
      <c r="AW59" s="23">
        <f>EXP(-LN(2)/2)*AW58+(1-EXP(-LN(2)/2))/(LN(2)/2)*AQ59*AT59*VLOOKUP('Données projet'!$B$10,Paramètres!$A$1:$I$89,3,0)*0.475*44/12</f>
        <v>1.0749786173520762E-3</v>
      </c>
      <c r="AX59" s="23">
        <f t="shared" si="6"/>
        <v>3.3633546163175798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6.6</v>
      </c>
      <c r="BD59" s="13">
        <f>IF('Données projet'!$A$88&gt;35,BD58+BC59-BL58,IF(A59&lt;'Données projet'!$A$88,$BA$205^A59,IF(A59='Données projet'!$A$88,'Données projet'!$B$88,BD58+BC59-BL58)))</f>
        <v>219.60000000000014</v>
      </c>
      <c r="BE59" s="14">
        <f>BD59*VLOOKUP('Données projet'!$B$11,Paramètres!$A$1:$I$89,3,0)*VLOOKUP('Données projet'!$B$11,Paramètres!$A$1:$I$89,5,0)</f>
        <v>191.84256000000013</v>
      </c>
      <c r="BF59" s="14">
        <f t="shared" si="37"/>
        <v>47.947087613384845</v>
      </c>
      <c r="BG59" s="22">
        <f t="shared" si="7"/>
        <v>417.6336362599788</v>
      </c>
      <c r="BH59" s="60">
        <f t="shared" si="8"/>
        <v>710.96696959331211</v>
      </c>
      <c r="BI59" s="60">
        <f ca="1">AVERAGE(OFFSET($BH$3,0,0,'Données projet'!$E$11+1,1))-AVERAGE(OFFSET($H$3,0,0,'Données projet'!$E$11+1,1))</f>
        <v>314.62110015707839</v>
      </c>
      <c r="BJ59" s="60">
        <f t="shared" si="38"/>
        <v>285.36905470736582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204.6</v>
      </c>
      <c r="BZ59" s="14">
        <f>BY59*VLOOKUP('Données projet'!$B$12,Paramètres!$A$1:$I$89,3,0)*VLOOKUP('Données projet'!$B$12,Paramètres!$A$1:$I$89,5,0)</f>
        <v>185.12207999999998</v>
      </c>
      <c r="CA59" s="14">
        <f t="shared" si="39"/>
        <v>46.459887003478677</v>
      </c>
      <c r="CB59" s="22">
        <f t="shared" si="10"/>
        <v>403.33859253105862</v>
      </c>
      <c r="CC59" s="60">
        <f t="shared" si="11"/>
        <v>696.67192586439194</v>
      </c>
      <c r="CD59" s="60">
        <f ca="1">AVERAGE(OFFSET($CC$3,0,0,'Données projet'!$E$12+1,1))-AVERAGE(OFFSET($H$3,0,0,'Données projet'!$E$12+1,1))</f>
        <v>303.73499739059076</v>
      </c>
      <c r="CE59" s="60">
        <f t="shared" si="40"/>
        <v>172.32171001882188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7.6</v>
      </c>
      <c r="CT59" s="13">
        <f>IF('Données projet'!$A$140&gt;35,CT58+CS59-DB58,IF(A59&lt;'Données projet'!$A$140,$CQ$205^A59,IF(A59='Données projet'!$A$140,'Données projet'!$B$140,CT58+CS59-DB58)))</f>
        <v>204.6</v>
      </c>
      <c r="CU59" s="18">
        <f>CT59*VLOOKUP('Données projet'!$B$13,Paramètres!$A$1:$I$89,3,0)*VLOOKUP('Données projet'!$B$13,Paramètres!$A$1:$I$89,5,0)</f>
        <v>207.46440000000001</v>
      </c>
      <c r="CV59" s="14">
        <f t="shared" si="41"/>
        <v>51.381102169014063</v>
      </c>
      <c r="CW59" s="22">
        <f t="shared" si="13"/>
        <v>450.82258294436616</v>
      </c>
      <c r="CX59" s="60">
        <f t="shared" si="14"/>
        <v>744.15591627769948</v>
      </c>
      <c r="CY59" s="60">
        <f ca="1">AVERAGE(OFFSET($CX$3,0,0,'Données projet'!$E$13+1,1))-AVERAGE(OFFSET($H$3,0,0,'Données projet'!$E$13+1,1))</f>
        <v>350.3652766444938</v>
      </c>
      <c r="CZ59" s="60">
        <f t="shared" si="42"/>
        <v>197.04549436738586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7.6</v>
      </c>
      <c r="DO59" s="13">
        <f>IF('Données projet'!$A$166&gt;35,DO58+DN59-DW58,IF(A59&lt;'Données projet'!$A$166,$DL$205^A59,IF(A59='Données projet'!$A$166,'Données projet'!$B$166,DO58+DN59-DW58)))</f>
        <v>204.6</v>
      </c>
      <c r="DP59" s="18">
        <f>DO59*VLOOKUP('Données projet'!$B$14,Paramètres!$A$1:$I$89,3,0)*VLOOKUP('Données projet'!$B$14,Paramètres!$A$1:$I$89,5,0)</f>
        <v>220.23143999999996</v>
      </c>
      <c r="DQ59" s="14">
        <f t="shared" si="43"/>
        <v>54.165184982469711</v>
      </c>
      <c r="DR59" s="22">
        <f t="shared" si="16"/>
        <v>477.9074551778013</v>
      </c>
      <c r="DS59" s="60">
        <f t="shared" si="17"/>
        <v>771.24078851113461</v>
      </c>
      <c r="DT59" s="60">
        <f ca="1">AVERAGE(OFFSET($DS$3,0,0,'Données projet'!$E$14+1,1))-AVERAGE(OFFSET($H$3,0,0,'Données projet'!$E$14+1,1))</f>
        <v>376.96388721258387</v>
      </c>
      <c r="DU59" s="60">
        <f t="shared" si="44"/>
        <v>211.14628470344377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7.6</v>
      </c>
      <c r="EJ59" s="13">
        <f>IF('Données projet'!$A$192&gt;35,EJ58+EI59-ER58,IF(A59&lt;'Données projet'!$A$192,$EG$205^A59,IF(A59='Données projet'!$A$192,'Données projet'!$B$192,EJ58+EI59-ER58)))</f>
        <v>204.6</v>
      </c>
      <c r="EK59" s="18">
        <f>EJ59*VLOOKUP('Données projet'!$B$15,Paramètres!$A$1:$I$89,3,0)*VLOOKUP('Données projet'!$B$15,Paramètres!$A$1:$I$89,5,0)</f>
        <v>197.88911999999999</v>
      </c>
      <c r="EL59" s="14">
        <f t="shared" si="45"/>
        <v>49.279974103179534</v>
      </c>
      <c r="EM59" s="22">
        <f t="shared" si="19"/>
        <v>430.48617222970438</v>
      </c>
      <c r="EN59" s="60">
        <f t="shared" si="20"/>
        <v>723.81950556303764</v>
      </c>
      <c r="EO59" s="60">
        <f ca="1">AVERAGE(OFFSET($EN$3,0,0,'Données projet'!$E$15+1,1))-AVERAGE(OFFSET($H$3,0,0,'Données projet'!$E$15+1,1))</f>
        <v>330.39429528665841</v>
      </c>
      <c r="EP59" s="60">
        <f t="shared" si="46"/>
        <v>186.45728006007261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8">
        <f t="shared" si="1"/>
        <v>364.27887459963966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-5.6843418860808015E-14</v>
      </c>
      <c r="O60" s="14">
        <f>N60*VLOOKUP('Données projet'!$B$9,Paramètres!$A$1:$I$89,3,0)*VLOOKUP('Données projet'!$B$9,Paramètres!$A$1:$I$89,5,0)</f>
        <v>-3.3992364478763198E-14</v>
      </c>
      <c r="P60" s="14" t="e">
        <f t="shared" si="33"/>
        <v>#NUM!</v>
      </c>
      <c r="Q60" s="22" t="e">
        <f t="shared" si="53"/>
        <v>#NUM!</v>
      </c>
      <c r="R60" s="60" t="e">
        <f t="shared" si="0"/>
        <v>#NUM!</v>
      </c>
      <c r="S60" s="60">
        <f ca="1">AVERAGE(OFFSET($R$3,0,0,'Données projet'!$E$9+1,1))-AVERAGE(OFFSET($H$3,0,0,'Données projet'!$E$9+1,1))</f>
        <v>155.11440101086782</v>
      </c>
      <c r="T60" s="60">
        <f t="shared" si="34"/>
        <v>239.53454701506638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7.9066569086732343</v>
      </c>
      <c r="AA60" s="23">
        <f>EXP(-LN(2)/25)*AA59+(1-EXP(-LN(2)/25))/(LN(2)/25)*Calculateur!V60*Calculateur!X60*VLOOKUP('Données projet'!$B$9,Paramètres!$A$1:$I$89,3,0)*0.475*44/12</f>
        <v>3.4256920447895185</v>
      </c>
      <c r="AB60" s="23">
        <f>EXP(-LN(2)/2)*AB59+(1-EXP(-LN(2)/2))/(LN(2)/2)*V60*Y60*VLOOKUP('Données projet'!$B$9,Paramètres!$A$1:$I$89,3,0)*0.475*44/12</f>
        <v>2.5454316963062967E-4</v>
      </c>
      <c r="AC60" s="24">
        <f t="shared" si="3"/>
        <v>11.332603496632382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15.571428571428571</v>
      </c>
      <c r="AI60" s="14">
        <f>IF('Données projet'!$A$62&gt;35,AI59+AH60-AQ59,IF(A60&lt;'Données projet'!$A$62,$AF$205^A60,IF(A60='Données projet'!$A$62,'Données projet'!$B$62,AI59+AH60-AQ59)))</f>
        <v>444.57142857142833</v>
      </c>
      <c r="AJ60" s="14">
        <f>AI60*VLOOKUP('Données projet'!$B$10,Paramètres!$A$1:$I$89,3,0)*VLOOKUP('Données projet'!$B$10,Paramètres!$A$1:$I$89,5,0)</f>
        <v>248.51542857142846</v>
      </c>
      <c r="AK60" s="14">
        <f t="shared" si="35"/>
        <v>60.267932112745214</v>
      </c>
      <c r="AL60" s="22">
        <f t="shared" si="4"/>
        <v>537.79768652493578</v>
      </c>
      <c r="AM60" s="60">
        <f t="shared" si="5"/>
        <v>831.13101985826916</v>
      </c>
      <c r="AN60" s="60">
        <f ca="1">AVERAGE(OFFSET($AM$3,0,0,'Données projet'!$E$10+1,1))-AVERAGE(OFFSET($H$3,0,0,'Données projet'!$E$10+1,1))</f>
        <v>302.20483575440988</v>
      </c>
      <c r="AO60" s="60">
        <f t="shared" si="36"/>
        <v>275.32862097158687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3.2703379241927135</v>
      </c>
      <c r="AW60" s="23">
        <f>EXP(-LN(2)/2)*AW59+(1-EXP(-LN(2)/2))/(LN(2)/2)*AQ60*AT60*VLOOKUP('Données projet'!$B$10,Paramètres!$A$1:$I$89,3,0)*0.475*44/12</f>
        <v>7.6012466996019197E-4</v>
      </c>
      <c r="AX60" s="23">
        <f t="shared" si="6"/>
        <v>3.2710980488626737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6.6</v>
      </c>
      <c r="BD60" s="13">
        <f>IF('Données projet'!$A$88&gt;35,BD59+BC60-BL59,IF(A60&lt;'Données projet'!$A$88,$BA$205^A60,IF(A60='Données projet'!$A$88,'Données projet'!$B$88,BD59+BC60-BL59)))</f>
        <v>226.20000000000013</v>
      </c>
      <c r="BE60" s="14">
        <f>BD60*VLOOKUP('Données projet'!$B$11,Paramètres!$A$1:$I$89,3,0)*VLOOKUP('Données projet'!$B$11,Paramètres!$A$1:$I$89,5,0)</f>
        <v>197.60832000000013</v>
      </c>
      <c r="BF60" s="14">
        <f t="shared" si="37"/>
        <v>49.218181392381403</v>
      </c>
      <c r="BG60" s="22">
        <f t="shared" si="7"/>
        <v>429.88948992506454</v>
      </c>
      <c r="BH60" s="60">
        <f t="shared" si="8"/>
        <v>723.22282325839785</v>
      </c>
      <c r="BI60" s="60">
        <f ca="1">AVERAGE(OFFSET($BH$3,0,0,'Données projet'!$E$11+1,1))-AVERAGE(OFFSET($H$3,0,0,'Données projet'!$E$11+1,1))</f>
        <v>314.62110015707839</v>
      </c>
      <c r="BJ60" s="60">
        <f t="shared" si="38"/>
        <v>285.36905470736582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212.2</v>
      </c>
      <c r="BZ60" s="14">
        <f>BY60*VLOOKUP('Données projet'!$B$12,Paramètres!$A$1:$I$89,3,0)*VLOOKUP('Données projet'!$B$12,Paramètres!$A$1:$I$89,5,0)</f>
        <v>191.99855999999997</v>
      </c>
      <c r="CA60" s="14">
        <f t="shared" si="39"/>
        <v>47.981536645873334</v>
      </c>
      <c r="CB60" s="22">
        <f t="shared" si="10"/>
        <v>417.96533499156266</v>
      </c>
      <c r="CC60" s="60">
        <f t="shared" si="11"/>
        <v>711.29866832489597</v>
      </c>
      <c r="CD60" s="60">
        <f ca="1">AVERAGE(OFFSET($CC$3,0,0,'Données projet'!$E$12+1,1))-AVERAGE(OFFSET($H$3,0,0,'Données projet'!$E$12+1,1))</f>
        <v>303.73499739059076</v>
      </c>
      <c r="CE60" s="60">
        <f t="shared" si="40"/>
        <v>172.32171001882188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7.6</v>
      </c>
      <c r="CT60" s="13">
        <f>IF('Données projet'!$A$140&gt;35,CT59+CS60-DB59,IF(A60&lt;'Données projet'!$A$140,$CQ$205^A60,IF(A60='Données projet'!$A$140,'Données projet'!$B$140,CT59+CS60-DB59)))</f>
        <v>212.2</v>
      </c>
      <c r="CU60" s="18">
        <f>CT60*VLOOKUP('Données projet'!$B$13,Paramètres!$A$1:$I$89,3,0)*VLOOKUP('Données projet'!$B$13,Paramètres!$A$1:$I$89,5,0)</f>
        <v>215.17080000000001</v>
      </c>
      <c r="CV60" s="14">
        <f t="shared" si="41"/>
        <v>53.063930965723607</v>
      </c>
      <c r="CW60" s="22">
        <f t="shared" si="13"/>
        <v>467.17548976530185</v>
      </c>
      <c r="CX60" s="60">
        <f t="shared" si="14"/>
        <v>760.50882309863516</v>
      </c>
      <c r="CY60" s="60">
        <f ca="1">AVERAGE(OFFSET($CX$3,0,0,'Données projet'!$E$13+1,1))-AVERAGE(OFFSET($H$3,0,0,'Données projet'!$E$13+1,1))</f>
        <v>350.3652766444938</v>
      </c>
      <c r="CZ60" s="60">
        <f t="shared" si="42"/>
        <v>197.04549436738586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7.6</v>
      </c>
      <c r="DO60" s="13">
        <f>IF('Données projet'!$A$166&gt;35,DO59+DN60-DW59,IF(A60&lt;'Données projet'!$A$166,$DL$205^A60,IF(A60='Données projet'!$A$166,'Données projet'!$B$166,DO59+DN60-DW59)))</f>
        <v>212.2</v>
      </c>
      <c r="DP60" s="18">
        <f>DO60*VLOOKUP('Données projet'!$B$14,Paramètres!$A$1:$I$89,3,0)*VLOOKUP('Données projet'!$B$14,Paramètres!$A$1:$I$89,5,0)</f>
        <v>228.41207999999997</v>
      </c>
      <c r="DQ60" s="14">
        <f t="shared" si="43"/>
        <v>55.939197785226767</v>
      </c>
      <c r="DR60" s="22">
        <f t="shared" si="16"/>
        <v>495.24514214260324</v>
      </c>
      <c r="DS60" s="60">
        <f t="shared" si="17"/>
        <v>788.57847547593656</v>
      </c>
      <c r="DT60" s="60">
        <f ca="1">AVERAGE(OFFSET($DS$3,0,0,'Données projet'!$E$14+1,1))-AVERAGE(OFFSET($H$3,0,0,'Données projet'!$E$14+1,1))</f>
        <v>376.96388721258387</v>
      </c>
      <c r="DU60" s="60">
        <f t="shared" si="44"/>
        <v>211.14628470344377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7.6</v>
      </c>
      <c r="EJ60" s="13">
        <f>IF('Données projet'!$A$192&gt;35,EJ59+EI60-ER59,IF(A60&lt;'Données projet'!$A$192,$EG$205^A60,IF(A60='Données projet'!$A$192,'Données projet'!$B$192,EJ59+EI60-ER59)))</f>
        <v>212.2</v>
      </c>
      <c r="EK60" s="18">
        <f>EJ60*VLOOKUP('Données projet'!$B$15,Paramètres!$A$1:$I$89,3,0)*VLOOKUP('Données projet'!$B$15,Paramètres!$A$1:$I$89,5,0)</f>
        <v>205.23983999999999</v>
      </c>
      <c r="EL60" s="14">
        <f t="shared" si="45"/>
        <v>50.893986960458122</v>
      </c>
      <c r="EM60" s="22">
        <f t="shared" si="19"/>
        <v>446.0997486227979</v>
      </c>
      <c r="EN60" s="60">
        <f t="shared" si="20"/>
        <v>739.43308195613122</v>
      </c>
      <c r="EO60" s="60">
        <f ca="1">AVERAGE(OFFSET($EN$3,0,0,'Données projet'!$E$15+1,1))-AVERAGE(OFFSET($H$3,0,0,'Données projet'!$E$15+1,1))</f>
        <v>330.39429528665841</v>
      </c>
      <c r="EP60" s="60">
        <f t="shared" si="46"/>
        <v>186.45728006007261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8">
        <f t="shared" si="1"/>
        <v>365.48908226470269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-5.6843418860808015E-14</v>
      </c>
      <c r="O61" s="14">
        <f>N61*VLOOKUP('Données projet'!$B$9,Paramètres!$A$1:$I$89,3,0)*VLOOKUP('Données projet'!$B$9,Paramètres!$A$1:$I$89,5,0)</f>
        <v>-3.3992364478763198E-14</v>
      </c>
      <c r="P61" s="14" t="e">
        <f t="shared" si="33"/>
        <v>#NUM!</v>
      </c>
      <c r="Q61" s="22" t="e">
        <f t="shared" si="53"/>
        <v>#NUM!</v>
      </c>
      <c r="R61" s="60" t="e">
        <f t="shared" si="0"/>
        <v>#NUM!</v>
      </c>
      <c r="S61" s="60">
        <f ca="1">AVERAGE(OFFSET($R$3,0,0,'Données projet'!$E$9+1,1))-AVERAGE(OFFSET($H$3,0,0,'Données projet'!$E$9+1,1))</f>
        <v>155.11440101086782</v>
      </c>
      <c r="T61" s="60">
        <f t="shared" si="34"/>
        <v>239.53454701506638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7.751612189278676</v>
      </c>
      <c r="AA61" s="23">
        <f>EXP(-LN(2)/25)*AA60+(1-EXP(-LN(2)/25))/(LN(2)/25)*Calculateur!V61*Calculateur!X61*VLOOKUP('Données projet'!$B$9,Paramètres!$A$1:$I$89,3,0)*0.475*44/12</f>
        <v>3.3320163156754341</v>
      </c>
      <c r="AB61" s="23">
        <f>EXP(-LN(2)/2)*AB60+(1-EXP(-LN(2)/2))/(LN(2)/2)*V61*Y61*VLOOKUP('Données projet'!$B$9,Paramètres!$A$1:$I$89,3,0)*0.475*44/12</f>
        <v>1.7998920135053591E-4</v>
      </c>
      <c r="AC61" s="24">
        <f t="shared" si="3"/>
        <v>11.083808494155461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15.571428571428571</v>
      </c>
      <c r="AI61" s="14">
        <f>IF('Données projet'!$A$62&gt;35,AI60+AH61-AQ60,IF(A61&lt;'Données projet'!$A$62,$AF$205^A61,IF(A61='Données projet'!$A$62,'Données projet'!$B$62,AI60+AH61-AQ60)))</f>
        <v>460.14285714285688</v>
      </c>
      <c r="AJ61" s="14">
        <f>AI61*VLOOKUP('Données projet'!$B$10,Paramètres!$A$1:$I$89,3,0)*VLOOKUP('Données projet'!$B$10,Paramètres!$A$1:$I$89,5,0)</f>
        <v>257.21985714285699</v>
      </c>
      <c r="AK61" s="14">
        <f t="shared" si="35"/>
        <v>62.129393573116417</v>
      </c>
      <c r="AL61" s="22">
        <f t="shared" si="4"/>
        <v>556.19994499698703</v>
      </c>
      <c r="AM61" s="60">
        <f t="shared" si="5"/>
        <v>849.5332783303204</v>
      </c>
      <c r="AN61" s="60">
        <f ca="1">AVERAGE(OFFSET($AM$3,0,0,'Données projet'!$E$10+1,1))-AVERAGE(OFFSET($H$3,0,0,'Données projet'!$E$10+1,1))</f>
        <v>302.20483575440988</v>
      </c>
      <c r="AO61" s="60">
        <f t="shared" si="36"/>
        <v>275.32862097158687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3.1809103616760668</v>
      </c>
      <c r="AW61" s="23">
        <f>EXP(-LN(2)/2)*AW60+(1-EXP(-LN(2)/2))/(LN(2)/2)*AQ61*AT61*VLOOKUP('Données projet'!$B$10,Paramètres!$A$1:$I$89,3,0)*0.475*44/12</f>
        <v>5.3748930867603812E-4</v>
      </c>
      <c r="AX61" s="23">
        <f t="shared" si="6"/>
        <v>3.181447850984743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6.6</v>
      </c>
      <c r="BD61" s="13">
        <f>IF('Données projet'!$A$88&gt;35,BD60+BC61-BL60,IF(A61&lt;'Données projet'!$A$88,$BA$205^A61,IF(A61='Données projet'!$A$88,'Données projet'!$B$88,BD60+BC61-BL60)))</f>
        <v>232.80000000000013</v>
      </c>
      <c r="BE61" s="14">
        <f>BD61*VLOOKUP('Données projet'!$B$11,Paramètres!$A$1:$I$89,3,0)*VLOOKUP('Données projet'!$B$11,Paramètres!$A$1:$I$89,5,0)</f>
        <v>203.37408000000013</v>
      </c>
      <c r="BF61" s="14">
        <f t="shared" si="37"/>
        <v>50.484964849140624</v>
      </c>
      <c r="BG61" s="22">
        <f t="shared" si="7"/>
        <v>442.1378364455868</v>
      </c>
      <c r="BH61" s="60">
        <f t="shared" si="8"/>
        <v>735.47116977892006</v>
      </c>
      <c r="BI61" s="60">
        <f ca="1">AVERAGE(OFFSET($BH$3,0,0,'Données projet'!$E$11+1,1))-AVERAGE(OFFSET($H$3,0,0,'Données projet'!$E$11+1,1))</f>
        <v>314.62110015707839</v>
      </c>
      <c r="BJ61" s="60">
        <f t="shared" si="38"/>
        <v>285.36905470736582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219.79999999999998</v>
      </c>
      <c r="BZ61" s="14">
        <f>BY61*VLOOKUP('Données projet'!$B$12,Paramètres!$A$1:$I$89,3,0)*VLOOKUP('Données projet'!$B$12,Paramètres!$A$1:$I$89,5,0)</f>
        <v>198.87503999999998</v>
      </c>
      <c r="CA61" s="14">
        <f t="shared" si="39"/>
        <v>49.496854461868558</v>
      </c>
      <c r="CB61" s="22">
        <f t="shared" si="10"/>
        <v>432.58104952108766</v>
      </c>
      <c r="CC61" s="60">
        <f t="shared" si="11"/>
        <v>725.91438285442098</v>
      </c>
      <c r="CD61" s="60">
        <f ca="1">AVERAGE(OFFSET($CC$3,0,0,'Données projet'!$E$12+1,1))-AVERAGE(OFFSET($H$3,0,0,'Données projet'!$E$12+1,1))</f>
        <v>303.73499739059076</v>
      </c>
      <c r="CE61" s="60">
        <f t="shared" si="40"/>
        <v>172.32171001882188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7.6</v>
      </c>
      <c r="CT61" s="13">
        <f>IF('Données projet'!$A$140&gt;35,CT60+CS61-DB60,IF(A61&lt;'Données projet'!$A$140,$CQ$205^A61,IF(A61='Données projet'!$A$140,'Données projet'!$B$140,CT60+CS61-DB60)))</f>
        <v>219.79999999999998</v>
      </c>
      <c r="CU61" s="18">
        <f>CT61*VLOOKUP('Données projet'!$B$13,Paramètres!$A$1:$I$89,3,0)*VLOOKUP('Données projet'!$B$13,Paramètres!$A$1:$I$89,5,0)</f>
        <v>222.87720000000002</v>
      </c>
      <c r="CV61" s="14">
        <f t="shared" si="41"/>
        <v>54.739757243913829</v>
      </c>
      <c r="CW61" s="22">
        <f t="shared" si="13"/>
        <v>483.51620053314986</v>
      </c>
      <c r="CX61" s="60">
        <f t="shared" si="14"/>
        <v>776.84953386648317</v>
      </c>
      <c r="CY61" s="60">
        <f ca="1">AVERAGE(OFFSET($CX$3,0,0,'Données projet'!$E$13+1,1))-AVERAGE(OFFSET($H$3,0,0,'Données projet'!$E$13+1,1))</f>
        <v>350.3652766444938</v>
      </c>
      <c r="CZ61" s="60">
        <f t="shared" si="42"/>
        <v>197.04549436738586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7.6</v>
      </c>
      <c r="DO61" s="13">
        <f>IF('Données projet'!$A$166&gt;35,DO60+DN61-DW60,IF(A61&lt;'Données projet'!$A$166,$DL$205^A61,IF(A61='Données projet'!$A$166,'Données projet'!$B$166,DO60+DN61-DW60)))</f>
        <v>219.79999999999998</v>
      </c>
      <c r="DP61" s="18">
        <f>DO61*VLOOKUP('Données projet'!$B$14,Paramètres!$A$1:$I$89,3,0)*VLOOKUP('Données projet'!$B$14,Paramètres!$A$1:$I$89,5,0)</f>
        <v>236.59271999999999</v>
      </c>
      <c r="DQ61" s="14">
        <f t="shared" si="43"/>
        <v>57.705828638299394</v>
      </c>
      <c r="DR61" s="22">
        <f t="shared" si="16"/>
        <v>512.56997221170479</v>
      </c>
      <c r="DS61" s="60">
        <f t="shared" si="17"/>
        <v>805.90330554503817</v>
      </c>
      <c r="DT61" s="60">
        <f ca="1">AVERAGE(OFFSET($DS$3,0,0,'Données projet'!$E$14+1,1))-AVERAGE(OFFSET($H$3,0,0,'Données projet'!$E$14+1,1))</f>
        <v>376.96388721258387</v>
      </c>
      <c r="DU61" s="60">
        <f t="shared" si="44"/>
        <v>211.14628470344377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7.6</v>
      </c>
      <c r="EJ61" s="13">
        <f>IF('Données projet'!$A$192&gt;35,EJ60+EI61-ER60,IF(A61&lt;'Données projet'!$A$192,$EG$205^A61,IF(A61='Données projet'!$A$192,'Données projet'!$B$192,EJ60+EI61-ER60)))</f>
        <v>219.79999999999998</v>
      </c>
      <c r="EK61" s="18">
        <f>EJ61*VLOOKUP('Données projet'!$B$15,Paramètres!$A$1:$I$89,3,0)*VLOOKUP('Données projet'!$B$15,Paramètres!$A$1:$I$89,5,0)</f>
        <v>212.59055999999998</v>
      </c>
      <c r="EL61" s="14">
        <f t="shared" si="45"/>
        <v>52.501283653296404</v>
      </c>
      <c r="EM61" s="22">
        <f t="shared" si="19"/>
        <v>461.70162769615786</v>
      </c>
      <c r="EN61" s="60">
        <f t="shared" si="20"/>
        <v>755.03496102949111</v>
      </c>
      <c r="EO61" s="60">
        <f ca="1">AVERAGE(OFFSET($EN$3,0,0,'Données projet'!$E$15+1,1))-AVERAGE(OFFSET($H$3,0,0,'Données projet'!$E$15+1,1))</f>
        <v>330.39429528665841</v>
      </c>
      <c r="EP61" s="60">
        <f t="shared" si="46"/>
        <v>186.45728006007261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8">
        <f t="shared" si="1"/>
        <v>366.69877012097305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-5.6843418860808015E-14</v>
      </c>
      <c r="O62" s="14">
        <f>N62*VLOOKUP('Données projet'!$B$9,Paramètres!$A$1:$I$89,3,0)*VLOOKUP('Données projet'!$B$9,Paramètres!$A$1:$I$89,5,0)</f>
        <v>-3.3992364478763198E-14</v>
      </c>
      <c r="P62" s="14" t="e">
        <f t="shared" si="33"/>
        <v>#NUM!</v>
      </c>
      <c r="Q62" s="22" t="e">
        <f t="shared" si="53"/>
        <v>#NUM!</v>
      </c>
      <c r="R62" s="60" t="e">
        <f t="shared" si="0"/>
        <v>#NUM!</v>
      </c>
      <c r="S62" s="60">
        <f ca="1">AVERAGE(OFFSET($R$3,0,0,'Données projet'!$E$9+1,1))-AVERAGE(OFFSET($H$3,0,0,'Données projet'!$E$9+1,1))</f>
        <v>155.11440101086782</v>
      </c>
      <c r="T62" s="60">
        <f t="shared" si="34"/>
        <v>239.53454701506638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7.5996078022635034</v>
      </c>
      <c r="AA62" s="23">
        <f>EXP(-LN(2)/25)*AA61+(1-EXP(-LN(2)/25))/(LN(2)/25)*Calculateur!V62*Calculateur!X62*VLOOKUP('Données projet'!$B$9,Paramètres!$A$1:$I$89,3,0)*0.475*44/12</f>
        <v>3.2409021543001666</v>
      </c>
      <c r="AB62" s="23">
        <f>EXP(-LN(2)/2)*AB61+(1-EXP(-LN(2)/2))/(LN(2)/2)*V62*Y62*VLOOKUP('Données projet'!$B$9,Paramètres!$A$1:$I$89,3,0)*0.475*44/12</f>
        <v>1.2727158481531484E-4</v>
      </c>
      <c r="AC62" s="24">
        <f t="shared" si="3"/>
        <v>10.840637228148486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15.571428571428571</v>
      </c>
      <c r="AI62" s="14">
        <f>IF('Données projet'!$A$62&gt;35,AI61+AH62-AQ61,IF(A62&lt;'Données projet'!$A$62,$AF$205^A62,IF(A62='Données projet'!$A$62,'Données projet'!$B$62,AI61+AH62-AQ61)))</f>
        <v>475.71428571428544</v>
      </c>
      <c r="AJ62" s="14">
        <f>AI62*VLOOKUP('Données projet'!$B$10,Paramètres!$A$1:$I$89,3,0)*VLOOKUP('Données projet'!$B$10,Paramètres!$A$1:$I$89,5,0)</f>
        <v>265.92428571428559</v>
      </c>
      <c r="AK62" s="14">
        <f t="shared" si="35"/>
        <v>63.983535636381461</v>
      </c>
      <c r="AL62" s="22">
        <f t="shared" si="4"/>
        <v>574.58945551907846</v>
      </c>
      <c r="AM62" s="60">
        <f t="shared" si="5"/>
        <v>867.92278885241171</v>
      </c>
      <c r="AN62" s="60">
        <f ca="1">AVERAGE(OFFSET($AM$3,0,0,'Données projet'!$E$10+1,1))-AVERAGE(OFFSET($H$3,0,0,'Données projet'!$E$10+1,1))</f>
        <v>302.20483575440988</v>
      </c>
      <c r="AO62" s="60">
        <f t="shared" si="36"/>
        <v>275.32862097158687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3.0939282005592288</v>
      </c>
      <c r="AW62" s="23">
        <f>EXP(-LN(2)/2)*AW61+(1-EXP(-LN(2)/2))/(LN(2)/2)*AQ62*AT62*VLOOKUP('Données projet'!$B$10,Paramètres!$A$1:$I$89,3,0)*0.475*44/12</f>
        <v>3.8006233498009598E-4</v>
      </c>
      <c r="AX62" s="23">
        <f t="shared" si="6"/>
        <v>3.0943082628942089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6.6</v>
      </c>
      <c r="BD62" s="13">
        <f>IF('Données projet'!$A$88&gt;35,BD61+BC62-BL61,IF(A62&lt;'Données projet'!$A$88,$BA$205^A62,IF(A62='Données projet'!$A$88,'Données projet'!$B$88,BD61+BC62-BL61)))</f>
        <v>239.40000000000012</v>
      </c>
      <c r="BE62" s="14">
        <f>BD62*VLOOKUP('Données projet'!$B$11,Paramètres!$A$1:$I$89,3,0)*VLOOKUP('Données projet'!$B$11,Paramètres!$A$1:$I$89,5,0)</f>
        <v>209.13984000000013</v>
      </c>
      <c r="BF62" s="14">
        <f t="shared" si="37"/>
        <v>51.747574219710309</v>
      </c>
      <c r="BG62" s="22">
        <f t="shared" si="7"/>
        <v>454.37891309932894</v>
      </c>
      <c r="BH62" s="60">
        <f t="shared" si="8"/>
        <v>747.71224643266225</v>
      </c>
      <c r="BI62" s="60">
        <f ca="1">AVERAGE(OFFSET($BH$3,0,0,'Données projet'!$E$11+1,1))-AVERAGE(OFFSET($H$3,0,0,'Données projet'!$E$11+1,1))</f>
        <v>314.62110015707839</v>
      </c>
      <c r="BJ62" s="60">
        <f t="shared" si="38"/>
        <v>285.36905470736582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227.39999999999998</v>
      </c>
      <c r="BZ62" s="14">
        <f>BY62*VLOOKUP('Données projet'!$B$12,Paramètres!$A$1:$I$89,3,0)*VLOOKUP('Données projet'!$B$12,Paramètres!$A$1:$I$89,5,0)</f>
        <v>205.75151999999994</v>
      </c>
      <c r="CA62" s="14">
        <f t="shared" si="39"/>
        <v>51.006084477955554</v>
      </c>
      <c r="CB62" s="22">
        <f t="shared" si="10"/>
        <v>447.18616113243911</v>
      </c>
      <c r="CC62" s="60">
        <f t="shared" si="11"/>
        <v>740.51949446577237</v>
      </c>
      <c r="CD62" s="60">
        <f ca="1">AVERAGE(OFFSET($CC$3,0,0,'Données projet'!$E$12+1,1))-AVERAGE(OFFSET($H$3,0,0,'Données projet'!$E$12+1,1))</f>
        <v>303.73499739059076</v>
      </c>
      <c r="CE62" s="60">
        <f t="shared" si="40"/>
        <v>172.32171001882188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7.6</v>
      </c>
      <c r="CT62" s="13">
        <f>IF('Données projet'!$A$140&gt;35,CT61+CS62-DB61,IF(A62&lt;'Données projet'!$A$140,$CQ$205^A62,IF(A62='Données projet'!$A$140,'Données projet'!$B$140,CT61+CS62-DB61)))</f>
        <v>227.39999999999998</v>
      </c>
      <c r="CU62" s="18">
        <f>CT62*VLOOKUP('Données projet'!$B$13,Paramètres!$A$1:$I$89,3,0)*VLOOKUP('Données projet'!$B$13,Paramètres!$A$1:$I$89,5,0)</f>
        <v>230.58360000000002</v>
      </c>
      <c r="CV62" s="14">
        <f t="shared" si="41"/>
        <v>56.408850878327968</v>
      </c>
      <c r="CW62" s="22">
        <f t="shared" si="13"/>
        <v>499.8451852797545</v>
      </c>
      <c r="CX62" s="60">
        <f t="shared" si="14"/>
        <v>793.17851861308782</v>
      </c>
      <c r="CY62" s="60">
        <f ca="1">AVERAGE(OFFSET($CX$3,0,0,'Données projet'!$E$13+1,1))-AVERAGE(OFFSET($H$3,0,0,'Données projet'!$E$13+1,1))</f>
        <v>350.3652766444938</v>
      </c>
      <c r="CZ62" s="60">
        <f t="shared" si="42"/>
        <v>197.04549436738586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7.6</v>
      </c>
      <c r="DO62" s="13">
        <f>IF('Données projet'!$A$166&gt;35,DO61+DN62-DW61,IF(A62&lt;'Données projet'!$A$166,$DL$205^A62,IF(A62='Données projet'!$A$166,'Données projet'!$B$166,DO61+DN62-DW61)))</f>
        <v>227.39999999999998</v>
      </c>
      <c r="DP62" s="18">
        <f>DO62*VLOOKUP('Données projet'!$B$14,Paramètres!$A$1:$I$89,3,0)*VLOOKUP('Données projet'!$B$14,Paramètres!$A$1:$I$89,5,0)</f>
        <v>244.77335999999997</v>
      </c>
      <c r="DQ62" s="14">
        <f t="shared" si="43"/>
        <v>59.465362039582196</v>
      </c>
      <c r="DR62" s="22">
        <f t="shared" si="16"/>
        <v>529.88244088560566</v>
      </c>
      <c r="DS62" s="60">
        <f t="shared" si="17"/>
        <v>823.21577421893903</v>
      </c>
      <c r="DT62" s="60">
        <f ca="1">AVERAGE(OFFSET($DS$3,0,0,'Données projet'!$E$14+1,1))-AVERAGE(OFFSET($H$3,0,0,'Données projet'!$E$14+1,1))</f>
        <v>376.96388721258387</v>
      </c>
      <c r="DU62" s="60">
        <f t="shared" si="44"/>
        <v>211.14628470344377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7.6</v>
      </c>
      <c r="EJ62" s="13">
        <f>IF('Données projet'!$A$192&gt;35,EJ61+EI62-ER61,IF(A62&lt;'Données projet'!$A$192,$EG$205^A62,IF(A62='Données projet'!$A$192,'Données projet'!$B$192,EJ61+EI62-ER61)))</f>
        <v>227.39999999999998</v>
      </c>
      <c r="EK62" s="18">
        <f>EJ62*VLOOKUP('Données projet'!$B$15,Paramètres!$A$1:$I$89,3,0)*VLOOKUP('Données projet'!$B$15,Paramètres!$A$1:$I$89,5,0)</f>
        <v>219.94127999999995</v>
      </c>
      <c r="EL62" s="14">
        <f t="shared" si="45"/>
        <v>54.102123020446285</v>
      </c>
      <c r="EM62" s="22">
        <f t="shared" si="19"/>
        <v>477.29226026061059</v>
      </c>
      <c r="EN62" s="60">
        <f t="shared" si="20"/>
        <v>770.6255935939439</v>
      </c>
      <c r="EO62" s="60">
        <f ca="1">AVERAGE(OFFSET($EN$3,0,0,'Données projet'!$E$15+1,1))-AVERAGE(OFFSET($H$3,0,0,'Données projet'!$E$15+1,1))</f>
        <v>330.39429528665841</v>
      </c>
      <c r="EP62" s="60">
        <f t="shared" si="46"/>
        <v>186.45728006007261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8">
        <f t="shared" si="1"/>
        <v>367.90794799554254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-5.6843418860808015E-14</v>
      </c>
      <c r="O63" s="14">
        <f>N63*VLOOKUP('Données projet'!$B$9,Paramètres!$A$1:$I$89,3,0)*VLOOKUP('Données projet'!$B$9,Paramètres!$A$1:$I$89,5,0)</f>
        <v>-3.3992364478763198E-14</v>
      </c>
      <c r="P63" s="14" t="e">
        <f t="shared" si="33"/>
        <v>#NUM!</v>
      </c>
      <c r="Q63" s="22" t="e">
        <f t="shared" si="53"/>
        <v>#NUM!</v>
      </c>
      <c r="R63" s="60" t="e">
        <f t="shared" si="0"/>
        <v>#NUM!</v>
      </c>
      <c r="S63" s="60">
        <f ca="1">AVERAGE(OFFSET($R$3,0,0,'Données projet'!$E$9+1,1))-AVERAGE(OFFSET($H$3,0,0,'Données projet'!$E$9+1,1))</f>
        <v>155.11440101086782</v>
      </c>
      <c r="T63" s="60">
        <f t="shared" si="34"/>
        <v>239.53454701506638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7.4505841285641772</v>
      </c>
      <c r="AA63" s="23">
        <f>EXP(-LN(2)/25)*AA62+(1-EXP(-LN(2)/25))/(LN(2)/25)*Calculateur!V63*Calculateur!X63*VLOOKUP('Données projet'!$B$9,Paramètres!$A$1:$I$89,3,0)*0.475*44/12</f>
        <v>3.1522795144591913</v>
      </c>
      <c r="AB63" s="23">
        <f>EXP(-LN(2)/2)*AB62+(1-EXP(-LN(2)/2))/(LN(2)/2)*V63*Y63*VLOOKUP('Données projet'!$B$9,Paramètres!$A$1:$I$89,3,0)*0.475*44/12</f>
        <v>8.9994600675267954E-5</v>
      </c>
      <c r="AC63" s="24">
        <f t="shared" si="3"/>
        <v>10.602953637624044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15.571428571428571</v>
      </c>
      <c r="AI63" s="14">
        <f>IF('Données projet'!$A$62&gt;35,AI62+AH63-AQ62,IF(A63&lt;'Données projet'!$A$62,$AF$205^A63,IF(A63='Données projet'!$A$62,'Données projet'!$B$62,AI62+AH63-AQ62)))</f>
        <v>491.28571428571399</v>
      </c>
      <c r="AJ63" s="14">
        <f>AI63*VLOOKUP('Données projet'!$B$10,Paramètres!$A$1:$I$89,3,0)*VLOOKUP('Données projet'!$B$10,Paramètres!$A$1:$I$89,5,0)</f>
        <v>274.62871428571412</v>
      </c>
      <c r="AK63" s="14">
        <f t="shared" si="35"/>
        <v>65.830625361909483</v>
      </c>
      <c r="AL63" s="22">
        <f t="shared" si="4"/>
        <v>592.96668321961113</v>
      </c>
      <c r="AM63" s="60">
        <f t="shared" si="5"/>
        <v>886.3000165529445</v>
      </c>
      <c r="AN63" s="60">
        <f ca="1">AVERAGE(OFFSET($AM$3,0,0,'Données projet'!$E$10+1,1))-AVERAGE(OFFSET($H$3,0,0,'Données projet'!$E$10+1,1))</f>
        <v>302.20483575440988</v>
      </c>
      <c r="AO63" s="60">
        <f t="shared" si="36"/>
        <v>275.32862097158687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3.009324571212324</v>
      </c>
      <c r="AW63" s="23">
        <f>EXP(-LN(2)/2)*AW62+(1-EXP(-LN(2)/2))/(LN(2)/2)*AQ63*AT63*VLOOKUP('Données projet'!$B$10,Paramètres!$A$1:$I$89,3,0)*0.475*44/12</f>
        <v>2.6874465433801906E-4</v>
      </c>
      <c r="AX63" s="23">
        <f t="shared" si="6"/>
        <v>3.0095933158666619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246</v>
      </c>
      <c r="BB63" s="13">
        <f>VLOOKUP(A63,'Données projet'!$A$87:$I$107,9,0)</f>
        <v>6.6</v>
      </c>
      <c r="BC63" s="13">
        <f t="array" ref="BC63">INDEX(BB:BB,MIN(IF(ISNUMBER(BB63:BB259),ROW(BB63:BB259),"")))</f>
        <v>6.6</v>
      </c>
      <c r="BD63" s="13">
        <f>IF('Données projet'!$A$88&gt;35,BD62+BC63-BL62,IF(A63&lt;'Données projet'!$A$88,$BA$205^A63,IF(A63='Données projet'!$A$88,'Données projet'!$B$88,BD62+BC63-BL62)))</f>
        <v>246.00000000000011</v>
      </c>
      <c r="BE63" s="14">
        <f>BD63*VLOOKUP('Données projet'!$B$11,Paramètres!$A$1:$I$89,3,0)*VLOOKUP('Données projet'!$B$11,Paramètres!$A$1:$I$89,5,0)</f>
        <v>214.90560000000013</v>
      </c>
      <c r="BF63" s="14">
        <f t="shared" si="37"/>
        <v>53.006137800892375</v>
      </c>
      <c r="BG63" s="22">
        <f t="shared" si="7"/>
        <v>466.61294333655451</v>
      </c>
      <c r="BH63" s="60">
        <f t="shared" si="8"/>
        <v>759.94627666988777</v>
      </c>
      <c r="BI63" s="60">
        <f ca="1">AVERAGE(OFFSET($BH$3,0,0,'Données projet'!$E$11+1,1))-AVERAGE(OFFSET($H$3,0,0,'Données projet'!$E$11+1,1))</f>
        <v>314.62110015707839</v>
      </c>
      <c r="BJ63" s="60">
        <f t="shared" si="38"/>
        <v>285.36905470736582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235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234.99999999999997</v>
      </c>
      <c r="BZ63" s="14">
        <f>BY63*VLOOKUP('Données projet'!$B$12,Paramètres!$A$1:$I$89,3,0)*VLOOKUP('Données projet'!$B$12,Paramètres!$A$1:$I$89,5,0)</f>
        <v>212.62799999999999</v>
      </c>
      <c r="CA63" s="14">
        <f t="shared" si="39"/>
        <v>52.509453483719035</v>
      </c>
      <c r="CB63" s="22">
        <f t="shared" si="10"/>
        <v>461.78106481747727</v>
      </c>
      <c r="CC63" s="60">
        <f t="shared" si="11"/>
        <v>755.11439815081053</v>
      </c>
      <c r="CD63" s="60">
        <f ca="1">AVERAGE(OFFSET($CC$3,0,0,'Données projet'!$E$12+1,1))-AVERAGE(OFFSET($H$3,0,0,'Données projet'!$E$12+1,1))</f>
        <v>303.73499739059076</v>
      </c>
      <c r="CE63" s="60">
        <f t="shared" si="40"/>
        <v>172.32171001882188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42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235</v>
      </c>
      <c r="CR63" s="13">
        <f>VLOOKUP(A63,'Données projet'!$A$139:$I$159,9,0)</f>
        <v>7.6</v>
      </c>
      <c r="CS63" s="13">
        <f t="array" ref="CS63">INDEX(CR:CR,MIN(IF(ISNUMBER(CR63:CR259),ROW(CR63:CR259),"")))</f>
        <v>7.6</v>
      </c>
      <c r="CT63" s="13">
        <f>IF('Données projet'!$A$140&gt;35,CT62+CS63-DB62,IF(A63&lt;'Données projet'!$A$140,$CQ$205^A63,IF(A63='Données projet'!$A$140,'Données projet'!$B$140,CT62+CS63-DB62)))</f>
        <v>234.99999999999997</v>
      </c>
      <c r="CU63" s="18">
        <f>CT63*VLOOKUP('Données projet'!$B$13,Paramètres!$A$1:$I$89,3,0)*VLOOKUP('Données projet'!$B$13,Paramètres!$A$1:$I$89,5,0)</f>
        <v>238.29000000000002</v>
      </c>
      <c r="CV63" s="14">
        <f t="shared" si="41"/>
        <v>58.071462681001513</v>
      </c>
      <c r="CW63" s="22">
        <f t="shared" si="13"/>
        <v>516.16288083607753</v>
      </c>
      <c r="CX63" s="60">
        <f t="shared" si="14"/>
        <v>809.49621416941091</v>
      </c>
      <c r="CY63" s="60">
        <f ca="1">AVERAGE(OFFSET($CX$3,0,0,'Données projet'!$E$13+1,1))-AVERAGE(OFFSET($H$3,0,0,'Données projet'!$E$13+1,1))</f>
        <v>350.3652766444938</v>
      </c>
      <c r="CZ63" s="60">
        <f t="shared" si="42"/>
        <v>197.04549436738586</v>
      </c>
      <c r="DA63" s="16">
        <f>IF(ISNA(VLOOKUP(A63,'Données projet'!$A$139:$I$159,3,0)),0,VLOOKUP(A63,'Données projet'!$A$139:$I$159,3,0))</f>
        <v>4</v>
      </c>
      <c r="DB63" s="16">
        <f>IF(ISNA(VLOOKUP(A63,'Données projet'!$A$139:$I$159,4,0)),0,VLOOKUP(A63,'Données projet'!$A$139:$I$159,4,0))</f>
        <v>42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235</v>
      </c>
      <c r="DM63" s="13">
        <f>VLOOKUP(A63,'Données projet'!$A$165:$I$185,9,0)</f>
        <v>7.6</v>
      </c>
      <c r="DN63" s="13">
        <f t="array" ref="DN63">INDEX(DM:DM,MIN(IF(ISNUMBER(DM63:DM259),ROW(DM63:DM259),"")))</f>
        <v>7.6</v>
      </c>
      <c r="DO63" s="13">
        <f>IF('Données projet'!$A$166&gt;35,DO62+DN63-DW62,IF(A63&lt;'Données projet'!$A$166,$DL$205^A63,IF(A63='Données projet'!$A$166,'Données projet'!$B$166,DO62+DN63-DW62)))</f>
        <v>234.99999999999997</v>
      </c>
      <c r="DP63" s="18">
        <f>DO63*VLOOKUP('Données projet'!$B$14,Paramètres!$A$1:$I$89,3,0)*VLOOKUP('Données projet'!$B$14,Paramètres!$A$1:$I$89,5,0)</f>
        <v>252.95399999999998</v>
      </c>
      <c r="DQ63" s="14">
        <f t="shared" si="43"/>
        <v>61.218062391350081</v>
      </c>
      <c r="DR63" s="22">
        <f t="shared" si="16"/>
        <v>547.18300866493462</v>
      </c>
      <c r="DS63" s="60">
        <f t="shared" si="17"/>
        <v>840.51634199826799</v>
      </c>
      <c r="DT63" s="60">
        <f ca="1">AVERAGE(OFFSET($DS$3,0,0,'Données projet'!$E$14+1,1))-AVERAGE(OFFSET($H$3,0,0,'Données projet'!$E$14+1,1))</f>
        <v>376.96388721258387</v>
      </c>
      <c r="DU63" s="60">
        <f t="shared" si="44"/>
        <v>211.14628470344377</v>
      </c>
      <c r="DV63" s="16">
        <f>IF(ISNA(VLOOKUP(A63,'Données projet'!$A$165:$I$185,3,0)),0,VLOOKUP(A63,'Données projet'!$A$165:$I$185,3,0))</f>
        <v>4</v>
      </c>
      <c r="DW63" s="16">
        <f>IF(ISNA(VLOOKUP(A63,'Données projet'!$A$165:$I$185,4,0)),0,VLOOKUP(A63,'Données projet'!$A$165:$I$185,4,0))</f>
        <v>42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235</v>
      </c>
      <c r="EH63" s="13">
        <f>VLOOKUP(A63,'Données projet'!$A$191:$I$211,9,0)</f>
        <v>7.6</v>
      </c>
      <c r="EI63" s="13">
        <f t="array" ref="EI63">INDEX(EH:EH,MIN(IF(ISNUMBER(EH63:EH259),ROW(EH63:EH259),"")))</f>
        <v>7.6</v>
      </c>
      <c r="EJ63" s="13">
        <f>IF('Données projet'!$A$192&gt;35,EJ62+EI63-ER62,IF(A63&lt;'Données projet'!$A$192,$EG$205^A63,IF(A63='Données projet'!$A$192,'Données projet'!$B$192,EJ62+EI63-ER62)))</f>
        <v>234.99999999999997</v>
      </c>
      <c r="EK63" s="18">
        <f>EJ63*VLOOKUP('Données projet'!$B$15,Paramètres!$A$1:$I$89,3,0)*VLOOKUP('Données projet'!$B$15,Paramètres!$A$1:$I$89,5,0)</f>
        <v>227.292</v>
      </c>
      <c r="EL63" s="14">
        <f t="shared" si="45"/>
        <v>55.6967456174837</v>
      </c>
      <c r="EM63" s="22">
        <f t="shared" si="19"/>
        <v>492.87206528378402</v>
      </c>
      <c r="EN63" s="60">
        <f t="shared" si="20"/>
        <v>786.20539861711734</v>
      </c>
      <c r="EO63" s="60">
        <f ca="1">AVERAGE(OFFSET($EN$3,0,0,'Données projet'!$E$15+1,1))-AVERAGE(OFFSET($H$3,0,0,'Données projet'!$E$15+1,1))</f>
        <v>330.39429528665841</v>
      </c>
      <c r="EP63" s="60">
        <f t="shared" si="46"/>
        <v>186.45728006007261</v>
      </c>
      <c r="EQ63" s="16">
        <f>IF(ISNA(VLOOKUP(A63,'Données projet'!$A$191:$I$211,3,0)),0,VLOOKUP(A63,'Données projet'!$A$191:$I$211,3,0))</f>
        <v>4</v>
      </c>
      <c r="ER63" s="16">
        <f>IF(ISNA(VLOOKUP(A63,'Données projet'!$A$191:$I$211,4,0)),0,VLOOKUP(A63,'Données projet'!$A$191:$I$211,4,0))</f>
        <v>42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8">
        <f t="shared" si="1"/>
        <v>369.11662536915674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-5.6843418860808015E-14</v>
      </c>
      <c r="O64" s="14">
        <f>N64*VLOOKUP('Données projet'!$B$9,Paramètres!$A$1:$I$89,3,0)*VLOOKUP('Données projet'!$B$9,Paramètres!$A$1:$I$89,5,0)</f>
        <v>-3.3992364478763198E-14</v>
      </c>
      <c r="P64" s="14" t="e">
        <f t="shared" si="33"/>
        <v>#NUM!</v>
      </c>
      <c r="Q64" s="22" t="e">
        <f t="shared" si="53"/>
        <v>#NUM!</v>
      </c>
      <c r="R64" s="60" t="e">
        <f t="shared" si="0"/>
        <v>#NUM!</v>
      </c>
      <c r="S64" s="60">
        <f ca="1">AVERAGE(OFFSET($R$3,0,0,'Données projet'!$E$9+1,1))-AVERAGE(OFFSET($H$3,0,0,'Données projet'!$E$9+1,1))</f>
        <v>155.11440101086782</v>
      </c>
      <c r="T64" s="60">
        <f t="shared" si="34"/>
        <v>239.53454701506638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7.3044827182106289</v>
      </c>
      <c r="AA64" s="23">
        <f>EXP(-LN(2)/25)*AA63+(1-EXP(-LN(2)/25))/(LN(2)/25)*Calculateur!V64*Calculateur!X64*VLOOKUP('Données projet'!$B$9,Paramètres!$A$1:$I$89,3,0)*0.475*44/12</f>
        <v>3.0660802653651298</v>
      </c>
      <c r="AB64" s="23">
        <f>EXP(-LN(2)/2)*AB63+(1-EXP(-LN(2)/2))/(LN(2)/2)*V64*Y64*VLOOKUP('Données projet'!$B$9,Paramètres!$A$1:$I$89,3,0)*0.475*44/12</f>
        <v>6.3635792407657418E-5</v>
      </c>
      <c r="AC64" s="24">
        <f t="shared" si="3"/>
        <v>10.370626619368167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15.571428571428571</v>
      </c>
      <c r="AI64" s="14">
        <f>IF('Données projet'!$A$62&gt;35,AI63+AH64-AQ63,IF(A64&lt;'Données projet'!$A$62,$AF$205^A64,IF(A64='Données projet'!$A$62,'Données projet'!$B$62,AI63+AH64-AQ63)))</f>
        <v>506.85714285714255</v>
      </c>
      <c r="AJ64" s="14">
        <f>AI64*VLOOKUP('Données projet'!$B$10,Paramètres!$A$1:$I$89,3,0)*VLOOKUP('Données projet'!$B$10,Paramètres!$A$1:$I$89,5,0)</f>
        <v>283.33314285714266</v>
      </c>
      <c r="AK64" s="14">
        <f t="shared" si="35"/>
        <v>67.670911918680105</v>
      </c>
      <c r="AL64" s="22">
        <f t="shared" si="4"/>
        <v>611.33206206789123</v>
      </c>
      <c r="AM64" s="60">
        <f t="shared" si="5"/>
        <v>904.66539540122449</v>
      </c>
      <c r="AN64" s="60">
        <f ca="1">AVERAGE(OFFSET($AM$3,0,0,'Données projet'!$E$10+1,1))-AVERAGE(OFFSET($H$3,0,0,'Données projet'!$E$10+1,1))</f>
        <v>302.20483575440988</v>
      </c>
      <c r="AO64" s="60">
        <f t="shared" si="36"/>
        <v>275.32862097158687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2.9270344325590218</v>
      </c>
      <c r="AW64" s="23">
        <f>EXP(-LN(2)/2)*AW63+(1-EXP(-LN(2)/2))/(LN(2)/2)*AQ64*AT64*VLOOKUP('Données projet'!$B$10,Paramètres!$A$1:$I$89,3,0)*0.475*44/12</f>
        <v>1.9003116749004799E-4</v>
      </c>
      <c r="AX64" s="23">
        <f t="shared" si="6"/>
        <v>2.9272244637265117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6</v>
      </c>
      <c r="BD64" s="13">
        <f>IF('Données projet'!$A$88&gt;35,BD63+BC64-BL63,IF(A64&lt;'Données projet'!$A$88,$BA$205^A64,IF(A64='Données projet'!$A$88,'Données projet'!$B$88,BD63+BC64-BL63)))</f>
        <v>252.00000000000011</v>
      </c>
      <c r="BE64" s="14">
        <f>BD64*VLOOKUP('Données projet'!$B$11,Paramètres!$A$1:$I$89,3,0)*VLOOKUP('Données projet'!$B$11,Paramètres!$A$1:$I$89,5,0)</f>
        <v>220.14720000000014</v>
      </c>
      <c r="BF64" s="14">
        <f t="shared" si="37"/>
        <v>54.146877667769687</v>
      </c>
      <c r="BG64" s="22">
        <f t="shared" si="7"/>
        <v>477.72885193803245</v>
      </c>
      <c r="BH64" s="60">
        <f t="shared" si="8"/>
        <v>771.06218527136571</v>
      </c>
      <c r="BI64" s="60">
        <f ca="1">AVERAGE(OFFSET($BH$3,0,0,'Données projet'!$E$11+1,1))-AVERAGE(OFFSET($H$3,0,0,'Données projet'!$E$11+1,1))</f>
        <v>314.62110015707839</v>
      </c>
      <c r="BJ64" s="60">
        <f t="shared" si="38"/>
        <v>285.36905470736582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200.19999999999996</v>
      </c>
      <c r="BZ64" s="14">
        <f>BY64*VLOOKUP('Données projet'!$B$12,Paramètres!$A$1:$I$89,3,0)*VLOOKUP('Données projet'!$B$12,Paramètres!$A$1:$I$89,5,0)</f>
        <v>181.14095999999995</v>
      </c>
      <c r="CA64" s="14">
        <f t="shared" si="39"/>
        <v>45.575935320610945</v>
      </c>
      <c r="CB64" s="22">
        <f t="shared" si="10"/>
        <v>394.86525935006392</v>
      </c>
      <c r="CC64" s="60">
        <f t="shared" si="11"/>
        <v>688.19859268339724</v>
      </c>
      <c r="CD64" s="60">
        <f ca="1">AVERAGE(OFFSET($CC$3,0,0,'Données projet'!$E$12+1,1))-AVERAGE(OFFSET($H$3,0,0,'Données projet'!$E$12+1,1))</f>
        <v>303.73499739059076</v>
      </c>
      <c r="CE64" s="60">
        <f t="shared" si="40"/>
        <v>172.32171001882188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200.19999999999996</v>
      </c>
      <c r="CU64" s="18">
        <f>CT64*VLOOKUP('Données projet'!$B$13,Paramètres!$A$1:$I$89,3,0)*VLOOKUP('Données projet'!$B$13,Paramètres!$A$1:$I$89,5,0)</f>
        <v>203.00279999999995</v>
      </c>
      <c r="CV64" s="14">
        <f t="shared" si="41"/>
        <v>50.403518824343074</v>
      </c>
      <c r="CW64" s="22">
        <f t="shared" si="13"/>
        <v>441.3493386190641</v>
      </c>
      <c r="CX64" s="60">
        <f t="shared" si="14"/>
        <v>734.68267195239741</v>
      </c>
      <c r="CY64" s="60">
        <f ca="1">AVERAGE(OFFSET($CX$3,0,0,'Données projet'!$E$13+1,1))-AVERAGE(OFFSET($H$3,0,0,'Données projet'!$E$13+1,1))</f>
        <v>350.3652766444938</v>
      </c>
      <c r="CZ64" s="60">
        <f t="shared" si="42"/>
        <v>197.04549436738586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200.19999999999996</v>
      </c>
      <c r="DP64" s="18">
        <f>DO64*VLOOKUP('Données projet'!$B$14,Paramètres!$A$1:$I$89,3,0)*VLOOKUP('Données projet'!$B$14,Paramètres!$A$1:$I$89,5,0)</f>
        <v>215.49527999999992</v>
      </c>
      <c r="DQ64" s="14">
        <f t="shared" si="43"/>
        <v>53.134631326269272</v>
      </c>
      <c r="DR64" s="22">
        <f t="shared" si="16"/>
        <v>467.86376222658549</v>
      </c>
      <c r="DS64" s="60">
        <f t="shared" si="17"/>
        <v>761.19709555991881</v>
      </c>
      <c r="DT64" s="60">
        <f ca="1">AVERAGE(OFFSET($DS$3,0,0,'Données projet'!$E$14+1,1))-AVERAGE(OFFSET($H$3,0,0,'Données projet'!$E$14+1,1))</f>
        <v>376.96388721258387</v>
      </c>
      <c r="DU64" s="60">
        <f t="shared" si="44"/>
        <v>211.14628470344377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7.2</v>
      </c>
      <c r="EJ64" s="13">
        <f>IF('Données projet'!$A$192&gt;35,EJ63+EI64-ER63,IF(A64&lt;'Données projet'!$A$192,$EG$205^A64,IF(A64='Données projet'!$A$192,'Données projet'!$B$192,EJ63+EI64-ER63)))</f>
        <v>200.19999999999996</v>
      </c>
      <c r="EK64" s="18">
        <f>EJ64*VLOOKUP('Données projet'!$B$15,Paramètres!$A$1:$I$89,3,0)*VLOOKUP('Données projet'!$B$15,Paramètres!$A$1:$I$89,5,0)</f>
        <v>193.63343999999998</v>
      </c>
      <c r="EL64" s="14">
        <f t="shared" si="45"/>
        <v>48.342367086681229</v>
      </c>
      <c r="EM64" s="22">
        <f t="shared" si="19"/>
        <v>421.44119734263637</v>
      </c>
      <c r="EN64" s="60">
        <f t="shared" si="20"/>
        <v>714.77453067596969</v>
      </c>
      <c r="EO64" s="60">
        <f ca="1">AVERAGE(OFFSET($EN$3,0,0,'Données projet'!$E$15+1,1))-AVERAGE(OFFSET($H$3,0,0,'Données projet'!$E$15+1,1))</f>
        <v>330.39429528665841</v>
      </c>
      <c r="EP64" s="60">
        <f t="shared" si="46"/>
        <v>186.45728006007261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8">
        <f t="shared" si="1"/>
        <v>370.32481139389552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-5.6843418860808015E-14</v>
      </c>
      <c r="O65" s="14">
        <f>N65*VLOOKUP('Données projet'!$B$9,Paramètres!$A$1:$I$89,3,0)*VLOOKUP('Données projet'!$B$9,Paramètres!$A$1:$I$89,5,0)</f>
        <v>-3.3992364478763198E-14</v>
      </c>
      <c r="P65" s="14" t="e">
        <f t="shared" si="33"/>
        <v>#NUM!</v>
      </c>
      <c r="Q65" s="22" t="e">
        <f t="shared" si="53"/>
        <v>#NUM!</v>
      </c>
      <c r="R65" s="60" t="e">
        <f t="shared" si="0"/>
        <v>#NUM!</v>
      </c>
      <c r="S65" s="60">
        <f ca="1">AVERAGE(OFFSET($R$3,0,0,'Données projet'!$E$9+1,1))-AVERAGE(OFFSET($H$3,0,0,'Données projet'!$E$9+1,1))</f>
        <v>155.11440101086782</v>
      </c>
      <c r="T65" s="60">
        <f t="shared" si="34"/>
        <v>239.53454701506638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7.1612462674010526</v>
      </c>
      <c r="AA65" s="23">
        <f>EXP(-LN(2)/25)*AA64+(1-EXP(-LN(2)/25))/(LN(2)/25)*Calculateur!V65*Calculateur!X65*VLOOKUP('Données projet'!$B$9,Paramètres!$A$1:$I$89,3,0)*0.475*44/12</f>
        <v>2.9822381392705668</v>
      </c>
      <c r="AB65" s="23">
        <f>EXP(-LN(2)/2)*AB64+(1-EXP(-LN(2)/2))/(LN(2)/2)*V65*Y65*VLOOKUP('Données projet'!$B$9,Paramètres!$A$1:$I$89,3,0)*0.475*44/12</f>
        <v>4.4997300337633977E-5</v>
      </c>
      <c r="AC65" s="24">
        <f t="shared" si="3"/>
        <v>10.143529403971957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15.571428571428571</v>
      </c>
      <c r="AI65" s="14">
        <f>IF('Données projet'!$A$62&gt;35,AI64+AH65-AQ64,IF(A65&lt;'Données projet'!$A$62,$AF$205^A65,IF(A65='Données projet'!$A$62,'Données projet'!$B$62,AI64+AH65-AQ64)))</f>
        <v>522.4285714285711</v>
      </c>
      <c r="AJ65" s="14">
        <f>AI65*VLOOKUP('Données projet'!$B$10,Paramètres!$A$1:$I$89,3,0)*VLOOKUP('Données projet'!$B$10,Paramètres!$A$1:$I$89,5,0)</f>
        <v>292.03757142857125</v>
      </c>
      <c r="AK65" s="14">
        <f t="shared" si="35"/>
        <v>69.504628296156</v>
      </c>
      <c r="AL65" s="22">
        <f t="shared" si="4"/>
        <v>629.68599785389995</v>
      </c>
      <c r="AM65" s="60">
        <f t="shared" si="5"/>
        <v>923.01933118723332</v>
      </c>
      <c r="AN65" s="60">
        <f ca="1">AVERAGE(OFFSET($AM$3,0,0,'Données projet'!$E$10+1,1))-AVERAGE(OFFSET($H$3,0,0,'Données projet'!$E$10+1,1))</f>
        <v>302.20483575440988</v>
      </c>
      <c r="AO65" s="60">
        <f t="shared" si="36"/>
        <v>275.32862097158687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2.8469945220746444</v>
      </c>
      <c r="AW65" s="23">
        <f>EXP(-LN(2)/2)*AW64+(1-EXP(-LN(2)/2))/(LN(2)/2)*AQ65*AT65*VLOOKUP('Données projet'!$B$10,Paramètres!$A$1:$I$89,3,0)*0.475*44/12</f>
        <v>1.3437232716900953E-4</v>
      </c>
      <c r="AX65" s="23">
        <f t="shared" si="6"/>
        <v>2.8471288944018136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6</v>
      </c>
      <c r="BD65" s="13">
        <f>IF('Données projet'!$A$88&gt;35,BD64+BC65-BL64,IF(A65&lt;'Données projet'!$A$88,$BA$205^A65,IF(A65='Données projet'!$A$88,'Données projet'!$B$88,BD64+BC65-BL64)))</f>
        <v>258.00000000000011</v>
      </c>
      <c r="BE65" s="14">
        <f>BD65*VLOOKUP('Données projet'!$B$11,Paramètres!$A$1:$I$89,3,0)*VLOOKUP('Données projet'!$B$11,Paramètres!$A$1:$I$89,5,0)</f>
        <v>225.38880000000012</v>
      </c>
      <c r="BF65" s="14">
        <f t="shared" si="37"/>
        <v>55.284460117161593</v>
      </c>
      <c r="BG65" s="22">
        <f t="shared" si="7"/>
        <v>488.83926137072331</v>
      </c>
      <c r="BH65" s="60">
        <f t="shared" si="8"/>
        <v>782.17259470405656</v>
      </c>
      <c r="BI65" s="60">
        <f ca="1">AVERAGE(OFFSET($BH$3,0,0,'Données projet'!$E$11+1,1))-AVERAGE(OFFSET($H$3,0,0,'Données projet'!$E$11+1,1))</f>
        <v>314.62110015707839</v>
      </c>
      <c r="BJ65" s="60">
        <f t="shared" si="38"/>
        <v>285.36905470736582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207.39999999999995</v>
      </c>
      <c r="BZ65" s="14">
        <f>BY65*VLOOKUP('Données projet'!$B$12,Paramètres!$A$1:$I$89,3,0)*VLOOKUP('Données projet'!$B$12,Paramètres!$A$1:$I$89,5,0)</f>
        <v>187.65551999999994</v>
      </c>
      <c r="CA65" s="14">
        <f t="shared" si="39"/>
        <v>47.021247649900147</v>
      </c>
      <c r="CB65" s="22">
        <f t="shared" si="10"/>
        <v>408.72870365690932</v>
      </c>
      <c r="CC65" s="60">
        <f t="shared" si="11"/>
        <v>702.06203699024263</v>
      </c>
      <c r="CD65" s="60">
        <f ca="1">AVERAGE(OFFSET($CC$3,0,0,'Données projet'!$E$12+1,1))-AVERAGE(OFFSET($H$3,0,0,'Données projet'!$E$12+1,1))</f>
        <v>303.73499739059076</v>
      </c>
      <c r="CE65" s="60">
        <f t="shared" si="40"/>
        <v>172.32171001882188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207.39999999999995</v>
      </c>
      <c r="CU65" s="18">
        <f>CT65*VLOOKUP('Données projet'!$B$13,Paramètres!$A$1:$I$89,3,0)*VLOOKUP('Données projet'!$B$13,Paramètres!$A$1:$I$89,5,0)</f>
        <v>210.30359999999996</v>
      </c>
      <c r="CV65" s="14">
        <f t="shared" si="41"/>
        <v>52.001924357524459</v>
      </c>
      <c r="CW65" s="22">
        <f t="shared" si="13"/>
        <v>456.84878825602163</v>
      </c>
      <c r="CX65" s="60">
        <f t="shared" si="14"/>
        <v>750.18212158935489</v>
      </c>
      <c r="CY65" s="60">
        <f ca="1">AVERAGE(OFFSET($CX$3,0,0,'Données projet'!$E$13+1,1))-AVERAGE(OFFSET($H$3,0,0,'Données projet'!$E$13+1,1))</f>
        <v>350.3652766444938</v>
      </c>
      <c r="CZ65" s="60">
        <f t="shared" si="42"/>
        <v>197.04549436738586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207.39999999999995</v>
      </c>
      <c r="DP65" s="18">
        <f>DO65*VLOOKUP('Données projet'!$B$14,Paramètres!$A$1:$I$89,3,0)*VLOOKUP('Données projet'!$B$14,Paramètres!$A$1:$I$89,5,0)</f>
        <v>223.24535999999995</v>
      </c>
      <c r="DQ65" s="14">
        <f t="shared" si="43"/>
        <v>54.819646394591118</v>
      </c>
      <c r="DR65" s="22">
        <f t="shared" si="16"/>
        <v>484.29655280391279</v>
      </c>
      <c r="DS65" s="60">
        <f t="shared" si="17"/>
        <v>777.6298861372461</v>
      </c>
      <c r="DT65" s="60">
        <f ca="1">AVERAGE(OFFSET($DS$3,0,0,'Données projet'!$E$14+1,1))-AVERAGE(OFFSET($H$3,0,0,'Données projet'!$E$14+1,1))</f>
        <v>376.96388721258387</v>
      </c>
      <c r="DU65" s="60">
        <f t="shared" si="44"/>
        <v>211.14628470344377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7.2</v>
      </c>
      <c r="EJ65" s="13">
        <f>IF('Données projet'!$A$192&gt;35,EJ64+EI65-ER64,IF(A65&lt;'Données projet'!$A$192,$EG$205^A65,IF(A65='Données projet'!$A$192,'Données projet'!$B$192,EJ64+EI65-ER64)))</f>
        <v>207.39999999999995</v>
      </c>
      <c r="EK65" s="18">
        <f>EJ65*VLOOKUP('Données projet'!$B$15,Paramètres!$A$1:$I$89,3,0)*VLOOKUP('Données projet'!$B$15,Paramètres!$A$1:$I$89,5,0)</f>
        <v>200.59727999999996</v>
      </c>
      <c r="EL65" s="14">
        <f t="shared" si="45"/>
        <v>49.875409002022977</v>
      </c>
      <c r="EM65" s="22">
        <f t="shared" si="19"/>
        <v>436.23993334518991</v>
      </c>
      <c r="EN65" s="60">
        <f t="shared" si="20"/>
        <v>729.57326667852317</v>
      </c>
      <c r="EO65" s="60">
        <f ca="1">AVERAGE(OFFSET($EN$3,0,0,'Données projet'!$E$15+1,1))-AVERAGE(OFFSET($H$3,0,0,'Données projet'!$E$15+1,1))</f>
        <v>330.39429528665841</v>
      </c>
      <c r="EP65" s="60">
        <f t="shared" si="46"/>
        <v>186.45728006007261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8">
        <f t="shared" si="1"/>
        <v>371.53251490968091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-5.6843418860808015E-14</v>
      </c>
      <c r="O66" s="14">
        <f>N66*VLOOKUP('Données projet'!$B$9,Paramètres!$A$1:$I$89,3,0)*VLOOKUP('Données projet'!$B$9,Paramètres!$A$1:$I$89,5,0)</f>
        <v>-3.3992364478763198E-14</v>
      </c>
      <c r="P66" s="14" t="e">
        <f t="shared" si="33"/>
        <v>#NUM!</v>
      </c>
      <c r="Q66" s="22" t="e">
        <f t="shared" si="53"/>
        <v>#NUM!</v>
      </c>
      <c r="R66" s="60" t="e">
        <f t="shared" si="0"/>
        <v>#NUM!</v>
      </c>
      <c r="S66" s="60">
        <f ca="1">AVERAGE(OFFSET($R$3,0,0,'Données projet'!$E$9+1,1))-AVERAGE(OFFSET($H$3,0,0,'Données projet'!$E$9+1,1))</f>
        <v>155.11440101086782</v>
      </c>
      <c r="T66" s="60">
        <f t="shared" si="34"/>
        <v>239.53454701506638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7.0208185960262437</v>
      </c>
      <c r="AA66" s="23">
        <f>EXP(-LN(2)/25)*AA65+(1-EXP(-LN(2)/25))/(LN(2)/25)*Calculateur!V66*Calculateur!X66*VLOOKUP('Données projet'!$B$9,Paramètres!$A$1:$I$89,3,0)*0.475*44/12</f>
        <v>2.9006886805231256</v>
      </c>
      <c r="AB66" s="23">
        <f>EXP(-LN(2)/2)*AB65+(1-EXP(-LN(2)/2))/(LN(2)/2)*V66*Y66*VLOOKUP('Données projet'!$B$9,Paramètres!$A$1:$I$89,3,0)*0.475*44/12</f>
        <v>3.1817896203828709E-5</v>
      </c>
      <c r="AC66" s="24">
        <f t="shared" si="3"/>
        <v>9.9215390944455741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>
        <f>VLOOKUP(A66,'Données projet'!$A$61:$I$81,2,0)</f>
        <v>538</v>
      </c>
      <c r="AG66" s="13">
        <f>VLOOKUP(A66,'Données projet'!$A$61:$I$81,9,0)</f>
        <v>15.571428571428571</v>
      </c>
      <c r="AH66" s="13">
        <f t="array" ref="AH66">INDEX(AG:AG,MIN(IF(ISNUMBER(AG66:AG262),ROW(AG66:AG262),"")))</f>
        <v>15.571428571428571</v>
      </c>
      <c r="AI66" s="14">
        <f>IF('Données projet'!$A$62&gt;35,AI65+AH66-AQ65,IF(A66&lt;'Données projet'!$A$62,$AF$205^A66,IF(A66='Données projet'!$A$62,'Données projet'!$B$62,AI65+AH66-AQ65)))</f>
        <v>537.99999999999966</v>
      </c>
      <c r="AJ66" s="14">
        <f>AI66*VLOOKUP('Données projet'!$B$10,Paramètres!$A$1:$I$89,3,0)*VLOOKUP('Données projet'!$B$10,Paramètres!$A$1:$I$89,5,0)</f>
        <v>300.74199999999985</v>
      </c>
      <c r="AK66" s="14">
        <f t="shared" si="35"/>
        <v>71.331992805448763</v>
      </c>
      <c r="AL66" s="22">
        <f t="shared" si="4"/>
        <v>648.02887080282289</v>
      </c>
      <c r="AM66" s="60">
        <f t="shared" si="5"/>
        <v>941.36220413615615</v>
      </c>
      <c r="AN66" s="60">
        <f ca="1">AVERAGE(OFFSET($AM$3,0,0,'Données projet'!$E$10+1,1))-AVERAGE(OFFSET($H$3,0,0,'Données projet'!$E$10+1,1))</f>
        <v>302.20483575440988</v>
      </c>
      <c r="AO66" s="60">
        <f t="shared" si="36"/>
        <v>275.32862097158687</v>
      </c>
      <c r="AP66" s="16">
        <f>IF(ISNA(VLOOKUP(A66,'Données projet'!$A$61:$I$81,3,0)),0,VLOOKUP(A66,'Données projet'!$A$61:$I$81,3,0))</f>
        <v>7</v>
      </c>
      <c r="AQ66" s="16">
        <f>IF(ISNA(VLOOKUP(A66,'Données projet'!$A$61:$I$81,4,0)),0,VLOOKUP(A66,'Données projet'!$A$61:$I$81,4,0))</f>
        <v>84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2.7691433071515781</v>
      </c>
      <c r="AW66" s="23">
        <f>EXP(-LN(2)/2)*AW65+(1-EXP(-LN(2)/2))/(LN(2)/2)*AQ66*AT66*VLOOKUP('Données projet'!$B$10,Paramètres!$A$1:$I$89,3,0)*0.475*44/12</f>
        <v>9.5015583745023996E-5</v>
      </c>
      <c r="AX66" s="23">
        <f t="shared" si="6"/>
        <v>2.769238322735323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6</v>
      </c>
      <c r="BD66" s="13">
        <f>IF('Données projet'!$A$88&gt;35,BD65+BC66-BL65,IF(A66&lt;'Données projet'!$A$88,$BA$205^A66,IF(A66='Données projet'!$A$88,'Données projet'!$B$88,BD65+BC66-BL65)))</f>
        <v>264.00000000000011</v>
      </c>
      <c r="BE66" s="14">
        <f>BD66*VLOOKUP('Données projet'!$B$11,Paramètres!$A$1:$I$89,3,0)*VLOOKUP('Données projet'!$B$11,Paramètres!$A$1:$I$89,5,0)</f>
        <v>230.63040000000015</v>
      </c>
      <c r="BF66" s="14">
        <f t="shared" si="37"/>
        <v>56.418967028503253</v>
      </c>
      <c r="BG66" s="22">
        <f t="shared" si="7"/>
        <v>499.94431424131017</v>
      </c>
      <c r="BH66" s="60">
        <f t="shared" si="8"/>
        <v>793.27764757464342</v>
      </c>
      <c r="BI66" s="60">
        <f ca="1">AVERAGE(OFFSET($BH$3,0,0,'Données projet'!$E$11+1,1))-AVERAGE(OFFSET($H$3,0,0,'Données projet'!$E$11+1,1))</f>
        <v>314.62110015707839</v>
      </c>
      <c r="BJ66" s="60">
        <f t="shared" si="38"/>
        <v>285.36905470736582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214.59999999999994</v>
      </c>
      <c r="BZ66" s="14">
        <f>BY66*VLOOKUP('Données projet'!$B$12,Paramètres!$A$1:$I$89,3,0)*VLOOKUP('Données projet'!$B$12,Paramètres!$A$1:$I$89,5,0)</f>
        <v>194.17007999999996</v>
      </c>
      <c r="CA66" s="14">
        <f t="shared" si="39"/>
        <v>48.460730182351035</v>
      </c>
      <c r="CB66" s="22">
        <f t="shared" si="10"/>
        <v>422.5819944009279</v>
      </c>
      <c r="CC66" s="60">
        <f t="shared" si="11"/>
        <v>715.91532773426115</v>
      </c>
      <c r="CD66" s="60">
        <f ca="1">AVERAGE(OFFSET($CC$3,0,0,'Données projet'!$E$12+1,1))-AVERAGE(OFFSET($H$3,0,0,'Données projet'!$E$12+1,1))</f>
        <v>303.73499739059076</v>
      </c>
      <c r="CE66" s="60">
        <f t="shared" si="40"/>
        <v>172.32171001882188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214.59999999999994</v>
      </c>
      <c r="CU66" s="18">
        <f>CT66*VLOOKUP('Données projet'!$B$13,Paramètres!$A$1:$I$89,3,0)*VLOOKUP('Données projet'!$B$13,Paramètres!$A$1:$I$89,5,0)</f>
        <v>217.60439999999994</v>
      </c>
      <c r="CV66" s="14">
        <f t="shared" si="41"/>
        <v>53.593882578706356</v>
      </c>
      <c r="CW66" s="22">
        <f t="shared" si="13"/>
        <v>472.33700882458015</v>
      </c>
      <c r="CX66" s="60">
        <f t="shared" si="14"/>
        <v>765.67034215791341</v>
      </c>
      <c r="CY66" s="60">
        <f ca="1">AVERAGE(OFFSET($CX$3,0,0,'Données projet'!$E$13+1,1))-AVERAGE(OFFSET($H$3,0,0,'Données projet'!$E$13+1,1))</f>
        <v>350.3652766444938</v>
      </c>
      <c r="CZ66" s="60">
        <f t="shared" si="42"/>
        <v>197.04549436738586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214.59999999999994</v>
      </c>
      <c r="DP66" s="18">
        <f>DO66*VLOOKUP('Données projet'!$B$14,Paramètres!$A$1:$I$89,3,0)*VLOOKUP('Données projet'!$B$14,Paramètres!$A$1:$I$89,5,0)</f>
        <v>230.99543999999995</v>
      </c>
      <c r="DQ66" s="14">
        <f t="shared" si="43"/>
        <v>56.497864803589785</v>
      </c>
      <c r="DR66" s="22">
        <f t="shared" si="16"/>
        <v>500.71750586625211</v>
      </c>
      <c r="DS66" s="60">
        <f t="shared" si="17"/>
        <v>794.05083919958543</v>
      </c>
      <c r="DT66" s="60">
        <f ca="1">AVERAGE(OFFSET($DS$3,0,0,'Données projet'!$E$14+1,1))-AVERAGE(OFFSET($H$3,0,0,'Données projet'!$E$14+1,1))</f>
        <v>376.96388721258387</v>
      </c>
      <c r="DU66" s="60">
        <f t="shared" si="44"/>
        <v>211.14628470344377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7.2</v>
      </c>
      <c r="EJ66" s="13">
        <f>IF('Données projet'!$A$192&gt;35,EJ65+EI66-ER65,IF(A66&lt;'Données projet'!$A$192,$EG$205^A66,IF(A66='Données projet'!$A$192,'Données projet'!$B$192,EJ65+EI66-ER65)))</f>
        <v>214.59999999999994</v>
      </c>
      <c r="EK66" s="18">
        <f>EJ66*VLOOKUP('Données projet'!$B$15,Paramètres!$A$1:$I$89,3,0)*VLOOKUP('Données projet'!$B$15,Paramètres!$A$1:$I$89,5,0)</f>
        <v>207.56111999999996</v>
      </c>
      <c r="EL66" s="14">
        <f t="shared" si="45"/>
        <v>51.40226725537714</v>
      </c>
      <c r="EM66" s="22">
        <f t="shared" si="19"/>
        <v>451.02789946978169</v>
      </c>
      <c r="EN66" s="60">
        <f t="shared" si="20"/>
        <v>744.36123280311494</v>
      </c>
      <c r="EO66" s="60">
        <f ca="1">AVERAGE(OFFSET($EN$3,0,0,'Données projet'!$E$15+1,1))-AVERAGE(OFFSET($H$3,0,0,'Données projet'!$E$15+1,1))</f>
        <v>330.39429528665841</v>
      </c>
      <c r="EP66" s="60">
        <f t="shared" si="46"/>
        <v>186.45728006007261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8">
        <f t="shared" si="1"/>
        <v>372.73974445970646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-5.6843418860808015E-14</v>
      </c>
      <c r="O67" s="14">
        <f>N67*VLOOKUP('Données projet'!$B$9,Paramètres!$A$1:$I$89,3,0)*VLOOKUP('Données projet'!$B$9,Paramètres!$A$1:$I$89,5,0)</f>
        <v>-3.3992364478763198E-14</v>
      </c>
      <c r="P67" s="14" t="e">
        <f t="shared" si="33"/>
        <v>#NUM!</v>
      </c>
      <c r="Q67" s="22" t="e">
        <f t="shared" ref="Q67:Q98" si="54">(O67+P67)*0.475*44/12</f>
        <v>#NUM!</v>
      </c>
      <c r="R67" s="60" t="e">
        <f t="shared" ref="R67:R130" si="55">Q67+(I67+J67)*44/12</f>
        <v>#NUM!</v>
      </c>
      <c r="S67" s="60">
        <f ca="1">AVERAGE(OFFSET($R$3,0,0,'Données projet'!$E$9+1,1))-AVERAGE(OFFSET($H$3,0,0,'Données projet'!$E$9+1,1))</f>
        <v>155.11440101086782</v>
      </c>
      <c r="T67" s="60">
        <f t="shared" si="34"/>
        <v>239.53454701506638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6.8831446256346727</v>
      </c>
      <c r="AA67" s="23">
        <f>EXP(-LN(2)/25)*AA66+(1-EXP(-LN(2)/25))/(LN(2)/25)*Calculateur!V67*Calculateur!X67*VLOOKUP('Données projet'!$B$9,Paramètres!$A$1:$I$89,3,0)*0.475*44/12</f>
        <v>2.8213691960136327</v>
      </c>
      <c r="AB67" s="23">
        <f>EXP(-LN(2)/2)*AB66+(1-EXP(-LN(2)/2))/(LN(2)/2)*V67*Y67*VLOOKUP('Données projet'!$B$9,Paramètres!$A$1:$I$89,3,0)*0.475*44/12</f>
        <v>2.2498650168816989E-5</v>
      </c>
      <c r="AC67" s="24">
        <f t="shared" si="3"/>
        <v>9.7045363202984749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13.857142857142858</v>
      </c>
      <c r="AI67" s="14">
        <f>IF('Données projet'!$A$62&gt;35,AI66+AH67-AQ66,IF(A67&lt;'Données projet'!$A$62,$AF$205^A67,IF(A67='Données projet'!$A$62,'Données projet'!$B$62,AI66+AH67-AQ66)))</f>
        <v>467.85714285714255</v>
      </c>
      <c r="AJ67" s="14">
        <f>AI67*VLOOKUP('Données projet'!$B$10,Paramètres!$A$1:$I$89,3,0)*VLOOKUP('Données projet'!$B$10,Paramètres!$A$1:$I$89,5,0)</f>
        <v>261.53214285714273</v>
      </c>
      <c r="AK67" s="14">
        <f t="shared" si="35"/>
        <v>63.048857133846255</v>
      </c>
      <c r="AL67" s="22">
        <f t="shared" si="4"/>
        <v>565.31190831763899</v>
      </c>
      <c r="AM67" s="60">
        <f t="shared" si="5"/>
        <v>858.64524165097237</v>
      </c>
      <c r="AN67" s="60">
        <f ca="1">AVERAGE(OFFSET($AM$3,0,0,'Données projet'!$E$10+1,1))-AVERAGE(OFFSET($H$3,0,0,'Données projet'!$E$10+1,1))</f>
        <v>302.20483575440988</v>
      </c>
      <c r="AO67" s="60">
        <f t="shared" si="36"/>
        <v>275.32862097158687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2.6934209377946008</v>
      </c>
      <c r="AW67" s="23">
        <f>EXP(-LN(2)/2)*AW66+(1-EXP(-LN(2)/2))/(LN(2)/2)*AQ67*AT67*VLOOKUP('Données projet'!$B$10,Paramètres!$A$1:$I$89,3,0)*0.475*44/12</f>
        <v>6.7186163584504764E-5</v>
      </c>
      <c r="AX67" s="23">
        <f t="shared" si="6"/>
        <v>2.6934881239581854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6</v>
      </c>
      <c r="BD67" s="13">
        <f>IF('Données projet'!$A$88&gt;35,BD66+BC67-BL66,IF(A67&lt;'Données projet'!$A$88,$BA$205^A67,IF(A67='Données projet'!$A$88,'Données projet'!$B$88,BD66+BC67-BL66)))</f>
        <v>270.00000000000011</v>
      </c>
      <c r="BE67" s="14">
        <f>BD67*VLOOKUP('Données projet'!$B$11,Paramètres!$A$1:$I$89,3,0)*VLOOKUP('Données projet'!$B$11,Paramètres!$A$1:$I$89,5,0)</f>
        <v>235.87200000000013</v>
      </c>
      <c r="BF67" s="14">
        <f t="shared" si="37"/>
        <v>57.550476347015326</v>
      </c>
      <c r="BG67" s="22">
        <f t="shared" si="7"/>
        <v>511.04414630438515</v>
      </c>
      <c r="BH67" s="60">
        <f t="shared" si="8"/>
        <v>804.37747963771847</v>
      </c>
      <c r="BI67" s="60">
        <f ca="1">AVERAGE(OFFSET($BH$3,0,0,'Données projet'!$E$11+1,1))-AVERAGE(OFFSET($H$3,0,0,'Données projet'!$E$11+1,1))</f>
        <v>314.62110015707839</v>
      </c>
      <c r="BJ67" s="60">
        <f t="shared" si="38"/>
        <v>285.36905470736582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221.79999999999993</v>
      </c>
      <c r="BZ67" s="14">
        <f>BY67*VLOOKUP('Données projet'!$B$12,Paramètres!$A$1:$I$89,3,0)*VLOOKUP('Données projet'!$B$12,Paramètres!$A$1:$I$89,5,0)</f>
        <v>200.68463999999992</v>
      </c>
      <c r="CA67" s="14">
        <f t="shared" si="39"/>
        <v>49.894600936700193</v>
      </c>
      <c r="CB67" s="22">
        <f t="shared" si="10"/>
        <v>436.42551129808606</v>
      </c>
      <c r="CC67" s="60">
        <f t="shared" si="11"/>
        <v>729.75884463141938</v>
      </c>
      <c r="CD67" s="60">
        <f ca="1">AVERAGE(OFFSET($CC$3,0,0,'Données projet'!$E$12+1,1))-AVERAGE(OFFSET($H$3,0,0,'Données projet'!$E$12+1,1))</f>
        <v>303.73499739059076</v>
      </c>
      <c r="CE67" s="60">
        <f t="shared" si="40"/>
        <v>172.32171001882188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221.79999999999993</v>
      </c>
      <c r="CU67" s="18">
        <f>CT67*VLOOKUP('Données projet'!$B$13,Paramètres!$A$1:$I$89,3,0)*VLOOKUP('Données projet'!$B$13,Paramètres!$A$1:$I$89,5,0)</f>
        <v>224.90519999999995</v>
      </c>
      <c r="CV67" s="14">
        <f t="shared" si="41"/>
        <v>55.17963460003309</v>
      </c>
      <c r="CW67" s="22">
        <f t="shared" si="13"/>
        <v>487.81442026172425</v>
      </c>
      <c r="CX67" s="60">
        <f t="shared" si="14"/>
        <v>781.14775359505757</v>
      </c>
      <c r="CY67" s="60">
        <f ca="1">AVERAGE(OFFSET($CX$3,0,0,'Données projet'!$E$13+1,1))-AVERAGE(OFFSET($H$3,0,0,'Données projet'!$E$13+1,1))</f>
        <v>350.3652766444938</v>
      </c>
      <c r="CZ67" s="60">
        <f t="shared" si="42"/>
        <v>197.04549436738586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221.79999999999993</v>
      </c>
      <c r="DP67" s="18">
        <f>DO67*VLOOKUP('Données projet'!$B$14,Paramètres!$A$1:$I$89,3,0)*VLOOKUP('Données projet'!$B$14,Paramètres!$A$1:$I$89,5,0)</f>
        <v>238.74551999999991</v>
      </c>
      <c r="DQ67" s="14">
        <f t="shared" si="43"/>
        <v>58.169540730060781</v>
      </c>
      <c r="DR67" s="22">
        <f t="shared" si="16"/>
        <v>517.12706410485578</v>
      </c>
      <c r="DS67" s="60">
        <f t="shared" si="17"/>
        <v>810.46039743818915</v>
      </c>
      <c r="DT67" s="60">
        <f ca="1">AVERAGE(OFFSET($DS$3,0,0,'Données projet'!$E$14+1,1))-AVERAGE(OFFSET($H$3,0,0,'Données projet'!$E$14+1,1))</f>
        <v>376.96388721258387</v>
      </c>
      <c r="DU67" s="60">
        <f t="shared" si="44"/>
        <v>211.14628470344377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7.2</v>
      </c>
      <c r="EJ67" s="13">
        <f>IF('Données projet'!$A$192&gt;35,EJ66+EI67-ER66,IF(A67&lt;'Données projet'!$A$192,$EG$205^A67,IF(A67='Données projet'!$A$192,'Données projet'!$B$192,EJ66+EI67-ER66)))</f>
        <v>221.79999999999993</v>
      </c>
      <c r="EK67" s="18">
        <f>EJ67*VLOOKUP('Données projet'!$B$15,Paramètres!$A$1:$I$89,3,0)*VLOOKUP('Données projet'!$B$15,Paramètres!$A$1:$I$89,5,0)</f>
        <v>214.52495999999994</v>
      </c>
      <c r="EL67" s="14">
        <f t="shared" si="45"/>
        <v>52.923173099085716</v>
      </c>
      <c r="EM67" s="22">
        <f t="shared" si="19"/>
        <v>465.80549848090754</v>
      </c>
      <c r="EN67" s="60">
        <f t="shared" si="20"/>
        <v>759.1388318142408</v>
      </c>
      <c r="EO67" s="60">
        <f ca="1">AVERAGE(OFFSET($EN$3,0,0,'Données projet'!$E$15+1,1))-AVERAGE(OFFSET($H$3,0,0,'Données projet'!$E$15+1,1))</f>
        <v>330.39429528665841</v>
      </c>
      <c r="EP67" s="60">
        <f t="shared" si="46"/>
        <v>186.45728006007261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8">
        <f t="shared" ref="H68:H131" si="56">(B68+E68+F68)*44/12+(C68+D68)*0.475*44/12</f>
        <v>373.94650830487547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-5.6843418860808015E-14</v>
      </c>
      <c r="O68" s="14">
        <f>N68*VLOOKUP('Données projet'!$B$9,Paramètres!$A$1:$I$89,3,0)*VLOOKUP('Données projet'!$B$9,Paramètres!$A$1:$I$89,5,0)</f>
        <v>-3.3992364478763198E-14</v>
      </c>
      <c r="P68" s="14" t="e">
        <f t="shared" si="33"/>
        <v>#NUM!</v>
      </c>
      <c r="Q68" s="22" t="e">
        <f t="shared" si="54"/>
        <v>#NUM!</v>
      </c>
      <c r="R68" s="60" t="e">
        <f t="shared" si="55"/>
        <v>#NUM!</v>
      </c>
      <c r="S68" s="60">
        <f ca="1">AVERAGE(OFFSET($R$3,0,0,'Données projet'!$E$9+1,1))-AVERAGE(OFFSET($H$3,0,0,'Données projet'!$E$9+1,1))</f>
        <v>155.11440101086782</v>
      </c>
      <c r="T68" s="60">
        <f t="shared" si="34"/>
        <v>239.53454701506638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6.7481703578296504</v>
      </c>
      <c r="AA68" s="23">
        <f>EXP(-LN(2)/25)*AA67+(1-EXP(-LN(2)/25))/(LN(2)/25)*Calculateur!V68*Calculateur!X68*VLOOKUP('Données projet'!$B$9,Paramètres!$A$1:$I$89,3,0)*0.475*44/12</f>
        <v>2.7442187069792823</v>
      </c>
      <c r="AB68" s="23">
        <f>EXP(-LN(2)/2)*AB67+(1-EXP(-LN(2)/2))/(LN(2)/2)*V68*Y68*VLOOKUP('Données projet'!$B$9,Paramètres!$A$1:$I$89,3,0)*0.475*44/12</f>
        <v>1.5908948101914354E-5</v>
      </c>
      <c r="AC68" s="24">
        <f t="shared" ref="AC68:AC131" si="57">SUM(Z68:AB68)</f>
        <v>9.4924049737570346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13.857142857142858</v>
      </c>
      <c r="AI68" s="14">
        <f>IF('Données projet'!$A$62&gt;35,AI67+AH68-AQ67,IF(A68&lt;'Données projet'!$A$62,$AF$205^A68,IF(A68='Données projet'!$A$62,'Données projet'!$B$62,AI67+AH68-AQ67)))</f>
        <v>481.71428571428538</v>
      </c>
      <c r="AJ68" s="14">
        <f>AI68*VLOOKUP('Données projet'!$B$10,Paramètres!$A$1:$I$89,3,0)*VLOOKUP('Données projet'!$B$10,Paramètres!$A$1:$I$89,5,0)</f>
        <v>269.27828571428557</v>
      </c>
      <c r="AK68" s="14">
        <f t="shared" si="35"/>
        <v>64.696079449868591</v>
      </c>
      <c r="AL68" s="22">
        <f t="shared" ref="AL68:AL131" si="58">(AJ68+AK68)*0.475*44/12</f>
        <v>581.67201932756836</v>
      </c>
      <c r="AM68" s="60">
        <f t="shared" ref="AM68:AM131" si="59">AL68+(AD68+AE68)*44/12</f>
        <v>875.00535266090174</v>
      </c>
      <c r="AN68" s="60">
        <f ca="1">AVERAGE(OFFSET($AM$3,0,0,'Données projet'!$E$10+1,1))-AVERAGE(OFFSET($H$3,0,0,'Données projet'!$E$10+1,1))</f>
        <v>302.20483575440988</v>
      </c>
      <c r="AO68" s="60">
        <f t="shared" si="36"/>
        <v>275.32862097158687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2.6197692006097562</v>
      </c>
      <c r="AW68" s="23">
        <f>EXP(-LN(2)/2)*AW67+(1-EXP(-LN(2)/2))/(LN(2)/2)*AQ68*AT68*VLOOKUP('Données projet'!$B$10,Paramètres!$A$1:$I$89,3,0)*0.475*44/12</f>
        <v>4.7507791872511998E-5</v>
      </c>
      <c r="AX68" s="23">
        <f t="shared" ref="AX68:AX131" si="60">SUM(AU68:AW68)</f>
        <v>2.6198167084016286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276</v>
      </c>
      <c r="BB68" s="13">
        <f>VLOOKUP(A68,'Données projet'!$A$87:$I$107,9,0)</f>
        <v>6</v>
      </c>
      <c r="BC68" s="13">
        <f t="array" ref="BC68">INDEX(BB:BB,MIN(IF(ISNUMBER(BB68:BB264),ROW(BB68:BB264),"")))</f>
        <v>6</v>
      </c>
      <c r="BD68" s="13">
        <f>IF('Données projet'!$A$88&gt;35,BD67+BC68-BL67,IF(A68&lt;'Données projet'!$A$88,$BA$205^A68,IF(A68='Données projet'!$A$88,'Données projet'!$B$88,BD67+BC68-BL67)))</f>
        <v>276.00000000000011</v>
      </c>
      <c r="BE68" s="14">
        <f>BD68*VLOOKUP('Données projet'!$B$11,Paramètres!$A$1:$I$89,3,0)*VLOOKUP('Données projet'!$B$11,Paramètres!$A$1:$I$89,5,0)</f>
        <v>241.11360000000013</v>
      </c>
      <c r="BF68" s="14">
        <f t="shared" si="37"/>
        <v>58.679062355898907</v>
      </c>
      <c r="BG68" s="22">
        <f t="shared" ref="BG68:BG131" si="61">(BE68+BF68)*0.475*44/12</f>
        <v>522.13888693652416</v>
      </c>
      <c r="BH68" s="60">
        <f t="shared" ref="BH68:BH131" si="62">BG68+(AY68+AZ68)*44/12</f>
        <v>815.47222026985742</v>
      </c>
      <c r="BI68" s="60">
        <f ca="1">AVERAGE(OFFSET($BH$3,0,0,'Données projet'!$E$11+1,1))-AVERAGE(OFFSET($H$3,0,0,'Données projet'!$E$11+1,1))</f>
        <v>314.62110015707839</v>
      </c>
      <c r="BJ68" s="60">
        <f t="shared" si="38"/>
        <v>285.36905470736582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46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228.99999999999991</v>
      </c>
      <c r="BZ68" s="14">
        <f>BY68*VLOOKUP('Données projet'!$B$12,Paramètres!$A$1:$I$89,3,0)*VLOOKUP('Données projet'!$B$12,Paramètres!$A$1:$I$89,5,0)</f>
        <v>207.19919999999991</v>
      </c>
      <c r="CA68" s="14">
        <f t="shared" si="39"/>
        <v>51.3230629736655</v>
      </c>
      <c r="CB68" s="22">
        <f t="shared" ref="CB68:CB131" si="64">(BZ68+CA68)*0.475*44/12</f>
        <v>450.25960801246725</v>
      </c>
      <c r="CC68" s="60">
        <f t="shared" ref="CC68:CC131" si="65">CB68+(BT68+BU68)*44/12</f>
        <v>743.59294134580057</v>
      </c>
      <c r="CD68" s="60">
        <f ca="1">AVERAGE(OFFSET($CC$3,0,0,'Données projet'!$E$12+1,1))-AVERAGE(OFFSET($H$3,0,0,'Données projet'!$E$12+1,1))</f>
        <v>303.73499739059076</v>
      </c>
      <c r="CE68" s="60">
        <f t="shared" si="40"/>
        <v>172.32171001882188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229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228.99999999999991</v>
      </c>
      <c r="CU68" s="18">
        <f>CT68*VLOOKUP('Données projet'!$B$13,Paramètres!$A$1:$I$89,3,0)*VLOOKUP('Données projet'!$B$13,Paramètres!$A$1:$I$89,5,0)</f>
        <v>232.2059999999999</v>
      </c>
      <c r="CV68" s="14">
        <f t="shared" si="41"/>
        <v>56.759404991217522</v>
      </c>
      <c r="CW68" s="22">
        <f t="shared" ref="CW68:CW131" si="67">(CU68+CV68)*0.475*44/12</f>
        <v>503.281413693037</v>
      </c>
      <c r="CX68" s="60">
        <f t="shared" ref="CX68:CX131" si="68">CW68+(CO68+CP68)*44/12</f>
        <v>796.61474702637031</v>
      </c>
      <c r="CY68" s="60">
        <f ca="1">AVERAGE(OFFSET($CX$3,0,0,'Données projet'!$E$13+1,1))-AVERAGE(OFFSET($H$3,0,0,'Données projet'!$E$13+1,1))</f>
        <v>350.3652766444938</v>
      </c>
      <c r="CZ68" s="60">
        <f t="shared" si="42"/>
        <v>197.04549436738586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229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228.99999999999991</v>
      </c>
      <c r="DP68" s="18">
        <f>DO68*VLOOKUP('Données projet'!$B$14,Paramètres!$A$1:$I$89,3,0)*VLOOKUP('Données projet'!$B$14,Paramètres!$A$1:$I$89,5,0)</f>
        <v>246.49559999999991</v>
      </c>
      <c r="DQ68" s="14">
        <f t="shared" si="43"/>
        <v>59.834910912017278</v>
      </c>
      <c r="DR68" s="22">
        <f t="shared" ref="DR68:DR131" si="70">(DP68+DQ68)*0.475*44/12</f>
        <v>533.52563983842992</v>
      </c>
      <c r="DS68" s="60">
        <f t="shared" ref="DS68:DS131" si="71">DR68+(DJ68+DK68)*44/12</f>
        <v>826.85897317176318</v>
      </c>
      <c r="DT68" s="60">
        <f ca="1">AVERAGE(OFFSET($DS$3,0,0,'Données projet'!$E$14+1,1))-AVERAGE(OFFSET($H$3,0,0,'Données projet'!$E$14+1,1))</f>
        <v>376.96388721258387</v>
      </c>
      <c r="DU68" s="60">
        <f t="shared" si="44"/>
        <v>211.14628470344377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229</v>
      </c>
      <c r="EH68" s="13">
        <f>VLOOKUP(A68,'Données projet'!$A$191:$I$211,9,0)</f>
        <v>7.2</v>
      </c>
      <c r="EI68" s="13">
        <f t="array" ref="EI68">INDEX(EH:EH,MIN(IF(ISNUMBER(EH68:EH264),ROW(EH68:EH264),"")))</f>
        <v>7.2</v>
      </c>
      <c r="EJ68" s="13">
        <f>IF('Données projet'!$A$192&gt;35,EJ67+EI68-ER67,IF(A68&lt;'Données projet'!$A$192,$EG$205^A68,IF(A68='Données projet'!$A$192,'Données projet'!$B$192,EJ67+EI68-ER67)))</f>
        <v>228.99999999999991</v>
      </c>
      <c r="EK68" s="18">
        <f>EJ68*VLOOKUP('Données projet'!$B$15,Paramètres!$A$1:$I$89,3,0)*VLOOKUP('Données projet'!$B$15,Paramètres!$A$1:$I$89,5,0)</f>
        <v>221.48879999999991</v>
      </c>
      <c r="EL68" s="14">
        <f t="shared" si="45"/>
        <v>54.43834191952984</v>
      </c>
      <c r="EM68" s="22">
        <f t="shared" ref="EM68:EM131" si="73">(EK68+EL68)*0.475*44/12</f>
        <v>480.57310550984766</v>
      </c>
      <c r="EN68" s="60">
        <f t="shared" ref="EN68:EN131" si="74">EM68+(EE68+EF68)*44/12</f>
        <v>773.90643884318092</v>
      </c>
      <c r="EO68" s="60">
        <f ca="1">AVERAGE(OFFSET($EN$3,0,0,'Données projet'!$E$15+1,1))-AVERAGE(OFFSET($H$3,0,0,'Données projet'!$E$15+1,1))</f>
        <v>330.39429528665841</v>
      </c>
      <c r="EP68" s="60">
        <f t="shared" si="46"/>
        <v>186.45728006007261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8">
        <f t="shared" si="56"/>
        <v>375.15281443732528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-5.6843418860808015E-14</v>
      </c>
      <c r="O69" s="14">
        <f>N69*VLOOKUP('Données projet'!$B$9,Paramètres!$A$1:$I$89,3,0)*VLOOKUP('Données projet'!$B$9,Paramètres!$A$1:$I$89,5,0)</f>
        <v>-3.3992364478763198E-14</v>
      </c>
      <c r="P69" s="14" t="e">
        <f t="shared" ref="P69:P132" si="87">EXP(-1.0587+0.8836*LN(O69)+0.284)</f>
        <v>#NUM!</v>
      </c>
      <c r="Q69" s="22" t="e">
        <f t="shared" si="54"/>
        <v>#NUM!</v>
      </c>
      <c r="R69" s="60" t="e">
        <f t="shared" si="55"/>
        <v>#NUM!</v>
      </c>
      <c r="S69" s="60">
        <f ca="1">AVERAGE(OFFSET($R$3,0,0,'Données projet'!$E$9+1,1))-AVERAGE(OFFSET($H$3,0,0,'Données projet'!$E$9+1,1))</f>
        <v>155.11440101086782</v>
      </c>
      <c r="T69" s="60">
        <f t="shared" ref="T69:T132" si="88">$T$3</f>
        <v>239.53454701506638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6.6158428530901103</v>
      </c>
      <c r="AA69" s="23">
        <f>EXP(-LN(2)/25)*AA68+(1-EXP(-LN(2)/25))/(LN(2)/25)*Calculateur!V69*Calculateur!X69*VLOOKUP('Données projet'!$B$9,Paramètres!$A$1:$I$89,3,0)*0.475*44/12</f>
        <v>2.6691779021247442</v>
      </c>
      <c r="AB69" s="23">
        <f>EXP(-LN(2)/2)*AB68+(1-EXP(-LN(2)/2))/(LN(2)/2)*V69*Y69*VLOOKUP('Données projet'!$B$9,Paramètres!$A$1:$I$89,3,0)*0.475*44/12</f>
        <v>1.1249325084408494E-5</v>
      </c>
      <c r="AC69" s="24">
        <f t="shared" si="57"/>
        <v>9.2850320045399393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13.857142857142858</v>
      </c>
      <c r="AI69" s="14">
        <f>IF('Données projet'!$A$62&gt;35,AI68+AH69-AQ68,IF(A69&lt;'Données projet'!$A$62,$AF$205^A69,IF(A69='Données projet'!$A$62,'Données projet'!$B$62,AI68+AH69-AQ68)))</f>
        <v>495.57142857142821</v>
      </c>
      <c r="AJ69" s="14">
        <f>AI69*VLOOKUP('Données projet'!$B$10,Paramètres!$A$1:$I$89,3,0)*VLOOKUP('Données projet'!$B$10,Paramètres!$A$1:$I$89,5,0)</f>
        <v>277.02442857142842</v>
      </c>
      <c r="AK69" s="14">
        <f t="shared" ref="AK69:AK132" si="89">EXP(-1.0587+0.8836*LN(AJ69)+0.284)</f>
        <v>66.337794630329327</v>
      </c>
      <c r="AL69" s="22">
        <f t="shared" si="58"/>
        <v>598.02253874306132</v>
      </c>
      <c r="AM69" s="60">
        <f t="shared" si="59"/>
        <v>891.35587207639469</v>
      </c>
      <c r="AN69" s="60">
        <f ca="1">AVERAGE(OFFSET($AM$3,0,0,'Données projet'!$E$10+1,1))-AVERAGE(OFFSET($H$3,0,0,'Données projet'!$E$10+1,1))</f>
        <v>302.20483575440988</v>
      </c>
      <c r="AO69" s="60">
        <f t="shared" ref="AO69:AO132" si="90">$AO$3</f>
        <v>275.32862097158687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2.5481314740514076</v>
      </c>
      <c r="AW69" s="23">
        <f>EXP(-LN(2)/2)*AW68+(1-EXP(-LN(2)/2))/(LN(2)/2)*AQ69*AT69*VLOOKUP('Données projet'!$B$10,Paramètres!$A$1:$I$89,3,0)*0.475*44/12</f>
        <v>3.3593081792252382E-5</v>
      </c>
      <c r="AX69" s="23">
        <f t="shared" si="60"/>
        <v>2.5481650671331999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5.4</v>
      </c>
      <c r="BD69" s="13">
        <f>IF('Données projet'!$A$88&gt;35,BD68+BC69-BL68,IF(A69&lt;'Données projet'!$A$88,$BA$205^A69,IF(A69='Données projet'!$A$88,'Données projet'!$B$88,BD68+BC69-BL68)))</f>
        <v>235.40000000000009</v>
      </c>
      <c r="BE69" s="14">
        <f>BD69*VLOOKUP('Données projet'!$B$11,Paramètres!$A$1:$I$89,3,0)*VLOOKUP('Données projet'!$B$11,Paramètres!$A$1:$I$89,5,0)</f>
        <v>205.64544000000012</v>
      </c>
      <c r="BF69" s="14">
        <f t="shared" ref="BF69:BF132" si="91">EXP(-1.0587+0.8836*LN(BE69)+0.284)</f>
        <v>50.982847417614401</v>
      </c>
      <c r="BG69" s="22">
        <f t="shared" si="61"/>
        <v>446.96093391901189</v>
      </c>
      <c r="BH69" s="60">
        <f t="shared" si="62"/>
        <v>740.29426725234521</v>
      </c>
      <c r="BI69" s="60">
        <f ca="1">AVERAGE(OFFSET($BH$3,0,0,'Données projet'!$E$11+1,1))-AVERAGE(OFFSET($H$3,0,0,'Données projet'!$E$11+1,1))</f>
        <v>314.62110015707839</v>
      </c>
      <c r="BJ69" s="60">
        <f t="shared" ref="BJ69:BJ132" si="92">$BJ$3</f>
        <v>285.36905470736582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235.79999999999993</v>
      </c>
      <c r="BZ69" s="14">
        <f>BY69*VLOOKUP('Données projet'!$B$12,Paramètres!$A$1:$I$89,3,0)*VLOOKUP('Données projet'!$B$12,Paramètres!$A$1:$I$89,5,0)</f>
        <v>213.35183999999992</v>
      </c>
      <c r="CA69" s="14">
        <f t="shared" ref="CA69:CA132" si="93">EXP(-1.0587+0.8836*LN(BZ69)+0.284)</f>
        <v>52.667370665417188</v>
      </c>
      <c r="CB69" s="22">
        <f t="shared" si="64"/>
        <v>463.31679190893482</v>
      </c>
      <c r="CC69" s="60">
        <f t="shared" si="65"/>
        <v>756.65012524226813</v>
      </c>
      <c r="CD69" s="60">
        <f ca="1">AVERAGE(OFFSET($CC$3,0,0,'Données projet'!$E$12+1,1))-AVERAGE(OFFSET($H$3,0,0,'Données projet'!$E$12+1,1))</f>
        <v>303.73499739059076</v>
      </c>
      <c r="CE69" s="60">
        <f t="shared" ref="CE69:CE132" si="94">$CE$3</f>
        <v>172.32171001882188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235.79999999999993</v>
      </c>
      <c r="CU69" s="18">
        <f>CT69*VLOOKUP('Données projet'!$B$13,Paramètres!$A$1:$I$89,3,0)*VLOOKUP('Données projet'!$B$13,Paramètres!$A$1:$I$89,5,0)</f>
        <v>239.10119999999995</v>
      </c>
      <c r="CV69" s="14">
        <f t="shared" ref="CV69:CV132" si="95">EXP(-1.0587+0.8836*LN(CU69)+0.284)</f>
        <v>58.246107075777331</v>
      </c>
      <c r="CW69" s="22">
        <f t="shared" si="67"/>
        <v>517.87989315697871</v>
      </c>
      <c r="CX69" s="60">
        <f t="shared" si="68"/>
        <v>811.21322649031208</v>
      </c>
      <c r="CY69" s="60">
        <f ca="1">AVERAGE(OFFSET($CX$3,0,0,'Données projet'!$E$13+1,1))-AVERAGE(OFFSET($H$3,0,0,'Données projet'!$E$13+1,1))</f>
        <v>350.3652766444938</v>
      </c>
      <c r="CZ69" s="60">
        <f t="shared" ref="CZ69:CZ132" si="96">$CZ$3</f>
        <v>197.04549436738586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235.79999999999993</v>
      </c>
      <c r="DP69" s="18">
        <f>DO69*VLOOKUP('Données projet'!$B$14,Paramètres!$A$1:$I$89,3,0)*VLOOKUP('Données projet'!$B$14,Paramètres!$A$1:$I$89,5,0)</f>
        <v>253.81511999999992</v>
      </c>
      <c r="DQ69" s="14">
        <f t="shared" ref="DQ69:DQ132" si="97">EXP(-1.0587+0.8836*LN(DP69)+0.284)</f>
        <v>61.402169885153235</v>
      </c>
      <c r="DR69" s="22">
        <f t="shared" si="70"/>
        <v>549.00344654997514</v>
      </c>
      <c r="DS69" s="60">
        <f t="shared" si="71"/>
        <v>842.33677988330851</v>
      </c>
      <c r="DT69" s="60">
        <f ca="1">AVERAGE(OFFSET($DS$3,0,0,'Données projet'!$E$14+1,1))-AVERAGE(OFFSET($H$3,0,0,'Données projet'!$E$14+1,1))</f>
        <v>376.96388721258387</v>
      </c>
      <c r="DU69" s="60">
        <f t="shared" ref="DU69:DU132" si="98">$DU$3</f>
        <v>211.14628470344377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6.8</v>
      </c>
      <c r="EJ69" s="13">
        <f>IF('Données projet'!$A$192&gt;35,EJ68+EI69-ER68,IF(A69&lt;'Données projet'!$A$192,$EG$205^A69,IF(A69='Données projet'!$A$192,'Données projet'!$B$192,EJ68+EI69-ER68)))</f>
        <v>235.79999999999993</v>
      </c>
      <c r="EK69" s="18">
        <f>EJ69*VLOOKUP('Données projet'!$B$15,Paramètres!$A$1:$I$89,3,0)*VLOOKUP('Données projet'!$B$15,Paramètres!$A$1:$I$89,5,0)</f>
        <v>228.06575999999993</v>
      </c>
      <c r="EL69" s="14">
        <f t="shared" ref="EL69:EL132" si="99">EXP(-1.0587+0.8836*LN(EK69)+0.284)</f>
        <v>55.864248276798108</v>
      </c>
      <c r="EM69" s="22">
        <f t="shared" si="73"/>
        <v>494.51143108208981</v>
      </c>
      <c r="EN69" s="60">
        <f t="shared" si="74"/>
        <v>787.84476441542313</v>
      </c>
      <c r="EO69" s="60">
        <f ca="1">AVERAGE(OFFSET($EN$3,0,0,'Données projet'!$E$15+1,1))-AVERAGE(OFFSET($H$3,0,0,'Données projet'!$E$15+1,1))</f>
        <v>330.39429528665841</v>
      </c>
      <c r="EP69" s="60">
        <f t="shared" ref="EP69:EP132" si="100">$EP$3</f>
        <v>186.45728006007261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8">
        <f t="shared" si="56"/>
        <v>376.3586705931088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-5.6843418860808015E-14</v>
      </c>
      <c r="O70" s="14">
        <f>N70*VLOOKUP('Données projet'!$B$9,Paramètres!$A$1:$I$89,3,0)*VLOOKUP('Données projet'!$B$9,Paramètres!$A$1:$I$89,5,0)</f>
        <v>-3.3992364478763198E-14</v>
      </c>
      <c r="P70" s="14" t="e">
        <f t="shared" si="87"/>
        <v>#NUM!</v>
      </c>
      <c r="Q70" s="22" t="e">
        <f t="shared" si="54"/>
        <v>#NUM!</v>
      </c>
      <c r="R70" s="60" t="e">
        <f t="shared" si="55"/>
        <v>#NUM!</v>
      </c>
      <c r="S70" s="60">
        <f ca="1">AVERAGE(OFFSET($R$3,0,0,'Données projet'!$E$9+1,1))-AVERAGE(OFFSET($H$3,0,0,'Données projet'!$E$9+1,1))</f>
        <v>155.11440101086782</v>
      </c>
      <c r="T70" s="60">
        <f t="shared" si="88"/>
        <v>239.53454701506638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6.4861102100067045</v>
      </c>
      <c r="AA70" s="23">
        <f>EXP(-LN(2)/25)*AA69+(1-EXP(-LN(2)/25))/(LN(2)/25)*Calculateur!V70*Calculateur!X70*VLOOKUP('Données projet'!$B$9,Paramètres!$A$1:$I$89,3,0)*0.475*44/12</f>
        <v>2.5961890920251776</v>
      </c>
      <c r="AB70" s="23">
        <f>EXP(-LN(2)/2)*AB69+(1-EXP(-LN(2)/2))/(LN(2)/2)*V70*Y70*VLOOKUP('Données projet'!$B$9,Paramètres!$A$1:$I$89,3,0)*0.475*44/12</f>
        <v>7.9544740509571772E-6</v>
      </c>
      <c r="AC70" s="24">
        <f t="shared" si="57"/>
        <v>9.0823072565059313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13.857142857142858</v>
      </c>
      <c r="AI70" s="14">
        <f>IF('Données projet'!$A$62&gt;35,AI69+AH70-AQ69,IF(A70&lt;'Données projet'!$A$62,$AF$205^A70,IF(A70='Données projet'!$A$62,'Données projet'!$B$62,AI69+AH70-AQ69)))</f>
        <v>509.42857142857105</v>
      </c>
      <c r="AJ70" s="14">
        <f>AI70*VLOOKUP('Données projet'!$B$10,Paramètres!$A$1:$I$89,3,0)*VLOOKUP('Données projet'!$B$10,Paramètres!$A$1:$I$89,5,0)</f>
        <v>284.77057142857126</v>
      </c>
      <c r="AK70" s="14">
        <f t="shared" si="89"/>
        <v>67.974174355789401</v>
      </c>
      <c r="AL70" s="22">
        <f t="shared" si="58"/>
        <v>614.36376557442816</v>
      </c>
      <c r="AM70" s="60">
        <f t="shared" si="59"/>
        <v>907.69709890776153</v>
      </c>
      <c r="AN70" s="60">
        <f ca="1">AVERAGE(OFFSET($AM$3,0,0,'Données projet'!$E$10+1,1))-AVERAGE(OFFSET($H$3,0,0,'Données projet'!$E$10+1,1))</f>
        <v>302.20483575440988</v>
      </c>
      <c r="AO70" s="60">
        <f t="shared" si="90"/>
        <v>275.32862097158687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2.4784526848930617</v>
      </c>
      <c r="AW70" s="23">
        <f>EXP(-LN(2)/2)*AW69+(1-EXP(-LN(2)/2))/(LN(2)/2)*AQ70*AT70*VLOOKUP('Données projet'!$B$10,Paramètres!$A$1:$I$89,3,0)*0.475*44/12</f>
        <v>2.3753895936255999E-5</v>
      </c>
      <c r="AX70" s="23">
        <f t="shared" si="60"/>
        <v>2.4784764387889981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5.4</v>
      </c>
      <c r="BD70" s="13">
        <f>IF('Données projet'!$A$88&gt;35,BD69+BC70-BL69,IF(A70&lt;'Données projet'!$A$88,$BA$205^A70,IF(A70='Données projet'!$A$88,'Données projet'!$B$88,BD69+BC70-BL69)))</f>
        <v>240.8000000000001</v>
      </c>
      <c r="BE70" s="14">
        <f>BD70*VLOOKUP('Données projet'!$B$11,Paramètres!$A$1:$I$89,3,0)*VLOOKUP('Données projet'!$B$11,Paramètres!$A$1:$I$89,5,0)</f>
        <v>210.3628800000001</v>
      </c>
      <c r="BF70" s="14">
        <f t="shared" si="91"/>
        <v>52.014876138342963</v>
      </c>
      <c r="BG70" s="22">
        <f t="shared" si="61"/>
        <v>456.97459194094745</v>
      </c>
      <c r="BH70" s="60">
        <f t="shared" si="62"/>
        <v>750.30792527428071</v>
      </c>
      <c r="BI70" s="60">
        <f ca="1">AVERAGE(OFFSET($BH$3,0,0,'Données projet'!$E$11+1,1))-AVERAGE(OFFSET($H$3,0,0,'Données projet'!$E$11+1,1))</f>
        <v>314.62110015707839</v>
      </c>
      <c r="BJ70" s="60">
        <f t="shared" si="92"/>
        <v>285.36905470736582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242.59999999999994</v>
      </c>
      <c r="BZ70" s="14">
        <f>BY70*VLOOKUP('Données projet'!$B$12,Paramètres!$A$1:$I$89,3,0)*VLOOKUP('Données projet'!$B$12,Paramètres!$A$1:$I$89,5,0)</f>
        <v>219.50447999999992</v>
      </c>
      <c r="CA70" s="14">
        <f t="shared" si="93"/>
        <v>54.007172767040167</v>
      </c>
      <c r="CB70" s="22">
        <f t="shared" si="64"/>
        <v>476.36612856926143</v>
      </c>
      <c r="CC70" s="60">
        <f t="shared" si="65"/>
        <v>769.69946190259475</v>
      </c>
      <c r="CD70" s="60">
        <f ca="1">AVERAGE(OFFSET($CC$3,0,0,'Données projet'!$E$12+1,1))-AVERAGE(OFFSET($H$3,0,0,'Données projet'!$E$12+1,1))</f>
        <v>303.73499739059076</v>
      </c>
      <c r="CE70" s="60">
        <f t="shared" si="94"/>
        <v>172.32171001882188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242.59999999999994</v>
      </c>
      <c r="CU70" s="18">
        <f>CT70*VLOOKUP('Données projet'!$B$13,Paramètres!$A$1:$I$89,3,0)*VLOOKUP('Données projet'!$B$13,Paramètres!$A$1:$I$89,5,0)</f>
        <v>245.99639999999997</v>
      </c>
      <c r="CV70" s="14">
        <f t="shared" si="95"/>
        <v>59.72782632026442</v>
      </c>
      <c r="CW70" s="22">
        <f t="shared" si="67"/>
        <v>532.46969417446041</v>
      </c>
      <c r="CX70" s="60">
        <f t="shared" si="68"/>
        <v>825.80302750779379</v>
      </c>
      <c r="CY70" s="60">
        <f ca="1">AVERAGE(OFFSET($CX$3,0,0,'Données projet'!$E$13+1,1))-AVERAGE(OFFSET($H$3,0,0,'Données projet'!$E$13+1,1))</f>
        <v>350.3652766444938</v>
      </c>
      <c r="CZ70" s="60">
        <f t="shared" si="96"/>
        <v>197.04549436738586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242.59999999999994</v>
      </c>
      <c r="DP70" s="18">
        <f>DO70*VLOOKUP('Données projet'!$B$14,Paramètres!$A$1:$I$89,3,0)*VLOOKUP('Données projet'!$B$14,Paramètres!$A$1:$I$89,5,0)</f>
        <v>261.13463999999993</v>
      </c>
      <c r="DQ70" s="14">
        <f t="shared" si="97"/>
        <v>62.964176023241265</v>
      </c>
      <c r="DR70" s="22">
        <f t="shared" si="70"/>
        <v>564.47210457381163</v>
      </c>
      <c r="DS70" s="60">
        <f t="shared" si="71"/>
        <v>857.80543790714501</v>
      </c>
      <c r="DT70" s="60">
        <f ca="1">AVERAGE(OFFSET($DS$3,0,0,'Données projet'!$E$14+1,1))-AVERAGE(OFFSET($H$3,0,0,'Données projet'!$E$14+1,1))</f>
        <v>376.96388721258387</v>
      </c>
      <c r="DU70" s="60">
        <f t="shared" si="98"/>
        <v>211.14628470344377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6.8</v>
      </c>
      <c r="EJ70" s="13">
        <f>IF('Données projet'!$A$192&gt;35,EJ69+EI70-ER69,IF(A70&lt;'Données projet'!$A$192,$EG$205^A70,IF(A70='Données projet'!$A$192,'Données projet'!$B$192,EJ69+EI70-ER69)))</f>
        <v>242.59999999999994</v>
      </c>
      <c r="EK70" s="18">
        <f>EJ70*VLOOKUP('Données projet'!$B$15,Paramètres!$A$1:$I$89,3,0)*VLOOKUP('Données projet'!$B$15,Paramètres!$A$1:$I$89,5,0)</f>
        <v>234.64271999999994</v>
      </c>
      <c r="EL70" s="14">
        <f t="shared" si="99"/>
        <v>57.285375557336316</v>
      </c>
      <c r="EM70" s="22">
        <f t="shared" si="73"/>
        <v>508.44143309569387</v>
      </c>
      <c r="EN70" s="60">
        <f t="shared" si="74"/>
        <v>801.77476642902718</v>
      </c>
      <c r="EO70" s="60">
        <f ca="1">AVERAGE(OFFSET($EN$3,0,0,'Données projet'!$E$15+1,1))-AVERAGE(OFFSET($H$3,0,0,'Données projet'!$E$15+1,1))</f>
        <v>330.39429528665841</v>
      </c>
      <c r="EP70" s="60">
        <f t="shared" si="100"/>
        <v>186.45728006007261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8">
        <f t="shared" si="56"/>
        <v>377.56408426409683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-5.6843418860808015E-14</v>
      </c>
      <c r="O71" s="14">
        <f>N71*VLOOKUP('Données projet'!$B$9,Paramètres!$A$1:$I$89,3,0)*VLOOKUP('Données projet'!$B$9,Paramètres!$A$1:$I$89,5,0)</f>
        <v>-3.3992364478763198E-14</v>
      </c>
      <c r="P71" s="14" t="e">
        <f t="shared" si="87"/>
        <v>#NUM!</v>
      </c>
      <c r="Q71" s="22" t="e">
        <f t="shared" si="54"/>
        <v>#NUM!</v>
      </c>
      <c r="R71" s="60" t="e">
        <f t="shared" si="55"/>
        <v>#NUM!</v>
      </c>
      <c r="S71" s="60">
        <f ca="1">AVERAGE(OFFSET($R$3,0,0,'Données projet'!$E$9+1,1))-AVERAGE(OFFSET($H$3,0,0,'Données projet'!$E$9+1,1))</f>
        <v>155.11440101086782</v>
      </c>
      <c r="T71" s="60">
        <f t="shared" si="88"/>
        <v>239.53454701506638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6.3589215449250647</v>
      </c>
      <c r="AA71" s="23">
        <f>EXP(-LN(2)/25)*AA70+(1-EXP(-LN(2)/25))/(LN(2)/25)*Calculateur!V71*Calculateur!X71*VLOOKUP('Données projet'!$B$9,Paramètres!$A$1:$I$89,3,0)*0.475*44/12</f>
        <v>2.5251961647760983</v>
      </c>
      <c r="AB71" s="23">
        <f>EXP(-LN(2)/2)*AB70+(1-EXP(-LN(2)/2))/(LN(2)/2)*V71*Y71*VLOOKUP('Données projet'!$B$9,Paramètres!$A$1:$I$89,3,0)*0.475*44/12</f>
        <v>5.6246625422042472E-6</v>
      </c>
      <c r="AC71" s="24">
        <f t="shared" si="57"/>
        <v>8.8841233343637054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13.857142857142858</v>
      </c>
      <c r="AI71" s="14">
        <f>IF('Données projet'!$A$62&gt;35,AI70+AH71-AQ70,IF(A71&lt;'Données projet'!$A$62,$AF$205^A71,IF(A71='Données projet'!$A$62,'Données projet'!$B$62,AI70+AH71-AQ70)))</f>
        <v>523.28571428571388</v>
      </c>
      <c r="AJ71" s="14">
        <f>AI71*VLOOKUP('Données projet'!$B$10,Paramètres!$A$1:$I$89,3,0)*VLOOKUP('Données projet'!$B$10,Paramètres!$A$1:$I$89,5,0)</f>
        <v>292.5167142857141</v>
      </c>
      <c r="AK71" s="14">
        <f t="shared" si="89"/>
        <v>69.605380435295899</v>
      </c>
      <c r="AL71" s="22">
        <f t="shared" si="58"/>
        <v>630.69598163909245</v>
      </c>
      <c r="AM71" s="60">
        <f t="shared" si="59"/>
        <v>924.02931497242571</v>
      </c>
      <c r="AN71" s="60">
        <f ca="1">AVERAGE(OFFSET($AM$3,0,0,'Données projet'!$E$10+1,1))-AVERAGE(OFFSET($H$3,0,0,'Données projet'!$E$10+1,1))</f>
        <v>302.20483575440988</v>
      </c>
      <c r="AO71" s="60">
        <f t="shared" si="90"/>
        <v>275.32862097158687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2.4106792658884988</v>
      </c>
      <c r="AW71" s="23">
        <f>EXP(-LN(2)/2)*AW70+(1-EXP(-LN(2)/2))/(LN(2)/2)*AQ71*AT71*VLOOKUP('Données projet'!$B$10,Paramètres!$A$1:$I$89,3,0)*0.475*44/12</f>
        <v>1.6796540896126191E-5</v>
      </c>
      <c r="AX71" s="23">
        <f t="shared" si="60"/>
        <v>2.4106960624293947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5.4</v>
      </c>
      <c r="BD71" s="13">
        <f>IF('Données projet'!$A$88&gt;35,BD70+BC71-BL70,IF(A71&lt;'Données projet'!$A$88,$BA$205^A71,IF(A71='Données projet'!$A$88,'Données projet'!$B$88,BD70+BC71-BL70)))</f>
        <v>246.2000000000001</v>
      </c>
      <c r="BE71" s="14">
        <f>BD71*VLOOKUP('Données projet'!$B$11,Paramètres!$A$1:$I$89,3,0)*VLOOKUP('Données projet'!$B$11,Paramètres!$A$1:$I$89,5,0)</f>
        <v>215.08032000000011</v>
      </c>
      <c r="BF71" s="14">
        <f t="shared" si="91"/>
        <v>53.044214230061506</v>
      </c>
      <c r="BG71" s="22">
        <f t="shared" si="61"/>
        <v>466.983563784024</v>
      </c>
      <c r="BH71" s="60">
        <f t="shared" si="62"/>
        <v>760.31689711735726</v>
      </c>
      <c r="BI71" s="60">
        <f ca="1">AVERAGE(OFFSET($BH$3,0,0,'Données projet'!$E$11+1,1))-AVERAGE(OFFSET($H$3,0,0,'Données projet'!$E$11+1,1))</f>
        <v>314.62110015707839</v>
      </c>
      <c r="BJ71" s="60">
        <f t="shared" si="92"/>
        <v>285.36905470736582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249.39999999999995</v>
      </c>
      <c r="BZ71" s="14">
        <f>BY71*VLOOKUP('Données projet'!$B$12,Paramètres!$A$1:$I$89,3,0)*VLOOKUP('Données projet'!$B$12,Paramètres!$A$1:$I$89,5,0)</f>
        <v>225.65711999999994</v>
      </c>
      <c r="CA71" s="14">
        <f t="shared" si="93"/>
        <v>55.342610076561513</v>
      </c>
      <c r="CB71" s="22">
        <f t="shared" si="64"/>
        <v>489.40786321667775</v>
      </c>
      <c r="CC71" s="60">
        <f t="shared" si="65"/>
        <v>782.74119655001107</v>
      </c>
      <c r="CD71" s="60">
        <f ca="1">AVERAGE(OFFSET($CC$3,0,0,'Données projet'!$E$12+1,1))-AVERAGE(OFFSET($H$3,0,0,'Données projet'!$E$12+1,1))</f>
        <v>303.73499739059076</v>
      </c>
      <c r="CE71" s="60">
        <f t="shared" si="94"/>
        <v>172.32171001882188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249.39999999999995</v>
      </c>
      <c r="CU71" s="18">
        <f>CT71*VLOOKUP('Données projet'!$B$13,Paramètres!$A$1:$I$89,3,0)*VLOOKUP('Données projet'!$B$13,Paramètres!$A$1:$I$89,5,0)</f>
        <v>252.89159999999998</v>
      </c>
      <c r="CV71" s="14">
        <f t="shared" si="95"/>
        <v>61.204718436590312</v>
      </c>
      <c r="CW71" s="22">
        <f t="shared" si="67"/>
        <v>547.05108794372802</v>
      </c>
      <c r="CX71" s="60">
        <f t="shared" si="68"/>
        <v>840.38442127706139</v>
      </c>
      <c r="CY71" s="60">
        <f ca="1">AVERAGE(OFFSET($CX$3,0,0,'Données projet'!$E$13+1,1))-AVERAGE(OFFSET($H$3,0,0,'Données projet'!$E$13+1,1))</f>
        <v>350.3652766444938</v>
      </c>
      <c r="CZ71" s="60">
        <f t="shared" si="96"/>
        <v>197.04549436738586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249.39999999999995</v>
      </c>
      <c r="DP71" s="18">
        <f>DO71*VLOOKUP('Données projet'!$B$14,Paramètres!$A$1:$I$89,3,0)*VLOOKUP('Données projet'!$B$14,Paramètres!$A$1:$I$89,5,0)</f>
        <v>268.45415999999994</v>
      </c>
      <c r="DQ71" s="14">
        <f t="shared" si="97"/>
        <v>64.521093475436089</v>
      </c>
      <c r="DR71" s="22">
        <f t="shared" si="70"/>
        <v>579.93189980305101</v>
      </c>
      <c r="DS71" s="60">
        <f t="shared" si="71"/>
        <v>873.26523313638427</v>
      </c>
      <c r="DT71" s="60">
        <f ca="1">AVERAGE(OFFSET($DS$3,0,0,'Données projet'!$E$14+1,1))-AVERAGE(OFFSET($H$3,0,0,'Données projet'!$E$14+1,1))</f>
        <v>376.96388721258387</v>
      </c>
      <c r="DU71" s="60">
        <f t="shared" si="98"/>
        <v>211.14628470344377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6.8</v>
      </c>
      <c r="EJ71" s="13">
        <f>IF('Données projet'!$A$192&gt;35,EJ70+EI71-ER70,IF(A71&lt;'Données projet'!$A$192,$EG$205^A71,IF(A71='Données projet'!$A$192,'Données projet'!$B$192,EJ70+EI71-ER70)))</f>
        <v>249.39999999999995</v>
      </c>
      <c r="EK71" s="18">
        <f>EJ71*VLOOKUP('Données projet'!$B$15,Paramètres!$A$1:$I$89,3,0)*VLOOKUP('Données projet'!$B$15,Paramètres!$A$1:$I$89,5,0)</f>
        <v>241.21967999999995</v>
      </c>
      <c r="EL71" s="14">
        <f t="shared" si="99"/>
        <v>58.701873105526744</v>
      </c>
      <c r="EM71" s="22">
        <f t="shared" si="73"/>
        <v>522.36337165879229</v>
      </c>
      <c r="EN71" s="60">
        <f t="shared" si="74"/>
        <v>815.69670499212566</v>
      </c>
      <c r="EO71" s="60">
        <f ca="1">AVERAGE(OFFSET($EN$3,0,0,'Données projet'!$E$15+1,1))-AVERAGE(OFFSET($H$3,0,0,'Données projet'!$E$15+1,1))</f>
        <v>330.39429528665841</v>
      </c>
      <c r="EP71" s="60">
        <f t="shared" si="100"/>
        <v>186.45728006007261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8">
        <f t="shared" si="56"/>
        <v>378.76906270916135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-5.6843418860808015E-14</v>
      </c>
      <c r="O72" s="14">
        <f>N72*VLOOKUP('Données projet'!$B$9,Paramètres!$A$1:$I$89,3,0)*VLOOKUP('Données projet'!$B$9,Paramètres!$A$1:$I$89,5,0)</f>
        <v>-3.3992364478763198E-14</v>
      </c>
      <c r="P72" s="14" t="e">
        <f t="shared" si="87"/>
        <v>#NUM!</v>
      </c>
      <c r="Q72" s="22" t="e">
        <f t="shared" si="54"/>
        <v>#NUM!</v>
      </c>
      <c r="R72" s="60" t="e">
        <f t="shared" si="55"/>
        <v>#NUM!</v>
      </c>
      <c r="S72" s="60">
        <f ca="1">AVERAGE(OFFSET($R$3,0,0,'Données projet'!$E$9+1,1))-AVERAGE(OFFSET($H$3,0,0,'Données projet'!$E$9+1,1))</f>
        <v>155.11440101086782</v>
      </c>
      <c r="T72" s="60">
        <f t="shared" si="88"/>
        <v>239.53454701506638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6.2342269719882504</v>
      </c>
      <c r="AA72" s="23">
        <f>EXP(-LN(2)/25)*AA71+(1-EXP(-LN(2)/25))/(LN(2)/25)*Calculateur!V72*Calculateur!X72*VLOOKUP('Données projet'!$B$9,Paramètres!$A$1:$I$89,3,0)*0.475*44/12</f>
        <v>2.4561445428560011</v>
      </c>
      <c r="AB72" s="23">
        <f>EXP(-LN(2)/2)*AB71+(1-EXP(-LN(2)/2))/(LN(2)/2)*V72*Y72*VLOOKUP('Données projet'!$B$9,Paramètres!$A$1:$I$89,3,0)*0.475*44/12</f>
        <v>3.9772370254785886E-6</v>
      </c>
      <c r="AC72" s="24">
        <f t="shared" si="57"/>
        <v>8.6903754920812766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13.857142857142858</v>
      </c>
      <c r="AI72" s="14">
        <f>IF('Données projet'!$A$62&gt;35,AI71+AH72-AQ71,IF(A72&lt;'Données projet'!$A$62,$AF$205^A72,IF(A72='Données projet'!$A$62,'Données projet'!$B$62,AI71+AH72-AQ71)))</f>
        <v>537.14285714285677</v>
      </c>
      <c r="AJ72" s="14">
        <f>AI72*VLOOKUP('Données projet'!$B$10,Paramètres!$A$1:$I$89,3,0)*VLOOKUP('Données projet'!$B$10,Paramètres!$A$1:$I$89,5,0)</f>
        <v>300.26285714285694</v>
      </c>
      <c r="AK72" s="14">
        <f t="shared" si="89"/>
        <v>71.231565620163408</v>
      </c>
      <c r="AL72" s="22">
        <f t="shared" si="58"/>
        <v>647.01945297892712</v>
      </c>
      <c r="AM72" s="60">
        <f t="shared" si="59"/>
        <v>940.35278631226038</v>
      </c>
      <c r="AN72" s="60">
        <f ca="1">AVERAGE(OFFSET($AM$3,0,0,'Données projet'!$E$10+1,1))-AVERAGE(OFFSET($H$3,0,0,'Données projet'!$E$10+1,1))</f>
        <v>302.20483575440988</v>
      </c>
      <c r="AO72" s="60">
        <f t="shared" si="90"/>
        <v>275.32862097158687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2.3447591145906648</v>
      </c>
      <c r="AW72" s="23">
        <f>EXP(-LN(2)/2)*AW71+(1-EXP(-LN(2)/2))/(LN(2)/2)*AQ72*AT72*VLOOKUP('Données projet'!$B$10,Paramètres!$A$1:$I$89,3,0)*0.475*44/12</f>
        <v>1.1876947968127999E-5</v>
      </c>
      <c r="AX72" s="23">
        <f t="shared" si="60"/>
        <v>2.344770991538633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5.4</v>
      </c>
      <c r="BD72" s="13">
        <f>IF('Données projet'!$A$88&gt;35,BD71+BC72-BL71,IF(A72&lt;'Données projet'!$A$88,$BA$205^A72,IF(A72='Données projet'!$A$88,'Données projet'!$B$88,BD71+BC72-BL71)))</f>
        <v>251.60000000000011</v>
      </c>
      <c r="BE72" s="14">
        <f>BD72*VLOOKUP('Données projet'!$B$11,Paramètres!$A$1:$I$89,3,0)*VLOOKUP('Données projet'!$B$11,Paramètres!$A$1:$I$89,5,0)</f>
        <v>219.79776000000012</v>
      </c>
      <c r="BF72" s="14">
        <f t="shared" si="91"/>
        <v>54.070927503307431</v>
      </c>
      <c r="BG72" s="22">
        <f t="shared" si="61"/>
        <v>476.98796406826068</v>
      </c>
      <c r="BH72" s="60">
        <f t="shared" si="62"/>
        <v>770.32129740159394</v>
      </c>
      <c r="BI72" s="60">
        <f ca="1">AVERAGE(OFFSET($BH$3,0,0,'Données projet'!$E$11+1,1))-AVERAGE(OFFSET($H$3,0,0,'Données projet'!$E$11+1,1))</f>
        <v>314.62110015707839</v>
      </c>
      <c r="BJ72" s="60">
        <f t="shared" si="92"/>
        <v>285.36905470736582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256.19999999999993</v>
      </c>
      <c r="BZ72" s="14">
        <f>BY72*VLOOKUP('Données projet'!$B$12,Paramètres!$A$1:$I$89,3,0)*VLOOKUP('Données projet'!$B$12,Paramètres!$A$1:$I$89,5,0)</f>
        <v>231.80975999999993</v>
      </c>
      <c r="CA72" s="14">
        <f t="shared" si="93"/>
        <v>56.673815277159328</v>
      </c>
      <c r="CB72" s="22">
        <f t="shared" si="64"/>
        <v>502.44222694105241</v>
      </c>
      <c r="CC72" s="60">
        <f t="shared" si="65"/>
        <v>795.77556027438573</v>
      </c>
      <c r="CD72" s="60">
        <f ca="1">AVERAGE(OFFSET($CC$3,0,0,'Données projet'!$E$12+1,1))-AVERAGE(OFFSET($H$3,0,0,'Données projet'!$E$12+1,1))</f>
        <v>303.73499739059076</v>
      </c>
      <c r="CE72" s="60">
        <f t="shared" si="94"/>
        <v>172.32171001882188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256.19999999999993</v>
      </c>
      <c r="CU72" s="18">
        <f>CT72*VLOOKUP('Données projet'!$B$13,Paramètres!$A$1:$I$89,3,0)*VLOOKUP('Données projet'!$B$13,Paramètres!$A$1:$I$89,5,0)</f>
        <v>259.78679999999997</v>
      </c>
      <c r="CV72" s="14">
        <f t="shared" si="95"/>
        <v>62.676930162260739</v>
      </c>
      <c r="CW72" s="22">
        <f t="shared" si="67"/>
        <v>561.62433003260401</v>
      </c>
      <c r="CX72" s="60">
        <f t="shared" si="68"/>
        <v>854.95766336593738</v>
      </c>
      <c r="CY72" s="60">
        <f ca="1">AVERAGE(OFFSET($CX$3,0,0,'Données projet'!$E$13+1,1))-AVERAGE(OFFSET($H$3,0,0,'Données projet'!$E$13+1,1))</f>
        <v>350.3652766444938</v>
      </c>
      <c r="CZ72" s="60">
        <f t="shared" si="96"/>
        <v>197.04549436738586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256.19999999999993</v>
      </c>
      <c r="DP72" s="18">
        <f>DO72*VLOOKUP('Données projet'!$B$14,Paramètres!$A$1:$I$89,3,0)*VLOOKUP('Données projet'!$B$14,Paramètres!$A$1:$I$89,5,0)</f>
        <v>275.7736799999999</v>
      </c>
      <c r="DQ72" s="14">
        <f t="shared" si="97"/>
        <v>66.073076930208813</v>
      </c>
      <c r="DR72" s="22">
        <f t="shared" si="70"/>
        <v>595.38310165344672</v>
      </c>
      <c r="DS72" s="60">
        <f t="shared" si="71"/>
        <v>888.71643498678009</v>
      </c>
      <c r="DT72" s="60">
        <f ca="1">AVERAGE(OFFSET($DS$3,0,0,'Données projet'!$E$14+1,1))-AVERAGE(OFFSET($H$3,0,0,'Données projet'!$E$14+1,1))</f>
        <v>376.96388721258387</v>
      </c>
      <c r="DU72" s="60">
        <f t="shared" si="98"/>
        <v>211.14628470344377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6.8</v>
      </c>
      <c r="EJ72" s="13">
        <f>IF('Données projet'!$A$192&gt;35,EJ71+EI72-ER71,IF(A72&lt;'Données projet'!$A$192,$EG$205^A72,IF(A72='Données projet'!$A$192,'Données projet'!$B$192,EJ71+EI72-ER71)))</f>
        <v>256.19999999999993</v>
      </c>
      <c r="EK72" s="18">
        <f>EJ72*VLOOKUP('Données projet'!$B$15,Paramètres!$A$1:$I$89,3,0)*VLOOKUP('Données projet'!$B$15,Paramètres!$A$1:$I$89,5,0)</f>
        <v>247.79663999999997</v>
      </c>
      <c r="EL72" s="14">
        <f t="shared" si="99"/>
        <v>60.113881658336368</v>
      </c>
      <c r="EM72" s="22">
        <f t="shared" si="73"/>
        <v>536.27749188826908</v>
      </c>
      <c r="EN72" s="60">
        <f t="shared" si="74"/>
        <v>829.61082522160245</v>
      </c>
      <c r="EO72" s="60">
        <f ca="1">AVERAGE(OFFSET($EN$3,0,0,'Données projet'!$E$15+1,1))-AVERAGE(OFFSET($H$3,0,0,'Données projet'!$E$15+1,1))</f>
        <v>330.39429528665841</v>
      </c>
      <c r="EP72" s="60">
        <f t="shared" si="100"/>
        <v>186.45728006007261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8">
        <f t="shared" si="56"/>
        <v>379.97361296469114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-5.6843418860808015E-14</v>
      </c>
      <c r="O73" s="14">
        <f>N73*VLOOKUP('Données projet'!$B$9,Paramètres!$A$1:$I$89,3,0)*VLOOKUP('Données projet'!$B$9,Paramètres!$A$1:$I$89,5,0)</f>
        <v>-3.3992364478763198E-14</v>
      </c>
      <c r="P73" s="14" t="e">
        <f t="shared" si="87"/>
        <v>#NUM!</v>
      </c>
      <c r="Q73" s="22" t="e">
        <f t="shared" si="54"/>
        <v>#NUM!</v>
      </c>
      <c r="R73" s="60" t="e">
        <f t="shared" si="55"/>
        <v>#NUM!</v>
      </c>
      <c r="S73" s="60">
        <f ca="1">AVERAGE(OFFSET($R$3,0,0,'Données projet'!$E$9+1,1))-AVERAGE(OFFSET($H$3,0,0,'Données projet'!$E$9+1,1))</f>
        <v>155.11440101086782</v>
      </c>
      <c r="T73" s="60">
        <f t="shared" si="88"/>
        <v>239.53454701506638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6.1119775835705479</v>
      </c>
      <c r="AA73" s="23">
        <f>EXP(-LN(2)/25)*AA72+(1-EXP(-LN(2)/25))/(LN(2)/25)*Calculateur!V73*Calculateur!X73*VLOOKUP('Données projet'!$B$9,Paramètres!$A$1:$I$89,3,0)*0.475*44/12</f>
        <v>2.3889811411685757</v>
      </c>
      <c r="AB73" s="23">
        <f>EXP(-LN(2)/2)*AB72+(1-EXP(-LN(2)/2))/(LN(2)/2)*V73*Y73*VLOOKUP('Données projet'!$B$9,Paramètres!$A$1:$I$89,3,0)*0.475*44/12</f>
        <v>2.8123312711021236E-6</v>
      </c>
      <c r="AC73" s="24">
        <f t="shared" si="57"/>
        <v>8.5009615370703955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551</v>
      </c>
      <c r="AG73" s="13">
        <f>VLOOKUP(A73,'Données projet'!$A$61:$I$81,9,0)</f>
        <v>13.857142857142858</v>
      </c>
      <c r="AH73" s="13">
        <f t="array" ref="AH73">INDEX(AG:AG,MIN(IF(ISNUMBER(AG73:AG269),ROW(AG73:AG269),"")))</f>
        <v>13.857142857142858</v>
      </c>
      <c r="AI73" s="14">
        <f>IF('Données projet'!$A$62&gt;35,AI72+AH73-AQ72,IF(A73&lt;'Données projet'!$A$62,$AF$205^A73,IF(A73='Données projet'!$A$62,'Données projet'!$B$62,AI72+AH73-AQ72)))</f>
        <v>550.99999999999966</v>
      </c>
      <c r="AJ73" s="14">
        <f>AI73*VLOOKUP('Données projet'!$B$10,Paramètres!$A$1:$I$89,3,0)*VLOOKUP('Données projet'!$B$10,Paramètres!$A$1:$I$89,5,0)</f>
        <v>308.00899999999979</v>
      </c>
      <c r="AK73" s="14">
        <f t="shared" si="89"/>
        <v>72.852874331417695</v>
      </c>
      <c r="AL73" s="22">
        <f t="shared" si="58"/>
        <v>663.33443112721886</v>
      </c>
      <c r="AM73" s="60">
        <f t="shared" si="59"/>
        <v>956.66776446055223</v>
      </c>
      <c r="AN73" s="60">
        <f ca="1">AVERAGE(OFFSET($AM$3,0,0,'Données projet'!$E$10+1,1))-AVERAGE(OFFSET($H$3,0,0,'Données projet'!$E$10+1,1))</f>
        <v>302.20483575440988</v>
      </c>
      <c r="AO73" s="60">
        <f t="shared" si="90"/>
        <v>275.32862097158687</v>
      </c>
      <c r="AP73" s="16">
        <f>IF(ISNA(VLOOKUP(A73,'Données projet'!$A$61:$I$81,3,0)),0,VLOOKUP(A73,'Données projet'!$A$61:$I$81,3,0))</f>
        <v>8</v>
      </c>
      <c r="AQ73" s="16">
        <f>IF(ISNA(VLOOKUP(A73,'Données projet'!$A$61:$I$81,4,0)),0,VLOOKUP(A73,'Données projet'!$A$61:$I$81,4,0))</f>
        <v>551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2.2806415532966602</v>
      </c>
      <c r="AW73" s="23">
        <f>EXP(-LN(2)/2)*AW72+(1-EXP(-LN(2)/2))/(LN(2)/2)*AQ73*AT73*VLOOKUP('Données projet'!$B$10,Paramètres!$A$1:$I$89,3,0)*0.475*44/12</f>
        <v>8.3982704480630956E-6</v>
      </c>
      <c r="AX73" s="23">
        <f t="shared" si="60"/>
        <v>2.2806499515671081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257</v>
      </c>
      <c r="BB73" s="13">
        <f>VLOOKUP(A73,'Données projet'!$A$87:$I$107,9,0)</f>
        <v>5.4</v>
      </c>
      <c r="BC73" s="13">
        <f t="array" ref="BC73">INDEX(BB:BB,MIN(IF(ISNUMBER(BB73:BB269),ROW(BB73:BB269),"")))</f>
        <v>5.4</v>
      </c>
      <c r="BD73" s="13">
        <f>IF('Données projet'!$A$88&gt;35,BD72+BC73-BL72,IF(A73&lt;'Données projet'!$A$88,$BA$205^A73,IF(A73='Données projet'!$A$88,'Données projet'!$B$88,BD72+BC73-BL72)))</f>
        <v>257.00000000000011</v>
      </c>
      <c r="BE73" s="14">
        <f>BD73*VLOOKUP('Données projet'!$B$11,Paramètres!$A$1:$I$89,3,0)*VLOOKUP('Données projet'!$B$11,Paramètres!$A$1:$I$89,5,0)</f>
        <v>224.51520000000014</v>
      </c>
      <c r="BF73" s="14">
        <f t="shared" si="91"/>
        <v>55.095078782313593</v>
      </c>
      <c r="BG73" s="22">
        <f t="shared" si="61"/>
        <v>486.98790221252966</v>
      </c>
      <c r="BH73" s="60">
        <f t="shared" si="62"/>
        <v>780.32123554586292</v>
      </c>
      <c r="BI73" s="60">
        <f ca="1">AVERAGE(OFFSET($BH$3,0,0,'Données projet'!$E$11+1,1))-AVERAGE(OFFSET($H$3,0,0,'Données projet'!$E$11+1,1))</f>
        <v>314.62110015707839</v>
      </c>
      <c r="BJ73" s="60">
        <f t="shared" si="92"/>
        <v>285.36905470736582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263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262.99999999999994</v>
      </c>
      <c r="BZ73" s="14">
        <f>BY73*VLOOKUP('Données projet'!$B$12,Paramètres!$A$1:$I$89,3,0)*VLOOKUP('Données projet'!$B$12,Paramètres!$A$1:$I$89,5,0)</f>
        <v>237.96239999999995</v>
      </c>
      <c r="CA73" s="14">
        <f t="shared" si="93"/>
        <v>58.00091360766335</v>
      </c>
      <c r="CB73" s="22">
        <f t="shared" si="64"/>
        <v>515.4694378666801</v>
      </c>
      <c r="CC73" s="60">
        <f t="shared" si="65"/>
        <v>808.80277120001347</v>
      </c>
      <c r="CD73" s="60">
        <f ca="1">AVERAGE(OFFSET($CC$3,0,0,'Données projet'!$E$12+1,1))-AVERAGE(OFFSET($H$3,0,0,'Données projet'!$E$12+1,1))</f>
        <v>303.73499739059076</v>
      </c>
      <c r="CE73" s="60">
        <f t="shared" si="94"/>
        <v>172.32171001882188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42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263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262.99999999999994</v>
      </c>
      <c r="CU73" s="18">
        <f>CT73*VLOOKUP('Données projet'!$B$13,Paramètres!$A$1:$I$89,3,0)*VLOOKUP('Données projet'!$B$13,Paramètres!$A$1:$I$89,5,0)</f>
        <v>266.68199999999996</v>
      </c>
      <c r="CV73" s="14">
        <f t="shared" si="95"/>
        <v>64.144600001897771</v>
      </c>
      <c r="CW73" s="22">
        <f t="shared" si="67"/>
        <v>576.189661669972</v>
      </c>
      <c r="CX73" s="60">
        <f t="shared" si="68"/>
        <v>869.52299500330537</v>
      </c>
      <c r="CY73" s="60">
        <f ca="1">AVERAGE(OFFSET($CX$3,0,0,'Données projet'!$E$13+1,1))-AVERAGE(OFFSET($H$3,0,0,'Données projet'!$E$13+1,1))</f>
        <v>350.3652766444938</v>
      </c>
      <c r="CZ73" s="60">
        <f t="shared" si="96"/>
        <v>197.04549436738586</v>
      </c>
      <c r="DA73" s="16">
        <f>IF(ISNA(VLOOKUP(A73,'Données projet'!$A$139:$I$159,3,0)),0,VLOOKUP(A73,'Données projet'!$A$139:$I$159,3,0))</f>
        <v>5</v>
      </c>
      <c r="DB73" s="16">
        <f>IF(ISNA(VLOOKUP(A73,'Données projet'!$A$139:$I$159,4,0)),0,VLOOKUP(A73,'Données projet'!$A$139:$I$159,4,0))</f>
        <v>42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263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262.99999999999994</v>
      </c>
      <c r="DP73" s="18">
        <f>DO73*VLOOKUP('Données projet'!$B$14,Paramètres!$A$1:$I$89,3,0)*VLOOKUP('Données projet'!$B$14,Paramètres!$A$1:$I$89,5,0)</f>
        <v>283.09319999999991</v>
      </c>
      <c r="DQ73" s="14">
        <f t="shared" si="97"/>
        <v>67.620272397048666</v>
      </c>
      <c r="DR73" s="22">
        <f t="shared" si="70"/>
        <v>610.82596442485954</v>
      </c>
      <c r="DS73" s="60">
        <f t="shared" si="71"/>
        <v>904.15929775819291</v>
      </c>
      <c r="DT73" s="60">
        <f ca="1">AVERAGE(OFFSET($DS$3,0,0,'Données projet'!$E$14+1,1))-AVERAGE(OFFSET($H$3,0,0,'Données projet'!$E$14+1,1))</f>
        <v>376.96388721258387</v>
      </c>
      <c r="DU73" s="60">
        <f t="shared" si="98"/>
        <v>211.14628470344377</v>
      </c>
      <c r="DV73" s="16">
        <f>IF(ISNA(VLOOKUP(A73,'Données projet'!$A$165:$I$185,3,0)),0,VLOOKUP(A73,'Données projet'!$A$165:$I$185,3,0))</f>
        <v>5</v>
      </c>
      <c r="DW73" s="16">
        <f>IF(ISNA(VLOOKUP(A73,'Données projet'!$A$165:$I$185,4,0)),0,VLOOKUP(A73,'Données projet'!$A$165:$I$185,4,0))</f>
        <v>42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263</v>
      </c>
      <c r="EH73" s="13">
        <f>VLOOKUP(A73,'Données projet'!$A$191:$I$211,9,0)</f>
        <v>6.8</v>
      </c>
      <c r="EI73" s="13">
        <f t="array" ref="EI73">INDEX(EH:EH,MIN(IF(ISNUMBER(EH73:EH269),ROW(EH73:EH269),"")))</f>
        <v>6.8</v>
      </c>
      <c r="EJ73" s="13">
        <f>IF('Données projet'!$A$192&gt;35,EJ72+EI73-ER72,IF(A73&lt;'Données projet'!$A$192,$EG$205^A73,IF(A73='Données projet'!$A$192,'Données projet'!$B$192,EJ72+EI73-ER72)))</f>
        <v>262.99999999999994</v>
      </c>
      <c r="EK73" s="18">
        <f>EJ73*VLOOKUP('Données projet'!$B$15,Paramètres!$A$1:$I$89,3,0)*VLOOKUP('Données projet'!$B$15,Paramètres!$A$1:$I$89,5,0)</f>
        <v>254.37359999999998</v>
      </c>
      <c r="EL73" s="14">
        <f t="shared" si="99"/>
        <v>61.521534056516209</v>
      </c>
      <c r="EM73" s="22">
        <f t="shared" si="73"/>
        <v>550.1840251484324</v>
      </c>
      <c r="EN73" s="60">
        <f t="shared" si="74"/>
        <v>843.51735848176577</v>
      </c>
      <c r="EO73" s="60">
        <f ca="1">AVERAGE(OFFSET($EN$3,0,0,'Données projet'!$E$15+1,1))-AVERAGE(OFFSET($H$3,0,0,'Données projet'!$E$15+1,1))</f>
        <v>330.39429528665841</v>
      </c>
      <c r="EP73" s="60">
        <f t="shared" si="100"/>
        <v>186.45728006007261</v>
      </c>
      <c r="EQ73" s="16">
        <f>IF(ISNA(VLOOKUP(A73,'Données projet'!$A$191:$I$211,3,0)),0,VLOOKUP(A73,'Données projet'!$A$191:$I$211,3,0))</f>
        <v>5</v>
      </c>
      <c r="ER73" s="16">
        <f>IF(ISNA(VLOOKUP(A73,'Données projet'!$A$191:$I$211,4,0)),0,VLOOKUP(A73,'Données projet'!$A$191:$I$211,4,0))</f>
        <v>42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8">
        <f t="shared" si="56"/>
        <v>381.17774185449025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-5.6843418860808015E-14</v>
      </c>
      <c r="O74" s="14">
        <f>N74*VLOOKUP('Données projet'!$B$9,Paramètres!$A$1:$I$89,3,0)*VLOOKUP('Données projet'!$B$9,Paramètres!$A$1:$I$89,5,0)</f>
        <v>-3.3992364478763198E-14</v>
      </c>
      <c r="P74" s="14" t="e">
        <f t="shared" si="87"/>
        <v>#NUM!</v>
      </c>
      <c r="Q74" s="22" t="e">
        <f t="shared" si="54"/>
        <v>#NUM!</v>
      </c>
      <c r="R74" s="60" t="e">
        <f t="shared" si="55"/>
        <v>#NUM!</v>
      </c>
      <c r="S74" s="60">
        <f ca="1">AVERAGE(OFFSET($R$3,0,0,'Données projet'!$E$9+1,1))-AVERAGE(OFFSET($H$3,0,0,'Données projet'!$E$9+1,1))</f>
        <v>155.11440101086782</v>
      </c>
      <c r="T74" s="60">
        <f t="shared" si="88"/>
        <v>239.53454701506638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5.9921254310949523</v>
      </c>
      <c r="AA74" s="23">
        <f>EXP(-LN(2)/25)*AA73+(1-EXP(-LN(2)/25))/(LN(2)/25)*Calculateur!V74*Calculateur!X74*VLOOKUP('Données projet'!$B$9,Paramètres!$A$1:$I$89,3,0)*0.475*44/12</f>
        <v>2.3236543262322629</v>
      </c>
      <c r="AB74" s="23">
        <f>EXP(-LN(2)/2)*AB73+(1-EXP(-LN(2)/2))/(LN(2)/2)*V74*Y74*VLOOKUP('Données projet'!$B$9,Paramètres!$A$1:$I$89,3,0)*0.475*44/12</f>
        <v>1.9886185127392943E-6</v>
      </c>
      <c r="AC74" s="24">
        <f t="shared" si="57"/>
        <v>8.3157817459457277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-3.4106051316484809E-13</v>
      </c>
      <c r="AJ74" s="14">
        <f>AI74*VLOOKUP('Données projet'!$B$10,Paramètres!$A$1:$I$89,3,0)*VLOOKUP('Données projet'!$B$10,Paramètres!$A$1:$I$89,5,0)</f>
        <v>-1.9065282685915009E-13</v>
      </c>
      <c r="AK74" s="14" t="e">
        <f t="shared" si="89"/>
        <v>#NUM!</v>
      </c>
      <c r="AL74" s="22" t="e">
        <f t="shared" si="58"/>
        <v>#NUM!</v>
      </c>
      <c r="AM74" s="60" t="e">
        <f t="shared" si="59"/>
        <v>#NUM!</v>
      </c>
      <c r="AN74" s="60">
        <f ca="1">AVERAGE(OFFSET($AM$3,0,0,'Données projet'!$E$10+1,1))-AVERAGE(OFFSET($H$3,0,0,'Données projet'!$E$10+1,1))</f>
        <v>302.20483575440988</v>
      </c>
      <c r="AO74" s="60">
        <f t="shared" si="90"/>
        <v>275.32862097158687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2.2182772900880363</v>
      </c>
      <c r="AW74" s="23">
        <f>EXP(-LN(2)/2)*AW73+(1-EXP(-LN(2)/2))/(LN(2)/2)*AQ74*AT74*VLOOKUP('Données projet'!$B$10,Paramètres!$A$1:$I$89,3,0)*0.475*44/12</f>
        <v>5.9384739840639997E-6</v>
      </c>
      <c r="AX74" s="23">
        <f t="shared" si="60"/>
        <v>2.2182832285620204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5</v>
      </c>
      <c r="BD74" s="13">
        <f>IF('Données projet'!$A$88&gt;35,BD73+BC74-BL73,IF(A74&lt;'Données projet'!$A$88,$BA$205^A74,IF(A74='Données projet'!$A$88,'Données projet'!$B$88,BD73+BC74-BL73)))</f>
        <v>262.00000000000011</v>
      </c>
      <c r="BE74" s="14">
        <f>BD74*VLOOKUP('Données projet'!$B$11,Paramètres!$A$1:$I$89,3,0)*VLOOKUP('Données projet'!$B$11,Paramètres!$A$1:$I$89,5,0)</f>
        <v>228.88320000000013</v>
      </c>
      <c r="BF74" s="14">
        <f t="shared" si="91"/>
        <v>56.041134895218484</v>
      </c>
      <c r="BG74" s="22">
        <f t="shared" si="61"/>
        <v>496.24321660917241</v>
      </c>
      <c r="BH74" s="60">
        <f t="shared" si="62"/>
        <v>789.57654994250572</v>
      </c>
      <c r="BI74" s="60">
        <f ca="1">AVERAGE(OFFSET($BH$3,0,0,'Données projet'!$E$11+1,1))-AVERAGE(OFFSET($H$3,0,0,'Données projet'!$E$11+1,1))</f>
        <v>314.62110015707839</v>
      </c>
      <c r="BJ74" s="60">
        <f t="shared" si="92"/>
        <v>285.36905470736582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6.2</v>
      </c>
      <c r="BY74" s="13">
        <f>IF('Données projet'!$A$114&gt;35,BY73+BX74-CG73,IF(A74&lt;'Données projet'!$A$114,$BV$205^A74,IF(A74='Données projet'!$A$114,'Données projet'!$B$114,BY73+BX74-CG73)))</f>
        <v>227.19999999999993</v>
      </c>
      <c r="BZ74" s="14">
        <f>BY74*VLOOKUP('Données projet'!$B$12,Paramètres!$A$1:$I$89,3,0)*VLOOKUP('Données projet'!$B$12,Paramètres!$A$1:$I$89,5,0)</f>
        <v>205.57055999999994</v>
      </c>
      <c r="CA74" s="14">
        <f t="shared" si="93"/>
        <v>50.966443946767392</v>
      </c>
      <c r="CB74" s="22">
        <f t="shared" si="64"/>
        <v>446.80194854061978</v>
      </c>
      <c r="CC74" s="60">
        <f t="shared" si="65"/>
        <v>740.13528187395309</v>
      </c>
      <c r="CD74" s="60">
        <f ca="1">AVERAGE(OFFSET($CC$3,0,0,'Données projet'!$E$12+1,1))-AVERAGE(OFFSET($H$3,0,0,'Données projet'!$E$12+1,1))</f>
        <v>303.73499739059076</v>
      </c>
      <c r="CE74" s="60">
        <f t="shared" si="94"/>
        <v>172.32171001882188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6.2</v>
      </c>
      <c r="CT74" s="13">
        <f>IF('Données projet'!$A$140&gt;35,CT73+CS74-DB73,IF(A74&lt;'Données projet'!$A$140,$CQ$205^A74,IF(A74='Données projet'!$A$140,'Données projet'!$B$140,CT73+CS74-DB73)))</f>
        <v>227.19999999999993</v>
      </c>
      <c r="CU74" s="18">
        <f>CT74*VLOOKUP('Données projet'!$B$13,Paramètres!$A$1:$I$89,3,0)*VLOOKUP('Données projet'!$B$13,Paramètres!$A$1:$I$89,5,0)</f>
        <v>230.38079999999994</v>
      </c>
      <c r="CV74" s="14">
        <f t="shared" si="95"/>
        <v>56.365011465139979</v>
      </c>
      <c r="CW74" s="22">
        <f t="shared" si="67"/>
        <v>499.41562163511867</v>
      </c>
      <c r="CX74" s="60">
        <f t="shared" si="68"/>
        <v>792.74895496845193</v>
      </c>
      <c r="CY74" s="60">
        <f ca="1">AVERAGE(OFFSET($CX$3,0,0,'Données projet'!$E$13+1,1))-AVERAGE(OFFSET($H$3,0,0,'Données projet'!$E$13+1,1))</f>
        <v>350.3652766444938</v>
      </c>
      <c r="CZ74" s="60">
        <f t="shared" si="96"/>
        <v>197.04549436738586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6.2</v>
      </c>
      <c r="DO74" s="13">
        <f>IF('Données projet'!$A$166&gt;35,DO73+DN74-DW73,IF(A74&lt;'Données projet'!$A$166,$DL$205^A74,IF(A74='Données projet'!$A$166,'Données projet'!$B$166,DO73+DN74-DW73)))</f>
        <v>227.19999999999993</v>
      </c>
      <c r="DP74" s="18">
        <f>DO74*VLOOKUP('Données projet'!$B$14,Paramètres!$A$1:$I$89,3,0)*VLOOKUP('Données projet'!$B$14,Paramètres!$A$1:$I$89,5,0)</f>
        <v>244.55807999999993</v>
      </c>
      <c r="DQ74" s="14">
        <f t="shared" si="97"/>
        <v>59.419147189674156</v>
      </c>
      <c r="DR74" s="22">
        <f t="shared" si="70"/>
        <v>529.42700402201569</v>
      </c>
      <c r="DS74" s="60">
        <f t="shared" si="71"/>
        <v>822.76033735534907</v>
      </c>
      <c r="DT74" s="60">
        <f ca="1">AVERAGE(OFFSET($DS$3,0,0,'Données projet'!$E$14+1,1))-AVERAGE(OFFSET($H$3,0,0,'Données projet'!$E$14+1,1))</f>
        <v>376.96388721258387</v>
      </c>
      <c r="DU74" s="60">
        <f t="shared" si="98"/>
        <v>211.14628470344377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6.2</v>
      </c>
      <c r="EJ74" s="13">
        <f>IF('Données projet'!$A$192&gt;35,EJ73+EI74-ER73,IF(A74&lt;'Données projet'!$A$192,$EG$205^A74,IF(A74='Données projet'!$A$192,'Données projet'!$B$192,EJ73+EI74-ER73)))</f>
        <v>227.19999999999993</v>
      </c>
      <c r="EK74" s="18">
        <f>EJ74*VLOOKUP('Données projet'!$B$15,Paramètres!$A$1:$I$89,3,0)*VLOOKUP('Données projet'!$B$15,Paramètres!$A$1:$I$89,5,0)</f>
        <v>219.74783999999994</v>
      </c>
      <c r="EL74" s="14">
        <f t="shared" si="99"/>
        <v>54.060076332940561</v>
      </c>
      <c r="EM74" s="22">
        <f t="shared" si="73"/>
        <v>476.88212094653812</v>
      </c>
      <c r="EN74" s="60">
        <f t="shared" si="74"/>
        <v>770.21545427987144</v>
      </c>
      <c r="EO74" s="60">
        <f ca="1">AVERAGE(OFFSET($EN$3,0,0,'Données projet'!$E$15+1,1))-AVERAGE(OFFSET($H$3,0,0,'Données projet'!$E$15+1,1))</f>
        <v>330.39429528665841</v>
      </c>
      <c r="EP74" s="60">
        <f t="shared" si="100"/>
        <v>186.45728006007261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8">
        <f t="shared" si="56"/>
        <v>382.38145599910195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-5.6843418860808015E-14</v>
      </c>
      <c r="O75" s="14">
        <f>N75*VLOOKUP('Données projet'!$B$9,Paramètres!$A$1:$I$89,3,0)*VLOOKUP('Données projet'!$B$9,Paramètres!$A$1:$I$89,5,0)</f>
        <v>-3.3992364478763198E-14</v>
      </c>
      <c r="P75" s="14" t="e">
        <f t="shared" si="87"/>
        <v>#NUM!</v>
      </c>
      <c r="Q75" s="22" t="e">
        <f t="shared" si="54"/>
        <v>#NUM!</v>
      </c>
      <c r="R75" s="60" t="e">
        <f t="shared" si="55"/>
        <v>#NUM!</v>
      </c>
      <c r="S75" s="60">
        <f ca="1">AVERAGE(OFFSET($R$3,0,0,'Données projet'!$E$9+1,1))-AVERAGE(OFFSET($H$3,0,0,'Données projet'!$E$9+1,1))</f>
        <v>155.11440101086782</v>
      </c>
      <c r="T75" s="60">
        <f t="shared" si="88"/>
        <v>239.53454701506638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5.8746235062268086</v>
      </c>
      <c r="AA75" s="23">
        <f>EXP(-LN(2)/25)*AA74+(1-EXP(-LN(2)/25))/(LN(2)/25)*Calculateur!V75*Calculateur!X75*VLOOKUP('Données projet'!$B$9,Paramètres!$A$1:$I$89,3,0)*0.475*44/12</f>
        <v>2.2601138764857716</v>
      </c>
      <c r="AB75" s="23">
        <f>EXP(-LN(2)/2)*AB74+(1-EXP(-LN(2)/2))/(LN(2)/2)*V75*Y75*VLOOKUP('Données projet'!$B$9,Paramètres!$A$1:$I$89,3,0)*0.475*44/12</f>
        <v>1.4061656355510618E-6</v>
      </c>
      <c r="AC75" s="24">
        <f t="shared" si="57"/>
        <v>8.1347387888782148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-3.4106051316484809E-13</v>
      </c>
      <c r="AJ75" s="14">
        <f>AI75*VLOOKUP('Données projet'!$B$10,Paramètres!$A$1:$I$89,3,0)*VLOOKUP('Données projet'!$B$10,Paramètres!$A$1:$I$89,5,0)</f>
        <v>-1.9065282685915009E-13</v>
      </c>
      <c r="AK75" s="14" t="e">
        <f t="shared" si="89"/>
        <v>#NUM!</v>
      </c>
      <c r="AL75" s="22" t="e">
        <f t="shared" si="58"/>
        <v>#NUM!</v>
      </c>
      <c r="AM75" s="60" t="e">
        <f t="shared" si="59"/>
        <v>#NUM!</v>
      </c>
      <c r="AN75" s="60">
        <f ca="1">AVERAGE(OFFSET($AM$3,0,0,'Données projet'!$E$10+1,1))-AVERAGE(OFFSET($H$3,0,0,'Données projet'!$E$10+1,1))</f>
        <v>302.20483575440988</v>
      </c>
      <c r="AO75" s="60">
        <f t="shared" si="90"/>
        <v>275.32862097158687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2.1576183809364462</v>
      </c>
      <c r="AW75" s="23">
        <f>EXP(-LN(2)/2)*AW74+(1-EXP(-LN(2)/2))/(LN(2)/2)*AQ75*AT75*VLOOKUP('Données projet'!$B$10,Paramètres!$A$1:$I$89,3,0)*0.475*44/12</f>
        <v>4.1991352240315478E-6</v>
      </c>
      <c r="AX75" s="23">
        <f t="shared" si="60"/>
        <v>2.1576225800716702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5</v>
      </c>
      <c r="BD75" s="13">
        <f>IF('Données projet'!$A$88&gt;35,BD74+BC75-BL74,IF(A75&lt;'Données projet'!$A$88,$BA$205^A75,IF(A75='Données projet'!$A$88,'Données projet'!$B$88,BD74+BC75-BL74)))</f>
        <v>267.00000000000011</v>
      </c>
      <c r="BE75" s="14">
        <f>BD75*VLOOKUP('Données projet'!$B$11,Paramètres!$A$1:$I$89,3,0)*VLOOKUP('Données projet'!$B$11,Paramètres!$A$1:$I$89,5,0)</f>
        <v>233.25120000000013</v>
      </c>
      <c r="BF75" s="14">
        <f t="shared" si="91"/>
        <v>56.985091661350914</v>
      </c>
      <c r="BG75" s="22">
        <f t="shared" si="61"/>
        <v>505.49487464351972</v>
      </c>
      <c r="BH75" s="60">
        <f t="shared" si="62"/>
        <v>798.82820797685304</v>
      </c>
      <c r="BI75" s="60">
        <f ca="1">AVERAGE(OFFSET($BH$3,0,0,'Données projet'!$E$11+1,1))-AVERAGE(OFFSET($H$3,0,0,'Données projet'!$E$11+1,1))</f>
        <v>314.62110015707839</v>
      </c>
      <c r="BJ75" s="60">
        <f t="shared" si="92"/>
        <v>285.36905470736582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6.2</v>
      </c>
      <c r="BY75" s="13">
        <f>IF('Données projet'!$A$114&gt;35,BY74+BX75-CG74,IF(A75&lt;'Données projet'!$A$114,$BV$205^A75,IF(A75='Données projet'!$A$114,'Données projet'!$B$114,BY74+BX75-CG74)))</f>
        <v>233.39999999999992</v>
      </c>
      <c r="BZ75" s="14">
        <f>BY75*VLOOKUP('Données projet'!$B$12,Paramètres!$A$1:$I$89,3,0)*VLOOKUP('Données projet'!$B$12,Paramètres!$A$1:$I$89,5,0)</f>
        <v>211.18031999999994</v>
      </c>
      <c r="CA75" s="14">
        <f t="shared" si="93"/>
        <v>52.193431117443019</v>
      </c>
      <c r="CB75" s="22">
        <f t="shared" si="64"/>
        <v>458.70928319621316</v>
      </c>
      <c r="CC75" s="60">
        <f t="shared" si="65"/>
        <v>752.04261652954642</v>
      </c>
      <c r="CD75" s="60">
        <f ca="1">AVERAGE(OFFSET($CC$3,0,0,'Données projet'!$E$12+1,1))-AVERAGE(OFFSET($H$3,0,0,'Données projet'!$E$12+1,1))</f>
        <v>303.73499739059076</v>
      </c>
      <c r="CE75" s="60">
        <f t="shared" si="94"/>
        <v>172.32171001882188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6.2</v>
      </c>
      <c r="CT75" s="13">
        <f>IF('Données projet'!$A$140&gt;35,CT74+CS75-DB74,IF(A75&lt;'Données projet'!$A$140,$CQ$205^A75,IF(A75='Données projet'!$A$140,'Données projet'!$B$140,CT74+CS75-DB74)))</f>
        <v>233.39999999999992</v>
      </c>
      <c r="CU75" s="18">
        <f>CT75*VLOOKUP('Données projet'!$B$13,Paramètres!$A$1:$I$89,3,0)*VLOOKUP('Données projet'!$B$13,Paramètres!$A$1:$I$89,5,0)</f>
        <v>236.66759999999994</v>
      </c>
      <c r="CV75" s="14">
        <f t="shared" si="95"/>
        <v>57.721965974560838</v>
      </c>
      <c r="CW75" s="22">
        <f t="shared" si="67"/>
        <v>512.72849407235992</v>
      </c>
      <c r="CX75" s="60">
        <f t="shared" si="68"/>
        <v>806.06182740569329</v>
      </c>
      <c r="CY75" s="60">
        <f ca="1">AVERAGE(OFFSET($CX$3,0,0,'Données projet'!$E$13+1,1))-AVERAGE(OFFSET($H$3,0,0,'Données projet'!$E$13+1,1))</f>
        <v>350.3652766444938</v>
      </c>
      <c r="CZ75" s="60">
        <f t="shared" si="96"/>
        <v>197.04549436738586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6.2</v>
      </c>
      <c r="DO75" s="13">
        <f>IF('Données projet'!$A$166&gt;35,DO74+DN75-DW74,IF(A75&lt;'Données projet'!$A$166,$DL$205^A75,IF(A75='Données projet'!$A$166,'Données projet'!$B$166,DO74+DN75-DW74)))</f>
        <v>233.39999999999992</v>
      </c>
      <c r="DP75" s="18">
        <f>DO75*VLOOKUP('Données projet'!$B$14,Paramètres!$A$1:$I$89,3,0)*VLOOKUP('Données projet'!$B$14,Paramètres!$A$1:$I$89,5,0)</f>
        <v>251.23175999999989</v>
      </c>
      <c r="DQ75" s="14">
        <f t="shared" si="97"/>
        <v>60.849628220886878</v>
      </c>
      <c r="DR75" s="22">
        <f t="shared" si="70"/>
        <v>543.54175115137775</v>
      </c>
      <c r="DS75" s="60">
        <f t="shared" si="71"/>
        <v>836.87508448471112</v>
      </c>
      <c r="DT75" s="60">
        <f ca="1">AVERAGE(OFFSET($DS$3,0,0,'Données projet'!$E$14+1,1))-AVERAGE(OFFSET($H$3,0,0,'Données projet'!$E$14+1,1))</f>
        <v>376.96388721258387</v>
      </c>
      <c r="DU75" s="60">
        <f t="shared" si="98"/>
        <v>211.14628470344377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6.2</v>
      </c>
      <c r="EJ75" s="13">
        <f>IF('Données projet'!$A$192&gt;35,EJ74+EI75-ER74,IF(A75&lt;'Données projet'!$A$192,$EG$205^A75,IF(A75='Données projet'!$A$192,'Données projet'!$B$192,EJ74+EI75-ER74)))</f>
        <v>233.39999999999992</v>
      </c>
      <c r="EK75" s="18">
        <f>EJ75*VLOOKUP('Données projet'!$B$15,Paramètres!$A$1:$I$89,3,0)*VLOOKUP('Données projet'!$B$15,Paramètres!$A$1:$I$89,5,0)</f>
        <v>225.74447999999992</v>
      </c>
      <c r="EL75" s="14">
        <f t="shared" si="99"/>
        <v>55.36154088431374</v>
      </c>
      <c r="EM75" s="22">
        <f t="shared" si="73"/>
        <v>489.59298637351299</v>
      </c>
      <c r="EN75" s="60">
        <f t="shared" si="74"/>
        <v>782.92631970684624</v>
      </c>
      <c r="EO75" s="60">
        <f ca="1">AVERAGE(OFFSET($EN$3,0,0,'Données projet'!$E$15+1,1))-AVERAGE(OFFSET($H$3,0,0,'Données projet'!$E$15+1,1))</f>
        <v>330.39429528665841</v>
      </c>
      <c r="EP75" s="60">
        <f t="shared" si="100"/>
        <v>186.45728006007261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8">
        <f t="shared" si="56"/>
        <v>383.58476182460123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-5.6843418860808015E-14</v>
      </c>
      <c r="O76" s="14">
        <f>N76*VLOOKUP('Données projet'!$B$9,Paramètres!$A$1:$I$89,3,0)*VLOOKUP('Données projet'!$B$9,Paramètres!$A$1:$I$89,5,0)</f>
        <v>-3.3992364478763198E-14</v>
      </c>
      <c r="P76" s="14" t="e">
        <f t="shared" si="87"/>
        <v>#NUM!</v>
      </c>
      <c r="Q76" s="22" t="e">
        <f t="shared" si="54"/>
        <v>#NUM!</v>
      </c>
      <c r="R76" s="60" t="e">
        <f t="shared" si="55"/>
        <v>#NUM!</v>
      </c>
      <c r="S76" s="60">
        <f ca="1">AVERAGE(OFFSET($R$3,0,0,'Données projet'!$E$9+1,1))-AVERAGE(OFFSET($H$3,0,0,'Données projet'!$E$9+1,1))</f>
        <v>155.11440101086782</v>
      </c>
      <c r="T76" s="60">
        <f t="shared" si="88"/>
        <v>239.53454701506638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5.7594257224362311</v>
      </c>
      <c r="AA76" s="23">
        <f>EXP(-LN(2)/25)*AA75+(1-EXP(-LN(2)/25))/(LN(2)/25)*Calculateur!V76*Calculateur!X76*VLOOKUP('Données projet'!$B$9,Paramètres!$A$1:$I$89,3,0)*0.475*44/12</f>
        <v>2.1983109436790449</v>
      </c>
      <c r="AB76" s="23">
        <f>EXP(-LN(2)/2)*AB75+(1-EXP(-LN(2)/2))/(LN(2)/2)*V76*Y76*VLOOKUP('Données projet'!$B$9,Paramètres!$A$1:$I$89,3,0)*0.475*44/12</f>
        <v>9.9430925636964715E-7</v>
      </c>
      <c r="AC76" s="24">
        <f t="shared" si="57"/>
        <v>7.9577376604245318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-3.4106051316484809E-13</v>
      </c>
      <c r="AJ76" s="14">
        <f>AI76*VLOOKUP('Données projet'!$B$10,Paramètres!$A$1:$I$89,3,0)*VLOOKUP('Données projet'!$B$10,Paramètres!$A$1:$I$89,5,0)</f>
        <v>-1.9065282685915009E-13</v>
      </c>
      <c r="AK76" s="14" t="e">
        <f t="shared" si="89"/>
        <v>#NUM!</v>
      </c>
      <c r="AL76" s="22" t="e">
        <f t="shared" si="58"/>
        <v>#NUM!</v>
      </c>
      <c r="AM76" s="60" t="e">
        <f t="shared" si="59"/>
        <v>#NUM!</v>
      </c>
      <c r="AN76" s="60">
        <f ca="1">AVERAGE(OFFSET($AM$3,0,0,'Données projet'!$E$10+1,1))-AVERAGE(OFFSET($H$3,0,0,'Données projet'!$E$10+1,1))</f>
        <v>302.20483575440988</v>
      </c>
      <c r="AO76" s="60">
        <f t="shared" si="90"/>
        <v>275.32862097158687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2.0986181928455196</v>
      </c>
      <c r="AW76" s="23">
        <f>EXP(-LN(2)/2)*AW75+(1-EXP(-LN(2)/2))/(LN(2)/2)*AQ76*AT76*VLOOKUP('Données projet'!$B$10,Paramètres!$A$1:$I$89,3,0)*0.475*44/12</f>
        <v>2.9692369920319999E-6</v>
      </c>
      <c r="AX76" s="23">
        <f t="shared" si="60"/>
        <v>2.0986211620825115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5</v>
      </c>
      <c r="BD76" s="13">
        <f>IF('Données projet'!$A$88&gt;35,BD75+BC76-BL75,IF(A76&lt;'Données projet'!$A$88,$BA$205^A76,IF(A76='Données projet'!$A$88,'Données projet'!$B$88,BD75+BC76-BL75)))</f>
        <v>272.00000000000011</v>
      </c>
      <c r="BE76" s="14">
        <f>BD76*VLOOKUP('Données projet'!$B$11,Paramètres!$A$1:$I$89,3,0)*VLOOKUP('Données projet'!$B$11,Paramètres!$A$1:$I$89,5,0)</f>
        <v>237.61920000000012</v>
      </c>
      <c r="BF76" s="14">
        <f t="shared" si="91"/>
        <v>57.926992927794167</v>
      </c>
      <c r="BG76" s="22">
        <f t="shared" si="61"/>
        <v>514.74295268257504</v>
      </c>
      <c r="BH76" s="60">
        <f t="shared" si="62"/>
        <v>808.07628601590841</v>
      </c>
      <c r="BI76" s="60">
        <f ca="1">AVERAGE(OFFSET($BH$3,0,0,'Données projet'!$E$11+1,1))-AVERAGE(OFFSET($H$3,0,0,'Données projet'!$E$11+1,1))</f>
        <v>314.62110015707839</v>
      </c>
      <c r="BJ76" s="60">
        <f t="shared" si="92"/>
        <v>285.36905470736582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6.2</v>
      </c>
      <c r="BY76" s="13">
        <f>IF('Données projet'!$A$114&gt;35,BY75+BX76-CG75,IF(A76&lt;'Données projet'!$A$114,$BV$205^A76,IF(A76='Données projet'!$A$114,'Données projet'!$B$114,BY75+BX76-CG75)))</f>
        <v>239.59999999999991</v>
      </c>
      <c r="BZ76" s="14">
        <f>BY76*VLOOKUP('Données projet'!$B$12,Paramètres!$A$1:$I$89,3,0)*VLOOKUP('Données projet'!$B$12,Paramètres!$A$1:$I$89,5,0)</f>
        <v>216.7900799999999</v>
      </c>
      <c r="CA76" s="14">
        <f t="shared" si="93"/>
        <v>53.416629794462551</v>
      </c>
      <c r="CB76" s="22">
        <f t="shared" si="64"/>
        <v>470.61001955868869</v>
      </c>
      <c r="CC76" s="60">
        <f t="shared" si="65"/>
        <v>763.94335289202195</v>
      </c>
      <c r="CD76" s="60">
        <f ca="1">AVERAGE(OFFSET($CC$3,0,0,'Données projet'!$E$12+1,1))-AVERAGE(OFFSET($H$3,0,0,'Données projet'!$E$12+1,1))</f>
        <v>303.73499739059076</v>
      </c>
      <c r="CE76" s="60">
        <f t="shared" si="94"/>
        <v>172.32171001882188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6.2</v>
      </c>
      <c r="CT76" s="13">
        <f>IF('Données projet'!$A$140&gt;35,CT75+CS76-DB75,IF(A76&lt;'Données projet'!$A$140,$CQ$205^A76,IF(A76='Données projet'!$A$140,'Données projet'!$B$140,CT75+CS76-DB75)))</f>
        <v>239.59999999999991</v>
      </c>
      <c r="CU76" s="18">
        <f>CT76*VLOOKUP('Données projet'!$B$13,Paramètres!$A$1:$I$89,3,0)*VLOOKUP('Données projet'!$B$13,Paramètres!$A$1:$I$89,5,0)</f>
        <v>242.95439999999994</v>
      </c>
      <c r="CV76" s="14">
        <f t="shared" si="95"/>
        <v>59.074730698078945</v>
      </c>
      <c r="CW76" s="22">
        <f t="shared" si="67"/>
        <v>526.034069299154</v>
      </c>
      <c r="CX76" s="60">
        <f t="shared" si="68"/>
        <v>819.36740263248726</v>
      </c>
      <c r="CY76" s="60">
        <f ca="1">AVERAGE(OFFSET($CX$3,0,0,'Données projet'!$E$13+1,1))-AVERAGE(OFFSET($H$3,0,0,'Données projet'!$E$13+1,1))</f>
        <v>350.3652766444938</v>
      </c>
      <c r="CZ76" s="60">
        <f t="shared" si="96"/>
        <v>197.04549436738586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6.2</v>
      </c>
      <c r="DO76" s="13">
        <f>IF('Données projet'!$A$166&gt;35,DO75+DN76-DW75,IF(A76&lt;'Données projet'!$A$166,$DL$205^A76,IF(A76='Données projet'!$A$166,'Données projet'!$B$166,DO75+DN76-DW75)))</f>
        <v>239.59999999999991</v>
      </c>
      <c r="DP76" s="18">
        <f>DO76*VLOOKUP('Données projet'!$B$14,Paramètres!$A$1:$I$89,3,0)*VLOOKUP('Données projet'!$B$14,Paramètres!$A$1:$I$89,5,0)</f>
        <v>257.90543999999989</v>
      </c>
      <c r="DQ76" s="14">
        <f t="shared" si="97"/>
        <v>62.275692442827719</v>
      </c>
      <c r="DR76" s="22">
        <f t="shared" si="70"/>
        <v>557.64880567125817</v>
      </c>
      <c r="DS76" s="60">
        <f t="shared" si="71"/>
        <v>850.98213900459155</v>
      </c>
      <c r="DT76" s="60">
        <f ca="1">AVERAGE(OFFSET($DS$3,0,0,'Données projet'!$E$14+1,1))-AVERAGE(OFFSET($H$3,0,0,'Données projet'!$E$14+1,1))</f>
        <v>376.96388721258387</v>
      </c>
      <c r="DU76" s="60">
        <f t="shared" si="98"/>
        <v>211.14628470344377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6.2</v>
      </c>
      <c r="EJ76" s="13">
        <f>IF('Données projet'!$A$192&gt;35,EJ75+EI76-ER75,IF(A76&lt;'Données projet'!$A$192,$EG$205^A76,IF(A76='Données projet'!$A$192,'Données projet'!$B$192,EJ75+EI76-ER75)))</f>
        <v>239.59999999999991</v>
      </c>
      <c r="EK76" s="18">
        <f>EJ76*VLOOKUP('Données projet'!$B$15,Paramètres!$A$1:$I$89,3,0)*VLOOKUP('Données projet'!$B$15,Paramètres!$A$1:$I$89,5,0)</f>
        <v>231.74111999999991</v>
      </c>
      <c r="EL76" s="14">
        <f t="shared" si="99"/>
        <v>56.658986982752438</v>
      </c>
      <c r="EM76" s="22">
        <f t="shared" si="73"/>
        <v>502.29685299496032</v>
      </c>
      <c r="EN76" s="60">
        <f t="shared" si="74"/>
        <v>795.63018632829358</v>
      </c>
      <c r="EO76" s="60">
        <f ca="1">AVERAGE(OFFSET($EN$3,0,0,'Données projet'!$E$15+1,1))-AVERAGE(OFFSET($H$3,0,0,'Données projet'!$E$15+1,1))</f>
        <v>330.39429528665841</v>
      </c>
      <c r="EP76" s="60">
        <f t="shared" si="100"/>
        <v>186.45728006007261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8">
        <f t="shared" si="56"/>
        <v>384.78766557089068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-5.6843418860808015E-14</v>
      </c>
      <c r="O77" s="14">
        <f>N77*VLOOKUP('Données projet'!$B$9,Paramètres!$A$1:$I$89,3,0)*VLOOKUP('Données projet'!$B$9,Paramètres!$A$1:$I$89,5,0)</f>
        <v>-3.3992364478763198E-14</v>
      </c>
      <c r="P77" s="14" t="e">
        <f t="shared" si="87"/>
        <v>#NUM!</v>
      </c>
      <c r="Q77" s="22" t="e">
        <f t="shared" si="54"/>
        <v>#NUM!</v>
      </c>
      <c r="R77" s="60" t="e">
        <f t="shared" si="55"/>
        <v>#NUM!</v>
      </c>
      <c r="S77" s="60">
        <f ca="1">AVERAGE(OFFSET($R$3,0,0,'Données projet'!$E$9+1,1))-AVERAGE(OFFSET($H$3,0,0,'Données projet'!$E$9+1,1))</f>
        <v>155.11440101086782</v>
      </c>
      <c r="T77" s="60">
        <f t="shared" si="88"/>
        <v>239.53454701506638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5.6464868969220765</v>
      </c>
      <c r="AA77" s="23">
        <f>EXP(-LN(2)/25)*AA76+(1-EXP(-LN(2)/25))/(LN(2)/25)*Calculateur!V77*Calculateur!X77*VLOOKUP('Données projet'!$B$9,Paramètres!$A$1:$I$89,3,0)*0.475*44/12</f>
        <v>2.1381980153199933</v>
      </c>
      <c r="AB77" s="23">
        <f>EXP(-LN(2)/2)*AB76+(1-EXP(-LN(2)/2))/(LN(2)/2)*V77*Y77*VLOOKUP('Données projet'!$B$9,Paramètres!$A$1:$I$89,3,0)*0.475*44/12</f>
        <v>7.0308281777553089E-7</v>
      </c>
      <c r="AC77" s="24">
        <f t="shared" si="57"/>
        <v>7.7846856153248876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-3.4106051316484809E-13</v>
      </c>
      <c r="AJ77" s="14">
        <f>AI77*VLOOKUP('Données projet'!$B$10,Paramètres!$A$1:$I$89,3,0)*VLOOKUP('Données projet'!$B$10,Paramètres!$A$1:$I$89,5,0)</f>
        <v>-1.9065282685915009E-13</v>
      </c>
      <c r="AK77" s="14" t="e">
        <f t="shared" si="89"/>
        <v>#NUM!</v>
      </c>
      <c r="AL77" s="22" t="e">
        <f t="shared" si="58"/>
        <v>#NUM!</v>
      </c>
      <c r="AM77" s="60" t="e">
        <f t="shared" si="59"/>
        <v>#NUM!</v>
      </c>
      <c r="AN77" s="60">
        <f ca="1">AVERAGE(OFFSET($AM$3,0,0,'Données projet'!$E$10+1,1))-AVERAGE(OFFSET($H$3,0,0,'Données projet'!$E$10+1,1))</f>
        <v>302.20483575440988</v>
      </c>
      <c r="AO77" s="60">
        <f t="shared" si="90"/>
        <v>275.32862097158687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2.0412313680006244</v>
      </c>
      <c r="AW77" s="23">
        <f>EXP(-LN(2)/2)*AW76+(1-EXP(-LN(2)/2))/(LN(2)/2)*AQ77*AT77*VLOOKUP('Données projet'!$B$10,Paramètres!$A$1:$I$89,3,0)*0.475*44/12</f>
        <v>2.0995676120157739E-6</v>
      </c>
      <c r="AX77" s="23">
        <f t="shared" si="60"/>
        <v>2.0412334675682366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5</v>
      </c>
      <c r="BD77" s="13">
        <f>IF('Données projet'!$A$88&gt;35,BD76+BC77-BL76,IF(A77&lt;'Données projet'!$A$88,$BA$205^A77,IF(A77='Données projet'!$A$88,'Données projet'!$B$88,BD76+BC77-BL76)))</f>
        <v>277.00000000000011</v>
      </c>
      <c r="BE77" s="14">
        <f>BD77*VLOOKUP('Données projet'!$B$11,Paramètres!$A$1:$I$89,3,0)*VLOOKUP('Données projet'!$B$11,Paramètres!$A$1:$I$89,5,0)</f>
        <v>241.98720000000014</v>
      </c>
      <c r="BF77" s="14">
        <f t="shared" si="91"/>
        <v>58.866880837322675</v>
      </c>
      <c r="BG77" s="22">
        <f t="shared" si="61"/>
        <v>523.98752412500392</v>
      </c>
      <c r="BH77" s="60">
        <f t="shared" si="62"/>
        <v>817.32085745833729</v>
      </c>
      <c r="BI77" s="60">
        <f ca="1">AVERAGE(OFFSET($BH$3,0,0,'Données projet'!$E$11+1,1))-AVERAGE(OFFSET($H$3,0,0,'Données projet'!$E$11+1,1))</f>
        <v>314.62110015707839</v>
      </c>
      <c r="BJ77" s="60">
        <f t="shared" si="92"/>
        <v>285.36905470736582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</v>
      </c>
      <c r="BY77" s="13">
        <f>IF('Données projet'!$A$114&gt;35,BY76+BX77-CG76,IF(A77&lt;'Données projet'!$A$114,$BV$205^A77,IF(A77='Données projet'!$A$114,'Données projet'!$B$114,BY76+BX77-CG76)))</f>
        <v>245.7999999999999</v>
      </c>
      <c r="BZ77" s="14">
        <f>BY77*VLOOKUP('Données projet'!$B$12,Paramètres!$A$1:$I$89,3,0)*VLOOKUP('Données projet'!$B$12,Paramètres!$A$1:$I$89,5,0)</f>
        <v>222.3998399999999</v>
      </c>
      <c r="CA77" s="14">
        <f t="shared" si="93"/>
        <v>54.636149281681448</v>
      </c>
      <c r="CB77" s="22">
        <f t="shared" si="64"/>
        <v>482.50434799892832</v>
      </c>
      <c r="CC77" s="60">
        <f t="shared" si="65"/>
        <v>775.83768133226158</v>
      </c>
      <c r="CD77" s="60">
        <f ca="1">AVERAGE(OFFSET($CC$3,0,0,'Données projet'!$E$12+1,1))-AVERAGE(OFFSET($H$3,0,0,'Données projet'!$E$12+1,1))</f>
        <v>303.73499739059076</v>
      </c>
      <c r="CE77" s="60">
        <f t="shared" si="94"/>
        <v>172.32171001882188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6.2</v>
      </c>
      <c r="CT77" s="13">
        <f>IF('Données projet'!$A$140&gt;35,CT76+CS77-DB76,IF(A77&lt;'Données projet'!$A$140,$CQ$205^A77,IF(A77='Données projet'!$A$140,'Données projet'!$B$140,CT76+CS77-DB76)))</f>
        <v>245.7999999999999</v>
      </c>
      <c r="CU77" s="18">
        <f>CT77*VLOOKUP('Données projet'!$B$13,Paramètres!$A$1:$I$89,3,0)*VLOOKUP('Données projet'!$B$13,Paramètres!$A$1:$I$89,5,0)</f>
        <v>249.24119999999988</v>
      </c>
      <c r="CV77" s="14">
        <f t="shared" si="95"/>
        <v>60.42342651744687</v>
      </c>
      <c r="CW77" s="22">
        <f t="shared" si="67"/>
        <v>539.3325578512198</v>
      </c>
      <c r="CX77" s="60">
        <f t="shared" si="68"/>
        <v>832.66589118455317</v>
      </c>
      <c r="CY77" s="60">
        <f ca="1">AVERAGE(OFFSET($CX$3,0,0,'Données projet'!$E$13+1,1))-AVERAGE(OFFSET($H$3,0,0,'Données projet'!$E$13+1,1))</f>
        <v>350.3652766444938</v>
      </c>
      <c r="CZ77" s="60">
        <f t="shared" si="96"/>
        <v>197.04549436738586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6.2</v>
      </c>
      <c r="DO77" s="13">
        <f>IF('Données projet'!$A$166&gt;35,DO76+DN77-DW76,IF(A77&lt;'Données projet'!$A$166,$DL$205^A77,IF(A77='Données projet'!$A$166,'Données projet'!$B$166,DO76+DN77-DW76)))</f>
        <v>245.7999999999999</v>
      </c>
      <c r="DP77" s="18">
        <f>DO77*VLOOKUP('Données projet'!$B$14,Paramètres!$A$1:$I$89,3,0)*VLOOKUP('Données projet'!$B$14,Paramètres!$A$1:$I$89,5,0)</f>
        <v>264.57911999999988</v>
      </c>
      <c r="DQ77" s="14">
        <f t="shared" si="97"/>
        <v>63.697467287221869</v>
      </c>
      <c r="DR77" s="22">
        <f t="shared" si="70"/>
        <v>571.74838952524453</v>
      </c>
      <c r="DS77" s="60">
        <f t="shared" si="71"/>
        <v>865.0817228585779</v>
      </c>
      <c r="DT77" s="60">
        <f ca="1">AVERAGE(OFFSET($DS$3,0,0,'Données projet'!$E$14+1,1))-AVERAGE(OFFSET($H$3,0,0,'Données projet'!$E$14+1,1))</f>
        <v>376.96388721258387</v>
      </c>
      <c r="DU77" s="60">
        <f t="shared" si="98"/>
        <v>211.14628470344377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6.2</v>
      </c>
      <c r="EJ77" s="13">
        <f>IF('Données projet'!$A$192&gt;35,EJ76+EI77-ER76,IF(A77&lt;'Données projet'!$A$192,$EG$205^A77,IF(A77='Données projet'!$A$192,'Données projet'!$B$192,EJ76+EI77-ER76)))</f>
        <v>245.7999999999999</v>
      </c>
      <c r="EK77" s="18">
        <f>EJ77*VLOOKUP('Données projet'!$B$15,Paramètres!$A$1:$I$89,3,0)*VLOOKUP('Données projet'!$B$15,Paramètres!$A$1:$I$89,5,0)</f>
        <v>237.73775999999989</v>
      </c>
      <c r="EL77" s="14">
        <f t="shared" si="99"/>
        <v>57.952530566790166</v>
      </c>
      <c r="EM77" s="22">
        <f t="shared" si="73"/>
        <v>514.99392273715932</v>
      </c>
      <c r="EN77" s="60">
        <f t="shared" si="74"/>
        <v>808.32725607049269</v>
      </c>
      <c r="EO77" s="60">
        <f ca="1">AVERAGE(OFFSET($EN$3,0,0,'Données projet'!$E$15+1,1))-AVERAGE(OFFSET($H$3,0,0,'Données projet'!$E$15+1,1))</f>
        <v>330.39429528665841</v>
      </c>
      <c r="EP77" s="60">
        <f t="shared" si="100"/>
        <v>186.45728006007261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8">
        <f t="shared" si="56"/>
        <v>385.99017329953574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-5.6843418860808015E-14</v>
      </c>
      <c r="O78" s="14">
        <f>N78*VLOOKUP('Données projet'!$B$9,Paramètres!$A$1:$I$89,3,0)*VLOOKUP('Données projet'!$B$9,Paramètres!$A$1:$I$89,5,0)</f>
        <v>-3.3992364478763198E-14</v>
      </c>
      <c r="P78" s="14" t="e">
        <f t="shared" si="87"/>
        <v>#NUM!</v>
      </c>
      <c r="Q78" s="22" t="e">
        <f t="shared" si="54"/>
        <v>#NUM!</v>
      </c>
      <c r="R78" s="60" t="e">
        <f t="shared" si="55"/>
        <v>#NUM!</v>
      </c>
      <c r="S78" s="60">
        <f ca="1">AVERAGE(OFFSET($R$3,0,0,'Données projet'!$E$9+1,1))-AVERAGE(OFFSET($H$3,0,0,'Données projet'!$E$9+1,1))</f>
        <v>155.11440101086782</v>
      </c>
      <c r="T78" s="60">
        <f t="shared" si="88"/>
        <v>239.53454701506638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5.5357627328903733</v>
      </c>
      <c r="AA78" s="23">
        <f>EXP(-LN(2)/25)*AA77+(1-EXP(-LN(2)/25))/(LN(2)/25)*Calculateur!V78*Calculateur!X78*VLOOKUP('Données projet'!$B$9,Paramètres!$A$1:$I$89,3,0)*0.475*44/12</f>
        <v>2.0797288781481216</v>
      </c>
      <c r="AB78" s="23">
        <f>EXP(-LN(2)/2)*AB77+(1-EXP(-LN(2)/2))/(LN(2)/2)*V78*Y78*VLOOKUP('Données projet'!$B$9,Paramètres!$A$1:$I$89,3,0)*0.475*44/12</f>
        <v>4.9715462818482358E-7</v>
      </c>
      <c r="AC78" s="24">
        <f t="shared" si="57"/>
        <v>7.6154921081931235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-3.4106051316484809E-13</v>
      </c>
      <c r="AJ78" s="14">
        <f>AI78*VLOOKUP('Données projet'!$B$10,Paramètres!$A$1:$I$89,3,0)*VLOOKUP('Données projet'!$B$10,Paramètres!$A$1:$I$89,5,0)</f>
        <v>-1.9065282685915009E-13</v>
      </c>
      <c r="AK78" s="14" t="e">
        <f t="shared" si="89"/>
        <v>#NUM!</v>
      </c>
      <c r="AL78" s="22" t="e">
        <f t="shared" si="58"/>
        <v>#NUM!</v>
      </c>
      <c r="AM78" s="60" t="e">
        <f t="shared" si="59"/>
        <v>#NUM!</v>
      </c>
      <c r="AN78" s="60">
        <f ca="1">AVERAGE(OFFSET($AM$3,0,0,'Données projet'!$E$10+1,1))-AVERAGE(OFFSET($H$3,0,0,'Données projet'!$E$10+1,1))</f>
        <v>302.20483575440988</v>
      </c>
      <c r="AO78" s="60">
        <f t="shared" si="90"/>
        <v>275.32862097158687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1.9854137888989549</v>
      </c>
      <c r="AW78" s="23">
        <f>EXP(-LN(2)/2)*AW77+(1-EXP(-LN(2)/2))/(LN(2)/2)*AQ78*AT78*VLOOKUP('Données projet'!$B$10,Paramètres!$A$1:$I$89,3,0)*0.475*44/12</f>
        <v>1.4846184960159999E-6</v>
      </c>
      <c r="AX78" s="23">
        <f t="shared" si="60"/>
        <v>1.9854152735174508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282</v>
      </c>
      <c r="BB78" s="13">
        <f>VLOOKUP(A78,'Données projet'!$A$87:$I$107,9,0)</f>
        <v>5</v>
      </c>
      <c r="BC78" s="13">
        <f t="array" ref="BC78">INDEX(BB:BB,MIN(IF(ISNUMBER(BB78:BB274),ROW(BB78:BB274),"")))</f>
        <v>5</v>
      </c>
      <c r="BD78" s="13">
        <f>IF('Données projet'!$A$88&gt;35,BD77+BC78-BL77,IF(A78&lt;'Données projet'!$A$88,$BA$205^A78,IF(A78='Données projet'!$A$88,'Données projet'!$B$88,BD77+BC78-BL77)))</f>
        <v>282.00000000000011</v>
      </c>
      <c r="BE78" s="14">
        <f>BD78*VLOOKUP('Données projet'!$B$11,Paramètres!$A$1:$I$89,3,0)*VLOOKUP('Données projet'!$B$11,Paramètres!$A$1:$I$89,5,0)</f>
        <v>246.35520000000011</v>
      </c>
      <c r="BF78" s="14">
        <f t="shared" si="91"/>
        <v>59.804795924194487</v>
      </c>
      <c r="BG78" s="22">
        <f t="shared" si="61"/>
        <v>533.22865956797227</v>
      </c>
      <c r="BH78" s="60">
        <f t="shared" si="62"/>
        <v>826.56199290130553</v>
      </c>
      <c r="BI78" s="60">
        <f ca="1">AVERAGE(OFFSET($BH$3,0,0,'Données projet'!$E$11+1,1))-AVERAGE(OFFSET($H$3,0,0,'Données projet'!$E$11+1,1))</f>
        <v>314.62110015707839</v>
      </c>
      <c r="BJ78" s="60">
        <f t="shared" si="92"/>
        <v>285.36905470736582</v>
      </c>
      <c r="BK78" s="16">
        <f>IF(ISNA(VLOOKUP(A78,'Données projet'!$A$87:$I$107,3,0)),0,VLOOKUP(A78,'Données projet'!$A$87:$I$107,3,0))</f>
        <v>6</v>
      </c>
      <c r="BL78" s="16">
        <f>IF(ISNA(VLOOKUP(A78,'Données projet'!$A$87:$I$107,4,0)),0,VLOOKUP(A78,'Données projet'!$A$87:$I$107,4,0))</f>
        <v>40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252</v>
      </c>
      <c r="BW78" s="13">
        <f>VLOOKUP(A78,'Données projet'!$A$113:$I$133,9,0)</f>
        <v>6.2</v>
      </c>
      <c r="BX78" s="13">
        <f t="array" ref="BX78">INDEX(BW:BW,MIN(IF(ISNUMBER(BW78:BW274),ROW(BW78:BW274),"")))</f>
        <v>6.2</v>
      </c>
      <c r="BY78" s="13">
        <f>IF('Données projet'!$A$114&gt;35,BY77+BX78-CG77,IF(A78&lt;'Données projet'!$A$114,$BV$205^A78,IF(A78='Données projet'!$A$114,'Données projet'!$B$114,BY77+BX78-CG77)))</f>
        <v>251.99999999999989</v>
      </c>
      <c r="BZ78" s="14">
        <f>BY78*VLOOKUP('Données projet'!$B$12,Paramètres!$A$1:$I$89,3,0)*VLOOKUP('Données projet'!$B$12,Paramètres!$A$1:$I$89,5,0)</f>
        <v>228.00959999999986</v>
      </c>
      <c r="CA78" s="14">
        <f t="shared" si="93"/>
        <v>55.852093054619779</v>
      </c>
      <c r="CB78" s="22">
        <f t="shared" si="64"/>
        <v>494.39244873679587</v>
      </c>
      <c r="CC78" s="60">
        <f t="shared" si="65"/>
        <v>787.72578207012918</v>
      </c>
      <c r="CD78" s="60">
        <f ca="1">AVERAGE(OFFSET($CC$3,0,0,'Données projet'!$E$12+1,1))-AVERAGE(OFFSET($H$3,0,0,'Données projet'!$E$12+1,1))</f>
        <v>303.73499739059076</v>
      </c>
      <c r="CE78" s="60">
        <f t="shared" si="94"/>
        <v>172.32171001882188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252</v>
      </c>
      <c r="CR78" s="13">
        <f>VLOOKUP(A78,'Données projet'!$A$139:$I$159,9,0)</f>
        <v>6.2</v>
      </c>
      <c r="CS78" s="13">
        <f t="array" ref="CS78">INDEX(CR:CR,MIN(IF(ISNUMBER(CR78:CR274),ROW(CR78:CR274),"")))</f>
        <v>6.2</v>
      </c>
      <c r="CT78" s="13">
        <f>IF('Données projet'!$A$140&gt;35,CT77+CS78-DB77,IF(A78&lt;'Données projet'!$A$140,$CQ$205^A78,IF(A78='Données projet'!$A$140,'Données projet'!$B$140,CT77+CS78-DB77)))</f>
        <v>251.99999999999989</v>
      </c>
      <c r="CU78" s="18">
        <f>CT78*VLOOKUP('Données projet'!$B$13,Paramètres!$A$1:$I$89,3,0)*VLOOKUP('Données projet'!$B$13,Paramètres!$A$1:$I$89,5,0)</f>
        <v>255.52799999999991</v>
      </c>
      <c r="CV78" s="14">
        <f t="shared" si="95"/>
        <v>61.768167868721477</v>
      </c>
      <c r="CW78" s="22">
        <f t="shared" si="67"/>
        <v>552.62415903802309</v>
      </c>
      <c r="CX78" s="60">
        <f t="shared" si="68"/>
        <v>845.95749237135647</v>
      </c>
      <c r="CY78" s="60">
        <f ca="1">AVERAGE(OFFSET($CX$3,0,0,'Données projet'!$E$13+1,1))-AVERAGE(OFFSET($H$3,0,0,'Données projet'!$E$13+1,1))</f>
        <v>350.3652766444938</v>
      </c>
      <c r="CZ78" s="60">
        <f t="shared" si="96"/>
        <v>197.04549436738586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252</v>
      </c>
      <c r="DM78" s="13">
        <f>VLOOKUP(A78,'Données projet'!$A$165:$I$185,9,0)</f>
        <v>6.2</v>
      </c>
      <c r="DN78" s="13">
        <f t="array" ref="DN78">INDEX(DM:DM,MIN(IF(ISNUMBER(DM78:DM274),ROW(DM78:DM274),"")))</f>
        <v>6.2</v>
      </c>
      <c r="DO78" s="13">
        <f>IF('Données projet'!$A$166&gt;35,DO77+DN78-DW77,IF(A78&lt;'Données projet'!$A$166,$DL$205^A78,IF(A78='Données projet'!$A$166,'Données projet'!$B$166,DO77+DN78-DW77)))</f>
        <v>251.99999999999989</v>
      </c>
      <c r="DP78" s="18">
        <f>DO78*VLOOKUP('Données projet'!$B$14,Paramètres!$A$1:$I$89,3,0)*VLOOKUP('Données projet'!$B$14,Paramètres!$A$1:$I$89,5,0)</f>
        <v>271.25279999999987</v>
      </c>
      <c r="DQ78" s="14">
        <f t="shared" si="97"/>
        <v>65.115073390838859</v>
      </c>
      <c r="DR78" s="22">
        <f t="shared" si="70"/>
        <v>585.84071282237744</v>
      </c>
      <c r="DS78" s="60">
        <f t="shared" si="71"/>
        <v>879.17404615571081</v>
      </c>
      <c r="DT78" s="60">
        <f ca="1">AVERAGE(OFFSET($DS$3,0,0,'Données projet'!$E$14+1,1))-AVERAGE(OFFSET($H$3,0,0,'Données projet'!$E$14+1,1))</f>
        <v>376.96388721258387</v>
      </c>
      <c r="DU78" s="60">
        <f t="shared" si="98"/>
        <v>211.14628470344377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252</v>
      </c>
      <c r="EH78" s="13">
        <f>VLOOKUP(A78,'Données projet'!$A$191:$I$211,9,0)</f>
        <v>6.2</v>
      </c>
      <c r="EI78" s="13">
        <f t="array" ref="EI78">INDEX(EH:EH,MIN(IF(ISNUMBER(EH78:EH274),ROW(EH78:EH274),"")))</f>
        <v>6.2</v>
      </c>
      <c r="EJ78" s="13">
        <f>IF('Données projet'!$A$192&gt;35,EJ77+EI78-ER77,IF(A78&lt;'Données projet'!$A$192,$EG$205^A78,IF(A78='Données projet'!$A$192,'Données projet'!$B$192,EJ77+EI78-ER77)))</f>
        <v>251.99999999999989</v>
      </c>
      <c r="EK78" s="18">
        <f>EJ78*VLOOKUP('Données projet'!$B$15,Paramètres!$A$1:$I$89,3,0)*VLOOKUP('Données projet'!$B$15,Paramètres!$A$1:$I$89,5,0)</f>
        <v>243.73439999999988</v>
      </c>
      <c r="EL78" s="14">
        <f t="shared" si="99"/>
        <v>59.242281392848767</v>
      </c>
      <c r="EM78" s="22">
        <f t="shared" si="73"/>
        <v>527.68438675921141</v>
      </c>
      <c r="EN78" s="60">
        <f t="shared" si="74"/>
        <v>821.01772009254478</v>
      </c>
      <c r="EO78" s="60">
        <f ca="1">AVERAGE(OFFSET($EN$3,0,0,'Données projet'!$E$15+1,1))-AVERAGE(OFFSET($H$3,0,0,'Données projet'!$E$15+1,1))</f>
        <v>330.39429528665841</v>
      </c>
      <c r="EP78" s="60">
        <f t="shared" si="100"/>
        <v>186.45728006007261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8">
        <f t="shared" si="56"/>
        <v>387.19229090117022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-5.6843418860808015E-14</v>
      </c>
      <c r="O79" s="14">
        <f>N79*VLOOKUP('Données projet'!$B$9,Paramètres!$A$1:$I$89,3,0)*VLOOKUP('Données projet'!$B$9,Paramètres!$A$1:$I$89,5,0)</f>
        <v>-3.3992364478763198E-14</v>
      </c>
      <c r="P79" s="14" t="e">
        <f t="shared" si="87"/>
        <v>#NUM!</v>
      </c>
      <c r="Q79" s="22" t="e">
        <f t="shared" si="54"/>
        <v>#NUM!</v>
      </c>
      <c r="R79" s="60" t="e">
        <f t="shared" si="55"/>
        <v>#NUM!</v>
      </c>
      <c r="S79" s="60">
        <f ca="1">AVERAGE(OFFSET($R$3,0,0,'Données projet'!$E$9+1,1))-AVERAGE(OFFSET($H$3,0,0,'Données projet'!$E$9+1,1))</f>
        <v>155.11440101086782</v>
      </c>
      <c r="T79" s="60">
        <f t="shared" si="88"/>
        <v>239.53454701506638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5.4272098021802604</v>
      </c>
      <c r="AA79" s="23">
        <f>EXP(-LN(2)/25)*AA78+(1-EXP(-LN(2)/25))/(LN(2)/25)*Calculateur!V79*Calculateur!X79*VLOOKUP('Données projet'!$B$9,Paramètres!$A$1:$I$89,3,0)*0.475*44/12</f>
        <v>2.0228585826069727</v>
      </c>
      <c r="AB79" s="23">
        <f>EXP(-LN(2)/2)*AB78+(1-EXP(-LN(2)/2))/(LN(2)/2)*V79*Y79*VLOOKUP('Données projet'!$B$9,Paramètres!$A$1:$I$89,3,0)*0.475*44/12</f>
        <v>3.5154140888776545E-7</v>
      </c>
      <c r="AC79" s="24">
        <f t="shared" si="57"/>
        <v>7.4500687363286424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-3.4106051316484809E-13</v>
      </c>
      <c r="AJ79" s="14">
        <f>AI79*VLOOKUP('Données projet'!$B$10,Paramètres!$A$1:$I$89,3,0)*VLOOKUP('Données projet'!$B$10,Paramètres!$A$1:$I$89,5,0)</f>
        <v>-1.9065282685915009E-13</v>
      </c>
      <c r="AK79" s="14" t="e">
        <f t="shared" si="89"/>
        <v>#NUM!</v>
      </c>
      <c r="AL79" s="22" t="e">
        <f t="shared" si="58"/>
        <v>#NUM!</v>
      </c>
      <c r="AM79" s="60" t="e">
        <f t="shared" si="59"/>
        <v>#NUM!</v>
      </c>
      <c r="AN79" s="60">
        <f ca="1">AVERAGE(OFFSET($AM$3,0,0,'Données projet'!$E$10+1,1))-AVERAGE(OFFSET($H$3,0,0,'Données projet'!$E$10+1,1))</f>
        <v>302.20483575440988</v>
      </c>
      <c r="AO79" s="60">
        <f t="shared" si="90"/>
        <v>275.32862097158687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1.9311225444331395</v>
      </c>
      <c r="AW79" s="23">
        <f>EXP(-LN(2)/2)*AW78+(1-EXP(-LN(2)/2))/(LN(2)/2)*AQ79*AT79*VLOOKUP('Données projet'!$B$10,Paramètres!$A$1:$I$89,3,0)*0.475*44/12</f>
        <v>1.0497838060078869E-6</v>
      </c>
      <c r="AX79" s="23">
        <f t="shared" si="60"/>
        <v>1.9311235942169456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4.4000000000000004</v>
      </c>
      <c r="BD79" s="13">
        <f>IF('Données projet'!$A$88&gt;35,BD78+BC79-BL78,IF(A79&lt;'Données projet'!$A$88,$BA$205^A79,IF(A79='Données projet'!$A$88,'Données projet'!$B$88,BD78+BC79-BL78)))</f>
        <v>246.40000000000009</v>
      </c>
      <c r="BE79" s="14">
        <f>BD79*VLOOKUP('Données projet'!$B$11,Paramètres!$A$1:$I$89,3,0)*VLOOKUP('Données projet'!$B$11,Paramètres!$A$1:$I$89,5,0)</f>
        <v>215.25504000000012</v>
      </c>
      <c r="BF79" s="14">
        <f t="shared" si="91"/>
        <v>53.082287058997267</v>
      </c>
      <c r="BG79" s="22">
        <f t="shared" si="61"/>
        <v>467.35417796108709</v>
      </c>
      <c r="BH79" s="60">
        <f t="shared" si="62"/>
        <v>760.68751129442035</v>
      </c>
      <c r="BI79" s="60">
        <f ca="1">AVERAGE(OFFSET($BH$3,0,0,'Données projet'!$E$11+1,1))-AVERAGE(OFFSET($H$3,0,0,'Données projet'!$E$11+1,1))</f>
        <v>314.62110015707839</v>
      </c>
      <c r="BJ79" s="60">
        <f t="shared" si="92"/>
        <v>285.36905470736582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257.99999999999989</v>
      </c>
      <c r="BZ79" s="14">
        <f>BY79*VLOOKUP('Données projet'!$B$12,Paramètres!$A$1:$I$89,3,0)*VLOOKUP('Données projet'!$B$12,Paramètres!$A$1:$I$89,5,0)</f>
        <v>233.43839999999989</v>
      </c>
      <c r="CA79" s="14">
        <f t="shared" si="93"/>
        <v>57.025500710931624</v>
      </c>
      <c r="CB79" s="22">
        <f t="shared" si="64"/>
        <v>505.89129373820577</v>
      </c>
      <c r="CC79" s="60">
        <f t="shared" si="65"/>
        <v>799.22462707153909</v>
      </c>
      <c r="CD79" s="60">
        <f ca="1">AVERAGE(OFFSET($CC$3,0,0,'Données projet'!$E$12+1,1))-AVERAGE(OFFSET($H$3,0,0,'Données projet'!$E$12+1,1))</f>
        <v>303.73499739059076</v>
      </c>
      <c r="CE79" s="60">
        <f t="shared" si="94"/>
        <v>172.32171001882188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</v>
      </c>
      <c r="CT79" s="13">
        <f>IF('Données projet'!$A$140&gt;35,CT78+CS79-DB78,IF(A79&lt;'Données projet'!$A$140,$CQ$205^A79,IF(A79='Données projet'!$A$140,'Données projet'!$B$140,CT78+CS79-DB78)))</f>
        <v>257.99999999999989</v>
      </c>
      <c r="CU79" s="18">
        <f>CT79*VLOOKUP('Données projet'!$B$13,Paramètres!$A$1:$I$89,3,0)*VLOOKUP('Données projet'!$B$13,Paramètres!$A$1:$I$89,5,0)</f>
        <v>261.61199999999991</v>
      </c>
      <c r="CV79" s="14">
        <f t="shared" si="95"/>
        <v>63.065867509496442</v>
      </c>
      <c r="CW79" s="22">
        <f t="shared" si="67"/>
        <v>565.48061924570618</v>
      </c>
      <c r="CX79" s="60">
        <f t="shared" si="68"/>
        <v>858.81395257903955</v>
      </c>
      <c r="CY79" s="60">
        <f ca="1">AVERAGE(OFFSET($CX$3,0,0,'Données projet'!$E$13+1,1))-AVERAGE(OFFSET($H$3,0,0,'Données projet'!$E$13+1,1))</f>
        <v>350.3652766444938</v>
      </c>
      <c r="CZ79" s="60">
        <f t="shared" si="96"/>
        <v>197.04549436738586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</v>
      </c>
      <c r="DO79" s="13">
        <f>IF('Données projet'!$A$166&gt;35,DO78+DN79-DW78,IF(A79&lt;'Données projet'!$A$166,$DL$205^A79,IF(A79='Données projet'!$A$166,'Données projet'!$B$166,DO78+DN79-DW78)))</f>
        <v>257.99999999999989</v>
      </c>
      <c r="DP79" s="18">
        <f>DO79*VLOOKUP('Données projet'!$B$14,Paramètres!$A$1:$I$89,3,0)*VLOOKUP('Données projet'!$B$14,Paramètres!$A$1:$I$89,5,0)</f>
        <v>277.71119999999985</v>
      </c>
      <c r="DQ79" s="14">
        <f t="shared" si="97"/>
        <v>66.483088830893976</v>
      </c>
      <c r="DR79" s="22">
        <f t="shared" si="70"/>
        <v>599.47171971380669</v>
      </c>
      <c r="DS79" s="60">
        <f t="shared" si="71"/>
        <v>892.80505304714006</v>
      </c>
      <c r="DT79" s="60">
        <f ca="1">AVERAGE(OFFSET($DS$3,0,0,'Données projet'!$E$14+1,1))-AVERAGE(OFFSET($H$3,0,0,'Données projet'!$E$14+1,1))</f>
        <v>376.96388721258387</v>
      </c>
      <c r="DU79" s="60">
        <f t="shared" si="98"/>
        <v>211.14628470344377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6</v>
      </c>
      <c r="EJ79" s="13">
        <f>IF('Données projet'!$A$192&gt;35,EJ78+EI79-ER78,IF(A79&lt;'Données projet'!$A$192,$EG$205^A79,IF(A79='Données projet'!$A$192,'Données projet'!$B$192,EJ78+EI79-ER78)))</f>
        <v>257.99999999999989</v>
      </c>
      <c r="EK79" s="18">
        <f>EJ79*VLOOKUP('Données projet'!$B$15,Paramètres!$A$1:$I$89,3,0)*VLOOKUP('Données projet'!$B$15,Paramètres!$A$1:$I$89,5,0)</f>
        <v>249.53759999999988</v>
      </c>
      <c r="EL79" s="14">
        <f t="shared" si="99"/>
        <v>60.486914185674671</v>
      </c>
      <c r="EM79" s="22">
        <f t="shared" si="73"/>
        <v>539.95936220671649</v>
      </c>
      <c r="EN79" s="60">
        <f t="shared" si="74"/>
        <v>833.29269554004986</v>
      </c>
      <c r="EO79" s="60">
        <f ca="1">AVERAGE(OFFSET($EN$3,0,0,'Données projet'!$E$15+1,1))-AVERAGE(OFFSET($H$3,0,0,'Données projet'!$E$15+1,1))</f>
        <v>330.39429528665841</v>
      </c>
      <c r="EP79" s="60">
        <f t="shared" si="100"/>
        <v>186.45728006007261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8">
        <f t="shared" si="56"/>
        <v>388.39402410250074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-5.6843418860808015E-14</v>
      </c>
      <c r="O80" s="14">
        <f>N80*VLOOKUP('Données projet'!$B$9,Paramètres!$A$1:$I$89,3,0)*VLOOKUP('Données projet'!$B$9,Paramètres!$A$1:$I$89,5,0)</f>
        <v>-3.3992364478763198E-14</v>
      </c>
      <c r="P80" s="14" t="e">
        <f t="shared" si="87"/>
        <v>#NUM!</v>
      </c>
      <c r="Q80" s="22" t="e">
        <f t="shared" si="54"/>
        <v>#NUM!</v>
      </c>
      <c r="R80" s="60" t="e">
        <f t="shared" si="55"/>
        <v>#NUM!</v>
      </c>
      <c r="S80" s="60">
        <f ca="1">AVERAGE(OFFSET($R$3,0,0,'Données projet'!$E$9+1,1))-AVERAGE(OFFSET($H$3,0,0,'Données projet'!$E$9+1,1))</f>
        <v>155.11440101086782</v>
      </c>
      <c r="T80" s="60">
        <f t="shared" si="88"/>
        <v>239.53454701506638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5.3207855282306227</v>
      </c>
      <c r="AA80" s="23">
        <f>EXP(-LN(2)/25)*AA79+(1-EXP(-LN(2)/25))/(LN(2)/25)*Calculateur!V80*Calculateur!X80*VLOOKUP('Données projet'!$B$9,Paramètres!$A$1:$I$89,3,0)*0.475*44/12</f>
        <v>1.9675434082880754</v>
      </c>
      <c r="AB80" s="23">
        <f>EXP(-LN(2)/2)*AB79+(1-EXP(-LN(2)/2))/(LN(2)/2)*V80*Y80*VLOOKUP('Données projet'!$B$9,Paramètres!$A$1:$I$89,3,0)*0.475*44/12</f>
        <v>2.4857731409241179E-7</v>
      </c>
      <c r="AC80" s="24">
        <f t="shared" si="57"/>
        <v>7.2883291850960124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-3.4106051316484809E-13</v>
      </c>
      <c r="AJ80" s="14">
        <f>AI80*VLOOKUP('Données projet'!$B$10,Paramètres!$A$1:$I$89,3,0)*VLOOKUP('Données projet'!$B$10,Paramètres!$A$1:$I$89,5,0)</f>
        <v>-1.9065282685915009E-13</v>
      </c>
      <c r="AK80" s="14" t="e">
        <f t="shared" si="89"/>
        <v>#NUM!</v>
      </c>
      <c r="AL80" s="22" t="e">
        <f t="shared" si="58"/>
        <v>#NUM!</v>
      </c>
      <c r="AM80" s="60" t="e">
        <f t="shared" si="59"/>
        <v>#NUM!</v>
      </c>
      <c r="AN80" s="60">
        <f ca="1">AVERAGE(OFFSET($AM$3,0,0,'Données projet'!$E$10+1,1))-AVERAGE(OFFSET($H$3,0,0,'Données projet'!$E$10+1,1))</f>
        <v>302.20483575440988</v>
      </c>
      <c r="AO80" s="60">
        <f t="shared" si="90"/>
        <v>275.32862097158687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1.8783158969022944</v>
      </c>
      <c r="AW80" s="23">
        <f>EXP(-LN(2)/2)*AW79+(1-EXP(-LN(2)/2))/(LN(2)/2)*AQ80*AT80*VLOOKUP('Données projet'!$B$10,Paramètres!$A$1:$I$89,3,0)*0.475*44/12</f>
        <v>7.4230924800799997E-7</v>
      </c>
      <c r="AX80" s="23">
        <f t="shared" si="60"/>
        <v>1.8783166392115425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4.4000000000000004</v>
      </c>
      <c r="BD80" s="13">
        <f>IF('Données projet'!$A$88&gt;35,BD79+BC80-BL79,IF(A80&lt;'Données projet'!$A$88,$BA$205^A80,IF(A80='Données projet'!$A$88,'Données projet'!$B$88,BD79+BC80-BL79)))</f>
        <v>250.8000000000001</v>
      </c>
      <c r="BE80" s="14">
        <f>BD80*VLOOKUP('Données projet'!$B$11,Paramètres!$A$1:$I$89,3,0)*VLOOKUP('Données projet'!$B$11,Paramètres!$A$1:$I$89,5,0)</f>
        <v>219.09888000000012</v>
      </c>
      <c r="BF80" s="14">
        <f t="shared" si="91"/>
        <v>53.918984980452286</v>
      </c>
      <c r="BG80" s="22">
        <f t="shared" si="61"/>
        <v>475.50611484095458</v>
      </c>
      <c r="BH80" s="60">
        <f t="shared" si="62"/>
        <v>768.8394481742879</v>
      </c>
      <c r="BI80" s="60">
        <f ca="1">AVERAGE(OFFSET($BH$3,0,0,'Données projet'!$E$11+1,1))-AVERAGE(OFFSET($H$3,0,0,'Données projet'!$E$11+1,1))</f>
        <v>314.62110015707839</v>
      </c>
      <c r="BJ80" s="60">
        <f t="shared" si="92"/>
        <v>285.36905470736582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263.99999999999989</v>
      </c>
      <c r="BZ80" s="14">
        <f>BY80*VLOOKUP('Données projet'!$B$12,Paramètres!$A$1:$I$89,3,0)*VLOOKUP('Données projet'!$B$12,Paramètres!$A$1:$I$89,5,0)</f>
        <v>238.86719999999988</v>
      </c>
      <c r="CA80" s="14">
        <f t="shared" si="93"/>
        <v>58.195735973104156</v>
      </c>
      <c r="CB80" s="22">
        <f t="shared" si="64"/>
        <v>517.38461348648957</v>
      </c>
      <c r="CC80" s="60">
        <f t="shared" si="65"/>
        <v>810.71794681982283</v>
      </c>
      <c r="CD80" s="60">
        <f ca="1">AVERAGE(OFFSET($CC$3,0,0,'Données projet'!$E$12+1,1))-AVERAGE(OFFSET($H$3,0,0,'Données projet'!$E$12+1,1))</f>
        <v>303.73499739059076</v>
      </c>
      <c r="CE80" s="60">
        <f t="shared" si="94"/>
        <v>172.32171001882188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</v>
      </c>
      <c r="CT80" s="13">
        <f>IF('Données projet'!$A$140&gt;35,CT79+CS80-DB79,IF(A80&lt;'Données projet'!$A$140,$CQ$205^A80,IF(A80='Données projet'!$A$140,'Données projet'!$B$140,CT79+CS80-DB79)))</f>
        <v>263.99999999999989</v>
      </c>
      <c r="CU80" s="18">
        <f>CT80*VLOOKUP('Données projet'!$B$13,Paramètres!$A$1:$I$89,3,0)*VLOOKUP('Données projet'!$B$13,Paramètres!$A$1:$I$89,5,0)</f>
        <v>267.69599999999991</v>
      </c>
      <c r="CV80" s="14">
        <f t="shared" si="95"/>
        <v>64.360058723585439</v>
      </c>
      <c r="CW80" s="22">
        <f t="shared" si="67"/>
        <v>578.33096894357777</v>
      </c>
      <c r="CX80" s="60">
        <f t="shared" si="68"/>
        <v>871.66430227691103</v>
      </c>
      <c r="CY80" s="60">
        <f ca="1">AVERAGE(OFFSET($CX$3,0,0,'Données projet'!$E$13+1,1))-AVERAGE(OFFSET($H$3,0,0,'Données projet'!$E$13+1,1))</f>
        <v>350.3652766444938</v>
      </c>
      <c r="CZ80" s="60">
        <f t="shared" si="96"/>
        <v>197.04549436738586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</v>
      </c>
      <c r="DO80" s="13">
        <f>IF('Données projet'!$A$166&gt;35,DO79+DN80-DW79,IF(A80&lt;'Données projet'!$A$166,$DL$205^A80,IF(A80='Données projet'!$A$166,'Données projet'!$B$166,DO79+DN80-DW79)))</f>
        <v>263.99999999999989</v>
      </c>
      <c r="DP80" s="18">
        <f>DO80*VLOOKUP('Données projet'!$B$14,Paramètres!$A$1:$I$89,3,0)*VLOOKUP('Données projet'!$B$14,Paramètres!$A$1:$I$89,5,0)</f>
        <v>284.16959999999989</v>
      </c>
      <c r="DQ80" s="14">
        <f t="shared" si="97"/>
        <v>67.847405740313874</v>
      </c>
      <c r="DR80" s="22">
        <f t="shared" si="70"/>
        <v>613.09628499771316</v>
      </c>
      <c r="DS80" s="60">
        <f t="shared" si="71"/>
        <v>906.42961833104641</v>
      </c>
      <c r="DT80" s="60">
        <f ca="1">AVERAGE(OFFSET($DS$3,0,0,'Données projet'!$E$14+1,1))-AVERAGE(OFFSET($H$3,0,0,'Données projet'!$E$14+1,1))</f>
        <v>376.96388721258387</v>
      </c>
      <c r="DU80" s="60">
        <f t="shared" si="98"/>
        <v>211.14628470344377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6</v>
      </c>
      <c r="EJ80" s="13">
        <f>IF('Données projet'!$A$192&gt;35,EJ79+EI80-ER79,IF(A80&lt;'Données projet'!$A$192,$EG$205^A80,IF(A80='Données projet'!$A$192,'Données projet'!$B$192,EJ79+EI80-ER79)))</f>
        <v>263.99999999999989</v>
      </c>
      <c r="EK80" s="18">
        <f>EJ80*VLOOKUP('Données projet'!$B$15,Paramètres!$A$1:$I$89,3,0)*VLOOKUP('Données projet'!$B$15,Paramètres!$A$1:$I$89,5,0)</f>
        <v>255.34079999999989</v>
      </c>
      <c r="EL80" s="14">
        <f t="shared" si="99"/>
        <v>61.728182021951895</v>
      </c>
      <c r="EM80" s="22">
        <f t="shared" si="73"/>
        <v>552.22847702156594</v>
      </c>
      <c r="EN80" s="60">
        <f t="shared" si="74"/>
        <v>845.56181035489931</v>
      </c>
      <c r="EO80" s="60">
        <f ca="1">AVERAGE(OFFSET($EN$3,0,0,'Données projet'!$E$15+1,1))-AVERAGE(OFFSET($H$3,0,0,'Données projet'!$E$15+1,1))</f>
        <v>330.39429528665841</v>
      </c>
      <c r="EP80" s="60">
        <f t="shared" si="100"/>
        <v>186.45728006007261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8">
        <f t="shared" si="56"/>
        <v>389.59537847293694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-5.6843418860808015E-14</v>
      </c>
      <c r="O81" s="14">
        <f>N81*VLOOKUP('Données projet'!$B$9,Paramètres!$A$1:$I$89,3,0)*VLOOKUP('Données projet'!$B$9,Paramètres!$A$1:$I$89,5,0)</f>
        <v>-3.3992364478763198E-14</v>
      </c>
      <c r="P81" s="14" t="e">
        <f t="shared" si="87"/>
        <v>#NUM!</v>
      </c>
      <c r="Q81" s="22" t="e">
        <f t="shared" si="54"/>
        <v>#NUM!</v>
      </c>
      <c r="R81" s="60" t="e">
        <f t="shared" si="55"/>
        <v>#NUM!</v>
      </c>
      <c r="S81" s="60">
        <f ca="1">AVERAGE(OFFSET($R$3,0,0,'Données projet'!$E$9+1,1))-AVERAGE(OFFSET($H$3,0,0,'Données projet'!$E$9+1,1))</f>
        <v>155.11440101086782</v>
      </c>
      <c r="T81" s="60">
        <f t="shared" si="88"/>
        <v>239.53454701506638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5.2164481693807394</v>
      </c>
      <c r="AA81" s="23">
        <f>EXP(-LN(2)/25)*AA80+(1-EXP(-LN(2)/25))/(LN(2)/25)*Calculateur!V81*Calculateur!X81*VLOOKUP('Données projet'!$B$9,Paramètres!$A$1:$I$89,3,0)*0.475*44/12</f>
        <v>1.9137408303198271</v>
      </c>
      <c r="AB81" s="23">
        <f>EXP(-LN(2)/2)*AB80+(1-EXP(-LN(2)/2))/(LN(2)/2)*V81*Y81*VLOOKUP('Données projet'!$B$9,Paramètres!$A$1:$I$89,3,0)*0.475*44/12</f>
        <v>1.7577070444388272E-7</v>
      </c>
      <c r="AC81" s="24">
        <f t="shared" si="57"/>
        <v>7.130189175471271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-3.4106051316484809E-13</v>
      </c>
      <c r="AJ81" s="14">
        <f>AI81*VLOOKUP('Données projet'!$B$10,Paramètres!$A$1:$I$89,3,0)*VLOOKUP('Données projet'!$B$10,Paramètres!$A$1:$I$89,5,0)</f>
        <v>-1.9065282685915009E-13</v>
      </c>
      <c r="AK81" s="14" t="e">
        <f t="shared" si="89"/>
        <v>#NUM!</v>
      </c>
      <c r="AL81" s="22" t="e">
        <f t="shared" si="58"/>
        <v>#NUM!</v>
      </c>
      <c r="AM81" s="60" t="e">
        <f t="shared" si="59"/>
        <v>#NUM!</v>
      </c>
      <c r="AN81" s="60">
        <f ca="1">AVERAGE(OFFSET($AM$3,0,0,'Données projet'!$E$10+1,1))-AVERAGE(OFFSET($H$3,0,0,'Données projet'!$E$10+1,1))</f>
        <v>302.20483575440988</v>
      </c>
      <c r="AO81" s="60">
        <f t="shared" si="90"/>
        <v>275.32862097158687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1.8269532499251611</v>
      </c>
      <c r="AW81" s="23">
        <f>EXP(-LN(2)/2)*AW80+(1-EXP(-LN(2)/2))/(LN(2)/2)*AQ81*AT81*VLOOKUP('Données projet'!$B$10,Paramètres!$A$1:$I$89,3,0)*0.475*44/12</f>
        <v>5.2489190300394347E-7</v>
      </c>
      <c r="AX81" s="23">
        <f t="shared" si="60"/>
        <v>1.8269537748170641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4.4000000000000004</v>
      </c>
      <c r="BD81" s="13">
        <f>IF('Données projet'!$A$88&gt;35,BD80+BC81-BL80,IF(A81&lt;'Données projet'!$A$88,$BA$205^A81,IF(A81='Données projet'!$A$88,'Données projet'!$B$88,BD80+BC81-BL80)))</f>
        <v>255.2000000000001</v>
      </c>
      <c r="BE81" s="14">
        <f>BD81*VLOOKUP('Données projet'!$B$11,Paramètres!$A$1:$I$89,3,0)*VLOOKUP('Données projet'!$B$11,Paramètres!$A$1:$I$89,5,0)</f>
        <v>222.94272000000009</v>
      </c>
      <c r="BF81" s="14">
        <f t="shared" si="91"/>
        <v>54.753975927514929</v>
      </c>
      <c r="BG81" s="22">
        <f t="shared" si="61"/>
        <v>483.65507874042197</v>
      </c>
      <c r="BH81" s="60">
        <f t="shared" si="62"/>
        <v>776.98841207375528</v>
      </c>
      <c r="BI81" s="60">
        <f ca="1">AVERAGE(OFFSET($BH$3,0,0,'Données projet'!$E$11+1,1))-AVERAGE(OFFSET($H$3,0,0,'Données projet'!$E$11+1,1))</f>
        <v>314.62110015707839</v>
      </c>
      <c r="BJ81" s="60">
        <f t="shared" si="92"/>
        <v>285.36905470736582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269.99999999999989</v>
      </c>
      <c r="BZ81" s="14">
        <f>BY81*VLOOKUP('Données projet'!$B$12,Paramètres!$A$1:$I$89,3,0)*VLOOKUP('Données projet'!$B$12,Paramètres!$A$1:$I$89,5,0)</f>
        <v>244.29599999999991</v>
      </c>
      <c r="CA81" s="14">
        <f t="shared" si="93"/>
        <v>59.362879241040318</v>
      </c>
      <c r="CB81" s="22">
        <f t="shared" si="64"/>
        <v>528.87254801147833</v>
      </c>
      <c r="CC81" s="60">
        <f t="shared" si="65"/>
        <v>822.20588134481159</v>
      </c>
      <c r="CD81" s="60">
        <f ca="1">AVERAGE(OFFSET($CC$3,0,0,'Données projet'!$E$12+1,1))-AVERAGE(OFFSET($H$3,0,0,'Données projet'!$E$12+1,1))</f>
        <v>303.73499739059076</v>
      </c>
      <c r="CE81" s="60">
        <f t="shared" si="94"/>
        <v>172.32171001882188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</v>
      </c>
      <c r="CT81" s="13">
        <f>IF('Données projet'!$A$140&gt;35,CT80+CS81-DB80,IF(A81&lt;'Données projet'!$A$140,$CQ$205^A81,IF(A81='Données projet'!$A$140,'Données projet'!$B$140,CT80+CS81-DB80)))</f>
        <v>269.99999999999989</v>
      </c>
      <c r="CU81" s="18">
        <f>CT81*VLOOKUP('Données projet'!$B$13,Paramètres!$A$1:$I$89,3,0)*VLOOKUP('Données projet'!$B$13,Paramètres!$A$1:$I$89,5,0)</f>
        <v>273.77999999999992</v>
      </c>
      <c r="CV81" s="14">
        <f t="shared" si="95"/>
        <v>65.650830427167435</v>
      </c>
      <c r="CW81" s="22">
        <f t="shared" si="67"/>
        <v>591.17536299398307</v>
      </c>
      <c r="CX81" s="60">
        <f t="shared" si="68"/>
        <v>884.50869632731633</v>
      </c>
      <c r="CY81" s="60">
        <f ca="1">AVERAGE(OFFSET($CX$3,0,0,'Données projet'!$E$13+1,1))-AVERAGE(OFFSET($H$3,0,0,'Données projet'!$E$13+1,1))</f>
        <v>350.3652766444938</v>
      </c>
      <c r="CZ81" s="60">
        <f t="shared" si="96"/>
        <v>197.04549436738586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</v>
      </c>
      <c r="DO81" s="13">
        <f>IF('Données projet'!$A$166&gt;35,DO80+DN81-DW80,IF(A81&lt;'Données projet'!$A$166,$DL$205^A81,IF(A81='Données projet'!$A$166,'Données projet'!$B$166,DO80+DN81-DW80)))</f>
        <v>269.99999999999989</v>
      </c>
      <c r="DP81" s="18">
        <f>DO81*VLOOKUP('Données projet'!$B$14,Paramètres!$A$1:$I$89,3,0)*VLOOKUP('Données projet'!$B$14,Paramètres!$A$1:$I$89,5,0)</f>
        <v>290.62799999999987</v>
      </c>
      <c r="DQ81" s="14">
        <f t="shared" si="97"/>
        <v>69.208117853196882</v>
      </c>
      <c r="DR81" s="22">
        <f t="shared" si="70"/>
        <v>626.71457192765104</v>
      </c>
      <c r="DS81" s="60">
        <f t="shared" si="71"/>
        <v>920.04790526098441</v>
      </c>
      <c r="DT81" s="60">
        <f ca="1">AVERAGE(OFFSET($DS$3,0,0,'Données projet'!$E$14+1,1))-AVERAGE(OFFSET($H$3,0,0,'Données projet'!$E$14+1,1))</f>
        <v>376.96388721258387</v>
      </c>
      <c r="DU81" s="60">
        <f t="shared" si="98"/>
        <v>211.14628470344377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6</v>
      </c>
      <c r="EJ81" s="13">
        <f>IF('Données projet'!$A$192&gt;35,EJ80+EI81-ER80,IF(A81&lt;'Données projet'!$A$192,$EG$205^A81,IF(A81='Données projet'!$A$192,'Données projet'!$B$192,EJ80+EI81-ER80)))</f>
        <v>269.99999999999989</v>
      </c>
      <c r="EK81" s="18">
        <f>EJ81*VLOOKUP('Données projet'!$B$15,Paramètres!$A$1:$I$89,3,0)*VLOOKUP('Données projet'!$B$15,Paramètres!$A$1:$I$89,5,0)</f>
        <v>261.14399999999989</v>
      </c>
      <c r="EL81" s="14">
        <f t="shared" si="99"/>
        <v>62.966170181808813</v>
      </c>
      <c r="EM81" s="22">
        <f t="shared" si="73"/>
        <v>564.49187973331675</v>
      </c>
      <c r="EN81" s="60">
        <f t="shared" si="74"/>
        <v>857.82521306665012</v>
      </c>
      <c r="EO81" s="60">
        <f ca="1">AVERAGE(OFFSET($EN$3,0,0,'Données projet'!$E$15+1,1))-AVERAGE(OFFSET($H$3,0,0,'Données projet'!$E$15+1,1))</f>
        <v>330.39429528665841</v>
      </c>
      <c r="EP81" s="60">
        <f t="shared" si="100"/>
        <v>186.45728006007261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8">
        <f t="shared" si="56"/>
        <v>390.79635943087231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-5.6843418860808015E-14</v>
      </c>
      <c r="O82" s="14">
        <f>N82*VLOOKUP('Données projet'!$B$9,Paramètres!$A$1:$I$89,3,0)*VLOOKUP('Données projet'!$B$9,Paramètres!$A$1:$I$89,5,0)</f>
        <v>-3.3992364478763198E-14</v>
      </c>
      <c r="P82" s="14" t="e">
        <f t="shared" si="87"/>
        <v>#NUM!</v>
      </c>
      <c r="Q82" s="22" t="e">
        <f t="shared" si="54"/>
        <v>#NUM!</v>
      </c>
      <c r="R82" s="60" t="e">
        <f t="shared" si="55"/>
        <v>#NUM!</v>
      </c>
      <c r="S82" s="60">
        <f ca="1">AVERAGE(OFFSET($R$3,0,0,'Données projet'!$E$9+1,1))-AVERAGE(OFFSET($H$3,0,0,'Données projet'!$E$9+1,1))</f>
        <v>155.11440101086782</v>
      </c>
      <c r="T82" s="60">
        <f t="shared" si="88"/>
        <v>239.53454701506638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5.1141568024983979</v>
      </c>
      <c r="AA82" s="23">
        <f>EXP(-LN(2)/25)*AA81+(1-EXP(-LN(2)/25))/(LN(2)/25)*Calculateur!V82*Calculateur!X82*VLOOKUP('Données projet'!$B$9,Paramètres!$A$1:$I$89,3,0)*0.475*44/12</f>
        <v>1.8614094866754751</v>
      </c>
      <c r="AB82" s="23">
        <f>EXP(-LN(2)/2)*AB81+(1-EXP(-LN(2)/2))/(LN(2)/2)*V82*Y82*VLOOKUP('Données projet'!$B$9,Paramètres!$A$1:$I$89,3,0)*0.475*44/12</f>
        <v>1.2428865704620589E-7</v>
      </c>
      <c r="AC82" s="24">
        <f t="shared" si="57"/>
        <v>6.9755664134625297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-3.4106051316484809E-13</v>
      </c>
      <c r="AJ82" s="14">
        <f>AI82*VLOOKUP('Données projet'!$B$10,Paramètres!$A$1:$I$89,3,0)*VLOOKUP('Données projet'!$B$10,Paramètres!$A$1:$I$89,5,0)</f>
        <v>-1.9065282685915009E-13</v>
      </c>
      <c r="AK82" s="14" t="e">
        <f t="shared" si="89"/>
        <v>#NUM!</v>
      </c>
      <c r="AL82" s="22" t="e">
        <f t="shared" si="58"/>
        <v>#NUM!</v>
      </c>
      <c r="AM82" s="60" t="e">
        <f t="shared" si="59"/>
        <v>#NUM!</v>
      </c>
      <c r="AN82" s="60">
        <f ca="1">AVERAGE(OFFSET($AM$3,0,0,'Données projet'!$E$10+1,1))-AVERAGE(OFFSET($H$3,0,0,'Données projet'!$E$10+1,1))</f>
        <v>302.20483575440988</v>
      </c>
      <c r="AO82" s="60">
        <f t="shared" si="90"/>
        <v>275.32862097158687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1.7769951172306617</v>
      </c>
      <c r="AW82" s="23">
        <f>EXP(-LN(2)/2)*AW81+(1-EXP(-LN(2)/2))/(LN(2)/2)*AQ82*AT82*VLOOKUP('Données projet'!$B$10,Paramètres!$A$1:$I$89,3,0)*0.475*44/12</f>
        <v>3.7115462400399998E-7</v>
      </c>
      <c r="AX82" s="23">
        <f t="shared" si="60"/>
        <v>1.7769954883852856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4.4000000000000004</v>
      </c>
      <c r="BD82" s="13">
        <f>IF('Données projet'!$A$88&gt;35,BD81+BC82-BL81,IF(A82&lt;'Données projet'!$A$88,$BA$205^A82,IF(A82='Données projet'!$A$88,'Données projet'!$B$88,BD81+BC82-BL81)))</f>
        <v>259.60000000000008</v>
      </c>
      <c r="BE82" s="14">
        <f>BD82*VLOOKUP('Données projet'!$B$11,Paramètres!$A$1:$I$89,3,0)*VLOOKUP('Données projet'!$B$11,Paramètres!$A$1:$I$89,5,0)</f>
        <v>226.78656000000009</v>
      </c>
      <c r="BF82" s="14">
        <f t="shared" si="91"/>
        <v>55.587292726829872</v>
      </c>
      <c r="BG82" s="22">
        <f t="shared" si="61"/>
        <v>491.8011268325622</v>
      </c>
      <c r="BH82" s="60">
        <f t="shared" si="62"/>
        <v>785.13446016589546</v>
      </c>
      <c r="BI82" s="60">
        <f ca="1">AVERAGE(OFFSET($BH$3,0,0,'Données projet'!$E$11+1,1))-AVERAGE(OFFSET($H$3,0,0,'Données projet'!$E$11+1,1))</f>
        <v>314.62110015707839</v>
      </c>
      <c r="BJ82" s="60">
        <f t="shared" si="92"/>
        <v>285.36905470736582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275.99999999999989</v>
      </c>
      <c r="BZ82" s="14">
        <f>BY82*VLOOKUP('Données projet'!$B$12,Paramètres!$A$1:$I$89,3,0)*VLOOKUP('Données projet'!$B$12,Paramètres!$A$1:$I$89,5,0)</f>
        <v>249.7247999999999</v>
      </c>
      <c r="CA82" s="14">
        <f t="shared" si="93"/>
        <v>60.527007137298092</v>
      </c>
      <c r="CB82" s="22">
        <f t="shared" si="64"/>
        <v>540.35523076412733</v>
      </c>
      <c r="CC82" s="60">
        <f t="shared" si="65"/>
        <v>833.68856409746058</v>
      </c>
      <c r="CD82" s="60">
        <f ca="1">AVERAGE(OFFSET($CC$3,0,0,'Données projet'!$E$12+1,1))-AVERAGE(OFFSET($H$3,0,0,'Données projet'!$E$12+1,1))</f>
        <v>303.73499739059076</v>
      </c>
      <c r="CE82" s="60">
        <f t="shared" si="94"/>
        <v>172.32171001882188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</v>
      </c>
      <c r="CT82" s="13">
        <f>IF('Données projet'!$A$140&gt;35,CT81+CS82-DB81,IF(A82&lt;'Données projet'!$A$140,$CQ$205^A82,IF(A82='Données projet'!$A$140,'Données projet'!$B$140,CT81+CS82-DB81)))</f>
        <v>275.99999999999989</v>
      </c>
      <c r="CU82" s="18">
        <f>CT82*VLOOKUP('Données projet'!$B$13,Paramètres!$A$1:$I$89,3,0)*VLOOKUP('Données projet'!$B$13,Paramètres!$A$1:$I$89,5,0)</f>
        <v>279.86399999999986</v>
      </c>
      <c r="CV82" s="14">
        <f t="shared" si="95"/>
        <v>66.938267358965007</v>
      </c>
      <c r="CW82" s="22">
        <f t="shared" si="67"/>
        <v>604.01394898353044</v>
      </c>
      <c r="CX82" s="60">
        <f t="shared" si="68"/>
        <v>897.34728231686381</v>
      </c>
      <c r="CY82" s="60">
        <f ca="1">AVERAGE(OFFSET($CX$3,0,0,'Données projet'!$E$13+1,1))-AVERAGE(OFFSET($H$3,0,0,'Données projet'!$E$13+1,1))</f>
        <v>350.3652766444938</v>
      </c>
      <c r="CZ82" s="60">
        <f t="shared" si="96"/>
        <v>197.04549436738586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</v>
      </c>
      <c r="DO82" s="13">
        <f>IF('Données projet'!$A$166&gt;35,DO81+DN82-DW81,IF(A82&lt;'Données projet'!$A$166,$DL$205^A82,IF(A82='Données projet'!$A$166,'Données projet'!$B$166,DO81+DN82-DW81)))</f>
        <v>275.99999999999989</v>
      </c>
      <c r="DP82" s="18">
        <f>DO82*VLOOKUP('Données projet'!$B$14,Paramètres!$A$1:$I$89,3,0)*VLOOKUP('Données projet'!$B$14,Paramètres!$A$1:$I$89,5,0)</f>
        <v>297.08639999999986</v>
      </c>
      <c r="DQ82" s="14">
        <f t="shared" si="97"/>
        <v>70.565314499829583</v>
      </c>
      <c r="DR82" s="22">
        <f t="shared" si="70"/>
        <v>640.3267360872029</v>
      </c>
      <c r="DS82" s="60">
        <f t="shared" si="71"/>
        <v>933.66006942053627</v>
      </c>
      <c r="DT82" s="60">
        <f ca="1">AVERAGE(OFFSET($DS$3,0,0,'Données projet'!$E$14+1,1))-AVERAGE(OFFSET($H$3,0,0,'Données projet'!$E$14+1,1))</f>
        <v>376.96388721258387</v>
      </c>
      <c r="DU82" s="60">
        <f t="shared" si="98"/>
        <v>211.14628470344377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6</v>
      </c>
      <c r="EJ82" s="13">
        <f>IF('Données projet'!$A$192&gt;35,EJ81+EI82-ER81,IF(A82&lt;'Données projet'!$A$192,$EG$205^A82,IF(A82='Données projet'!$A$192,'Données projet'!$B$192,EJ81+EI82-ER81)))</f>
        <v>275.99999999999989</v>
      </c>
      <c r="EK82" s="18">
        <f>EJ82*VLOOKUP('Données projet'!$B$15,Paramètres!$A$1:$I$89,3,0)*VLOOKUP('Données projet'!$B$15,Paramètres!$A$1:$I$89,5,0)</f>
        <v>266.9471999999999</v>
      </c>
      <c r="EL82" s="14">
        <f t="shared" si="99"/>
        <v>64.200959938746379</v>
      </c>
      <c r="EM82" s="22">
        <f t="shared" si="73"/>
        <v>576.74971189331643</v>
      </c>
      <c r="EN82" s="60">
        <f t="shared" si="74"/>
        <v>870.0830452266498</v>
      </c>
      <c r="EO82" s="60">
        <f ca="1">AVERAGE(OFFSET($EN$3,0,0,'Données projet'!$E$15+1,1))-AVERAGE(OFFSET($H$3,0,0,'Données projet'!$E$15+1,1))</f>
        <v>330.39429528665841</v>
      </c>
      <c r="EP82" s="60">
        <f t="shared" si="100"/>
        <v>186.45728006007261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8">
        <f t="shared" si="56"/>
        <v>391.99697224963751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-5.6843418860808015E-14</v>
      </c>
      <c r="O83" s="14">
        <f>N83*VLOOKUP('Données projet'!$B$9,Paramètres!$A$1:$I$89,3,0)*VLOOKUP('Données projet'!$B$9,Paramètres!$A$1:$I$89,5,0)</f>
        <v>-3.3992364478763198E-14</v>
      </c>
      <c r="P83" s="14" t="e">
        <f t="shared" si="87"/>
        <v>#NUM!</v>
      </c>
      <c r="Q83" s="22" t="e">
        <f t="shared" si="54"/>
        <v>#NUM!</v>
      </c>
      <c r="R83" s="60" t="e">
        <f t="shared" si="55"/>
        <v>#NUM!</v>
      </c>
      <c r="S83" s="60">
        <f ca="1">AVERAGE(OFFSET($R$3,0,0,'Données projet'!$E$9+1,1))-AVERAGE(OFFSET($H$3,0,0,'Données projet'!$E$9+1,1))</f>
        <v>155.11440101086782</v>
      </c>
      <c r="T83" s="60">
        <f t="shared" si="88"/>
        <v>239.53454701506638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5.0138713069290457</v>
      </c>
      <c r="AA83" s="23">
        <f>EXP(-LN(2)/25)*AA82+(1-EXP(-LN(2)/25))/(LN(2)/25)*Calculateur!V83*Calculateur!X83*VLOOKUP('Données projet'!$B$9,Paramètres!$A$1:$I$89,3,0)*0.475*44/12</f>
        <v>1.8105091463750635</v>
      </c>
      <c r="AB83" s="23">
        <f>EXP(-LN(2)/2)*AB82+(1-EXP(-LN(2)/2))/(LN(2)/2)*V83*Y83*VLOOKUP('Données projet'!$B$9,Paramètres!$A$1:$I$89,3,0)*0.475*44/12</f>
        <v>8.7885352221941362E-8</v>
      </c>
      <c r="AC83" s="24">
        <f t="shared" si="57"/>
        <v>6.8243805411894618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-3.4106051316484809E-13</v>
      </c>
      <c r="AJ83" s="14">
        <f>AI83*VLOOKUP('Données projet'!$B$10,Paramètres!$A$1:$I$89,3,0)*VLOOKUP('Données projet'!$B$10,Paramètres!$A$1:$I$89,5,0)</f>
        <v>-1.9065282685915009E-13</v>
      </c>
      <c r="AK83" s="14" t="e">
        <f t="shared" si="89"/>
        <v>#NUM!</v>
      </c>
      <c r="AL83" s="22" t="e">
        <f t="shared" si="58"/>
        <v>#NUM!</v>
      </c>
      <c r="AM83" s="60" t="e">
        <f t="shared" si="59"/>
        <v>#NUM!</v>
      </c>
      <c r="AN83" s="60">
        <f ca="1">AVERAGE(OFFSET($AM$3,0,0,'Données projet'!$E$10+1,1))-AVERAGE(OFFSET($H$3,0,0,'Données projet'!$E$10+1,1))</f>
        <v>302.20483575440988</v>
      </c>
      <c r="AO83" s="60">
        <f t="shared" si="90"/>
        <v>275.32862097158687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1.7284030923018774</v>
      </c>
      <c r="AW83" s="23">
        <f>EXP(-LN(2)/2)*AW82+(1-EXP(-LN(2)/2))/(LN(2)/2)*AQ83*AT83*VLOOKUP('Données projet'!$B$10,Paramètres!$A$1:$I$89,3,0)*0.475*44/12</f>
        <v>2.6244595150197174E-7</v>
      </c>
      <c r="AX83" s="23">
        <f t="shared" si="60"/>
        <v>1.7284033547478288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264</v>
      </c>
      <c r="BB83" s="13">
        <f>VLOOKUP(A83,'Données projet'!$A$87:$I$107,9,0)</f>
        <v>4.4000000000000004</v>
      </c>
      <c r="BC83" s="13">
        <f t="array" ref="BC83">INDEX(BB:BB,MIN(IF(ISNUMBER(BB83:BB279),ROW(BB83:BB279),"")))</f>
        <v>4.4000000000000004</v>
      </c>
      <c r="BD83" s="13">
        <f>IF('Données projet'!$A$88&gt;35,BD82+BC83-BL82,IF(A83&lt;'Données projet'!$A$88,$BA$205^A83,IF(A83='Données projet'!$A$88,'Données projet'!$B$88,BD82+BC83-BL82)))</f>
        <v>264.00000000000006</v>
      </c>
      <c r="BE83" s="14">
        <f>BD83*VLOOKUP('Données projet'!$B$11,Paramètres!$A$1:$I$89,3,0)*VLOOKUP('Données projet'!$B$11,Paramètres!$A$1:$I$89,5,0)</f>
        <v>230.63040000000007</v>
      </c>
      <c r="BF83" s="14">
        <f t="shared" si="91"/>
        <v>56.418967028503253</v>
      </c>
      <c r="BG83" s="22">
        <f t="shared" si="61"/>
        <v>499.94431424130994</v>
      </c>
      <c r="BH83" s="60">
        <f t="shared" si="62"/>
        <v>793.2776475746432</v>
      </c>
      <c r="BI83" s="60">
        <f ca="1">AVERAGE(OFFSET($BH$3,0,0,'Données projet'!$E$11+1,1))-AVERAGE(OFFSET($H$3,0,0,'Données projet'!$E$11+1,1))</f>
        <v>314.62110015707839</v>
      </c>
      <c r="BJ83" s="60">
        <f t="shared" si="92"/>
        <v>285.36905470736582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282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281.99999999999989</v>
      </c>
      <c r="BZ83" s="14">
        <f>BY83*VLOOKUP('Données projet'!$B$12,Paramètres!$A$1:$I$89,3,0)*VLOOKUP('Données projet'!$B$12,Paramètres!$A$1:$I$89,5,0)</f>
        <v>255.15359999999987</v>
      </c>
      <c r="CA83" s="14">
        <f t="shared" si="93"/>
        <v>61.688192762754376</v>
      </c>
      <c r="CB83" s="22">
        <f t="shared" si="64"/>
        <v>551.83278906179692</v>
      </c>
      <c r="CC83" s="60">
        <f t="shared" si="65"/>
        <v>845.16612239513029</v>
      </c>
      <c r="CD83" s="60">
        <f ca="1">AVERAGE(OFFSET($CC$3,0,0,'Données projet'!$E$12+1,1))-AVERAGE(OFFSET($H$3,0,0,'Données projet'!$E$12+1,1))</f>
        <v>303.73499739059076</v>
      </c>
      <c r="CE83" s="60">
        <f t="shared" si="94"/>
        <v>172.32171001882188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42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282</v>
      </c>
      <c r="CR83" s="13">
        <f>VLOOKUP(A83,'Données projet'!$A$139:$I$159,9,0)</f>
        <v>6</v>
      </c>
      <c r="CS83" s="13">
        <f t="array" ref="CS83">INDEX(CR:CR,MIN(IF(ISNUMBER(CR83:CR279),ROW(CR83:CR279),"")))</f>
        <v>6</v>
      </c>
      <c r="CT83" s="13">
        <f>IF('Données projet'!$A$140&gt;35,CT82+CS83-DB82,IF(A83&lt;'Données projet'!$A$140,$CQ$205^A83,IF(A83='Données projet'!$A$140,'Données projet'!$B$140,CT82+CS83-DB82)))</f>
        <v>281.99999999999989</v>
      </c>
      <c r="CU83" s="18">
        <f>CT83*VLOOKUP('Données projet'!$B$13,Paramètres!$A$1:$I$89,3,0)*VLOOKUP('Données projet'!$B$13,Paramètres!$A$1:$I$89,5,0)</f>
        <v>285.94799999999992</v>
      </c>
      <c r="CV83" s="14">
        <f t="shared" si="95"/>
        <v>68.222450362989363</v>
      </c>
      <c r="CW83" s="22">
        <f t="shared" si="67"/>
        <v>616.84686771553959</v>
      </c>
      <c r="CX83" s="60">
        <f t="shared" si="68"/>
        <v>910.18020104887296</v>
      </c>
      <c r="CY83" s="60">
        <f ca="1">AVERAGE(OFFSET($CX$3,0,0,'Données projet'!$E$13+1,1))-AVERAGE(OFFSET($H$3,0,0,'Données projet'!$E$13+1,1))</f>
        <v>350.3652766444938</v>
      </c>
      <c r="CZ83" s="60">
        <f t="shared" si="96"/>
        <v>197.04549436738586</v>
      </c>
      <c r="DA83" s="16">
        <f>IF(ISNA(VLOOKUP(A83,'Données projet'!$A$139:$I$159,3,0)),0,VLOOKUP(A83,'Données projet'!$A$139:$I$159,3,0))</f>
        <v>6</v>
      </c>
      <c r="DB83" s="16">
        <f>IF(ISNA(VLOOKUP(A83,'Données projet'!$A$139:$I$159,4,0)),0,VLOOKUP(A83,'Données projet'!$A$139:$I$159,4,0))</f>
        <v>42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282</v>
      </c>
      <c r="DM83" s="13">
        <f>VLOOKUP(A83,'Données projet'!$A$165:$I$185,9,0)</f>
        <v>6</v>
      </c>
      <c r="DN83" s="13">
        <f t="array" ref="DN83">INDEX(DM:DM,MIN(IF(ISNUMBER(DM83:DM279),ROW(DM83:DM279),"")))</f>
        <v>6</v>
      </c>
      <c r="DO83" s="13">
        <f>IF('Données projet'!$A$166&gt;35,DO82+DN83-DW82,IF(A83&lt;'Données projet'!$A$166,$DL$205^A83,IF(A83='Données projet'!$A$166,'Données projet'!$B$166,DO82+DN83-DW82)))</f>
        <v>281.99999999999989</v>
      </c>
      <c r="DP83" s="18">
        <f>DO83*VLOOKUP('Données projet'!$B$14,Paramètres!$A$1:$I$89,3,0)*VLOOKUP('Données projet'!$B$14,Paramètres!$A$1:$I$89,5,0)</f>
        <v>303.54479999999984</v>
      </c>
      <c r="DQ83" s="14">
        <f t="shared" si="97"/>
        <v>71.919080904752505</v>
      </c>
      <c r="DR83" s="22">
        <f t="shared" si="70"/>
        <v>653.93292590911028</v>
      </c>
      <c r="DS83" s="60">
        <f t="shared" si="71"/>
        <v>947.26625924244354</v>
      </c>
      <c r="DT83" s="60">
        <f ca="1">AVERAGE(OFFSET($DS$3,0,0,'Données projet'!$E$14+1,1))-AVERAGE(OFFSET($H$3,0,0,'Données projet'!$E$14+1,1))</f>
        <v>376.96388721258387</v>
      </c>
      <c r="DU83" s="60">
        <f t="shared" si="98"/>
        <v>211.14628470344377</v>
      </c>
      <c r="DV83" s="16">
        <f>IF(ISNA(VLOOKUP(A83,'Données projet'!$A$165:$I$185,3,0)),0,VLOOKUP(A83,'Données projet'!$A$165:$I$185,3,0))</f>
        <v>6</v>
      </c>
      <c r="DW83" s="16">
        <f>IF(ISNA(VLOOKUP(A83,'Données projet'!$A$165:$I$185,4,0)),0,VLOOKUP(A83,'Données projet'!$A$165:$I$185,4,0))</f>
        <v>42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282</v>
      </c>
      <c r="EH83" s="13">
        <f>VLOOKUP(A83,'Données projet'!$A$191:$I$211,9,0)</f>
        <v>6</v>
      </c>
      <c r="EI83" s="13">
        <f t="array" ref="EI83">INDEX(EH:EH,MIN(IF(ISNUMBER(EH83:EH279),ROW(EH83:EH279),"")))</f>
        <v>6</v>
      </c>
      <c r="EJ83" s="13">
        <f>IF('Données projet'!$A$192&gt;35,EJ82+EI83-ER82,IF(A83&lt;'Données projet'!$A$192,$EG$205^A83,IF(A83='Données projet'!$A$192,'Données projet'!$B$192,EJ82+EI83-ER82)))</f>
        <v>281.99999999999989</v>
      </c>
      <c r="EK83" s="18">
        <f>EJ83*VLOOKUP('Données projet'!$B$15,Paramètres!$A$1:$I$89,3,0)*VLOOKUP('Données projet'!$B$15,Paramètres!$A$1:$I$89,5,0)</f>
        <v>272.7503999999999</v>
      </c>
      <c r="EL83" s="14">
        <f t="shared" si="99"/>
        <v>65.432628830820633</v>
      </c>
      <c r="EM83" s="22">
        <f t="shared" si="73"/>
        <v>589.00210854701243</v>
      </c>
      <c r="EN83" s="60">
        <f t="shared" si="74"/>
        <v>882.3354418803458</v>
      </c>
      <c r="EO83" s="60">
        <f ca="1">AVERAGE(OFFSET($EN$3,0,0,'Données projet'!$E$15+1,1))-AVERAGE(OFFSET($H$3,0,0,'Données projet'!$E$15+1,1))</f>
        <v>330.39429528665841</v>
      </c>
      <c r="EP83" s="60">
        <f t="shared" si="100"/>
        <v>186.45728006007261</v>
      </c>
      <c r="EQ83" s="16">
        <f>IF(ISNA(VLOOKUP(A83,'Données projet'!$A$191:$I$211,3,0)),0,VLOOKUP(A83,'Données projet'!$A$191:$I$211,3,0))</f>
        <v>6</v>
      </c>
      <c r="ER83" s="16">
        <f>IF(ISNA(VLOOKUP(A83,'Données projet'!$A$191:$I$211,4,0)),0,VLOOKUP(A83,'Données projet'!$A$191:$I$211,4,0))</f>
        <v>42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8">
        <f t="shared" si="56"/>
        <v>393.19722206314799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-5.6843418860808015E-14</v>
      </c>
      <c r="O84" s="14">
        <f>N84*VLOOKUP('Données projet'!$B$9,Paramètres!$A$1:$I$89,3,0)*VLOOKUP('Données projet'!$B$9,Paramètres!$A$1:$I$89,5,0)</f>
        <v>-3.3992364478763198E-14</v>
      </c>
      <c r="P84" s="14" t="e">
        <f t="shared" si="87"/>
        <v>#NUM!</v>
      </c>
      <c r="Q84" s="22" t="e">
        <f t="shared" si="54"/>
        <v>#NUM!</v>
      </c>
      <c r="R84" s="60" t="e">
        <f t="shared" si="55"/>
        <v>#NUM!</v>
      </c>
      <c r="S84" s="60">
        <f ca="1">AVERAGE(OFFSET($R$3,0,0,'Données projet'!$E$9+1,1))-AVERAGE(OFFSET($H$3,0,0,'Données projet'!$E$9+1,1))</f>
        <v>155.11440101086782</v>
      </c>
      <c r="T84" s="60">
        <f t="shared" si="88"/>
        <v>239.53454701506638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4.9155523487596966</v>
      </c>
      <c r="AA84" s="23">
        <f>EXP(-LN(2)/25)*AA83+(1-EXP(-LN(2)/25))/(LN(2)/25)*Calculateur!V84*Calculateur!X84*VLOOKUP('Données projet'!$B$9,Paramètres!$A$1:$I$89,3,0)*0.475*44/12</f>
        <v>1.7610006785568995</v>
      </c>
      <c r="AB84" s="23">
        <f>EXP(-LN(2)/2)*AB83+(1-EXP(-LN(2)/2))/(LN(2)/2)*V84*Y84*VLOOKUP('Données projet'!$B$9,Paramètres!$A$1:$I$89,3,0)*0.475*44/12</f>
        <v>6.2144328523102947E-8</v>
      </c>
      <c r="AC84" s="24">
        <f t="shared" si="57"/>
        <v>6.6765530894609251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-3.4106051316484809E-13</v>
      </c>
      <c r="AJ84" s="14">
        <f>AI84*VLOOKUP('Données projet'!$B$10,Paramètres!$A$1:$I$89,3,0)*VLOOKUP('Données projet'!$B$10,Paramètres!$A$1:$I$89,5,0)</f>
        <v>-1.9065282685915009E-13</v>
      </c>
      <c r="AK84" s="14" t="e">
        <f t="shared" si="89"/>
        <v>#NUM!</v>
      </c>
      <c r="AL84" s="22" t="e">
        <f t="shared" si="58"/>
        <v>#NUM!</v>
      </c>
      <c r="AM84" s="60" t="e">
        <f t="shared" si="59"/>
        <v>#NUM!</v>
      </c>
      <c r="AN84" s="60">
        <f ca="1">AVERAGE(OFFSET($AM$3,0,0,'Données projet'!$E$10+1,1))-AVERAGE(OFFSET($H$3,0,0,'Données projet'!$E$10+1,1))</f>
        <v>302.20483575440988</v>
      </c>
      <c r="AO84" s="60">
        <f t="shared" si="90"/>
        <v>275.32862097158687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1.6811398188501143</v>
      </c>
      <c r="AW84" s="23">
        <f>EXP(-LN(2)/2)*AW83+(1-EXP(-LN(2)/2))/(LN(2)/2)*AQ84*AT84*VLOOKUP('Données projet'!$B$10,Paramètres!$A$1:$I$89,3,0)*0.475*44/12</f>
        <v>1.8557731200199999E-7</v>
      </c>
      <c r="AX84" s="23">
        <f t="shared" si="60"/>
        <v>1.6811400044274263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4</v>
      </c>
      <c r="BD84" s="13">
        <f>IF('Données projet'!$A$88&gt;35,BD83+BC84-BL83,IF(A84&lt;'Données projet'!$A$88,$BA$205^A84,IF(A84='Données projet'!$A$88,'Données projet'!$B$88,BD83+BC84-BL83)))</f>
        <v>268.00000000000006</v>
      </c>
      <c r="BE84" s="14">
        <f>BD84*VLOOKUP('Données projet'!$B$11,Paramètres!$A$1:$I$89,3,0)*VLOOKUP('Données projet'!$B$11,Paramètres!$A$1:$I$89,5,0)</f>
        <v>234.12480000000008</v>
      </c>
      <c r="BF84" s="14">
        <f t="shared" si="91"/>
        <v>57.173634982132555</v>
      </c>
      <c r="BG84" s="22">
        <f t="shared" si="61"/>
        <v>507.34477426054764</v>
      </c>
      <c r="BH84" s="60">
        <f t="shared" si="62"/>
        <v>800.6781075938809</v>
      </c>
      <c r="BI84" s="60">
        <f ca="1">AVERAGE(OFFSET($BH$3,0,0,'Données projet'!$E$11+1,1))-AVERAGE(OFFSET($H$3,0,0,'Données projet'!$E$11+1,1))</f>
        <v>314.62110015707839</v>
      </c>
      <c r="BJ84" s="60">
        <f t="shared" si="92"/>
        <v>285.36905470736582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</v>
      </c>
      <c r="BY84" s="13">
        <f>IF('Données projet'!$A$114&gt;35,BY83+BX84-CG83,IF(A84&lt;'Données projet'!$A$114,$BV$205^A84,IF(A84='Données projet'!$A$114,'Données projet'!$B$114,BY83+BX84-CG83)))</f>
        <v>245.59999999999991</v>
      </c>
      <c r="BZ84" s="14">
        <f>BY84*VLOOKUP('Données projet'!$B$12,Paramètres!$A$1:$I$89,3,0)*VLOOKUP('Données projet'!$B$12,Paramètres!$A$1:$I$89,5,0)</f>
        <v>222.21887999999993</v>
      </c>
      <c r="CA84" s="14">
        <f t="shared" si="93"/>
        <v>54.596866296848852</v>
      </c>
      <c r="CB84" s="22">
        <f t="shared" si="64"/>
        <v>482.12075813367829</v>
      </c>
      <c r="CC84" s="60">
        <f t="shared" si="65"/>
        <v>775.45409146701161</v>
      </c>
      <c r="CD84" s="60">
        <f ca="1">AVERAGE(OFFSET($CC$3,0,0,'Données projet'!$E$12+1,1))-AVERAGE(OFFSET($H$3,0,0,'Données projet'!$E$12+1,1))</f>
        <v>303.73499739059076</v>
      </c>
      <c r="CE84" s="60">
        <f t="shared" si="94"/>
        <v>172.32171001882188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5.6</v>
      </c>
      <c r="CT84" s="13">
        <f>IF('Données projet'!$A$140&gt;35,CT83+CS84-DB83,IF(A84&lt;'Données projet'!$A$140,$CQ$205^A84,IF(A84='Données projet'!$A$140,'Données projet'!$B$140,CT83+CS84-DB83)))</f>
        <v>245.59999999999991</v>
      </c>
      <c r="CU84" s="18">
        <f>CT84*VLOOKUP('Données projet'!$B$13,Paramètres!$A$1:$I$89,3,0)*VLOOKUP('Données projet'!$B$13,Paramètres!$A$1:$I$89,5,0)</f>
        <v>249.03839999999994</v>
      </c>
      <c r="CV84" s="14">
        <f t="shared" si="95"/>
        <v>60.379982523339947</v>
      </c>
      <c r="CW84" s="22">
        <f t="shared" si="67"/>
        <v>538.90368289481694</v>
      </c>
      <c r="CX84" s="60">
        <f t="shared" si="68"/>
        <v>832.2370162281502</v>
      </c>
      <c r="CY84" s="60">
        <f ca="1">AVERAGE(OFFSET($CX$3,0,0,'Données projet'!$E$13+1,1))-AVERAGE(OFFSET($H$3,0,0,'Données projet'!$E$13+1,1))</f>
        <v>350.3652766444938</v>
      </c>
      <c r="CZ84" s="60">
        <f t="shared" si="96"/>
        <v>197.04549436738586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5.6</v>
      </c>
      <c r="DO84" s="13">
        <f>IF('Données projet'!$A$166&gt;35,DO83+DN84-DW83,IF(A84&lt;'Données projet'!$A$166,$DL$205^A84,IF(A84='Données projet'!$A$166,'Données projet'!$B$166,DO83+DN84-DW83)))</f>
        <v>245.59999999999991</v>
      </c>
      <c r="DP84" s="18">
        <f>DO84*VLOOKUP('Données projet'!$B$14,Paramètres!$A$1:$I$89,3,0)*VLOOKUP('Données projet'!$B$14,Paramètres!$A$1:$I$89,5,0)</f>
        <v>264.36383999999987</v>
      </c>
      <c r="DQ84" s="14">
        <f t="shared" si="97"/>
        <v>63.651669282160768</v>
      </c>
      <c r="DR84" s="22">
        <f t="shared" si="70"/>
        <v>571.29367866642974</v>
      </c>
      <c r="DS84" s="60">
        <f t="shared" si="71"/>
        <v>864.627011999763</v>
      </c>
      <c r="DT84" s="60">
        <f ca="1">AVERAGE(OFFSET($DS$3,0,0,'Données projet'!$E$14+1,1))-AVERAGE(OFFSET($H$3,0,0,'Données projet'!$E$14+1,1))</f>
        <v>376.96388721258387</v>
      </c>
      <c r="DU84" s="60">
        <f t="shared" si="98"/>
        <v>211.14628470344377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5.6</v>
      </c>
      <c r="EJ84" s="13">
        <f>IF('Données projet'!$A$192&gt;35,EJ83+EI84-ER83,IF(A84&lt;'Données projet'!$A$192,$EG$205^A84,IF(A84='Données projet'!$A$192,'Données projet'!$B$192,EJ83+EI84-ER83)))</f>
        <v>245.59999999999991</v>
      </c>
      <c r="EK84" s="18">
        <f>EJ84*VLOOKUP('Données projet'!$B$15,Paramètres!$A$1:$I$89,3,0)*VLOOKUP('Données projet'!$B$15,Paramètres!$A$1:$I$89,5,0)</f>
        <v>237.54431999999991</v>
      </c>
      <c r="EL84" s="14">
        <f t="shared" si="99"/>
        <v>57.910863128487989</v>
      </c>
      <c r="EM84" s="22">
        <f t="shared" si="73"/>
        <v>514.58444394878302</v>
      </c>
      <c r="EN84" s="60">
        <f t="shared" si="74"/>
        <v>807.91777728211628</v>
      </c>
      <c r="EO84" s="60">
        <f ca="1">AVERAGE(OFFSET($EN$3,0,0,'Données projet'!$E$15+1,1))-AVERAGE(OFFSET($H$3,0,0,'Données projet'!$E$15+1,1))</f>
        <v>330.39429528665841</v>
      </c>
      <c r="EP84" s="60">
        <f t="shared" si="100"/>
        <v>186.45728006007261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8">
        <f t="shared" si="56"/>
        <v>394.39711387126425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-5.6843418860808015E-14</v>
      </c>
      <c r="O85" s="14">
        <f>N85*VLOOKUP('Données projet'!$B$9,Paramètres!$A$1:$I$89,3,0)*VLOOKUP('Données projet'!$B$9,Paramètres!$A$1:$I$89,5,0)</f>
        <v>-3.3992364478763198E-14</v>
      </c>
      <c r="P85" s="14" t="e">
        <f t="shared" si="87"/>
        <v>#NUM!</v>
      </c>
      <c r="Q85" s="22" t="e">
        <f t="shared" si="54"/>
        <v>#NUM!</v>
      </c>
      <c r="R85" s="60" t="e">
        <f t="shared" si="55"/>
        <v>#NUM!</v>
      </c>
      <c r="S85" s="60">
        <f ca="1">AVERAGE(OFFSET($R$3,0,0,'Données projet'!$E$9+1,1))-AVERAGE(OFFSET($H$3,0,0,'Données projet'!$E$9+1,1))</f>
        <v>155.11440101086782</v>
      </c>
      <c r="T85" s="60">
        <f t="shared" si="88"/>
        <v>239.53454701506638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4.8191613653914045</v>
      </c>
      <c r="AA85" s="23">
        <f>EXP(-LN(2)/25)*AA84+(1-EXP(-LN(2)/25))/(LN(2)/25)*Calculateur!V85*Calculateur!X85*VLOOKUP('Données projet'!$B$9,Paramètres!$A$1:$I$89,3,0)*0.475*44/12</f>
        <v>1.7128460223947601</v>
      </c>
      <c r="AB85" s="23">
        <f>EXP(-LN(2)/2)*AB84+(1-EXP(-LN(2)/2))/(LN(2)/2)*V85*Y85*VLOOKUP('Données projet'!$B$9,Paramètres!$A$1:$I$89,3,0)*0.475*44/12</f>
        <v>4.3942676110970681E-8</v>
      </c>
      <c r="AC85" s="24">
        <f t="shared" si="57"/>
        <v>6.5320074317288404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-3.4106051316484809E-13</v>
      </c>
      <c r="AJ85" s="14">
        <f>AI85*VLOOKUP('Données projet'!$B$10,Paramètres!$A$1:$I$89,3,0)*VLOOKUP('Données projet'!$B$10,Paramètres!$A$1:$I$89,5,0)</f>
        <v>-1.9065282685915009E-13</v>
      </c>
      <c r="AK85" s="14" t="e">
        <f t="shared" si="89"/>
        <v>#NUM!</v>
      </c>
      <c r="AL85" s="22" t="e">
        <f t="shared" si="58"/>
        <v>#NUM!</v>
      </c>
      <c r="AM85" s="60" t="e">
        <f t="shared" si="59"/>
        <v>#NUM!</v>
      </c>
      <c r="AN85" s="60">
        <f ca="1">AVERAGE(OFFSET($AM$3,0,0,'Données projet'!$E$10+1,1))-AVERAGE(OFFSET($H$3,0,0,'Données projet'!$E$10+1,1))</f>
        <v>302.20483575440988</v>
      </c>
      <c r="AO85" s="60">
        <f t="shared" si="90"/>
        <v>275.32862097158687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1.6351689620963572</v>
      </c>
      <c r="AW85" s="23">
        <f>EXP(-LN(2)/2)*AW84+(1-EXP(-LN(2)/2))/(LN(2)/2)*AQ85*AT85*VLOOKUP('Données projet'!$B$10,Paramètres!$A$1:$I$89,3,0)*0.475*44/12</f>
        <v>1.3122297575098587E-7</v>
      </c>
      <c r="AX85" s="23">
        <f t="shared" si="60"/>
        <v>1.635169093319333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4</v>
      </c>
      <c r="BD85" s="13">
        <f>IF('Données projet'!$A$88&gt;35,BD84+BC85-BL84,IF(A85&lt;'Données projet'!$A$88,$BA$205^A85,IF(A85='Données projet'!$A$88,'Données projet'!$B$88,BD84+BC85-BL84)))</f>
        <v>272.00000000000006</v>
      </c>
      <c r="BE85" s="14">
        <f>BD85*VLOOKUP('Données projet'!$B$11,Paramètres!$A$1:$I$89,3,0)*VLOOKUP('Données projet'!$B$11,Paramètres!$A$1:$I$89,5,0)</f>
        <v>237.61920000000009</v>
      </c>
      <c r="BF85" s="14">
        <f t="shared" si="91"/>
        <v>57.926992927794117</v>
      </c>
      <c r="BG85" s="22">
        <f t="shared" si="61"/>
        <v>514.74295268257492</v>
      </c>
      <c r="BH85" s="60">
        <f t="shared" si="62"/>
        <v>808.07628601590818</v>
      </c>
      <c r="BI85" s="60">
        <f ca="1">AVERAGE(OFFSET($BH$3,0,0,'Données projet'!$E$11+1,1))-AVERAGE(OFFSET($H$3,0,0,'Données projet'!$E$11+1,1))</f>
        <v>314.62110015707839</v>
      </c>
      <c r="BJ85" s="60">
        <f t="shared" si="92"/>
        <v>285.36905470736582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5.6</v>
      </c>
      <c r="BY85" s="13">
        <f>IF('Données projet'!$A$114&gt;35,BY84+BX85-CG84,IF(A85&lt;'Données projet'!$A$114,$BV$205^A85,IF(A85='Données projet'!$A$114,'Données projet'!$B$114,BY84+BX85-CG84)))</f>
        <v>251.1999999999999</v>
      </c>
      <c r="BZ85" s="14">
        <f>BY85*VLOOKUP('Données projet'!$B$12,Paramètres!$A$1:$I$89,3,0)*VLOOKUP('Données projet'!$B$12,Paramètres!$A$1:$I$89,5,0)</f>
        <v>227.28575999999993</v>
      </c>
      <c r="CA85" s="14">
        <f t="shared" si="93"/>
        <v>55.695394520076327</v>
      </c>
      <c r="CB85" s="22">
        <f t="shared" si="64"/>
        <v>492.85884412246605</v>
      </c>
      <c r="CC85" s="60">
        <f t="shared" si="65"/>
        <v>786.19217745579931</v>
      </c>
      <c r="CD85" s="60">
        <f ca="1">AVERAGE(OFFSET($CC$3,0,0,'Données projet'!$E$12+1,1))-AVERAGE(OFFSET($H$3,0,0,'Données projet'!$E$12+1,1))</f>
        <v>303.73499739059076</v>
      </c>
      <c r="CE85" s="60">
        <f t="shared" si="94"/>
        <v>172.32171001882188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5.6</v>
      </c>
      <c r="CT85" s="13">
        <f>IF('Données projet'!$A$140&gt;35,CT84+CS85-DB84,IF(A85&lt;'Données projet'!$A$140,$CQ$205^A85,IF(A85='Données projet'!$A$140,'Données projet'!$B$140,CT84+CS85-DB84)))</f>
        <v>251.1999999999999</v>
      </c>
      <c r="CU85" s="18">
        <f>CT85*VLOOKUP('Données projet'!$B$13,Paramètres!$A$1:$I$89,3,0)*VLOOKUP('Données projet'!$B$13,Paramètres!$A$1:$I$89,5,0)</f>
        <v>254.71679999999992</v>
      </c>
      <c r="CV85" s="14">
        <f t="shared" si="95"/>
        <v>61.594871205031538</v>
      </c>
      <c r="CW85" s="22">
        <f t="shared" si="67"/>
        <v>550.9094940154298</v>
      </c>
      <c r="CX85" s="60">
        <f t="shared" si="68"/>
        <v>844.24282734876306</v>
      </c>
      <c r="CY85" s="60">
        <f ca="1">AVERAGE(OFFSET($CX$3,0,0,'Données projet'!$E$13+1,1))-AVERAGE(OFFSET($H$3,0,0,'Données projet'!$E$13+1,1))</f>
        <v>350.3652766444938</v>
      </c>
      <c r="CZ85" s="60">
        <f t="shared" si="96"/>
        <v>197.04549436738586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5.6</v>
      </c>
      <c r="DO85" s="13">
        <f>IF('Données projet'!$A$166&gt;35,DO84+DN85-DW84,IF(A85&lt;'Données projet'!$A$166,$DL$205^A85,IF(A85='Données projet'!$A$166,'Données projet'!$B$166,DO84+DN85-DW84)))</f>
        <v>251.1999999999999</v>
      </c>
      <c r="DP85" s="18">
        <f>DO85*VLOOKUP('Données projet'!$B$14,Paramètres!$A$1:$I$89,3,0)*VLOOKUP('Données projet'!$B$14,Paramètres!$A$1:$I$89,5,0)</f>
        <v>270.39167999999989</v>
      </c>
      <c r="DQ85" s="14">
        <f t="shared" si="97"/>
        <v>64.932386654872516</v>
      </c>
      <c r="DR85" s="22">
        <f t="shared" si="70"/>
        <v>584.02274942390272</v>
      </c>
      <c r="DS85" s="60">
        <f t="shared" si="71"/>
        <v>877.35608275723598</v>
      </c>
      <c r="DT85" s="60">
        <f ca="1">AVERAGE(OFFSET($DS$3,0,0,'Données projet'!$E$14+1,1))-AVERAGE(OFFSET($H$3,0,0,'Données projet'!$E$14+1,1))</f>
        <v>376.96388721258387</v>
      </c>
      <c r="DU85" s="60">
        <f t="shared" si="98"/>
        <v>211.14628470344377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5.6</v>
      </c>
      <c r="EJ85" s="13">
        <f>IF('Données projet'!$A$192&gt;35,EJ84+EI85-ER84,IF(A85&lt;'Données projet'!$A$192,$EG$205^A85,IF(A85='Données projet'!$A$192,'Données projet'!$B$192,EJ84+EI85-ER84)))</f>
        <v>251.1999999999999</v>
      </c>
      <c r="EK85" s="18">
        <f>EJ85*VLOOKUP('Données projet'!$B$15,Paramètres!$A$1:$I$89,3,0)*VLOOKUP('Données projet'!$B$15,Paramètres!$A$1:$I$89,5,0)</f>
        <v>242.96063999999993</v>
      </c>
      <c r="EL85" s="14">
        <f t="shared" si="99"/>
        <v>59.076071351835715</v>
      </c>
      <c r="EM85" s="22">
        <f t="shared" si="73"/>
        <v>526.04727227111368</v>
      </c>
      <c r="EN85" s="60">
        <f t="shared" si="74"/>
        <v>819.38060560444706</v>
      </c>
      <c r="EO85" s="60">
        <f ca="1">AVERAGE(OFFSET($EN$3,0,0,'Données projet'!$E$15+1,1))-AVERAGE(OFFSET($H$3,0,0,'Données projet'!$E$15+1,1))</f>
        <v>330.39429528665841</v>
      </c>
      <c r="EP85" s="60">
        <f t="shared" si="100"/>
        <v>186.45728006007261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8">
        <f t="shared" si="56"/>
        <v>395.59665254488391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-5.6843418860808015E-14</v>
      </c>
      <c r="O86" s="14">
        <f>N86*VLOOKUP('Données projet'!$B$9,Paramètres!$A$1:$I$89,3,0)*VLOOKUP('Données projet'!$B$9,Paramètres!$A$1:$I$89,5,0)</f>
        <v>-3.3992364478763198E-14</v>
      </c>
      <c r="P86" s="14" t="e">
        <f t="shared" si="87"/>
        <v>#NUM!</v>
      </c>
      <c r="Q86" s="22" t="e">
        <f t="shared" si="54"/>
        <v>#NUM!</v>
      </c>
      <c r="R86" s="60" t="e">
        <f t="shared" si="55"/>
        <v>#NUM!</v>
      </c>
      <c r="S86" s="60">
        <f ca="1">AVERAGE(OFFSET($R$3,0,0,'Données projet'!$E$9+1,1))-AVERAGE(OFFSET($H$3,0,0,'Données projet'!$E$9+1,1))</f>
        <v>155.11440101086782</v>
      </c>
      <c r="T86" s="60">
        <f t="shared" si="88"/>
        <v>239.53454701506638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4.7246605504142707</v>
      </c>
      <c r="AA86" s="23">
        <f>EXP(-LN(2)/25)*AA85+(1-EXP(-LN(2)/25))/(LN(2)/25)*Calculateur!V86*Calculateur!X86*VLOOKUP('Données projet'!$B$9,Paramètres!$A$1:$I$89,3,0)*0.475*44/12</f>
        <v>1.6660081578377179</v>
      </c>
      <c r="AB86" s="23">
        <f>EXP(-LN(2)/2)*AB85+(1-EXP(-LN(2)/2))/(LN(2)/2)*V86*Y86*VLOOKUP('Données projet'!$B$9,Paramètres!$A$1:$I$89,3,0)*0.475*44/12</f>
        <v>3.1072164261551474E-8</v>
      </c>
      <c r="AC86" s="24">
        <f t="shared" si="57"/>
        <v>6.3906687393241528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-3.4106051316484809E-13</v>
      </c>
      <c r="AJ86" s="14">
        <f>AI86*VLOOKUP('Données projet'!$B$10,Paramètres!$A$1:$I$89,3,0)*VLOOKUP('Données projet'!$B$10,Paramètres!$A$1:$I$89,5,0)</f>
        <v>-1.9065282685915009E-13</v>
      </c>
      <c r="AK86" s="14" t="e">
        <f t="shared" si="89"/>
        <v>#NUM!</v>
      </c>
      <c r="AL86" s="22" t="e">
        <f t="shared" si="58"/>
        <v>#NUM!</v>
      </c>
      <c r="AM86" s="60" t="e">
        <f t="shared" si="59"/>
        <v>#NUM!</v>
      </c>
      <c r="AN86" s="60">
        <f ca="1">AVERAGE(OFFSET($AM$3,0,0,'Données projet'!$E$10+1,1))-AVERAGE(OFFSET($H$3,0,0,'Données projet'!$E$10+1,1))</f>
        <v>302.20483575440988</v>
      </c>
      <c r="AO86" s="60">
        <f t="shared" si="90"/>
        <v>275.32862097158687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1.5904551808380338</v>
      </c>
      <c r="AW86" s="23">
        <f>EXP(-LN(2)/2)*AW85+(1-EXP(-LN(2)/2))/(LN(2)/2)*AQ86*AT86*VLOOKUP('Données projet'!$B$10,Paramètres!$A$1:$I$89,3,0)*0.475*44/12</f>
        <v>9.2788656000999996E-8</v>
      </c>
      <c r="AX86" s="23">
        <f t="shared" si="60"/>
        <v>1.5904552736266899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4</v>
      </c>
      <c r="BD86" s="13">
        <f>IF('Données projet'!$A$88&gt;35,BD85+BC86-BL85,IF(A86&lt;'Données projet'!$A$88,$BA$205^A86,IF(A86='Données projet'!$A$88,'Données projet'!$B$88,BD85+BC86-BL85)))</f>
        <v>276.00000000000006</v>
      </c>
      <c r="BE86" s="14">
        <f>BD86*VLOOKUP('Données projet'!$B$11,Paramètres!$A$1:$I$89,3,0)*VLOOKUP('Données projet'!$B$11,Paramètres!$A$1:$I$89,5,0)</f>
        <v>241.1136000000001</v>
      </c>
      <c r="BF86" s="14">
        <f t="shared" si="91"/>
        <v>58.679062355898857</v>
      </c>
      <c r="BG86" s="22">
        <f t="shared" si="61"/>
        <v>522.13888693652405</v>
      </c>
      <c r="BH86" s="60">
        <f t="shared" si="62"/>
        <v>815.47222026985742</v>
      </c>
      <c r="BI86" s="60">
        <f ca="1">AVERAGE(OFFSET($BH$3,0,0,'Données projet'!$E$11+1,1))-AVERAGE(OFFSET($H$3,0,0,'Données projet'!$E$11+1,1))</f>
        <v>314.62110015707839</v>
      </c>
      <c r="BJ86" s="60">
        <f t="shared" si="92"/>
        <v>285.36905470736582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5.6</v>
      </c>
      <c r="BY86" s="13">
        <f>IF('Données projet'!$A$114&gt;35,BY85+BX86-CG85,IF(A86&lt;'Données projet'!$A$114,$BV$205^A86,IF(A86='Données projet'!$A$114,'Données projet'!$B$114,BY85+BX86-CG85)))</f>
        <v>256.7999999999999</v>
      </c>
      <c r="BZ86" s="14">
        <f>BY86*VLOOKUP('Données projet'!$B$12,Paramètres!$A$1:$I$89,3,0)*VLOOKUP('Données projet'!$B$12,Paramètres!$A$1:$I$89,5,0)</f>
        <v>232.35263999999989</v>
      </c>
      <c r="CA86" s="14">
        <f t="shared" si="93"/>
        <v>56.791075613550255</v>
      </c>
      <c r="CB86" s="22">
        <f t="shared" si="64"/>
        <v>503.59197136026643</v>
      </c>
      <c r="CC86" s="60">
        <f t="shared" si="65"/>
        <v>796.92530469359974</v>
      </c>
      <c r="CD86" s="60">
        <f ca="1">AVERAGE(OFFSET($CC$3,0,0,'Données projet'!$E$12+1,1))-AVERAGE(OFFSET($H$3,0,0,'Données projet'!$E$12+1,1))</f>
        <v>303.73499739059076</v>
      </c>
      <c r="CE86" s="60">
        <f t="shared" si="94"/>
        <v>172.32171001882188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5.6</v>
      </c>
      <c r="CT86" s="13">
        <f>IF('Données projet'!$A$140&gt;35,CT85+CS86-DB85,IF(A86&lt;'Données projet'!$A$140,$CQ$205^A86,IF(A86='Données projet'!$A$140,'Données projet'!$B$140,CT85+CS86-DB85)))</f>
        <v>256.7999999999999</v>
      </c>
      <c r="CU86" s="18">
        <f>CT86*VLOOKUP('Données projet'!$B$13,Paramètres!$A$1:$I$89,3,0)*VLOOKUP('Données projet'!$B$13,Paramètres!$A$1:$I$89,5,0)</f>
        <v>260.39519999999987</v>
      </c>
      <c r="CV86" s="14">
        <f t="shared" si="95"/>
        <v>62.806611177714331</v>
      </c>
      <c r="CW86" s="22">
        <f t="shared" si="67"/>
        <v>562.90982113451889</v>
      </c>
      <c r="CX86" s="60">
        <f t="shared" si="68"/>
        <v>856.24315446785226</v>
      </c>
      <c r="CY86" s="60">
        <f ca="1">AVERAGE(OFFSET($CX$3,0,0,'Données projet'!$E$13+1,1))-AVERAGE(OFFSET($H$3,0,0,'Données projet'!$E$13+1,1))</f>
        <v>350.3652766444938</v>
      </c>
      <c r="CZ86" s="60">
        <f t="shared" si="96"/>
        <v>197.04549436738586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5.6</v>
      </c>
      <c r="DO86" s="13">
        <f>IF('Données projet'!$A$166&gt;35,DO85+DN86-DW85,IF(A86&lt;'Données projet'!$A$166,$DL$205^A86,IF(A86='Données projet'!$A$166,'Données projet'!$B$166,DO85+DN86-DW85)))</f>
        <v>256.7999999999999</v>
      </c>
      <c r="DP86" s="18">
        <f>DO86*VLOOKUP('Données projet'!$B$14,Paramètres!$A$1:$I$89,3,0)*VLOOKUP('Données projet'!$B$14,Paramètres!$A$1:$I$89,5,0)</f>
        <v>276.41951999999986</v>
      </c>
      <c r="DQ86" s="14">
        <f t="shared" si="97"/>
        <v>66.209784705913108</v>
      </c>
      <c r="DR86" s="22">
        <f t="shared" si="70"/>
        <v>596.74603902946512</v>
      </c>
      <c r="DS86" s="60">
        <f t="shared" si="71"/>
        <v>890.07937236279849</v>
      </c>
      <c r="DT86" s="60">
        <f ca="1">AVERAGE(OFFSET($DS$3,0,0,'Données projet'!$E$14+1,1))-AVERAGE(OFFSET($H$3,0,0,'Données projet'!$E$14+1,1))</f>
        <v>376.96388721258387</v>
      </c>
      <c r="DU86" s="60">
        <f t="shared" si="98"/>
        <v>211.14628470344377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5.6</v>
      </c>
      <c r="EJ86" s="13">
        <f>IF('Données projet'!$A$192&gt;35,EJ85+EI86-ER85,IF(A86&lt;'Données projet'!$A$192,$EG$205^A86,IF(A86='Données projet'!$A$192,'Données projet'!$B$192,EJ85+EI86-ER85)))</f>
        <v>256.7999999999999</v>
      </c>
      <c r="EK86" s="18">
        <f>EJ86*VLOOKUP('Données projet'!$B$15,Paramètres!$A$1:$I$89,3,0)*VLOOKUP('Données projet'!$B$15,Paramètres!$A$1:$I$89,5,0)</f>
        <v>248.37695999999988</v>
      </c>
      <c r="EL86" s="14">
        <f t="shared" si="99"/>
        <v>60.238259626372319</v>
      </c>
      <c r="EM86" s="22">
        <f t="shared" si="73"/>
        <v>537.50484084926495</v>
      </c>
      <c r="EN86" s="60">
        <f t="shared" si="74"/>
        <v>830.83817418259832</v>
      </c>
      <c r="EO86" s="60">
        <f ca="1">AVERAGE(OFFSET($EN$3,0,0,'Données projet'!$E$15+1,1))-AVERAGE(OFFSET($H$3,0,0,'Données projet'!$E$15+1,1))</f>
        <v>330.39429528665841</v>
      </c>
      <c r="EP86" s="60">
        <f t="shared" si="100"/>
        <v>186.45728006007261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8">
        <f t="shared" si="56"/>
        <v>396.79584283078037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-5.6843418860808015E-14</v>
      </c>
      <c r="O87" s="14">
        <f>N87*VLOOKUP('Données projet'!$B$9,Paramètres!$A$1:$I$89,3,0)*VLOOKUP('Données projet'!$B$9,Paramètres!$A$1:$I$89,5,0)</f>
        <v>-3.3992364478763198E-14</v>
      </c>
      <c r="P87" s="14" t="e">
        <f t="shared" si="87"/>
        <v>#NUM!</v>
      </c>
      <c r="Q87" s="22" t="e">
        <f t="shared" si="54"/>
        <v>#NUM!</v>
      </c>
      <c r="R87" s="60" t="e">
        <f t="shared" si="55"/>
        <v>#NUM!</v>
      </c>
      <c r="S87" s="60">
        <f ca="1">AVERAGE(OFFSET($R$3,0,0,'Données projet'!$E$9+1,1))-AVERAGE(OFFSET($H$3,0,0,'Données projet'!$E$9+1,1))</f>
        <v>155.11440101086782</v>
      </c>
      <c r="T87" s="60">
        <f t="shared" si="88"/>
        <v>239.53454701506638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4.6320128387790325</v>
      </c>
      <c r="AA87" s="23">
        <f>EXP(-LN(2)/25)*AA86+(1-EXP(-LN(2)/25))/(LN(2)/25)*Calculateur!V87*Calculateur!X87*VLOOKUP('Données projet'!$B$9,Paramètres!$A$1:$I$89,3,0)*0.475*44/12</f>
        <v>1.6204510771500842</v>
      </c>
      <c r="AB87" s="23">
        <f>EXP(-LN(2)/2)*AB86+(1-EXP(-LN(2)/2))/(LN(2)/2)*V87*Y87*VLOOKUP('Données projet'!$B$9,Paramètres!$A$1:$I$89,3,0)*0.475*44/12</f>
        <v>2.197133805548534E-8</v>
      </c>
      <c r="AC87" s="24">
        <f t="shared" si="57"/>
        <v>6.2524639379004538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-3.4106051316484809E-13</v>
      </c>
      <c r="AJ87" s="14">
        <f>AI87*VLOOKUP('Données projet'!$B$10,Paramètres!$A$1:$I$89,3,0)*VLOOKUP('Données projet'!$B$10,Paramètres!$A$1:$I$89,5,0)</f>
        <v>-1.9065282685915009E-13</v>
      </c>
      <c r="AK87" s="14" t="e">
        <f t="shared" si="89"/>
        <v>#NUM!</v>
      </c>
      <c r="AL87" s="22" t="e">
        <f t="shared" si="58"/>
        <v>#NUM!</v>
      </c>
      <c r="AM87" s="60" t="e">
        <f t="shared" si="59"/>
        <v>#NUM!</v>
      </c>
      <c r="AN87" s="60">
        <f ca="1">AVERAGE(OFFSET($AM$3,0,0,'Données projet'!$E$10+1,1))-AVERAGE(OFFSET($H$3,0,0,'Données projet'!$E$10+1,1))</f>
        <v>302.20483575440988</v>
      </c>
      <c r="AO87" s="60">
        <f t="shared" si="90"/>
        <v>275.32862097158687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1.5469641002796148</v>
      </c>
      <c r="AW87" s="23">
        <f>EXP(-LN(2)/2)*AW86+(1-EXP(-LN(2)/2))/(LN(2)/2)*AQ87*AT87*VLOOKUP('Données projet'!$B$10,Paramètres!$A$1:$I$89,3,0)*0.475*44/12</f>
        <v>6.5611487875492934E-8</v>
      </c>
      <c r="AX87" s="23">
        <f t="shared" si="60"/>
        <v>1.5469641658911026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4</v>
      </c>
      <c r="BD87" s="13">
        <f>IF('Données projet'!$A$88&gt;35,BD86+BC87-BL86,IF(A87&lt;'Données projet'!$A$88,$BA$205^A87,IF(A87='Données projet'!$A$88,'Données projet'!$B$88,BD86+BC87-BL86)))</f>
        <v>280.00000000000006</v>
      </c>
      <c r="BE87" s="14">
        <f>BD87*VLOOKUP('Données projet'!$B$11,Paramètres!$A$1:$I$89,3,0)*VLOOKUP('Données projet'!$B$11,Paramètres!$A$1:$I$89,5,0)</f>
        <v>244.60800000000006</v>
      </c>
      <c r="BF87" s="14">
        <f t="shared" si="91"/>
        <v>59.429864098180566</v>
      </c>
      <c r="BG87" s="22">
        <f t="shared" si="61"/>
        <v>529.53261330433133</v>
      </c>
      <c r="BH87" s="60">
        <f t="shared" si="62"/>
        <v>822.86594663766459</v>
      </c>
      <c r="BI87" s="60">
        <f ca="1">AVERAGE(OFFSET($BH$3,0,0,'Données projet'!$E$11+1,1))-AVERAGE(OFFSET($H$3,0,0,'Données projet'!$E$11+1,1))</f>
        <v>314.62110015707839</v>
      </c>
      <c r="BJ87" s="60">
        <f t="shared" si="92"/>
        <v>285.36905470736582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5.6</v>
      </c>
      <c r="BY87" s="13">
        <f>IF('Données projet'!$A$114&gt;35,BY86+BX87-CG86,IF(A87&lt;'Données projet'!$A$114,$BV$205^A87,IF(A87='Données projet'!$A$114,'Données projet'!$B$114,BY86+BX87-CG86)))</f>
        <v>262.39999999999992</v>
      </c>
      <c r="BZ87" s="14">
        <f>BY87*VLOOKUP('Données projet'!$B$12,Paramètres!$A$1:$I$89,3,0)*VLOOKUP('Données projet'!$B$12,Paramètres!$A$1:$I$89,5,0)</f>
        <v>237.41951999999992</v>
      </c>
      <c r="CA87" s="14">
        <f t="shared" si="93"/>
        <v>57.883978814320919</v>
      </c>
      <c r="CB87" s="22">
        <f t="shared" si="64"/>
        <v>514.32026043494204</v>
      </c>
      <c r="CC87" s="60">
        <f t="shared" si="65"/>
        <v>807.65359376827541</v>
      </c>
      <c r="CD87" s="60">
        <f ca="1">AVERAGE(OFFSET($CC$3,0,0,'Données projet'!$E$12+1,1))-AVERAGE(OFFSET($H$3,0,0,'Données projet'!$E$12+1,1))</f>
        <v>303.73499739059076</v>
      </c>
      <c r="CE87" s="60">
        <f t="shared" si="94"/>
        <v>172.32171001882188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5.6</v>
      </c>
      <c r="CT87" s="13">
        <f>IF('Données projet'!$A$140&gt;35,CT86+CS87-DB86,IF(A87&lt;'Données projet'!$A$140,$CQ$205^A87,IF(A87='Données projet'!$A$140,'Données projet'!$B$140,CT86+CS87-DB86)))</f>
        <v>262.39999999999992</v>
      </c>
      <c r="CU87" s="18">
        <f>CT87*VLOOKUP('Données projet'!$B$13,Paramètres!$A$1:$I$89,3,0)*VLOOKUP('Données projet'!$B$13,Paramètres!$A$1:$I$89,5,0)</f>
        <v>266.07359999999994</v>
      </c>
      <c r="CV87" s="14">
        <f t="shared" si="95"/>
        <v>64.015279012301136</v>
      </c>
      <c r="CW87" s="22">
        <f t="shared" si="67"/>
        <v>574.90479761309098</v>
      </c>
      <c r="CX87" s="60">
        <f t="shared" si="68"/>
        <v>868.23813094642423</v>
      </c>
      <c r="CY87" s="60">
        <f ca="1">AVERAGE(OFFSET($CX$3,0,0,'Données projet'!$E$13+1,1))-AVERAGE(OFFSET($H$3,0,0,'Données projet'!$E$13+1,1))</f>
        <v>350.3652766444938</v>
      </c>
      <c r="CZ87" s="60">
        <f t="shared" si="96"/>
        <v>197.04549436738586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5.6</v>
      </c>
      <c r="DO87" s="13">
        <f>IF('Données projet'!$A$166&gt;35,DO86+DN87-DW86,IF(A87&lt;'Données projet'!$A$166,$DL$205^A87,IF(A87='Données projet'!$A$166,'Données projet'!$B$166,DO86+DN87-DW86)))</f>
        <v>262.39999999999992</v>
      </c>
      <c r="DP87" s="18">
        <f>DO87*VLOOKUP('Données projet'!$B$14,Paramètres!$A$1:$I$89,3,0)*VLOOKUP('Données projet'!$B$14,Paramètres!$A$1:$I$89,5,0)</f>
        <v>282.44735999999989</v>
      </c>
      <c r="DQ87" s="14">
        <f t="shared" si="97"/>
        <v>67.48394415518699</v>
      </c>
      <c r="DR87" s="22">
        <f t="shared" si="70"/>
        <v>609.46368807028375</v>
      </c>
      <c r="DS87" s="60">
        <f t="shared" si="71"/>
        <v>902.79702140361701</v>
      </c>
      <c r="DT87" s="60">
        <f ca="1">AVERAGE(OFFSET($DS$3,0,0,'Données projet'!$E$14+1,1))-AVERAGE(OFFSET($H$3,0,0,'Données projet'!$E$14+1,1))</f>
        <v>376.96388721258387</v>
      </c>
      <c r="DU87" s="60">
        <f t="shared" si="98"/>
        <v>211.14628470344377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5.6</v>
      </c>
      <c r="EJ87" s="13">
        <f>IF('Données projet'!$A$192&gt;35,EJ86+EI87-ER86,IF(A87&lt;'Données projet'!$A$192,$EG$205^A87,IF(A87='Données projet'!$A$192,'Données projet'!$B$192,EJ86+EI87-ER86)))</f>
        <v>262.39999999999992</v>
      </c>
      <c r="EK87" s="18">
        <f>EJ87*VLOOKUP('Données projet'!$B$15,Paramètres!$A$1:$I$89,3,0)*VLOOKUP('Données projet'!$B$15,Paramètres!$A$1:$I$89,5,0)</f>
        <v>253.79327999999995</v>
      </c>
      <c r="EL87" s="14">
        <f t="shared" si="99"/>
        <v>61.39750139179521</v>
      </c>
      <c r="EM87" s="22">
        <f t="shared" si="73"/>
        <v>548.95727759070985</v>
      </c>
      <c r="EN87" s="60">
        <f t="shared" si="74"/>
        <v>842.29061092404322</v>
      </c>
      <c r="EO87" s="60">
        <f ca="1">AVERAGE(OFFSET($EN$3,0,0,'Données projet'!$E$15+1,1))-AVERAGE(OFFSET($H$3,0,0,'Données projet'!$E$15+1,1))</f>
        <v>330.39429528665841</v>
      </c>
      <c r="EP87" s="60">
        <f t="shared" si="100"/>
        <v>186.45728006007261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8">
        <f t="shared" si="56"/>
        <v>397.99468935620564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-5.6843418860808015E-14</v>
      </c>
      <c r="O88" s="14">
        <f>N88*VLOOKUP('Données projet'!$B$9,Paramètres!$A$1:$I$89,3,0)*VLOOKUP('Données projet'!$B$9,Paramètres!$A$1:$I$89,5,0)</f>
        <v>-3.3992364478763198E-14</v>
      </c>
      <c r="P88" s="14" t="e">
        <f t="shared" si="87"/>
        <v>#NUM!</v>
      </c>
      <c r="Q88" s="22" t="e">
        <f t="shared" si="54"/>
        <v>#NUM!</v>
      </c>
      <c r="R88" s="60" t="e">
        <f t="shared" si="55"/>
        <v>#NUM!</v>
      </c>
      <c r="S88" s="60">
        <f ca="1">AVERAGE(OFFSET($R$3,0,0,'Données projet'!$E$9+1,1))-AVERAGE(OFFSET($H$3,0,0,'Données projet'!$E$9+1,1))</f>
        <v>155.11440101086782</v>
      </c>
      <c r="T88" s="60">
        <f t="shared" si="88"/>
        <v>239.53454701506638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4.5411818922594369</v>
      </c>
      <c r="AA88" s="23">
        <f>EXP(-LN(2)/25)*AA87+(1-EXP(-LN(2)/25))/(LN(2)/25)*Calculateur!V88*Calculateur!X88*VLOOKUP('Données projet'!$B$9,Paramètres!$A$1:$I$89,3,0)*0.475*44/12</f>
        <v>1.5761397572295965</v>
      </c>
      <c r="AB88" s="23">
        <f>EXP(-LN(2)/2)*AB87+(1-EXP(-LN(2)/2))/(LN(2)/2)*V88*Y88*VLOOKUP('Données projet'!$B$9,Paramètres!$A$1:$I$89,3,0)*0.475*44/12</f>
        <v>1.5536082130775737E-8</v>
      </c>
      <c r="AC88" s="24">
        <f t="shared" si="57"/>
        <v>6.1173216650251154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-3.4106051316484809E-13</v>
      </c>
      <c r="AJ88" s="14">
        <f>AI88*VLOOKUP('Données projet'!$B$10,Paramètres!$A$1:$I$89,3,0)*VLOOKUP('Données projet'!$B$10,Paramètres!$A$1:$I$89,5,0)</f>
        <v>-1.9065282685915009E-13</v>
      </c>
      <c r="AK88" s="14" t="e">
        <f t="shared" si="89"/>
        <v>#NUM!</v>
      </c>
      <c r="AL88" s="22" t="e">
        <f t="shared" si="58"/>
        <v>#NUM!</v>
      </c>
      <c r="AM88" s="60" t="e">
        <f t="shared" si="59"/>
        <v>#NUM!</v>
      </c>
      <c r="AN88" s="60">
        <f ca="1">AVERAGE(OFFSET($AM$3,0,0,'Données projet'!$E$10+1,1))-AVERAGE(OFFSET($H$3,0,0,'Données projet'!$E$10+1,1))</f>
        <v>302.20483575440988</v>
      </c>
      <c r="AO88" s="60">
        <f t="shared" si="90"/>
        <v>275.32862097158687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1.5046622856061624</v>
      </c>
      <c r="AW88" s="23">
        <f>EXP(-LN(2)/2)*AW87+(1-EXP(-LN(2)/2))/(LN(2)/2)*AQ88*AT88*VLOOKUP('Données projet'!$B$10,Paramètres!$A$1:$I$89,3,0)*0.475*44/12</f>
        <v>4.6394328000499998E-8</v>
      </c>
      <c r="AX88" s="23">
        <f t="shared" si="60"/>
        <v>1.5046623320004904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284</v>
      </c>
      <c r="BB88" s="13">
        <f>VLOOKUP(A88,'Données projet'!$A$87:$I$107,9,0)</f>
        <v>4</v>
      </c>
      <c r="BC88" s="13">
        <f t="array" ref="BC88">INDEX(BB:BB,MIN(IF(ISNUMBER(BB88:BB284),ROW(BB88:BB284),"")))</f>
        <v>4</v>
      </c>
      <c r="BD88" s="13">
        <f>IF('Données projet'!$A$88&gt;35,BD87+BC88-BL87,IF(A88&lt;'Données projet'!$A$88,$BA$205^A88,IF(A88='Données projet'!$A$88,'Données projet'!$B$88,BD87+BC88-BL87)))</f>
        <v>284.00000000000006</v>
      </c>
      <c r="BE88" s="14">
        <f>BD88*VLOOKUP('Données projet'!$B$11,Paramètres!$A$1:$I$89,3,0)*VLOOKUP('Données projet'!$B$11,Paramètres!$A$1:$I$89,5,0)</f>
        <v>248.10240000000007</v>
      </c>
      <c r="BF88" s="14">
        <f t="shared" si="91"/>
        <v>60.179418356999982</v>
      </c>
      <c r="BG88" s="22">
        <f t="shared" si="61"/>
        <v>536.92416697177521</v>
      </c>
      <c r="BH88" s="60">
        <f t="shared" si="62"/>
        <v>830.25750030510858</v>
      </c>
      <c r="BI88" s="60">
        <f ca="1">AVERAGE(OFFSET($BH$3,0,0,'Données projet'!$E$11+1,1))-AVERAGE(OFFSET($H$3,0,0,'Données projet'!$E$11+1,1))</f>
        <v>314.62110015707839</v>
      </c>
      <c r="BJ88" s="60">
        <f t="shared" si="92"/>
        <v>285.36905470736582</v>
      </c>
      <c r="BK88" s="16">
        <f>IF(ISNA(VLOOKUP(A88,'Données projet'!$A$87:$I$107,3,0)),0,VLOOKUP(A88,'Données projet'!$A$87:$I$107,3,0))</f>
        <v>7</v>
      </c>
      <c r="BL88" s="16">
        <f>IF(ISNA(VLOOKUP(A88,'Données projet'!$A$87:$I$107,4,0)),0,VLOOKUP(A88,'Données projet'!$A$87:$I$107,4,0))</f>
        <v>33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5.6</v>
      </c>
      <c r="BY88" s="13">
        <f>IF('Données projet'!$A$114&gt;35,BY87+BX88-CG87,IF(A88&lt;'Données projet'!$A$114,$BV$205^A88,IF(A88='Données projet'!$A$114,'Données projet'!$B$114,BY87+BX88-CG87)))</f>
        <v>267.99999999999994</v>
      </c>
      <c r="BZ88" s="14">
        <f>BY88*VLOOKUP('Données projet'!$B$12,Paramètres!$A$1:$I$89,3,0)*VLOOKUP('Données projet'!$B$12,Paramètres!$A$1:$I$89,5,0)</f>
        <v>242.48639999999995</v>
      </c>
      <c r="CA88" s="14">
        <f t="shared" si="93"/>
        <v>58.974170235372419</v>
      </c>
      <c r="CB88" s="22">
        <f t="shared" si="64"/>
        <v>525.04382649327351</v>
      </c>
      <c r="CC88" s="60">
        <f t="shared" si="65"/>
        <v>818.37715982660688</v>
      </c>
      <c r="CD88" s="60">
        <f ca="1">AVERAGE(OFFSET($CC$3,0,0,'Données projet'!$E$12+1,1))-AVERAGE(OFFSET($H$3,0,0,'Données projet'!$E$12+1,1))</f>
        <v>303.73499739059076</v>
      </c>
      <c r="CE88" s="60">
        <f t="shared" si="94"/>
        <v>172.32171001882188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5.6</v>
      </c>
      <c r="CT88" s="13">
        <f>IF('Données projet'!$A$140&gt;35,CT87+CS88-DB87,IF(A88&lt;'Données projet'!$A$140,$CQ$205^A88,IF(A88='Données projet'!$A$140,'Données projet'!$B$140,CT87+CS88-DB87)))</f>
        <v>267.99999999999994</v>
      </c>
      <c r="CU88" s="18">
        <f>CT88*VLOOKUP('Données projet'!$B$13,Paramètres!$A$1:$I$89,3,0)*VLOOKUP('Données projet'!$B$13,Paramètres!$A$1:$I$89,5,0)</f>
        <v>271.75199999999995</v>
      </c>
      <c r="CV88" s="14">
        <f t="shared" si="95"/>
        <v>65.220947824724931</v>
      </c>
      <c r="CW88" s="22">
        <f t="shared" si="67"/>
        <v>586.89455079472907</v>
      </c>
      <c r="CX88" s="60">
        <f t="shared" si="68"/>
        <v>880.22788412806244</v>
      </c>
      <c r="CY88" s="60">
        <f ca="1">AVERAGE(OFFSET($CX$3,0,0,'Données projet'!$E$13+1,1))-AVERAGE(OFFSET($H$3,0,0,'Données projet'!$E$13+1,1))</f>
        <v>350.3652766444938</v>
      </c>
      <c r="CZ88" s="60">
        <f t="shared" si="96"/>
        <v>197.04549436738586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5.6</v>
      </c>
      <c r="DO88" s="13">
        <f>IF('Données projet'!$A$166&gt;35,DO87+DN88-DW87,IF(A88&lt;'Données projet'!$A$166,$DL$205^A88,IF(A88='Données projet'!$A$166,'Données projet'!$B$166,DO87+DN88-DW87)))</f>
        <v>267.99999999999994</v>
      </c>
      <c r="DP88" s="18">
        <f>DO88*VLOOKUP('Données projet'!$B$14,Paramètres!$A$1:$I$89,3,0)*VLOOKUP('Données projet'!$B$14,Paramètres!$A$1:$I$89,5,0)</f>
        <v>288.47519999999997</v>
      </c>
      <c r="DQ88" s="14">
        <f t="shared" si="97"/>
        <v>68.754942080410842</v>
      </c>
      <c r="DR88" s="22">
        <f t="shared" si="70"/>
        <v>622.17583079004874</v>
      </c>
      <c r="DS88" s="60">
        <f t="shared" si="71"/>
        <v>915.50916412338211</v>
      </c>
      <c r="DT88" s="60">
        <f ca="1">AVERAGE(OFFSET($DS$3,0,0,'Données projet'!$E$14+1,1))-AVERAGE(OFFSET($H$3,0,0,'Données projet'!$E$14+1,1))</f>
        <v>376.96388721258387</v>
      </c>
      <c r="DU88" s="60">
        <f t="shared" si="98"/>
        <v>211.14628470344377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5.6</v>
      </c>
      <c r="EJ88" s="13">
        <f>IF('Données projet'!$A$192&gt;35,EJ87+EI88-ER87,IF(A88&lt;'Données projet'!$A$192,$EG$205^A88,IF(A88='Données projet'!$A$192,'Données projet'!$B$192,EJ87+EI88-ER87)))</f>
        <v>267.99999999999994</v>
      </c>
      <c r="EK88" s="18">
        <f>EJ88*VLOOKUP('Données projet'!$B$15,Paramètres!$A$1:$I$89,3,0)*VLOOKUP('Données projet'!$B$15,Paramètres!$A$1:$I$89,5,0)</f>
        <v>259.20959999999997</v>
      </c>
      <c r="EL88" s="14">
        <f t="shared" si="99"/>
        <v>62.553866774106702</v>
      </c>
      <c r="EM88" s="22">
        <f t="shared" si="73"/>
        <v>560.40470463156907</v>
      </c>
      <c r="EN88" s="60">
        <f t="shared" si="74"/>
        <v>853.73803796490233</v>
      </c>
      <c r="EO88" s="60">
        <f ca="1">AVERAGE(OFFSET($EN$3,0,0,'Données projet'!$E$15+1,1))-AVERAGE(OFFSET($H$3,0,0,'Données projet'!$E$15+1,1))</f>
        <v>330.39429528665841</v>
      </c>
      <c r="EP88" s="60">
        <f t="shared" si="100"/>
        <v>186.45728006007261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8">
        <f t="shared" si="56"/>
        <v>399.19319663326939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-5.6843418860808015E-14</v>
      </c>
      <c r="O89" s="14">
        <f>N89*VLOOKUP('Données projet'!$B$9,Paramètres!$A$1:$I$89,3,0)*VLOOKUP('Données projet'!$B$9,Paramètres!$A$1:$I$89,5,0)</f>
        <v>-3.3992364478763198E-14</v>
      </c>
      <c r="P89" s="14" t="e">
        <f t="shared" si="87"/>
        <v>#NUM!</v>
      </c>
      <c r="Q89" s="22" t="e">
        <f t="shared" si="54"/>
        <v>#NUM!</v>
      </c>
      <c r="R89" s="60" t="e">
        <f t="shared" si="55"/>
        <v>#NUM!</v>
      </c>
      <c r="S89" s="60">
        <f ca="1">AVERAGE(OFFSET($R$3,0,0,'Données projet'!$E$9+1,1))-AVERAGE(OFFSET($H$3,0,0,'Données projet'!$E$9+1,1))</f>
        <v>155.11440101086782</v>
      </c>
      <c r="T89" s="60">
        <f t="shared" si="88"/>
        <v>239.53454701506638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4.4521320851996835</v>
      </c>
      <c r="AA89" s="23">
        <f>EXP(-LN(2)/25)*AA88+(1-EXP(-LN(2)/25))/(LN(2)/25)*Calculateur!V89*Calculateur!X89*VLOOKUP('Données projet'!$B$9,Paramètres!$A$1:$I$89,3,0)*0.475*44/12</f>
        <v>1.5330401326825658</v>
      </c>
      <c r="AB89" s="23">
        <f>EXP(-LN(2)/2)*AB88+(1-EXP(-LN(2)/2))/(LN(2)/2)*V89*Y89*VLOOKUP('Données projet'!$B$9,Paramètres!$A$1:$I$89,3,0)*0.475*44/12</f>
        <v>1.098566902774267E-8</v>
      </c>
      <c r="AC89" s="24">
        <f t="shared" si="57"/>
        <v>5.9851722288679188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-3.4106051316484809E-13</v>
      </c>
      <c r="AJ89" s="14">
        <f>AI89*VLOOKUP('Données projet'!$B$10,Paramètres!$A$1:$I$89,3,0)*VLOOKUP('Données projet'!$B$10,Paramètres!$A$1:$I$89,5,0)</f>
        <v>-1.9065282685915009E-13</v>
      </c>
      <c r="AK89" s="14" t="e">
        <f t="shared" si="89"/>
        <v>#NUM!</v>
      </c>
      <c r="AL89" s="22" t="e">
        <f t="shared" si="58"/>
        <v>#NUM!</v>
      </c>
      <c r="AM89" s="60" t="e">
        <f t="shared" si="59"/>
        <v>#NUM!</v>
      </c>
      <c r="AN89" s="60">
        <f ca="1">AVERAGE(OFFSET($AM$3,0,0,'Données projet'!$E$10+1,1))-AVERAGE(OFFSET($H$3,0,0,'Données projet'!$E$10+1,1))</f>
        <v>302.20483575440988</v>
      </c>
      <c r="AO89" s="60">
        <f t="shared" si="90"/>
        <v>275.32862097158687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1.4635172162795114</v>
      </c>
      <c r="AW89" s="23">
        <f>EXP(-LN(2)/2)*AW88+(1-EXP(-LN(2)/2))/(LN(2)/2)*AQ89*AT89*VLOOKUP('Données projet'!$B$10,Paramètres!$A$1:$I$89,3,0)*0.475*44/12</f>
        <v>3.2805743937746467E-8</v>
      </c>
      <c r="AX89" s="23">
        <f t="shared" si="60"/>
        <v>1.4635172490852553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3.4</v>
      </c>
      <c r="BD89" s="13">
        <f>IF('Données projet'!$A$88&gt;35,BD88+BC89-BL88,IF(A89&lt;'Données projet'!$A$88,$BA$205^A89,IF(A89='Données projet'!$A$88,'Données projet'!$B$88,BD88+BC89-BL88)))</f>
        <v>254.40000000000003</v>
      </c>
      <c r="BE89" s="14">
        <f>BD89*VLOOKUP('Données projet'!$B$11,Paramètres!$A$1:$I$89,3,0)*VLOOKUP('Données projet'!$B$11,Paramètres!$A$1:$I$89,5,0)</f>
        <v>222.24384000000006</v>
      </c>
      <c r="BF89" s="14">
        <f t="shared" si="91"/>
        <v>54.602284860895942</v>
      </c>
      <c r="BG89" s="22">
        <f t="shared" si="61"/>
        <v>482.17366746606058</v>
      </c>
      <c r="BH89" s="60">
        <f t="shared" si="62"/>
        <v>775.50700079939384</v>
      </c>
      <c r="BI89" s="60">
        <f ca="1">AVERAGE(OFFSET($BH$3,0,0,'Données projet'!$E$11+1,1))-AVERAGE(OFFSET($H$3,0,0,'Données projet'!$E$11+1,1))</f>
        <v>314.62110015707839</v>
      </c>
      <c r="BJ89" s="60">
        <f t="shared" si="92"/>
        <v>285.36905470736582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5.6</v>
      </c>
      <c r="BY89" s="13">
        <f>IF('Données projet'!$A$114&gt;35,BY88+BX89-CG88,IF(A89&lt;'Données projet'!$A$114,$BV$205^A89,IF(A89='Données projet'!$A$114,'Données projet'!$B$114,BY88+BX89-CG88)))</f>
        <v>273.59999999999997</v>
      </c>
      <c r="BZ89" s="14">
        <f>BY89*VLOOKUP('Données projet'!$B$12,Paramètres!$A$1:$I$89,3,0)*VLOOKUP('Données projet'!$B$12,Paramètres!$A$1:$I$89,5,0)</f>
        <v>247.55327999999994</v>
      </c>
      <c r="CA89" s="14">
        <f t="shared" si="93"/>
        <v>60.061713068870255</v>
      </c>
      <c r="CB89" s="22">
        <f t="shared" si="64"/>
        <v>535.76277959494894</v>
      </c>
      <c r="CC89" s="60">
        <f t="shared" si="65"/>
        <v>829.09611292828231</v>
      </c>
      <c r="CD89" s="60">
        <f ca="1">AVERAGE(OFFSET($CC$3,0,0,'Données projet'!$E$12+1,1))-AVERAGE(OFFSET($H$3,0,0,'Données projet'!$E$12+1,1))</f>
        <v>303.73499739059076</v>
      </c>
      <c r="CE89" s="60">
        <f t="shared" si="94"/>
        <v>172.32171001882188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5.6</v>
      </c>
      <c r="CT89" s="13">
        <f>IF('Données projet'!$A$140&gt;35,CT88+CS89-DB88,IF(A89&lt;'Données projet'!$A$140,$CQ$205^A89,IF(A89='Données projet'!$A$140,'Données projet'!$B$140,CT88+CS89-DB88)))</f>
        <v>273.59999999999997</v>
      </c>
      <c r="CU89" s="18">
        <f>CT89*VLOOKUP('Données projet'!$B$13,Paramètres!$A$1:$I$89,3,0)*VLOOKUP('Données projet'!$B$13,Paramètres!$A$1:$I$89,5,0)</f>
        <v>277.43039999999996</v>
      </c>
      <c r="CV89" s="14">
        <f t="shared" si="95"/>
        <v>66.423687500715673</v>
      </c>
      <c r="CW89" s="22">
        <f t="shared" si="67"/>
        <v>598.87920239707967</v>
      </c>
      <c r="CX89" s="60">
        <f t="shared" si="68"/>
        <v>892.21253573041304</v>
      </c>
      <c r="CY89" s="60">
        <f ca="1">AVERAGE(OFFSET($CX$3,0,0,'Données projet'!$E$13+1,1))-AVERAGE(OFFSET($H$3,0,0,'Données projet'!$E$13+1,1))</f>
        <v>350.3652766444938</v>
      </c>
      <c r="CZ89" s="60">
        <f t="shared" si="96"/>
        <v>197.04549436738586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5.6</v>
      </c>
      <c r="DO89" s="13">
        <f>IF('Données projet'!$A$166&gt;35,DO88+DN89-DW88,IF(A89&lt;'Données projet'!$A$166,$DL$205^A89,IF(A89='Données projet'!$A$166,'Données projet'!$B$166,DO88+DN89-DW88)))</f>
        <v>273.59999999999997</v>
      </c>
      <c r="DP89" s="18">
        <f>DO89*VLOOKUP('Données projet'!$B$14,Paramètres!$A$1:$I$89,3,0)*VLOOKUP('Données projet'!$B$14,Paramètres!$A$1:$I$89,5,0)</f>
        <v>294.50303999999994</v>
      </c>
      <c r="DQ89" s="14">
        <f t="shared" si="97"/>
        <v>70.022852154069838</v>
      </c>
      <c r="DR89" s="22">
        <f t="shared" si="70"/>
        <v>634.88259550167152</v>
      </c>
      <c r="DS89" s="60">
        <f t="shared" si="71"/>
        <v>928.21592883500489</v>
      </c>
      <c r="DT89" s="60">
        <f ca="1">AVERAGE(OFFSET($DS$3,0,0,'Données projet'!$E$14+1,1))-AVERAGE(OFFSET($H$3,0,0,'Données projet'!$E$14+1,1))</f>
        <v>376.96388721258387</v>
      </c>
      <c r="DU89" s="60">
        <f t="shared" si="98"/>
        <v>211.14628470344377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5.6</v>
      </c>
      <c r="EJ89" s="13">
        <f>IF('Données projet'!$A$192&gt;35,EJ88+EI89-ER88,IF(A89&lt;'Données projet'!$A$192,$EG$205^A89,IF(A89='Données projet'!$A$192,'Données projet'!$B$192,EJ88+EI89-ER88)))</f>
        <v>273.59999999999997</v>
      </c>
      <c r="EK89" s="18">
        <f>EJ89*VLOOKUP('Données projet'!$B$15,Paramètres!$A$1:$I$89,3,0)*VLOOKUP('Données projet'!$B$15,Paramètres!$A$1:$I$89,5,0)</f>
        <v>264.62591999999995</v>
      </c>
      <c r="EL89" s="14">
        <f t="shared" si="99"/>
        <v>63.707422801198604</v>
      </c>
      <c r="EM89" s="22">
        <f t="shared" si="73"/>
        <v>571.84723871208746</v>
      </c>
      <c r="EN89" s="60">
        <f t="shared" si="74"/>
        <v>865.18057204542083</v>
      </c>
      <c r="EO89" s="60">
        <f ca="1">AVERAGE(OFFSET($EN$3,0,0,'Données projet'!$E$15+1,1))-AVERAGE(OFFSET($H$3,0,0,'Données projet'!$E$15+1,1))</f>
        <v>330.39429528665841</v>
      </c>
      <c r="EP89" s="60">
        <f t="shared" si="100"/>
        <v>186.45728006007261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8">
        <f t="shared" si="56"/>
        <v>400.39136906310915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-5.6843418860808015E-14</v>
      </c>
      <c r="O90" s="14">
        <f>N90*VLOOKUP('Données projet'!$B$9,Paramètres!$A$1:$I$89,3,0)*VLOOKUP('Données projet'!$B$9,Paramètres!$A$1:$I$89,5,0)</f>
        <v>-3.3992364478763198E-14</v>
      </c>
      <c r="P90" s="14" t="e">
        <f t="shared" si="87"/>
        <v>#NUM!</v>
      </c>
      <c r="Q90" s="22" t="e">
        <f t="shared" si="54"/>
        <v>#NUM!</v>
      </c>
      <c r="R90" s="60" t="e">
        <f t="shared" si="55"/>
        <v>#NUM!</v>
      </c>
      <c r="S90" s="60">
        <f ca="1">AVERAGE(OFFSET($R$3,0,0,'Données projet'!$E$9+1,1))-AVERAGE(OFFSET($H$3,0,0,'Données projet'!$E$9+1,1))</f>
        <v>155.11440101086782</v>
      </c>
      <c r="T90" s="60">
        <f t="shared" si="88"/>
        <v>239.53454701506638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4.3648284905413535</v>
      </c>
      <c r="AA90" s="23">
        <f>EXP(-LN(2)/25)*AA89+(1-EXP(-LN(2)/25))/(LN(2)/25)*Calculateur!V90*Calculateur!X90*VLOOKUP('Données projet'!$B$9,Paramètres!$A$1:$I$89,3,0)*0.475*44/12</f>
        <v>1.4911190696352843</v>
      </c>
      <c r="AB90" s="23">
        <f>EXP(-LN(2)/2)*AB89+(1-EXP(-LN(2)/2))/(LN(2)/2)*V90*Y90*VLOOKUP('Données projet'!$B$9,Paramètres!$A$1:$I$89,3,0)*0.475*44/12</f>
        <v>7.7680410653878684E-9</v>
      </c>
      <c r="AC90" s="24">
        <f t="shared" si="57"/>
        <v>5.8559475679446793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-3.4106051316484809E-13</v>
      </c>
      <c r="AJ90" s="14">
        <f>AI90*VLOOKUP('Données projet'!$B$10,Paramètres!$A$1:$I$89,3,0)*VLOOKUP('Données projet'!$B$10,Paramètres!$A$1:$I$89,5,0)</f>
        <v>-1.9065282685915009E-13</v>
      </c>
      <c r="AK90" s="14" t="e">
        <f t="shared" si="89"/>
        <v>#NUM!</v>
      </c>
      <c r="AL90" s="22" t="e">
        <f t="shared" si="58"/>
        <v>#NUM!</v>
      </c>
      <c r="AM90" s="60" t="e">
        <f t="shared" si="59"/>
        <v>#NUM!</v>
      </c>
      <c r="AN90" s="60">
        <f ca="1">AVERAGE(OFFSET($AM$3,0,0,'Données projet'!$E$10+1,1))-AVERAGE(OFFSET($H$3,0,0,'Données projet'!$E$10+1,1))</f>
        <v>302.20483575440988</v>
      </c>
      <c r="AO90" s="60">
        <f t="shared" si="90"/>
        <v>275.32862097158687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1.4234972610373227</v>
      </c>
      <c r="AW90" s="23">
        <f>EXP(-LN(2)/2)*AW89+(1-EXP(-LN(2)/2))/(LN(2)/2)*AQ90*AT90*VLOOKUP('Données projet'!$B$10,Paramètres!$A$1:$I$89,3,0)*0.475*44/12</f>
        <v>2.3197164000249999E-8</v>
      </c>
      <c r="AX90" s="23">
        <f t="shared" si="60"/>
        <v>1.4234972842344866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3.4</v>
      </c>
      <c r="BD90" s="13">
        <f>IF('Données projet'!$A$88&gt;35,BD89+BC90-BL89,IF(A90&lt;'Données projet'!$A$88,$BA$205^A90,IF(A90='Données projet'!$A$88,'Données projet'!$B$88,BD89+BC90-BL89)))</f>
        <v>257.8</v>
      </c>
      <c r="BE90" s="14">
        <f>BD90*VLOOKUP('Données projet'!$B$11,Paramètres!$A$1:$I$89,3,0)*VLOOKUP('Données projet'!$B$11,Paramètres!$A$1:$I$89,5,0)</f>
        <v>225.21408000000005</v>
      </c>
      <c r="BF90" s="14">
        <f t="shared" si="91"/>
        <v>55.246590695846493</v>
      </c>
      <c r="BG90" s="22">
        <f t="shared" si="61"/>
        <v>488.46900146193275</v>
      </c>
      <c r="BH90" s="60">
        <f t="shared" si="62"/>
        <v>781.80233479526601</v>
      </c>
      <c r="BI90" s="60">
        <f ca="1">AVERAGE(OFFSET($BH$3,0,0,'Données projet'!$E$11+1,1))-AVERAGE(OFFSET($H$3,0,0,'Données projet'!$E$11+1,1))</f>
        <v>314.62110015707839</v>
      </c>
      <c r="BJ90" s="60">
        <f t="shared" si="92"/>
        <v>285.36905470736582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5.6</v>
      </c>
      <c r="BY90" s="13">
        <f>IF('Données projet'!$A$114&gt;35,BY89+BX90-CG89,IF(A90&lt;'Données projet'!$A$114,$BV$205^A90,IF(A90='Données projet'!$A$114,'Données projet'!$B$114,BY89+BX90-CG89)))</f>
        <v>279.2</v>
      </c>
      <c r="BZ90" s="14">
        <f>BY90*VLOOKUP('Données projet'!$B$12,Paramètres!$A$1:$I$89,3,0)*VLOOKUP('Données projet'!$B$12,Paramètres!$A$1:$I$89,5,0)</f>
        <v>252.62015999999997</v>
      </c>
      <c r="CA90" s="14">
        <f t="shared" si="93"/>
        <v>61.14666777229877</v>
      </c>
      <c r="CB90" s="22">
        <f t="shared" si="64"/>
        <v>546.47722503675357</v>
      </c>
      <c r="CC90" s="60">
        <f t="shared" si="65"/>
        <v>839.81055837008694</v>
      </c>
      <c r="CD90" s="60">
        <f ca="1">AVERAGE(OFFSET($CC$3,0,0,'Données projet'!$E$12+1,1))-AVERAGE(OFFSET($H$3,0,0,'Données projet'!$E$12+1,1))</f>
        <v>303.73499739059076</v>
      </c>
      <c r="CE90" s="60">
        <f t="shared" si="94"/>
        <v>172.32171001882188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5.6</v>
      </c>
      <c r="CT90" s="13">
        <f>IF('Données projet'!$A$140&gt;35,CT89+CS90-DB89,IF(A90&lt;'Données projet'!$A$140,$CQ$205^A90,IF(A90='Données projet'!$A$140,'Données projet'!$B$140,CT89+CS90-DB89)))</f>
        <v>279.2</v>
      </c>
      <c r="CU90" s="18">
        <f>CT90*VLOOKUP('Données projet'!$B$13,Paramètres!$A$1:$I$89,3,0)*VLOOKUP('Données projet'!$B$13,Paramètres!$A$1:$I$89,5,0)</f>
        <v>283.10879999999997</v>
      </c>
      <c r="CV90" s="14">
        <f t="shared" si="95"/>
        <v>67.623564901653808</v>
      </c>
      <c r="CW90" s="22">
        <f t="shared" si="67"/>
        <v>610.85886887038032</v>
      </c>
      <c r="CX90" s="60">
        <f t="shared" si="68"/>
        <v>904.19220220371358</v>
      </c>
      <c r="CY90" s="60">
        <f ca="1">AVERAGE(OFFSET($CX$3,0,0,'Données projet'!$E$13+1,1))-AVERAGE(OFFSET($H$3,0,0,'Données projet'!$E$13+1,1))</f>
        <v>350.3652766444938</v>
      </c>
      <c r="CZ90" s="60">
        <f t="shared" si="96"/>
        <v>197.04549436738586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5.6</v>
      </c>
      <c r="DO90" s="13">
        <f>IF('Données projet'!$A$166&gt;35,DO89+DN90-DW89,IF(A90&lt;'Données projet'!$A$166,$DL$205^A90,IF(A90='Données projet'!$A$166,'Données projet'!$B$166,DO89+DN90-DW89)))</f>
        <v>279.2</v>
      </c>
      <c r="DP90" s="18">
        <f>DO90*VLOOKUP('Données projet'!$B$14,Paramètres!$A$1:$I$89,3,0)*VLOOKUP('Données projet'!$B$14,Paramètres!$A$1:$I$89,5,0)</f>
        <v>300.53087999999997</v>
      </c>
      <c r="DQ90" s="14">
        <f t="shared" si="97"/>
        <v>71.287744860425462</v>
      </c>
      <c r="DR90" s="22">
        <f t="shared" si="70"/>
        <v>647.58410496524095</v>
      </c>
      <c r="DS90" s="60">
        <f t="shared" si="71"/>
        <v>940.91743829857433</v>
      </c>
      <c r="DT90" s="60">
        <f ca="1">AVERAGE(OFFSET($DS$3,0,0,'Données projet'!$E$14+1,1))-AVERAGE(OFFSET($H$3,0,0,'Données projet'!$E$14+1,1))</f>
        <v>376.96388721258387</v>
      </c>
      <c r="DU90" s="60">
        <f t="shared" si="98"/>
        <v>211.14628470344377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5.6</v>
      </c>
      <c r="EJ90" s="13">
        <f>IF('Données projet'!$A$192&gt;35,EJ89+EI90-ER89,IF(A90&lt;'Données projet'!$A$192,$EG$205^A90,IF(A90='Données projet'!$A$192,'Données projet'!$B$192,EJ89+EI90-ER89)))</f>
        <v>279.2</v>
      </c>
      <c r="EK90" s="18">
        <f>EJ90*VLOOKUP('Données projet'!$B$15,Paramètres!$A$1:$I$89,3,0)*VLOOKUP('Données projet'!$B$15,Paramètres!$A$1:$I$89,5,0)</f>
        <v>270.04223999999999</v>
      </c>
      <c r="EL90" s="14">
        <f t="shared" si="99"/>
        <v>64.858233600288145</v>
      </c>
      <c r="EM90" s="22">
        <f t="shared" si="73"/>
        <v>583.28499152050188</v>
      </c>
      <c r="EN90" s="60">
        <f t="shared" si="74"/>
        <v>876.61832485383525</v>
      </c>
      <c r="EO90" s="60">
        <f ca="1">AVERAGE(OFFSET($EN$3,0,0,'Données projet'!$E$15+1,1))-AVERAGE(OFFSET($H$3,0,0,'Données projet'!$E$15+1,1))</f>
        <v>330.39429528665841</v>
      </c>
      <c r="EP90" s="60">
        <f t="shared" si="100"/>
        <v>186.45728006007261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8">
        <f t="shared" si="56"/>
        <v>401.58921093986299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-5.6843418860808015E-14</v>
      </c>
      <c r="O91" s="14">
        <f>N91*VLOOKUP('Données projet'!$B$9,Paramètres!$A$1:$I$89,3,0)*VLOOKUP('Données projet'!$B$9,Paramètres!$A$1:$I$89,5,0)</f>
        <v>-3.3992364478763198E-14</v>
      </c>
      <c r="P91" s="14" t="e">
        <f t="shared" si="87"/>
        <v>#NUM!</v>
      </c>
      <c r="Q91" s="22" t="e">
        <f t="shared" si="54"/>
        <v>#NUM!</v>
      </c>
      <c r="R91" s="60" t="e">
        <f t="shared" si="55"/>
        <v>#NUM!</v>
      </c>
      <c r="S91" s="60">
        <f ca="1">AVERAGE(OFFSET($R$3,0,0,'Données projet'!$E$9+1,1))-AVERAGE(OFFSET($H$3,0,0,'Données projet'!$E$9+1,1))</f>
        <v>155.11440101086782</v>
      </c>
      <c r="T91" s="60">
        <f t="shared" si="88"/>
        <v>239.53454701506638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4.2792368661243385</v>
      </c>
      <c r="AA91" s="23">
        <f>EXP(-LN(2)/25)*AA90+(1-EXP(-LN(2)/25))/(LN(2)/25)*Calculateur!V91*Calculateur!X91*VLOOKUP('Données projet'!$B$9,Paramètres!$A$1:$I$89,3,0)*0.475*44/12</f>
        <v>1.4503443402615637</v>
      </c>
      <c r="AB91" s="23">
        <f>EXP(-LN(2)/2)*AB90+(1-EXP(-LN(2)/2))/(LN(2)/2)*V91*Y91*VLOOKUP('Données projet'!$B$9,Paramètres!$A$1:$I$89,3,0)*0.475*44/12</f>
        <v>5.4928345138713351E-9</v>
      </c>
      <c r="AC91" s="24">
        <f t="shared" si="57"/>
        <v>5.7295812118787364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-3.4106051316484809E-13</v>
      </c>
      <c r="AJ91" s="14">
        <f>AI91*VLOOKUP('Données projet'!$B$10,Paramètres!$A$1:$I$89,3,0)*VLOOKUP('Données projet'!$B$10,Paramètres!$A$1:$I$89,5,0)</f>
        <v>-1.9065282685915009E-13</v>
      </c>
      <c r="AK91" s="14" t="e">
        <f t="shared" si="89"/>
        <v>#NUM!</v>
      </c>
      <c r="AL91" s="22" t="e">
        <f t="shared" si="58"/>
        <v>#NUM!</v>
      </c>
      <c r="AM91" s="60" t="e">
        <f t="shared" si="59"/>
        <v>#NUM!</v>
      </c>
      <c r="AN91" s="60">
        <f ca="1">AVERAGE(OFFSET($AM$3,0,0,'Données projet'!$E$10+1,1))-AVERAGE(OFFSET($H$3,0,0,'Données projet'!$E$10+1,1))</f>
        <v>302.20483575440988</v>
      </c>
      <c r="AO91" s="60">
        <f t="shared" si="90"/>
        <v>275.32862097158687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1.3845716535757895</v>
      </c>
      <c r="AW91" s="23">
        <f>EXP(-LN(2)/2)*AW90+(1-EXP(-LN(2)/2))/(LN(2)/2)*AQ91*AT91*VLOOKUP('Données projet'!$B$10,Paramètres!$A$1:$I$89,3,0)*0.475*44/12</f>
        <v>1.6402871968873234E-8</v>
      </c>
      <c r="AX91" s="23">
        <f t="shared" si="60"/>
        <v>1.3845716699786614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3.4</v>
      </c>
      <c r="BD91" s="13">
        <f>IF('Données projet'!$A$88&gt;35,BD90+BC91-BL90,IF(A91&lt;'Données projet'!$A$88,$BA$205^A91,IF(A91='Données projet'!$A$88,'Données projet'!$B$88,BD90+BC91-BL90)))</f>
        <v>261.2</v>
      </c>
      <c r="BE91" s="14">
        <f>BD91*VLOOKUP('Données projet'!$B$11,Paramètres!$A$1:$I$89,3,0)*VLOOKUP('Données projet'!$B$11,Paramètres!$A$1:$I$89,5,0)</f>
        <v>228.18432000000004</v>
      </c>
      <c r="BF91" s="14">
        <f t="shared" si="91"/>
        <v>55.889908157388689</v>
      </c>
      <c r="BG91" s="22">
        <f t="shared" si="61"/>
        <v>494.76261404078542</v>
      </c>
      <c r="BH91" s="60">
        <f t="shared" si="62"/>
        <v>788.09594737411874</v>
      </c>
      <c r="BI91" s="60">
        <f ca="1">AVERAGE(OFFSET($BH$3,0,0,'Données projet'!$E$11+1,1))-AVERAGE(OFFSET($H$3,0,0,'Données projet'!$E$11+1,1))</f>
        <v>314.62110015707839</v>
      </c>
      <c r="BJ91" s="60">
        <f t="shared" si="92"/>
        <v>285.36905470736582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5.6</v>
      </c>
      <c r="BY91" s="13">
        <f>IF('Données projet'!$A$114&gt;35,BY90+BX91-CG90,IF(A91&lt;'Données projet'!$A$114,$BV$205^A91,IF(A91='Données projet'!$A$114,'Données projet'!$B$114,BY90+BX91-CG90)))</f>
        <v>284.8</v>
      </c>
      <c r="BZ91" s="14">
        <f>BY91*VLOOKUP('Données projet'!$B$12,Paramètres!$A$1:$I$89,3,0)*VLOOKUP('Données projet'!$B$12,Paramètres!$A$1:$I$89,5,0)</f>
        <v>257.68704000000002</v>
      </c>
      <c r="CA91" s="14">
        <f t="shared" si="93"/>
        <v>62.229092239243343</v>
      </c>
      <c r="CB91" s="22">
        <f t="shared" si="64"/>
        <v>557.18726365001555</v>
      </c>
      <c r="CC91" s="60">
        <f t="shared" si="65"/>
        <v>850.52059698334892</v>
      </c>
      <c r="CD91" s="60">
        <f ca="1">AVERAGE(OFFSET($CC$3,0,0,'Données projet'!$E$12+1,1))-AVERAGE(OFFSET($H$3,0,0,'Données projet'!$E$12+1,1))</f>
        <v>303.73499739059076</v>
      </c>
      <c r="CE91" s="60">
        <f t="shared" si="94"/>
        <v>172.32171001882188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5.6</v>
      </c>
      <c r="CT91" s="13">
        <f>IF('Données projet'!$A$140&gt;35,CT90+CS91-DB90,IF(A91&lt;'Données projet'!$A$140,$CQ$205^A91,IF(A91='Données projet'!$A$140,'Données projet'!$B$140,CT90+CS91-DB90)))</f>
        <v>284.8</v>
      </c>
      <c r="CU91" s="18">
        <f>CT91*VLOOKUP('Données projet'!$B$13,Paramètres!$A$1:$I$89,3,0)*VLOOKUP('Données projet'!$B$13,Paramètres!$A$1:$I$89,5,0)</f>
        <v>288.78720000000004</v>
      </c>
      <c r="CV91" s="14">
        <f t="shared" si="95"/>
        <v>68.820644053442436</v>
      </c>
      <c r="CW91" s="22">
        <f t="shared" si="67"/>
        <v>622.83366172641229</v>
      </c>
      <c r="CX91" s="60">
        <f t="shared" si="68"/>
        <v>916.16699505974566</v>
      </c>
      <c r="CY91" s="60">
        <f ca="1">AVERAGE(OFFSET($CX$3,0,0,'Données projet'!$E$13+1,1))-AVERAGE(OFFSET($H$3,0,0,'Données projet'!$E$13+1,1))</f>
        <v>350.3652766444938</v>
      </c>
      <c r="CZ91" s="60">
        <f t="shared" si="96"/>
        <v>197.04549436738586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5.6</v>
      </c>
      <c r="DO91" s="13">
        <f>IF('Données projet'!$A$166&gt;35,DO90+DN91-DW90,IF(A91&lt;'Données projet'!$A$166,$DL$205^A91,IF(A91='Données projet'!$A$166,'Données projet'!$B$166,DO90+DN91-DW90)))</f>
        <v>284.8</v>
      </c>
      <c r="DP91" s="18">
        <f>DO91*VLOOKUP('Données projet'!$B$14,Paramètres!$A$1:$I$89,3,0)*VLOOKUP('Données projet'!$B$14,Paramètres!$A$1:$I$89,5,0)</f>
        <v>306.55871999999999</v>
      </c>
      <c r="DQ91" s="14">
        <f t="shared" si="97"/>
        <v>72.549687694621639</v>
      </c>
      <c r="DR91" s="22">
        <f t="shared" si="70"/>
        <v>660.28047673479932</v>
      </c>
      <c r="DS91" s="60">
        <f t="shared" si="71"/>
        <v>953.61381006813258</v>
      </c>
      <c r="DT91" s="60">
        <f ca="1">AVERAGE(OFFSET($DS$3,0,0,'Données projet'!$E$14+1,1))-AVERAGE(OFFSET($H$3,0,0,'Données projet'!$E$14+1,1))</f>
        <v>376.96388721258387</v>
      </c>
      <c r="DU91" s="60">
        <f t="shared" si="98"/>
        <v>211.14628470344377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5.6</v>
      </c>
      <c r="EJ91" s="13">
        <f>IF('Données projet'!$A$192&gt;35,EJ90+EI91-ER90,IF(A91&lt;'Données projet'!$A$192,$EG$205^A91,IF(A91='Données projet'!$A$192,'Données projet'!$B$192,EJ90+EI91-ER90)))</f>
        <v>284.8</v>
      </c>
      <c r="EK91" s="18">
        <f>EJ91*VLOOKUP('Données projet'!$B$15,Paramètres!$A$1:$I$89,3,0)*VLOOKUP('Données projet'!$B$15,Paramètres!$A$1:$I$89,5,0)</f>
        <v>275.45855999999998</v>
      </c>
      <c r="EL91" s="14">
        <f t="shared" si="99"/>
        <v>66.006360579066197</v>
      </c>
      <c r="EM91" s="22">
        <f t="shared" si="73"/>
        <v>594.71807000854017</v>
      </c>
      <c r="EN91" s="60">
        <f t="shared" si="74"/>
        <v>888.05140334187354</v>
      </c>
      <c r="EO91" s="60">
        <f ca="1">AVERAGE(OFFSET($EN$3,0,0,'Données projet'!$E$15+1,1))-AVERAGE(OFFSET($H$3,0,0,'Données projet'!$E$15+1,1))</f>
        <v>330.39429528665841</v>
      </c>
      <c r="EP91" s="60">
        <f t="shared" si="100"/>
        <v>186.45728006007261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8">
        <f t="shared" si="56"/>
        <v>402.78672645445664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-5.6843418860808015E-14</v>
      </c>
      <c r="O92" s="14">
        <f>N92*VLOOKUP('Données projet'!$B$9,Paramètres!$A$1:$I$89,3,0)*VLOOKUP('Données projet'!$B$9,Paramètres!$A$1:$I$89,5,0)</f>
        <v>-3.3992364478763198E-14</v>
      </c>
      <c r="P92" s="14" t="e">
        <f t="shared" si="87"/>
        <v>#NUM!</v>
      </c>
      <c r="Q92" s="22" t="e">
        <f t="shared" si="54"/>
        <v>#NUM!</v>
      </c>
      <c r="R92" s="60" t="e">
        <f t="shared" si="55"/>
        <v>#NUM!</v>
      </c>
      <c r="S92" s="60">
        <f ca="1">AVERAGE(OFFSET($R$3,0,0,'Données projet'!$E$9+1,1))-AVERAGE(OFFSET($H$3,0,0,'Données projet'!$E$9+1,1))</f>
        <v>155.11440101086782</v>
      </c>
      <c r="T92" s="60">
        <f t="shared" si="88"/>
        <v>239.53454701506638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4.1953236412564046</v>
      </c>
      <c r="AA92" s="23">
        <f>EXP(-LN(2)/25)*AA91+(1-EXP(-LN(2)/25))/(LN(2)/25)*Calculateur!V92*Calculateur!X92*VLOOKUP('Données projet'!$B$9,Paramètres!$A$1:$I$89,3,0)*0.475*44/12</f>
        <v>1.4106845980068172</v>
      </c>
      <c r="AB92" s="23">
        <f>EXP(-LN(2)/2)*AB91+(1-EXP(-LN(2)/2))/(LN(2)/2)*V92*Y92*VLOOKUP('Données projet'!$B$9,Paramètres!$A$1:$I$89,3,0)*0.475*44/12</f>
        <v>3.8840205326939342E-9</v>
      </c>
      <c r="AC92" s="24">
        <f t="shared" si="57"/>
        <v>5.606008243147242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-3.4106051316484809E-13</v>
      </c>
      <c r="AJ92" s="14">
        <f>AI92*VLOOKUP('Données projet'!$B$10,Paramètres!$A$1:$I$89,3,0)*VLOOKUP('Données projet'!$B$10,Paramètres!$A$1:$I$89,5,0)</f>
        <v>-1.9065282685915009E-13</v>
      </c>
      <c r="AK92" s="14" t="e">
        <f t="shared" si="89"/>
        <v>#NUM!</v>
      </c>
      <c r="AL92" s="22" t="e">
        <f t="shared" si="58"/>
        <v>#NUM!</v>
      </c>
      <c r="AM92" s="60" t="e">
        <f t="shared" si="59"/>
        <v>#NUM!</v>
      </c>
      <c r="AN92" s="60">
        <f ca="1">AVERAGE(OFFSET($AM$3,0,0,'Données projet'!$E$10+1,1))-AVERAGE(OFFSET($H$3,0,0,'Données projet'!$E$10+1,1))</f>
        <v>302.20483575440988</v>
      </c>
      <c r="AO92" s="60">
        <f t="shared" si="90"/>
        <v>275.32862097158687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1.3467104688973008</v>
      </c>
      <c r="AW92" s="23">
        <f>EXP(-LN(2)/2)*AW91+(1-EXP(-LN(2)/2))/(LN(2)/2)*AQ92*AT92*VLOOKUP('Données projet'!$B$10,Paramètres!$A$1:$I$89,3,0)*0.475*44/12</f>
        <v>1.1598582000124999E-8</v>
      </c>
      <c r="AX92" s="23">
        <f t="shared" si="60"/>
        <v>1.3467104804958829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3.4</v>
      </c>
      <c r="BD92" s="13">
        <f>IF('Données projet'!$A$88&gt;35,BD91+BC92-BL91,IF(A92&lt;'Données projet'!$A$88,$BA$205^A92,IF(A92='Données projet'!$A$88,'Données projet'!$B$88,BD91+BC92-BL91)))</f>
        <v>264.59999999999997</v>
      </c>
      <c r="BE92" s="14">
        <f>BD92*VLOOKUP('Données projet'!$B$11,Paramètres!$A$1:$I$89,3,0)*VLOOKUP('Données projet'!$B$11,Paramètres!$A$1:$I$89,5,0)</f>
        <v>231.15455999999998</v>
      </c>
      <c r="BF92" s="14">
        <f t="shared" si="91"/>
        <v>56.532251598510484</v>
      </c>
      <c r="BG92" s="22">
        <f t="shared" si="61"/>
        <v>501.05453020073901</v>
      </c>
      <c r="BH92" s="60">
        <f t="shared" si="62"/>
        <v>794.38786353407227</v>
      </c>
      <c r="BI92" s="60">
        <f ca="1">AVERAGE(OFFSET($BH$3,0,0,'Données projet'!$E$11+1,1))-AVERAGE(OFFSET($H$3,0,0,'Données projet'!$E$11+1,1))</f>
        <v>314.62110015707839</v>
      </c>
      <c r="BJ92" s="60">
        <f t="shared" si="92"/>
        <v>285.36905470736582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5.6</v>
      </c>
      <c r="BY92" s="13">
        <f>IF('Données projet'!$A$114&gt;35,BY91+BX92-CG91,IF(A92&lt;'Données projet'!$A$114,$BV$205^A92,IF(A92='Données projet'!$A$114,'Données projet'!$B$114,BY91+BX92-CG91)))</f>
        <v>290.40000000000003</v>
      </c>
      <c r="BZ92" s="14">
        <f>BY92*VLOOKUP('Données projet'!$B$12,Paramètres!$A$1:$I$89,3,0)*VLOOKUP('Données projet'!$B$12,Paramètres!$A$1:$I$89,5,0)</f>
        <v>262.75392000000005</v>
      </c>
      <c r="CA92" s="14">
        <f t="shared" si="93"/>
        <v>63.309041956360382</v>
      </c>
      <c r="CB92" s="22">
        <f t="shared" si="64"/>
        <v>567.89299207399438</v>
      </c>
      <c r="CC92" s="60">
        <f t="shared" si="65"/>
        <v>861.22632540732775</v>
      </c>
      <c r="CD92" s="60">
        <f ca="1">AVERAGE(OFFSET($CC$3,0,0,'Données projet'!$E$12+1,1))-AVERAGE(OFFSET($H$3,0,0,'Données projet'!$E$12+1,1))</f>
        <v>303.73499739059076</v>
      </c>
      <c r="CE92" s="60">
        <f t="shared" si="94"/>
        <v>172.32171001882188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5.6</v>
      </c>
      <c r="CT92" s="13">
        <f>IF('Données projet'!$A$140&gt;35,CT91+CS92-DB91,IF(A92&lt;'Données projet'!$A$140,$CQ$205^A92,IF(A92='Données projet'!$A$140,'Données projet'!$B$140,CT91+CS92-DB91)))</f>
        <v>290.40000000000003</v>
      </c>
      <c r="CU92" s="18">
        <f>CT92*VLOOKUP('Données projet'!$B$13,Paramètres!$A$1:$I$89,3,0)*VLOOKUP('Données projet'!$B$13,Paramètres!$A$1:$I$89,5,0)</f>
        <v>294.46560000000005</v>
      </c>
      <c r="CV92" s="14">
        <f t="shared" si="95"/>
        <v>70.014986320104285</v>
      </c>
      <c r="CW92" s="22">
        <f t="shared" si="67"/>
        <v>634.8036878408484</v>
      </c>
      <c r="CX92" s="60">
        <f t="shared" si="68"/>
        <v>928.13702117418165</v>
      </c>
      <c r="CY92" s="60">
        <f ca="1">AVERAGE(OFFSET($CX$3,0,0,'Données projet'!$E$13+1,1))-AVERAGE(OFFSET($H$3,0,0,'Données projet'!$E$13+1,1))</f>
        <v>350.3652766444938</v>
      </c>
      <c r="CZ92" s="60">
        <f t="shared" si="96"/>
        <v>197.04549436738586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5.6</v>
      </c>
      <c r="DO92" s="13">
        <f>IF('Données projet'!$A$166&gt;35,DO91+DN92-DW91,IF(A92&lt;'Données projet'!$A$166,$DL$205^A92,IF(A92='Données projet'!$A$166,'Données projet'!$B$166,DO91+DN92-DW91)))</f>
        <v>290.40000000000003</v>
      </c>
      <c r="DP92" s="18">
        <f>DO92*VLOOKUP('Données projet'!$B$14,Paramètres!$A$1:$I$89,3,0)*VLOOKUP('Données projet'!$B$14,Paramètres!$A$1:$I$89,5,0)</f>
        <v>312.58656000000002</v>
      </c>
      <c r="DQ92" s="14">
        <f t="shared" si="97"/>
        <v>73.808745345687967</v>
      </c>
      <c r="DR92" s="22">
        <f t="shared" si="70"/>
        <v>672.97182347707314</v>
      </c>
      <c r="DS92" s="60">
        <f t="shared" si="71"/>
        <v>966.30515681040652</v>
      </c>
      <c r="DT92" s="60">
        <f ca="1">AVERAGE(OFFSET($DS$3,0,0,'Données projet'!$E$14+1,1))-AVERAGE(OFFSET($H$3,0,0,'Données projet'!$E$14+1,1))</f>
        <v>376.96388721258387</v>
      </c>
      <c r="DU92" s="60">
        <f t="shared" si="98"/>
        <v>211.14628470344377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5.6</v>
      </c>
      <c r="EJ92" s="13">
        <f>IF('Données projet'!$A$192&gt;35,EJ91+EI92-ER91,IF(A92&lt;'Données projet'!$A$192,$EG$205^A92,IF(A92='Données projet'!$A$192,'Données projet'!$B$192,EJ91+EI92-ER91)))</f>
        <v>290.40000000000003</v>
      </c>
      <c r="EK92" s="18">
        <f>EJ92*VLOOKUP('Données projet'!$B$15,Paramètres!$A$1:$I$89,3,0)*VLOOKUP('Données projet'!$B$15,Paramètres!$A$1:$I$89,5,0)</f>
        <v>280.87488000000008</v>
      </c>
      <c r="EL92" s="14">
        <f t="shared" si="99"/>
        <v>67.151862592195855</v>
      </c>
      <c r="EM92" s="22">
        <f t="shared" si="73"/>
        <v>606.14657668140785</v>
      </c>
      <c r="EN92" s="60">
        <f t="shared" si="74"/>
        <v>899.47991001474111</v>
      </c>
      <c r="EO92" s="60">
        <f ca="1">AVERAGE(OFFSET($EN$3,0,0,'Données projet'!$E$15+1,1))-AVERAGE(OFFSET($H$3,0,0,'Données projet'!$E$15+1,1))</f>
        <v>330.39429528665841</v>
      </c>
      <c r="EP92" s="60">
        <f t="shared" si="100"/>
        <v>186.45728006007261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8">
        <f t="shared" si="56"/>
        <v>403.98391969821557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-5.6843418860808015E-14</v>
      </c>
      <c r="O93" s="14">
        <f>N93*VLOOKUP('Données projet'!$B$9,Paramètres!$A$1:$I$89,3,0)*VLOOKUP('Données projet'!$B$9,Paramètres!$A$1:$I$89,5,0)</f>
        <v>-3.3992364478763198E-14</v>
      </c>
      <c r="P93" s="14" t="e">
        <f t="shared" si="87"/>
        <v>#NUM!</v>
      </c>
      <c r="Q93" s="22" t="e">
        <f t="shared" si="54"/>
        <v>#NUM!</v>
      </c>
      <c r="R93" s="60" t="e">
        <f t="shared" si="55"/>
        <v>#NUM!</v>
      </c>
      <c r="S93" s="60">
        <f ca="1">AVERAGE(OFFSET($R$3,0,0,'Données projet'!$E$9+1,1))-AVERAGE(OFFSET($H$3,0,0,'Données projet'!$E$9+1,1))</f>
        <v>155.11440101086782</v>
      </c>
      <c r="T93" s="60">
        <f t="shared" si="88"/>
        <v>239.53454701506638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4.1130559035461181</v>
      </c>
      <c r="AA93" s="23">
        <f>EXP(-LN(2)/25)*AA92+(1-EXP(-LN(2)/25))/(LN(2)/25)*Calculateur!V93*Calculateur!X93*VLOOKUP('Données projet'!$B$9,Paramètres!$A$1:$I$89,3,0)*0.475*44/12</f>
        <v>1.372109353489642</v>
      </c>
      <c r="AB93" s="23">
        <f>EXP(-LN(2)/2)*AB92+(1-EXP(-LN(2)/2))/(LN(2)/2)*V93*Y93*VLOOKUP('Données projet'!$B$9,Paramètres!$A$1:$I$89,3,0)*0.475*44/12</f>
        <v>2.7464172569356676E-9</v>
      </c>
      <c r="AC93" s="24">
        <f t="shared" si="57"/>
        <v>5.4851652597821774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-3.4106051316484809E-13</v>
      </c>
      <c r="AJ93" s="14">
        <f>AI93*VLOOKUP('Données projet'!$B$10,Paramètres!$A$1:$I$89,3,0)*VLOOKUP('Données projet'!$B$10,Paramètres!$A$1:$I$89,5,0)</f>
        <v>-1.9065282685915009E-13</v>
      </c>
      <c r="AK93" s="14" t="e">
        <f t="shared" si="89"/>
        <v>#NUM!</v>
      </c>
      <c r="AL93" s="22" t="e">
        <f t="shared" si="58"/>
        <v>#NUM!</v>
      </c>
      <c r="AM93" s="60" t="e">
        <f t="shared" si="59"/>
        <v>#NUM!</v>
      </c>
      <c r="AN93" s="60">
        <f ca="1">AVERAGE(OFFSET($AM$3,0,0,'Données projet'!$E$10+1,1))-AVERAGE(OFFSET($H$3,0,0,'Données projet'!$E$10+1,1))</f>
        <v>302.20483575440988</v>
      </c>
      <c r="AO93" s="60">
        <f t="shared" si="90"/>
        <v>275.32862097158687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1.3098846003048785</v>
      </c>
      <c r="AW93" s="23">
        <f>EXP(-LN(2)/2)*AW92+(1-EXP(-LN(2)/2))/(LN(2)/2)*AQ93*AT93*VLOOKUP('Données projet'!$B$10,Paramètres!$A$1:$I$89,3,0)*0.475*44/12</f>
        <v>8.2014359844366168E-9</v>
      </c>
      <c r="AX93" s="23">
        <f t="shared" si="60"/>
        <v>1.3098846085063145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268</v>
      </c>
      <c r="BB93" s="13">
        <f>VLOOKUP(A93,'Données projet'!$A$87:$I$107,9,0)</f>
        <v>3.4</v>
      </c>
      <c r="BC93" s="13">
        <f t="array" ref="BC93">INDEX(BB:BB,MIN(IF(ISNUMBER(BB93:BB289),ROW(BB93:BB289),"")))</f>
        <v>3.4</v>
      </c>
      <c r="BD93" s="13">
        <f>IF('Données projet'!$A$88&gt;35,BD92+BC93-BL92,IF(A93&lt;'Données projet'!$A$88,$BA$205^A93,IF(A93='Données projet'!$A$88,'Données projet'!$B$88,BD92+BC93-BL92)))</f>
        <v>267.99999999999994</v>
      </c>
      <c r="BE93" s="14">
        <f>BD93*VLOOKUP('Données projet'!$B$11,Paramètres!$A$1:$I$89,3,0)*VLOOKUP('Données projet'!$B$11,Paramètres!$A$1:$I$89,5,0)</f>
        <v>234.12479999999999</v>
      </c>
      <c r="BF93" s="14">
        <f t="shared" si="91"/>
        <v>57.173634982132555</v>
      </c>
      <c r="BG93" s="22">
        <f t="shared" si="61"/>
        <v>507.34477426054747</v>
      </c>
      <c r="BH93" s="60">
        <f t="shared" si="62"/>
        <v>800.67810759388078</v>
      </c>
      <c r="BI93" s="60">
        <f ca="1">AVERAGE(OFFSET($BH$3,0,0,'Données projet'!$E$11+1,1))-AVERAGE(OFFSET($H$3,0,0,'Données projet'!$E$11+1,1))</f>
        <v>314.62110015707839</v>
      </c>
      <c r="BJ93" s="60">
        <f t="shared" si="92"/>
        <v>285.36905470736582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296</v>
      </c>
      <c r="BW93" s="13">
        <f>VLOOKUP(A93,'Données projet'!$A$113:$I$133,9,0)</f>
        <v>5.6</v>
      </c>
      <c r="BX93" s="13">
        <f t="array" ref="BX93">INDEX(BW:BW,MIN(IF(ISNUMBER(BW93:BW289),ROW(BW93:BW289),"")))</f>
        <v>5.6</v>
      </c>
      <c r="BY93" s="13">
        <f>IF('Données projet'!$A$114&gt;35,BY92+BX93-CG92,IF(A93&lt;'Données projet'!$A$114,$BV$205^A93,IF(A93='Données projet'!$A$114,'Données projet'!$B$114,BY92+BX93-CG92)))</f>
        <v>296.00000000000006</v>
      </c>
      <c r="BZ93" s="14">
        <f>BY93*VLOOKUP('Données projet'!$B$12,Paramètres!$A$1:$I$89,3,0)*VLOOKUP('Données projet'!$B$12,Paramètres!$A$1:$I$89,5,0)</f>
        <v>267.82080000000008</v>
      </c>
      <c r="CA93" s="14">
        <f t="shared" si="93"/>
        <v>64.386570147897373</v>
      </c>
      <c r="CB93" s="22">
        <f t="shared" si="64"/>
        <v>578.59450300758806</v>
      </c>
      <c r="CC93" s="60">
        <f t="shared" si="65"/>
        <v>871.92783634092143</v>
      </c>
      <c r="CD93" s="60">
        <f ca="1">AVERAGE(OFFSET($CC$3,0,0,'Données projet'!$E$12+1,1))-AVERAGE(OFFSET($H$3,0,0,'Données projet'!$E$12+1,1))</f>
        <v>303.73499739059076</v>
      </c>
      <c r="CE93" s="60">
        <f t="shared" si="94"/>
        <v>172.32171001882188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42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296</v>
      </c>
      <c r="CR93" s="13">
        <f>VLOOKUP(A93,'Données projet'!$A$139:$I$159,9,0)</f>
        <v>5.6</v>
      </c>
      <c r="CS93" s="13">
        <f t="array" ref="CS93">INDEX(CR:CR,MIN(IF(ISNUMBER(CR93:CR289),ROW(CR93:CR289),"")))</f>
        <v>5.6</v>
      </c>
      <c r="CT93" s="13">
        <f>IF('Données projet'!$A$140&gt;35,CT92+CS93-DB92,IF(A93&lt;'Données projet'!$A$140,$CQ$205^A93,IF(A93='Données projet'!$A$140,'Données projet'!$B$140,CT92+CS93-DB92)))</f>
        <v>296.00000000000006</v>
      </c>
      <c r="CU93" s="18">
        <f>CT93*VLOOKUP('Données projet'!$B$13,Paramètres!$A$1:$I$89,3,0)*VLOOKUP('Données projet'!$B$13,Paramètres!$A$1:$I$89,5,0)</f>
        <v>300.14400000000006</v>
      </c>
      <c r="CV93" s="14">
        <f t="shared" si="95"/>
        <v>71.206650563609855</v>
      </c>
      <c r="CW93" s="22">
        <f t="shared" si="67"/>
        <v>646.76904973162061</v>
      </c>
      <c r="CX93" s="60">
        <f t="shared" si="68"/>
        <v>940.10238306495398</v>
      </c>
      <c r="CY93" s="60">
        <f ca="1">AVERAGE(OFFSET($CX$3,0,0,'Données projet'!$E$13+1,1))-AVERAGE(OFFSET($H$3,0,0,'Données projet'!$E$13+1,1))</f>
        <v>350.3652766444938</v>
      </c>
      <c r="CZ93" s="60">
        <f t="shared" si="96"/>
        <v>197.04549436738586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42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296</v>
      </c>
      <c r="DM93" s="13">
        <f>VLOOKUP(A93,'Données projet'!$A$165:$I$185,9,0)</f>
        <v>5.6</v>
      </c>
      <c r="DN93" s="13">
        <f t="array" ref="DN93">INDEX(DM:DM,MIN(IF(ISNUMBER(DM93:DM289),ROW(DM93:DM289),"")))</f>
        <v>5.6</v>
      </c>
      <c r="DO93" s="13">
        <f>IF('Données projet'!$A$166&gt;35,DO92+DN93-DW92,IF(A93&lt;'Données projet'!$A$166,$DL$205^A93,IF(A93='Données projet'!$A$166,'Données projet'!$B$166,DO92+DN93-DW92)))</f>
        <v>296.00000000000006</v>
      </c>
      <c r="DP93" s="18">
        <f>DO93*VLOOKUP('Données projet'!$B$14,Paramètres!$A$1:$I$89,3,0)*VLOOKUP('Données projet'!$B$14,Paramètres!$A$1:$I$89,5,0)</f>
        <v>318.61440000000005</v>
      </c>
      <c r="DQ93" s="14">
        <f t="shared" si="97"/>
        <v>75.06497986502842</v>
      </c>
      <c r="DR93" s="22">
        <f t="shared" si="70"/>
        <v>685.6582532649245</v>
      </c>
      <c r="DS93" s="60">
        <f t="shared" si="71"/>
        <v>978.99158659825775</v>
      </c>
      <c r="DT93" s="60">
        <f ca="1">AVERAGE(OFFSET($DS$3,0,0,'Données projet'!$E$14+1,1))-AVERAGE(OFFSET($H$3,0,0,'Données projet'!$E$14+1,1))</f>
        <v>376.96388721258387</v>
      </c>
      <c r="DU93" s="60">
        <f t="shared" si="98"/>
        <v>211.14628470344377</v>
      </c>
      <c r="DV93" s="16">
        <f>IF(ISNA(VLOOKUP(A93,'Données projet'!$A$165:$I$185,3,0)),0,VLOOKUP(A93,'Données projet'!$A$165:$I$185,3,0))</f>
        <v>7</v>
      </c>
      <c r="DW93" s="16">
        <f>IF(ISNA(VLOOKUP(A93,'Données projet'!$A$165:$I$185,4,0)),0,VLOOKUP(A93,'Données projet'!$A$165:$I$185,4,0))</f>
        <v>42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296</v>
      </c>
      <c r="EH93" s="13">
        <f>VLOOKUP(A93,'Données projet'!$A$191:$I$211,9,0)</f>
        <v>5.6</v>
      </c>
      <c r="EI93" s="13">
        <f t="array" ref="EI93">INDEX(EH:EH,MIN(IF(ISNUMBER(EH93:EH289),ROW(EH93:EH289),"")))</f>
        <v>5.6</v>
      </c>
      <c r="EJ93" s="13">
        <f>IF('Données projet'!$A$192&gt;35,EJ92+EI93-ER92,IF(A93&lt;'Données projet'!$A$192,$EG$205^A93,IF(A93='Données projet'!$A$192,'Données projet'!$B$192,EJ92+EI93-ER92)))</f>
        <v>296.00000000000006</v>
      </c>
      <c r="EK93" s="18">
        <f>EJ93*VLOOKUP('Données projet'!$B$15,Paramètres!$A$1:$I$89,3,0)*VLOOKUP('Données projet'!$B$15,Paramètres!$A$1:$I$89,5,0)</f>
        <v>286.29120000000006</v>
      </c>
      <c r="EL93" s="14">
        <f t="shared" si="99"/>
        <v>68.294796094604408</v>
      </c>
      <c r="EM93" s="22">
        <f t="shared" si="73"/>
        <v>617.57060986476938</v>
      </c>
      <c r="EN93" s="60">
        <f t="shared" si="74"/>
        <v>910.90394319810275</v>
      </c>
      <c r="EO93" s="60">
        <f ca="1">AVERAGE(OFFSET($EN$3,0,0,'Données projet'!$E$15+1,1))-AVERAGE(OFFSET($H$3,0,0,'Données projet'!$E$15+1,1))</f>
        <v>330.39429528665841</v>
      </c>
      <c r="EP93" s="60">
        <f t="shared" si="100"/>
        <v>186.45728006007261</v>
      </c>
      <c r="EQ93" s="16">
        <f>IF(ISNA(VLOOKUP(A93,'Données projet'!$A$191:$I$211,3,0)),0,VLOOKUP(A93,'Données projet'!$A$191:$I$211,3,0))</f>
        <v>7</v>
      </c>
      <c r="ER93" s="16">
        <f>IF(ISNA(VLOOKUP(A93,'Données projet'!$A$191:$I$211,4,0)),0,VLOOKUP(A93,'Données projet'!$A$191:$I$211,4,0))</f>
        <v>42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8">
        <f t="shared" si="56"/>
        <v>405.18079466631161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-5.6843418860808015E-14</v>
      </c>
      <c r="O94" s="14">
        <f>N94*VLOOKUP('Données projet'!$B$9,Paramètres!$A$1:$I$89,3,0)*VLOOKUP('Données projet'!$B$9,Paramètres!$A$1:$I$89,5,0)</f>
        <v>-3.3992364478763198E-14</v>
      </c>
      <c r="P94" s="14" t="e">
        <f t="shared" si="87"/>
        <v>#NUM!</v>
      </c>
      <c r="Q94" s="22" t="e">
        <f t="shared" si="54"/>
        <v>#NUM!</v>
      </c>
      <c r="R94" s="60" t="e">
        <f t="shared" si="55"/>
        <v>#NUM!</v>
      </c>
      <c r="S94" s="60">
        <f ca="1">AVERAGE(OFFSET($R$3,0,0,'Données projet'!$E$9+1,1))-AVERAGE(OFFSET($H$3,0,0,'Données projet'!$E$9+1,1))</f>
        <v>155.11440101086782</v>
      </c>
      <c r="T94" s="60">
        <f t="shared" si="88"/>
        <v>239.53454701506638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4.0324013859939649</v>
      </c>
      <c r="AA94" s="23">
        <f>EXP(-LN(2)/25)*AA93+(1-EXP(-LN(2)/25))/(LN(2)/25)*Calculateur!V94*Calculateur!X94*VLOOKUP('Données projet'!$B$9,Paramètres!$A$1:$I$89,3,0)*0.475*44/12</f>
        <v>1.334588951062373</v>
      </c>
      <c r="AB94" s="23">
        <f>EXP(-LN(2)/2)*AB93+(1-EXP(-LN(2)/2))/(LN(2)/2)*V94*Y94*VLOOKUP('Données projet'!$B$9,Paramètres!$A$1:$I$89,3,0)*0.475*44/12</f>
        <v>1.9420102663469671E-9</v>
      </c>
      <c r="AC94" s="24">
        <f t="shared" si="57"/>
        <v>5.366990338998348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-3.4106051316484809E-13</v>
      </c>
      <c r="AJ94" s="14">
        <f>AI94*VLOOKUP('Données projet'!$B$10,Paramètres!$A$1:$I$89,3,0)*VLOOKUP('Données projet'!$B$10,Paramètres!$A$1:$I$89,5,0)</f>
        <v>-1.9065282685915009E-13</v>
      </c>
      <c r="AK94" s="14" t="e">
        <f t="shared" si="89"/>
        <v>#NUM!</v>
      </c>
      <c r="AL94" s="22" t="e">
        <f t="shared" si="58"/>
        <v>#NUM!</v>
      </c>
      <c r="AM94" s="60" t="e">
        <f t="shared" si="59"/>
        <v>#NUM!</v>
      </c>
      <c r="AN94" s="60">
        <f ca="1">AVERAGE(OFFSET($AM$3,0,0,'Données projet'!$E$10+1,1))-AVERAGE(OFFSET($H$3,0,0,'Données projet'!$E$10+1,1))</f>
        <v>302.20483575440988</v>
      </c>
      <c r="AO94" s="60">
        <f t="shared" si="90"/>
        <v>275.32862097158687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1.2740657370257042</v>
      </c>
      <c r="AW94" s="23">
        <f>EXP(-LN(2)/2)*AW93+(1-EXP(-LN(2)/2))/(LN(2)/2)*AQ94*AT94*VLOOKUP('Données projet'!$B$10,Paramètres!$A$1:$I$89,3,0)*0.475*44/12</f>
        <v>5.7992910000624997E-9</v>
      </c>
      <c r="AX94" s="23">
        <f t="shared" si="60"/>
        <v>1.2740657428249953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3.2</v>
      </c>
      <c r="BD94" s="13">
        <f>IF('Données projet'!$A$88&gt;35,BD93+BC94-BL93,IF(A94&lt;'Données projet'!$A$88,$BA$205^A94,IF(A94='Données projet'!$A$88,'Données projet'!$B$88,BD93+BC94-BL93)))</f>
        <v>271.19999999999993</v>
      </c>
      <c r="BE94" s="14">
        <f>BD94*VLOOKUP('Données projet'!$B$11,Paramètres!$A$1:$I$89,3,0)*VLOOKUP('Données projet'!$B$11,Paramètres!$A$1:$I$89,5,0)</f>
        <v>236.92031999999998</v>
      </c>
      <c r="BF94" s="14">
        <f t="shared" si="91"/>
        <v>57.776425098082903</v>
      </c>
      <c r="BG94" s="22">
        <f t="shared" si="61"/>
        <v>513.26349771249431</v>
      </c>
      <c r="BH94" s="60">
        <f t="shared" si="62"/>
        <v>806.59683104582768</v>
      </c>
      <c r="BI94" s="60">
        <f ca="1">AVERAGE(OFFSET($BH$3,0,0,'Données projet'!$E$11+1,1))-AVERAGE(OFFSET($H$3,0,0,'Données projet'!$E$11+1,1))</f>
        <v>314.62110015707839</v>
      </c>
      <c r="BJ94" s="60">
        <f t="shared" si="92"/>
        <v>285.36905470736582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4.9000000000000004</v>
      </c>
      <c r="BY94" s="13">
        <f>IF('Données projet'!$A$114&gt;35,BY93+BX94-CG93,IF(A94&lt;'Données projet'!$A$114,$BV$205^A94,IF(A94='Données projet'!$A$114,'Données projet'!$B$114,BY93+BX94-CG93)))</f>
        <v>258.90000000000003</v>
      </c>
      <c r="BZ94" s="14">
        <f>BY94*VLOOKUP('Données projet'!$B$12,Paramètres!$A$1:$I$89,3,0)*VLOOKUP('Données projet'!$B$12,Paramètres!$A$1:$I$89,5,0)</f>
        <v>234.25272000000001</v>
      </c>
      <c r="CA94" s="14">
        <f t="shared" si="93"/>
        <v>57.201236231171301</v>
      </c>
      <c r="CB94" s="22">
        <f t="shared" si="64"/>
        <v>507.61564043595672</v>
      </c>
      <c r="CC94" s="60">
        <f t="shared" si="65"/>
        <v>800.94897376928998</v>
      </c>
      <c r="CD94" s="60">
        <f ca="1">AVERAGE(OFFSET($CC$3,0,0,'Données projet'!$E$12+1,1))-AVERAGE(OFFSET($H$3,0,0,'Données projet'!$E$12+1,1))</f>
        <v>303.73499739059076</v>
      </c>
      <c r="CE94" s="60">
        <f t="shared" si="94"/>
        <v>172.32171001882188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4.9000000000000004</v>
      </c>
      <c r="CT94" s="13">
        <f>IF('Données projet'!$A$140&gt;35,CT93+CS94-DB93,IF(A94&lt;'Données projet'!$A$140,$CQ$205^A94,IF(A94='Données projet'!$A$140,'Données projet'!$B$140,CT93+CS94-DB93)))</f>
        <v>258.90000000000003</v>
      </c>
      <c r="CU94" s="18">
        <f>CT94*VLOOKUP('Données projet'!$B$13,Paramètres!$A$1:$I$89,3,0)*VLOOKUP('Données projet'!$B$13,Paramètres!$A$1:$I$89,5,0)</f>
        <v>262.52460000000002</v>
      </c>
      <c r="CV94" s="14">
        <f t="shared" si="95"/>
        <v>63.260217631774687</v>
      </c>
      <c r="CW94" s="22">
        <f t="shared" si="67"/>
        <v>567.40855737534105</v>
      </c>
      <c r="CX94" s="60">
        <f t="shared" si="68"/>
        <v>860.74189070867442</v>
      </c>
      <c r="CY94" s="60">
        <f ca="1">AVERAGE(OFFSET($CX$3,0,0,'Données projet'!$E$13+1,1))-AVERAGE(OFFSET($H$3,0,0,'Données projet'!$E$13+1,1))</f>
        <v>350.3652766444938</v>
      </c>
      <c r="CZ94" s="60">
        <f t="shared" si="96"/>
        <v>197.04549436738586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4.9000000000000004</v>
      </c>
      <c r="DO94" s="13">
        <f>IF('Données projet'!$A$166&gt;35,DO93+DN94-DW93,IF(A94&lt;'Données projet'!$A$166,$DL$205^A94,IF(A94='Données projet'!$A$166,'Données projet'!$B$166,DO93+DN94-DW93)))</f>
        <v>258.90000000000003</v>
      </c>
      <c r="DP94" s="18">
        <f>DO94*VLOOKUP('Données projet'!$B$14,Paramètres!$A$1:$I$89,3,0)*VLOOKUP('Données projet'!$B$14,Paramètres!$A$1:$I$89,5,0)</f>
        <v>278.67996000000005</v>
      </c>
      <c r="DQ94" s="14">
        <f t="shared" si="97"/>
        <v>66.687969806197728</v>
      </c>
      <c r="DR94" s="22">
        <f t="shared" si="70"/>
        <v>601.51581107912773</v>
      </c>
      <c r="DS94" s="60">
        <f t="shared" si="71"/>
        <v>894.8491444124611</v>
      </c>
      <c r="DT94" s="60">
        <f ca="1">AVERAGE(OFFSET($DS$3,0,0,'Données projet'!$E$14+1,1))-AVERAGE(OFFSET($H$3,0,0,'Données projet'!$E$14+1,1))</f>
        <v>376.96388721258387</v>
      </c>
      <c r="DU94" s="60">
        <f t="shared" si="98"/>
        <v>211.14628470344377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4.9000000000000004</v>
      </c>
      <c r="EJ94" s="13">
        <f>IF('Données projet'!$A$192&gt;35,EJ93+EI94-ER93,IF(A94&lt;'Données projet'!$A$192,$EG$205^A94,IF(A94='Données projet'!$A$192,'Données projet'!$B$192,EJ93+EI94-ER93)))</f>
        <v>258.90000000000003</v>
      </c>
      <c r="EK94" s="18">
        <f>EJ94*VLOOKUP('Données projet'!$B$15,Paramètres!$A$1:$I$89,3,0)*VLOOKUP('Données projet'!$B$15,Paramètres!$A$1:$I$89,5,0)</f>
        <v>250.40808000000004</v>
      </c>
      <c r="EL94" s="14">
        <f t="shared" si="99"/>
        <v>60.67331674592576</v>
      </c>
      <c r="EM94" s="22">
        <f t="shared" si="73"/>
        <v>541.80009933248743</v>
      </c>
      <c r="EN94" s="60">
        <f t="shared" si="74"/>
        <v>835.13343266582069</v>
      </c>
      <c r="EO94" s="60">
        <f ca="1">AVERAGE(OFFSET($EN$3,0,0,'Données projet'!$E$15+1,1))-AVERAGE(OFFSET($H$3,0,0,'Données projet'!$E$15+1,1))</f>
        <v>330.39429528665841</v>
      </c>
      <c r="EP94" s="60">
        <f t="shared" si="100"/>
        <v>186.45728006007261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8">
        <f t="shared" si="56"/>
        <v>406.37735526105428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-5.6843418860808015E-14</v>
      </c>
      <c r="O95" s="14">
        <f>N95*VLOOKUP('Données projet'!$B$9,Paramètres!$A$1:$I$89,3,0)*VLOOKUP('Données projet'!$B$9,Paramètres!$A$1:$I$89,5,0)</f>
        <v>-3.3992364478763198E-14</v>
      </c>
      <c r="P95" s="14" t="e">
        <f t="shared" si="87"/>
        <v>#NUM!</v>
      </c>
      <c r="Q95" s="22" t="e">
        <f t="shared" si="54"/>
        <v>#NUM!</v>
      </c>
      <c r="R95" s="60" t="e">
        <f t="shared" si="55"/>
        <v>#NUM!</v>
      </c>
      <c r="S95" s="60">
        <f ca="1">AVERAGE(OFFSET($R$3,0,0,'Données projet'!$E$9+1,1))-AVERAGE(OFFSET($H$3,0,0,'Données projet'!$E$9+1,1))</f>
        <v>155.11440101086782</v>
      </c>
      <c r="T95" s="60">
        <f t="shared" si="88"/>
        <v>239.53454701506638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3.953328454336611</v>
      </c>
      <c r="AA95" s="23">
        <f>EXP(-LN(2)/25)*AA94+(1-EXP(-LN(2)/25))/(LN(2)/25)*Calculateur!V95*Calculateur!X95*VLOOKUP('Données projet'!$B$9,Paramètres!$A$1:$I$89,3,0)*0.475*44/12</f>
        <v>1.2980945460125897</v>
      </c>
      <c r="AB95" s="23">
        <f>EXP(-LN(2)/2)*AB94+(1-EXP(-LN(2)/2))/(LN(2)/2)*V95*Y95*VLOOKUP('Données projet'!$B$9,Paramètres!$A$1:$I$89,3,0)*0.475*44/12</f>
        <v>1.3732086284678338E-9</v>
      </c>
      <c r="AC95" s="24">
        <f t="shared" si="57"/>
        <v>5.2514230017224088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-3.4106051316484809E-13</v>
      </c>
      <c r="AJ95" s="14">
        <f>AI95*VLOOKUP('Données projet'!$B$10,Paramètres!$A$1:$I$89,3,0)*VLOOKUP('Données projet'!$B$10,Paramètres!$A$1:$I$89,5,0)</f>
        <v>-1.9065282685915009E-13</v>
      </c>
      <c r="AK95" s="14" t="e">
        <f t="shared" si="89"/>
        <v>#NUM!</v>
      </c>
      <c r="AL95" s="22" t="e">
        <f t="shared" si="58"/>
        <v>#NUM!</v>
      </c>
      <c r="AM95" s="60" t="e">
        <f t="shared" si="59"/>
        <v>#NUM!</v>
      </c>
      <c r="AN95" s="60">
        <f ca="1">AVERAGE(OFFSET($AM$3,0,0,'Données projet'!$E$10+1,1))-AVERAGE(OFFSET($H$3,0,0,'Données projet'!$E$10+1,1))</f>
        <v>302.20483575440988</v>
      </c>
      <c r="AO95" s="60">
        <f t="shared" si="90"/>
        <v>275.32862097158687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1.2392263424465311</v>
      </c>
      <c r="AW95" s="23">
        <f>EXP(-LN(2)/2)*AW94+(1-EXP(-LN(2)/2))/(LN(2)/2)*AQ95*AT95*VLOOKUP('Données projet'!$B$10,Paramètres!$A$1:$I$89,3,0)*0.475*44/12</f>
        <v>4.1007179922183084E-9</v>
      </c>
      <c r="AX95" s="23">
        <f t="shared" si="60"/>
        <v>1.2392263465472491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3.2</v>
      </c>
      <c r="BD95" s="13">
        <f>IF('Données projet'!$A$88&gt;35,BD94+BC95-BL94,IF(A95&lt;'Données projet'!$A$88,$BA$205^A95,IF(A95='Données projet'!$A$88,'Données projet'!$B$88,BD94+BC95-BL94)))</f>
        <v>274.39999999999992</v>
      </c>
      <c r="BE95" s="14">
        <f>BD95*VLOOKUP('Données projet'!$B$11,Paramètres!$A$1:$I$89,3,0)*VLOOKUP('Données projet'!$B$11,Paramètres!$A$1:$I$89,5,0)</f>
        <v>239.71583999999996</v>
      </c>
      <c r="BF95" s="14">
        <f t="shared" si="91"/>
        <v>58.37838785912799</v>
      </c>
      <c r="BG95" s="22">
        <f t="shared" si="61"/>
        <v>519.18078018798121</v>
      </c>
      <c r="BH95" s="60">
        <f t="shared" si="62"/>
        <v>812.51411352131458</v>
      </c>
      <c r="BI95" s="60">
        <f ca="1">AVERAGE(OFFSET($BH$3,0,0,'Données projet'!$E$11+1,1))-AVERAGE(OFFSET($H$3,0,0,'Données projet'!$E$11+1,1))</f>
        <v>314.62110015707839</v>
      </c>
      <c r="BJ95" s="60">
        <f t="shared" si="92"/>
        <v>285.36905470736582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4.9000000000000004</v>
      </c>
      <c r="BY95" s="13">
        <f>IF('Données projet'!$A$114&gt;35,BY94+BX95-CG94,IF(A95&lt;'Données projet'!$A$114,$BV$205^A95,IF(A95='Données projet'!$A$114,'Données projet'!$B$114,BY94+BX95-CG94)))</f>
        <v>263.8</v>
      </c>
      <c r="BZ95" s="14">
        <f>BY95*VLOOKUP('Données projet'!$B$12,Paramètres!$A$1:$I$89,3,0)*VLOOKUP('Données projet'!$B$12,Paramètres!$A$1:$I$89,5,0)</f>
        <v>238.68624</v>
      </c>
      <c r="CA95" s="14">
        <f t="shared" si="93"/>
        <v>58.156778382060871</v>
      </c>
      <c r="CB95" s="22">
        <f t="shared" si="64"/>
        <v>517.00159034875594</v>
      </c>
      <c r="CC95" s="60">
        <f t="shared" si="65"/>
        <v>810.33492368208931</v>
      </c>
      <c r="CD95" s="60">
        <f ca="1">AVERAGE(OFFSET($CC$3,0,0,'Données projet'!$E$12+1,1))-AVERAGE(OFFSET($H$3,0,0,'Données projet'!$E$12+1,1))</f>
        <v>303.73499739059076</v>
      </c>
      <c r="CE95" s="60">
        <f t="shared" si="94"/>
        <v>172.32171001882188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4.9000000000000004</v>
      </c>
      <c r="CT95" s="13">
        <f>IF('Données projet'!$A$140&gt;35,CT94+CS95-DB94,IF(A95&lt;'Données projet'!$A$140,$CQ$205^A95,IF(A95='Données projet'!$A$140,'Données projet'!$B$140,CT94+CS95-DB94)))</f>
        <v>263.8</v>
      </c>
      <c r="CU95" s="18">
        <f>CT95*VLOOKUP('Données projet'!$B$13,Paramètres!$A$1:$I$89,3,0)*VLOOKUP('Données projet'!$B$13,Paramètres!$A$1:$I$89,5,0)</f>
        <v>267.49320000000006</v>
      </c>
      <c r="CV95" s="14">
        <f t="shared" si="95"/>
        <v>64.316974590266341</v>
      </c>
      <c r="CW95" s="22">
        <f t="shared" si="67"/>
        <v>577.90272074471397</v>
      </c>
      <c r="CX95" s="60">
        <f t="shared" si="68"/>
        <v>871.23605407804735</v>
      </c>
      <c r="CY95" s="60">
        <f ca="1">AVERAGE(OFFSET($CX$3,0,0,'Données projet'!$E$13+1,1))-AVERAGE(OFFSET($H$3,0,0,'Données projet'!$E$13+1,1))</f>
        <v>350.3652766444938</v>
      </c>
      <c r="CZ95" s="60">
        <f t="shared" si="96"/>
        <v>197.04549436738586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4.9000000000000004</v>
      </c>
      <c r="DO95" s="13">
        <f>IF('Données projet'!$A$166&gt;35,DO94+DN95-DW94,IF(A95&lt;'Données projet'!$A$166,$DL$205^A95,IF(A95='Données projet'!$A$166,'Données projet'!$B$166,DO94+DN95-DW94)))</f>
        <v>263.8</v>
      </c>
      <c r="DP95" s="18">
        <f>DO95*VLOOKUP('Données projet'!$B$14,Paramètres!$A$1:$I$89,3,0)*VLOOKUP('Données projet'!$B$14,Paramètres!$A$1:$I$89,5,0)</f>
        <v>283.95432</v>
      </c>
      <c r="DQ95" s="14">
        <f t="shared" si="97"/>
        <v>67.801987095081913</v>
      </c>
      <c r="DR95" s="22">
        <f t="shared" si="70"/>
        <v>612.64223485726768</v>
      </c>
      <c r="DS95" s="60">
        <f t="shared" si="71"/>
        <v>905.97556819060105</v>
      </c>
      <c r="DT95" s="60">
        <f ca="1">AVERAGE(OFFSET($DS$3,0,0,'Données projet'!$E$14+1,1))-AVERAGE(OFFSET($H$3,0,0,'Données projet'!$E$14+1,1))</f>
        <v>376.96388721258387</v>
      </c>
      <c r="DU95" s="60">
        <f t="shared" si="98"/>
        <v>211.14628470344377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4.9000000000000004</v>
      </c>
      <c r="EJ95" s="13">
        <f>IF('Données projet'!$A$192&gt;35,EJ94+EI95-ER94,IF(A95&lt;'Données projet'!$A$192,$EG$205^A95,IF(A95='Données projet'!$A$192,'Données projet'!$B$192,EJ94+EI95-ER94)))</f>
        <v>263.8</v>
      </c>
      <c r="EK95" s="18">
        <f>EJ95*VLOOKUP('Données projet'!$B$15,Paramètres!$A$1:$I$89,3,0)*VLOOKUP('Données projet'!$B$15,Paramètres!$A$1:$I$89,5,0)</f>
        <v>255.14736000000002</v>
      </c>
      <c r="EL95" s="14">
        <f t="shared" si="99"/>
        <v>61.686859728645651</v>
      </c>
      <c r="EM95" s="22">
        <f t="shared" si="73"/>
        <v>551.81959936072451</v>
      </c>
      <c r="EN95" s="60">
        <f t="shared" si="74"/>
        <v>845.15293269405788</v>
      </c>
      <c r="EO95" s="60">
        <f ca="1">AVERAGE(OFFSET($EN$3,0,0,'Données projet'!$E$15+1,1))-AVERAGE(OFFSET($H$3,0,0,'Données projet'!$E$15+1,1))</f>
        <v>330.39429528665841</v>
      </c>
      <c r="EP95" s="60">
        <f t="shared" si="100"/>
        <v>186.45728006007261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8">
        <f t="shared" si="56"/>
        <v>407.57360529503438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-5.6843418860808015E-14</v>
      </c>
      <c r="O96" s="14">
        <f>N96*VLOOKUP('Données projet'!$B$9,Paramètres!$A$1:$I$89,3,0)*VLOOKUP('Données projet'!$B$9,Paramètres!$A$1:$I$89,5,0)</f>
        <v>-3.3992364478763198E-14</v>
      </c>
      <c r="P96" s="14" t="e">
        <f t="shared" si="87"/>
        <v>#NUM!</v>
      </c>
      <c r="Q96" s="22" t="e">
        <f t="shared" si="54"/>
        <v>#NUM!</v>
      </c>
      <c r="R96" s="60" t="e">
        <f t="shared" si="55"/>
        <v>#NUM!</v>
      </c>
      <c r="S96" s="60">
        <f ca="1">AVERAGE(OFFSET($R$3,0,0,'Données projet'!$E$9+1,1))-AVERAGE(OFFSET($H$3,0,0,'Données projet'!$E$9+1,1))</f>
        <v>155.11440101086782</v>
      </c>
      <c r="T96" s="60">
        <f t="shared" si="88"/>
        <v>239.53454701506638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3.8758060946393318</v>
      </c>
      <c r="AA96" s="23">
        <f>EXP(-LN(2)/25)*AA95+(1-EXP(-LN(2)/25))/(LN(2)/25)*Calculateur!V96*Calculateur!X96*VLOOKUP('Données projet'!$B$9,Paramètres!$A$1:$I$89,3,0)*0.475*44/12</f>
        <v>1.26259808238805</v>
      </c>
      <c r="AB96" s="23">
        <f>EXP(-LN(2)/2)*AB95+(1-EXP(-LN(2)/2))/(LN(2)/2)*V96*Y96*VLOOKUP('Données projet'!$B$9,Paramètres!$A$1:$I$89,3,0)*0.475*44/12</f>
        <v>9.7100513317348355E-10</v>
      </c>
      <c r="AC96" s="24">
        <f t="shared" si="57"/>
        <v>5.1384041779983871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-3.4106051316484809E-13</v>
      </c>
      <c r="AJ96" s="14">
        <f>AI96*VLOOKUP('Données projet'!$B$10,Paramètres!$A$1:$I$89,3,0)*VLOOKUP('Données projet'!$B$10,Paramètres!$A$1:$I$89,5,0)</f>
        <v>-1.9065282685915009E-13</v>
      </c>
      <c r="AK96" s="14" t="e">
        <f t="shared" si="89"/>
        <v>#NUM!</v>
      </c>
      <c r="AL96" s="22" t="e">
        <f t="shared" si="58"/>
        <v>#NUM!</v>
      </c>
      <c r="AM96" s="60" t="e">
        <f t="shared" si="59"/>
        <v>#NUM!</v>
      </c>
      <c r="AN96" s="60">
        <f ca="1">AVERAGE(OFFSET($AM$3,0,0,'Données projet'!$E$10+1,1))-AVERAGE(OFFSET($H$3,0,0,'Données projet'!$E$10+1,1))</f>
        <v>302.20483575440988</v>
      </c>
      <c r="AO96" s="60">
        <f t="shared" si="90"/>
        <v>275.32862097158687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1.2053396329442496</v>
      </c>
      <c r="AW96" s="23">
        <f>EXP(-LN(2)/2)*AW95+(1-EXP(-LN(2)/2))/(LN(2)/2)*AQ96*AT96*VLOOKUP('Données projet'!$B$10,Paramètres!$A$1:$I$89,3,0)*0.475*44/12</f>
        <v>2.8996455000312499E-9</v>
      </c>
      <c r="AX96" s="23">
        <f t="shared" si="60"/>
        <v>1.205339635843895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3.2</v>
      </c>
      <c r="BD96" s="13">
        <f>IF('Données projet'!$A$88&gt;35,BD95+BC96-BL95,IF(A96&lt;'Données projet'!$A$88,$BA$205^A96,IF(A96='Données projet'!$A$88,'Données projet'!$B$88,BD95+BC96-BL95)))</f>
        <v>277.59999999999991</v>
      </c>
      <c r="BE96" s="14">
        <f>BD96*VLOOKUP('Données projet'!$B$11,Paramètres!$A$1:$I$89,3,0)*VLOOKUP('Données projet'!$B$11,Paramètres!$A$1:$I$89,5,0)</f>
        <v>242.51135999999994</v>
      </c>
      <c r="BF96" s="14">
        <f t="shared" si="91"/>
        <v>58.979534029984578</v>
      </c>
      <c r="BG96" s="22">
        <f t="shared" si="61"/>
        <v>525.09664043555642</v>
      </c>
      <c r="BH96" s="60">
        <f t="shared" si="62"/>
        <v>818.42997376888979</v>
      </c>
      <c r="BI96" s="60">
        <f ca="1">AVERAGE(OFFSET($BH$3,0,0,'Données projet'!$E$11+1,1))-AVERAGE(OFFSET($H$3,0,0,'Données projet'!$E$11+1,1))</f>
        <v>314.62110015707839</v>
      </c>
      <c r="BJ96" s="60">
        <f t="shared" si="92"/>
        <v>285.36905470736582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4.9000000000000004</v>
      </c>
      <c r="BY96" s="13">
        <f>IF('Données projet'!$A$114&gt;35,BY95+BX96-CG95,IF(A96&lt;'Données projet'!$A$114,$BV$205^A96,IF(A96='Données projet'!$A$114,'Données projet'!$B$114,BY95+BX96-CG95)))</f>
        <v>268.7</v>
      </c>
      <c r="BZ96" s="14">
        <f>BY96*VLOOKUP('Données projet'!$B$12,Paramètres!$A$1:$I$89,3,0)*VLOOKUP('Données projet'!$B$12,Paramètres!$A$1:$I$89,5,0)</f>
        <v>243.11975999999996</v>
      </c>
      <c r="CA96" s="14">
        <f t="shared" si="93"/>
        <v>59.110256668778533</v>
      </c>
      <c r="CB96" s="22">
        <f t="shared" si="64"/>
        <v>526.3839456981226</v>
      </c>
      <c r="CC96" s="60">
        <f t="shared" si="65"/>
        <v>819.71727903145597</v>
      </c>
      <c r="CD96" s="60">
        <f ca="1">AVERAGE(OFFSET($CC$3,0,0,'Données projet'!$E$12+1,1))-AVERAGE(OFFSET($H$3,0,0,'Données projet'!$E$12+1,1))</f>
        <v>303.73499739059076</v>
      </c>
      <c r="CE96" s="60">
        <f t="shared" si="94"/>
        <v>172.32171001882188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4.9000000000000004</v>
      </c>
      <c r="CT96" s="13">
        <f>IF('Données projet'!$A$140&gt;35,CT95+CS96-DB95,IF(A96&lt;'Données projet'!$A$140,$CQ$205^A96,IF(A96='Données projet'!$A$140,'Données projet'!$B$140,CT95+CS96-DB95)))</f>
        <v>268.7</v>
      </c>
      <c r="CU96" s="18">
        <f>CT96*VLOOKUP('Données projet'!$B$13,Paramètres!$A$1:$I$89,3,0)*VLOOKUP('Données projet'!$B$13,Paramètres!$A$1:$I$89,5,0)</f>
        <v>272.46180000000004</v>
      </c>
      <c r="CV96" s="14">
        <f t="shared" si="95"/>
        <v>65.371449071921944</v>
      </c>
      <c r="CW96" s="22">
        <f t="shared" si="67"/>
        <v>588.39290880026408</v>
      </c>
      <c r="CX96" s="60">
        <f t="shared" si="68"/>
        <v>881.72624213359745</v>
      </c>
      <c r="CY96" s="60">
        <f ca="1">AVERAGE(OFFSET($CX$3,0,0,'Données projet'!$E$13+1,1))-AVERAGE(OFFSET($H$3,0,0,'Données projet'!$E$13+1,1))</f>
        <v>350.3652766444938</v>
      </c>
      <c r="CZ96" s="60">
        <f t="shared" si="96"/>
        <v>197.04549436738586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4.9000000000000004</v>
      </c>
      <c r="DO96" s="13">
        <f>IF('Données projet'!$A$166&gt;35,DO95+DN96-DW95,IF(A96&lt;'Données projet'!$A$166,$DL$205^A96,IF(A96='Données projet'!$A$166,'Données projet'!$B$166,DO95+DN96-DW95)))</f>
        <v>268.7</v>
      </c>
      <c r="DP96" s="18">
        <f>DO96*VLOOKUP('Données projet'!$B$14,Paramètres!$A$1:$I$89,3,0)*VLOOKUP('Données projet'!$B$14,Paramètres!$A$1:$I$89,5,0)</f>
        <v>289.22868</v>
      </c>
      <c r="DQ96" s="14">
        <f t="shared" si="97"/>
        <v>68.913598231220931</v>
      </c>
      <c r="DR96" s="22">
        <f t="shared" si="70"/>
        <v>623.76446791937644</v>
      </c>
      <c r="DS96" s="60">
        <f t="shared" si="71"/>
        <v>917.09780125270981</v>
      </c>
      <c r="DT96" s="60">
        <f ca="1">AVERAGE(OFFSET($DS$3,0,0,'Données projet'!$E$14+1,1))-AVERAGE(OFFSET($H$3,0,0,'Données projet'!$E$14+1,1))</f>
        <v>376.96388721258387</v>
      </c>
      <c r="DU96" s="60">
        <f t="shared" si="98"/>
        <v>211.14628470344377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4.9000000000000004</v>
      </c>
      <c r="EJ96" s="13">
        <f>IF('Données projet'!$A$192&gt;35,EJ95+EI96-ER95,IF(A96&lt;'Données projet'!$A$192,$EG$205^A96,IF(A96='Données projet'!$A$192,'Données projet'!$B$192,EJ95+EI96-ER95)))</f>
        <v>268.7</v>
      </c>
      <c r="EK96" s="18">
        <f>EJ96*VLOOKUP('Données projet'!$B$15,Paramètres!$A$1:$I$89,3,0)*VLOOKUP('Données projet'!$B$15,Paramètres!$A$1:$I$89,5,0)</f>
        <v>259.88664</v>
      </c>
      <c r="EL96" s="14">
        <f t="shared" si="99"/>
        <v>62.698213571884004</v>
      </c>
      <c r="EM96" s="22">
        <f t="shared" si="73"/>
        <v>561.835286637698</v>
      </c>
      <c r="EN96" s="60">
        <f t="shared" si="74"/>
        <v>855.16861997103138</v>
      </c>
      <c r="EO96" s="60">
        <f ca="1">AVERAGE(OFFSET($EN$3,0,0,'Données projet'!$E$15+1,1))-AVERAGE(OFFSET($H$3,0,0,'Données projet'!$E$15+1,1))</f>
        <v>330.39429528665841</v>
      </c>
      <c r="EP96" s="60">
        <f t="shared" si="100"/>
        <v>186.45728006007261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8">
        <f t="shared" si="56"/>
        <v>408.76954849412908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-5.6843418860808015E-14</v>
      </c>
      <c r="O97" s="14">
        <f>N97*VLOOKUP('Données projet'!$B$9,Paramètres!$A$1:$I$89,3,0)*VLOOKUP('Données projet'!$B$9,Paramètres!$A$1:$I$89,5,0)</f>
        <v>-3.3992364478763198E-14</v>
      </c>
      <c r="P97" s="14" t="e">
        <f t="shared" si="87"/>
        <v>#NUM!</v>
      </c>
      <c r="Q97" s="22" t="e">
        <f t="shared" si="54"/>
        <v>#NUM!</v>
      </c>
      <c r="R97" s="60" t="e">
        <f t="shared" si="55"/>
        <v>#NUM!</v>
      </c>
      <c r="S97" s="60">
        <f ca="1">AVERAGE(OFFSET($R$3,0,0,'Données projet'!$E$9+1,1))-AVERAGE(OFFSET($H$3,0,0,'Données projet'!$E$9+1,1))</f>
        <v>155.11440101086782</v>
      </c>
      <c r="T97" s="60">
        <f t="shared" si="88"/>
        <v>239.53454701506638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3.7998039011317459</v>
      </c>
      <c r="AA97" s="23">
        <f>EXP(-LN(2)/25)*AA96+(1-EXP(-LN(2)/25))/(LN(2)/25)*Calculateur!V97*Calculateur!X97*VLOOKUP('Données projet'!$B$9,Paramètres!$A$1:$I$89,3,0)*0.475*44/12</f>
        <v>1.2280722714280015</v>
      </c>
      <c r="AB97" s="23">
        <f>EXP(-LN(2)/2)*AB96+(1-EXP(-LN(2)/2))/(LN(2)/2)*V97*Y97*VLOOKUP('Données projet'!$B$9,Paramètres!$A$1:$I$89,3,0)*0.475*44/12</f>
        <v>6.8660431423391689E-10</v>
      </c>
      <c r="AC97" s="24">
        <f t="shared" si="57"/>
        <v>5.0278761732463515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-3.4106051316484809E-13</v>
      </c>
      <c r="AJ97" s="14">
        <f>AI97*VLOOKUP('Données projet'!$B$10,Paramètres!$A$1:$I$89,3,0)*VLOOKUP('Données projet'!$B$10,Paramètres!$A$1:$I$89,5,0)</f>
        <v>-1.9065282685915009E-13</v>
      </c>
      <c r="AK97" s="14" t="e">
        <f t="shared" si="89"/>
        <v>#NUM!</v>
      </c>
      <c r="AL97" s="22" t="e">
        <f t="shared" si="58"/>
        <v>#NUM!</v>
      </c>
      <c r="AM97" s="60" t="e">
        <f t="shared" si="59"/>
        <v>#NUM!</v>
      </c>
      <c r="AN97" s="60">
        <f ca="1">AVERAGE(OFFSET($AM$3,0,0,'Données projet'!$E$10+1,1))-AVERAGE(OFFSET($H$3,0,0,'Données projet'!$E$10+1,1))</f>
        <v>302.20483575440988</v>
      </c>
      <c r="AO97" s="60">
        <f t="shared" si="90"/>
        <v>275.32862097158687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1.1723795572953326</v>
      </c>
      <c r="AW97" s="23">
        <f>EXP(-LN(2)/2)*AW96+(1-EXP(-LN(2)/2))/(LN(2)/2)*AQ97*AT97*VLOOKUP('Données projet'!$B$10,Paramètres!$A$1:$I$89,3,0)*0.475*44/12</f>
        <v>2.0503589961091542E-9</v>
      </c>
      <c r="AX97" s="23">
        <f t="shared" si="60"/>
        <v>1.1723795593456916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3.2</v>
      </c>
      <c r="BD97" s="13">
        <f>IF('Données projet'!$A$88&gt;35,BD96+BC97-BL96,IF(A97&lt;'Données projet'!$A$88,$BA$205^A97,IF(A97='Données projet'!$A$88,'Données projet'!$B$88,BD96+BC97-BL96)))</f>
        <v>280.7999999999999</v>
      </c>
      <c r="BE97" s="14">
        <f>BD97*VLOOKUP('Données projet'!$B$11,Paramètres!$A$1:$I$89,3,0)*VLOOKUP('Données projet'!$B$11,Paramètres!$A$1:$I$89,5,0)</f>
        <v>245.30687999999995</v>
      </c>
      <c r="BF97" s="14">
        <f t="shared" si="91"/>
        <v>59.579874112906374</v>
      </c>
      <c r="BG97" s="22">
        <f t="shared" si="61"/>
        <v>531.01109674664519</v>
      </c>
      <c r="BH97" s="60">
        <f t="shared" si="62"/>
        <v>824.34443007997857</v>
      </c>
      <c r="BI97" s="60">
        <f ca="1">AVERAGE(OFFSET($BH$3,0,0,'Données projet'!$E$11+1,1))-AVERAGE(OFFSET($H$3,0,0,'Données projet'!$E$11+1,1))</f>
        <v>314.62110015707839</v>
      </c>
      <c r="BJ97" s="60">
        <f t="shared" si="92"/>
        <v>285.36905470736582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4.9000000000000004</v>
      </c>
      <c r="BY97" s="13">
        <f>IF('Données projet'!$A$114&gt;35,BY96+BX97-CG96,IF(A97&lt;'Données projet'!$A$114,$BV$205^A97,IF(A97='Données projet'!$A$114,'Données projet'!$B$114,BY96+BX97-CG96)))</f>
        <v>273.59999999999997</v>
      </c>
      <c r="BZ97" s="14">
        <f>BY97*VLOOKUP('Données projet'!$B$12,Paramètres!$A$1:$I$89,3,0)*VLOOKUP('Données projet'!$B$12,Paramètres!$A$1:$I$89,5,0)</f>
        <v>247.55327999999994</v>
      </c>
      <c r="CA97" s="14">
        <f t="shared" si="93"/>
        <v>60.061713068870255</v>
      </c>
      <c r="CB97" s="22">
        <f t="shared" si="64"/>
        <v>535.76277959494894</v>
      </c>
      <c r="CC97" s="60">
        <f t="shared" si="65"/>
        <v>829.09611292828231</v>
      </c>
      <c r="CD97" s="60">
        <f ca="1">AVERAGE(OFFSET($CC$3,0,0,'Données projet'!$E$12+1,1))-AVERAGE(OFFSET($H$3,0,0,'Données projet'!$E$12+1,1))</f>
        <v>303.73499739059076</v>
      </c>
      <c r="CE97" s="60">
        <f t="shared" si="94"/>
        <v>172.32171001882188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4.9000000000000004</v>
      </c>
      <c r="CT97" s="13">
        <f>IF('Données projet'!$A$140&gt;35,CT96+CS97-DB96,IF(A97&lt;'Données projet'!$A$140,$CQ$205^A97,IF(A97='Données projet'!$A$140,'Données projet'!$B$140,CT96+CS97-DB96)))</f>
        <v>273.59999999999997</v>
      </c>
      <c r="CU97" s="18">
        <f>CT97*VLOOKUP('Données projet'!$B$13,Paramètres!$A$1:$I$89,3,0)*VLOOKUP('Données projet'!$B$13,Paramètres!$A$1:$I$89,5,0)</f>
        <v>277.43039999999996</v>
      </c>
      <c r="CV97" s="14">
        <f t="shared" si="95"/>
        <v>66.423687500715673</v>
      </c>
      <c r="CW97" s="22">
        <f t="shared" si="67"/>
        <v>598.87920239707967</v>
      </c>
      <c r="CX97" s="60">
        <f t="shared" si="68"/>
        <v>892.21253573041304</v>
      </c>
      <c r="CY97" s="60">
        <f ca="1">AVERAGE(OFFSET($CX$3,0,0,'Données projet'!$E$13+1,1))-AVERAGE(OFFSET($H$3,0,0,'Données projet'!$E$13+1,1))</f>
        <v>350.3652766444938</v>
      </c>
      <c r="CZ97" s="60">
        <f t="shared" si="96"/>
        <v>197.04549436738586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4.9000000000000004</v>
      </c>
      <c r="DO97" s="13">
        <f>IF('Données projet'!$A$166&gt;35,DO96+DN97-DW96,IF(A97&lt;'Données projet'!$A$166,$DL$205^A97,IF(A97='Données projet'!$A$166,'Données projet'!$B$166,DO96+DN97-DW96)))</f>
        <v>273.59999999999997</v>
      </c>
      <c r="DP97" s="18">
        <f>DO97*VLOOKUP('Données projet'!$B$14,Paramètres!$A$1:$I$89,3,0)*VLOOKUP('Données projet'!$B$14,Paramètres!$A$1:$I$89,5,0)</f>
        <v>294.50303999999994</v>
      </c>
      <c r="DQ97" s="14">
        <f t="shared" si="97"/>
        <v>70.022852154069838</v>
      </c>
      <c r="DR97" s="22">
        <f t="shared" si="70"/>
        <v>634.88259550167152</v>
      </c>
      <c r="DS97" s="60">
        <f t="shared" si="71"/>
        <v>928.21592883500489</v>
      </c>
      <c r="DT97" s="60">
        <f ca="1">AVERAGE(OFFSET($DS$3,0,0,'Données projet'!$E$14+1,1))-AVERAGE(OFFSET($H$3,0,0,'Données projet'!$E$14+1,1))</f>
        <v>376.96388721258387</v>
      </c>
      <c r="DU97" s="60">
        <f t="shared" si="98"/>
        <v>211.14628470344377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4.9000000000000004</v>
      </c>
      <c r="EJ97" s="13">
        <f>IF('Données projet'!$A$192&gt;35,EJ96+EI97-ER96,IF(A97&lt;'Données projet'!$A$192,$EG$205^A97,IF(A97='Données projet'!$A$192,'Données projet'!$B$192,EJ96+EI97-ER96)))</f>
        <v>273.59999999999997</v>
      </c>
      <c r="EK97" s="18">
        <f>EJ97*VLOOKUP('Données projet'!$B$15,Paramètres!$A$1:$I$89,3,0)*VLOOKUP('Données projet'!$B$15,Paramètres!$A$1:$I$89,5,0)</f>
        <v>264.62591999999995</v>
      </c>
      <c r="EL97" s="14">
        <f t="shared" si="99"/>
        <v>63.707422801198604</v>
      </c>
      <c r="EM97" s="22">
        <f t="shared" si="73"/>
        <v>571.84723871208746</v>
      </c>
      <c r="EN97" s="60">
        <f t="shared" si="74"/>
        <v>865.18057204542083</v>
      </c>
      <c r="EO97" s="60">
        <f ca="1">AVERAGE(OFFSET($EN$3,0,0,'Données projet'!$E$15+1,1))-AVERAGE(OFFSET($H$3,0,0,'Données projet'!$E$15+1,1))</f>
        <v>330.39429528665841</v>
      </c>
      <c r="EP97" s="60">
        <f t="shared" si="100"/>
        <v>186.45728006007261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8">
        <f t="shared" si="56"/>
        <v>409.96518850037501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-5.6843418860808015E-14</v>
      </c>
      <c r="O98" s="14">
        <f>N98*VLOOKUP('Données projet'!$B$9,Paramètres!$A$1:$I$89,3,0)*VLOOKUP('Données projet'!$B$9,Paramètres!$A$1:$I$89,5,0)</f>
        <v>-3.3992364478763198E-14</v>
      </c>
      <c r="P98" s="14" t="e">
        <f t="shared" si="87"/>
        <v>#NUM!</v>
      </c>
      <c r="Q98" s="22" t="e">
        <f t="shared" si="54"/>
        <v>#NUM!</v>
      </c>
      <c r="R98" s="60" t="e">
        <f t="shared" si="55"/>
        <v>#NUM!</v>
      </c>
      <c r="S98" s="60">
        <f ca="1">AVERAGE(OFFSET($R$3,0,0,'Données projet'!$E$9+1,1))-AVERAGE(OFFSET($H$3,0,0,'Données projet'!$E$9+1,1))</f>
        <v>155.11440101086782</v>
      </c>
      <c r="T98" s="60">
        <f t="shared" si="88"/>
        <v>239.53454701506638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3.7252920642820828</v>
      </c>
      <c r="AA98" s="23">
        <f>EXP(-LN(2)/25)*AA97+(1-EXP(-LN(2)/25))/(LN(2)/25)*Calculateur!V98*Calculateur!X98*VLOOKUP('Données projet'!$B$9,Paramètres!$A$1:$I$89,3,0)*0.475*44/12</f>
        <v>1.1944905705842888</v>
      </c>
      <c r="AB98" s="23">
        <f>EXP(-LN(2)/2)*AB97+(1-EXP(-LN(2)/2))/(LN(2)/2)*V98*Y98*VLOOKUP('Données projet'!$B$9,Paramètres!$A$1:$I$89,3,0)*0.475*44/12</f>
        <v>4.8550256658674177E-10</v>
      </c>
      <c r="AC98" s="24">
        <f t="shared" si="57"/>
        <v>4.9197826353518739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-3.4106051316484809E-13</v>
      </c>
      <c r="AJ98" s="14">
        <f>AI98*VLOOKUP('Données projet'!$B$10,Paramètres!$A$1:$I$89,3,0)*VLOOKUP('Données projet'!$B$10,Paramètres!$A$1:$I$89,5,0)</f>
        <v>-1.9065282685915009E-13</v>
      </c>
      <c r="AK98" s="14" t="e">
        <f t="shared" si="89"/>
        <v>#NUM!</v>
      </c>
      <c r="AL98" s="22" t="e">
        <f t="shared" si="58"/>
        <v>#NUM!</v>
      </c>
      <c r="AM98" s="60" t="e">
        <f t="shared" si="59"/>
        <v>#NUM!</v>
      </c>
      <c r="AN98" s="60">
        <f ca="1">AVERAGE(OFFSET($AM$3,0,0,'Données projet'!$E$10+1,1))-AVERAGE(OFFSET($H$3,0,0,'Données projet'!$E$10+1,1))</f>
        <v>302.20483575440988</v>
      </c>
      <c r="AO98" s="60">
        <f t="shared" si="90"/>
        <v>275.32862097158687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1.1403207766483303</v>
      </c>
      <c r="AW98" s="23">
        <f>EXP(-LN(2)/2)*AW97+(1-EXP(-LN(2)/2))/(LN(2)/2)*AQ98*AT98*VLOOKUP('Données projet'!$B$10,Paramètres!$A$1:$I$89,3,0)*0.475*44/12</f>
        <v>1.4498227500156249E-9</v>
      </c>
      <c r="AX98" s="23">
        <f t="shared" si="60"/>
        <v>1.140320778098153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284</v>
      </c>
      <c r="BB98" s="13">
        <f>VLOOKUP(A98,'Données projet'!$A$87:$I$107,9,0)</f>
        <v>3.2</v>
      </c>
      <c r="BC98" s="13">
        <f t="array" ref="BC98">INDEX(BB:BB,MIN(IF(ISNUMBER(BB98:BB294),ROW(BB98:BB294),"")))</f>
        <v>3.2</v>
      </c>
      <c r="BD98" s="13">
        <f>IF('Données projet'!$A$88&gt;35,BD97+BC98-BL97,IF(A98&lt;'Données projet'!$A$88,$BA$205^A98,IF(A98='Données projet'!$A$88,'Données projet'!$B$88,BD97+BC98-BL97)))</f>
        <v>283.99999999999989</v>
      </c>
      <c r="BE98" s="14">
        <f>BD98*VLOOKUP('Données projet'!$B$11,Paramètres!$A$1:$I$89,3,0)*VLOOKUP('Données projet'!$B$11,Paramètres!$A$1:$I$89,5,0)</f>
        <v>248.10239999999996</v>
      </c>
      <c r="BF98" s="14">
        <f t="shared" si="91"/>
        <v>60.179418356999925</v>
      </c>
      <c r="BG98" s="22">
        <f t="shared" si="61"/>
        <v>536.92416697177487</v>
      </c>
      <c r="BH98" s="60">
        <f t="shared" si="62"/>
        <v>830.25750030510812</v>
      </c>
      <c r="BI98" s="60">
        <f ca="1">AVERAGE(OFFSET($BH$3,0,0,'Données projet'!$E$11+1,1))-AVERAGE(OFFSET($H$3,0,0,'Données projet'!$E$11+1,1))</f>
        <v>314.62110015707839</v>
      </c>
      <c r="BJ98" s="60">
        <f t="shared" si="92"/>
        <v>285.36905470736582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4.9000000000000004</v>
      </c>
      <c r="BY98" s="13">
        <f>IF('Données projet'!$A$114&gt;35,BY97+BX98-CG97,IF(A98&lt;'Données projet'!$A$114,$BV$205^A98,IF(A98='Données projet'!$A$114,'Données projet'!$B$114,BY97+BX98-CG97)))</f>
        <v>278.49999999999994</v>
      </c>
      <c r="BZ98" s="14">
        <f>BY98*VLOOKUP('Données projet'!$B$12,Paramètres!$A$1:$I$89,3,0)*VLOOKUP('Données projet'!$B$12,Paramètres!$A$1:$I$89,5,0)</f>
        <v>251.98679999999993</v>
      </c>
      <c r="CA98" s="14">
        <f t="shared" si="93"/>
        <v>61.011187970195053</v>
      </c>
      <c r="CB98" s="22">
        <f t="shared" si="64"/>
        <v>545.13816238142283</v>
      </c>
      <c r="CC98" s="60">
        <f t="shared" si="65"/>
        <v>838.4714957147562</v>
      </c>
      <c r="CD98" s="60">
        <f ca="1">AVERAGE(OFFSET($CC$3,0,0,'Données projet'!$E$12+1,1))-AVERAGE(OFFSET($H$3,0,0,'Données projet'!$E$12+1,1))</f>
        <v>303.73499739059076</v>
      </c>
      <c r="CE98" s="60">
        <f t="shared" si="94"/>
        <v>172.32171001882188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4.9000000000000004</v>
      </c>
      <c r="CT98" s="13">
        <f>IF('Données projet'!$A$140&gt;35,CT97+CS98-DB97,IF(A98&lt;'Données projet'!$A$140,$CQ$205^A98,IF(A98='Données projet'!$A$140,'Données projet'!$B$140,CT97+CS98-DB97)))</f>
        <v>278.49999999999994</v>
      </c>
      <c r="CU98" s="18">
        <f>CT98*VLOOKUP('Données projet'!$B$13,Paramètres!$A$1:$I$89,3,0)*VLOOKUP('Données projet'!$B$13,Paramètres!$A$1:$I$89,5,0)</f>
        <v>282.399</v>
      </c>
      <c r="CV98" s="14">
        <f t="shared" si="95"/>
        <v>67.473734542548371</v>
      </c>
      <c r="CW98" s="22">
        <f t="shared" si="67"/>
        <v>609.36167932827175</v>
      </c>
      <c r="CX98" s="60">
        <f t="shared" si="68"/>
        <v>902.69501266160501</v>
      </c>
      <c r="CY98" s="60">
        <f ca="1">AVERAGE(OFFSET($CX$3,0,0,'Données projet'!$E$13+1,1))-AVERAGE(OFFSET($H$3,0,0,'Données projet'!$E$13+1,1))</f>
        <v>350.3652766444938</v>
      </c>
      <c r="CZ98" s="60">
        <f t="shared" si="96"/>
        <v>197.04549436738586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4.9000000000000004</v>
      </c>
      <c r="DO98" s="13">
        <f>IF('Données projet'!$A$166&gt;35,DO97+DN98-DW97,IF(A98&lt;'Données projet'!$A$166,$DL$205^A98,IF(A98='Données projet'!$A$166,'Données projet'!$B$166,DO97+DN98-DW97)))</f>
        <v>278.49999999999994</v>
      </c>
      <c r="DP98" s="18">
        <f>DO98*VLOOKUP('Données projet'!$B$14,Paramètres!$A$1:$I$89,3,0)*VLOOKUP('Données projet'!$B$14,Paramètres!$A$1:$I$89,5,0)</f>
        <v>299.77739999999989</v>
      </c>
      <c r="DQ98" s="14">
        <f t="shared" si="97"/>
        <v>71.129795949749251</v>
      </c>
      <c r="DR98" s="22">
        <f t="shared" si="70"/>
        <v>645.9966996124798</v>
      </c>
      <c r="DS98" s="60">
        <f t="shared" si="71"/>
        <v>939.33003294581317</v>
      </c>
      <c r="DT98" s="60">
        <f ca="1">AVERAGE(OFFSET($DS$3,0,0,'Données projet'!$E$14+1,1))-AVERAGE(OFFSET($H$3,0,0,'Données projet'!$E$14+1,1))</f>
        <v>376.96388721258387</v>
      </c>
      <c r="DU98" s="60">
        <f t="shared" si="98"/>
        <v>211.14628470344377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4.9000000000000004</v>
      </c>
      <c r="EJ98" s="13">
        <f>IF('Données projet'!$A$192&gt;35,EJ97+EI98-ER97,IF(A98&lt;'Données projet'!$A$192,$EG$205^A98,IF(A98='Données projet'!$A$192,'Données projet'!$B$192,EJ97+EI98-ER97)))</f>
        <v>278.49999999999994</v>
      </c>
      <c r="EK98" s="18">
        <f>EJ98*VLOOKUP('Données projet'!$B$15,Paramètres!$A$1:$I$89,3,0)*VLOOKUP('Données projet'!$B$15,Paramètres!$A$1:$I$89,5,0)</f>
        <v>269.36519999999996</v>
      </c>
      <c r="EL98" s="14">
        <f t="shared" si="99"/>
        <v>64.714530255967034</v>
      </c>
      <c r="EM98" s="22">
        <f t="shared" si="73"/>
        <v>581.85553019580914</v>
      </c>
      <c r="EN98" s="60">
        <f t="shared" si="74"/>
        <v>875.18886352914251</v>
      </c>
      <c r="EO98" s="60">
        <f ca="1">AVERAGE(OFFSET($EN$3,0,0,'Données projet'!$E$15+1,1))-AVERAGE(OFFSET($H$3,0,0,'Données projet'!$E$15+1,1))</f>
        <v>330.39429528665841</v>
      </c>
      <c r="EP98" s="60">
        <f t="shared" si="100"/>
        <v>186.45728006007261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8">
        <f t="shared" si="56"/>
        <v>411.1605288747171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-5.6843418860808015E-14</v>
      </c>
      <c r="O99" s="14">
        <f>N99*VLOOKUP('Données projet'!$B$9,Paramètres!$A$1:$I$89,3,0)*VLOOKUP('Données projet'!$B$9,Paramètres!$A$1:$I$89,5,0)</f>
        <v>-3.3992364478763198E-14</v>
      </c>
      <c r="P99" s="14" t="e">
        <f t="shared" si="87"/>
        <v>#NUM!</v>
      </c>
      <c r="Q99" s="22" t="e">
        <f t="shared" ref="Q99:Q130" si="107">(O99+P99)*0.475*44/12</f>
        <v>#NUM!</v>
      </c>
      <c r="R99" s="60" t="e">
        <f t="shared" si="55"/>
        <v>#NUM!</v>
      </c>
      <c r="S99" s="60">
        <f ca="1">AVERAGE(OFFSET($R$3,0,0,'Données projet'!$E$9+1,1))-AVERAGE(OFFSET($H$3,0,0,'Données projet'!$E$9+1,1))</f>
        <v>155.11440101086782</v>
      </c>
      <c r="T99" s="60">
        <f t="shared" si="88"/>
        <v>239.53454701506638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3.6522413591053091</v>
      </c>
      <c r="AA99" s="23">
        <f>EXP(-LN(2)/25)*AA98+(1-EXP(-LN(2)/25))/(LN(2)/25)*Calculateur!V99*Calculateur!X99*VLOOKUP('Données projet'!$B$9,Paramètres!$A$1:$I$89,3,0)*0.475*44/12</f>
        <v>1.1618271631161323</v>
      </c>
      <c r="AB99" s="23">
        <f>EXP(-LN(2)/2)*AB98+(1-EXP(-LN(2)/2))/(LN(2)/2)*V99*Y99*VLOOKUP('Données projet'!$B$9,Paramètres!$A$1:$I$89,3,0)*0.475*44/12</f>
        <v>3.4330215711695844E-10</v>
      </c>
      <c r="AC99" s="24">
        <f t="shared" si="57"/>
        <v>4.8140685225647442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-3.4106051316484809E-13</v>
      </c>
      <c r="AJ99" s="14">
        <f>AI99*VLOOKUP('Données projet'!$B$10,Paramètres!$A$1:$I$89,3,0)*VLOOKUP('Données projet'!$B$10,Paramètres!$A$1:$I$89,5,0)</f>
        <v>-1.9065282685915009E-13</v>
      </c>
      <c r="AK99" s="14" t="e">
        <f t="shared" si="89"/>
        <v>#NUM!</v>
      </c>
      <c r="AL99" s="22" t="e">
        <f t="shared" si="58"/>
        <v>#NUM!</v>
      </c>
      <c r="AM99" s="60" t="e">
        <f t="shared" si="59"/>
        <v>#NUM!</v>
      </c>
      <c r="AN99" s="60">
        <f ca="1">AVERAGE(OFFSET($AM$3,0,0,'Données projet'!$E$10+1,1))-AVERAGE(OFFSET($H$3,0,0,'Données projet'!$E$10+1,1))</f>
        <v>302.20483575440988</v>
      </c>
      <c r="AO99" s="60">
        <f t="shared" si="90"/>
        <v>275.32862097158687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1.1091386450440184</v>
      </c>
      <c r="AW99" s="23">
        <f>EXP(-LN(2)/2)*AW98+(1-EXP(-LN(2)/2))/(LN(2)/2)*AQ99*AT99*VLOOKUP('Données projet'!$B$10,Paramètres!$A$1:$I$89,3,0)*0.475*44/12</f>
        <v>1.0251794980545771E-9</v>
      </c>
      <c r="AX99" s="23">
        <f t="shared" si="60"/>
        <v>1.1091386460691979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3.2</v>
      </c>
      <c r="BD99" s="13">
        <f>IF('Données projet'!$A$88&gt;35,BD98+BC99-BL98,IF(A99&lt;'Données projet'!$A$88,$BA$205^A99,IF(A99='Données projet'!$A$88,'Données projet'!$B$88,BD98+BC99-BL98)))</f>
        <v>287.19999999999987</v>
      </c>
      <c r="BE99" s="14">
        <f>BD99*VLOOKUP('Données projet'!$B$11,Paramètres!$A$1:$I$89,3,0)*VLOOKUP('Données projet'!$B$11,Paramètres!$A$1:$I$89,5,0)</f>
        <v>250.89791999999991</v>
      </c>
      <c r="BF99" s="14">
        <f t="shared" si="91"/>
        <v>60.77817676710854</v>
      </c>
      <c r="BG99" s="22">
        <f t="shared" si="61"/>
        <v>542.8358685360472</v>
      </c>
      <c r="BH99" s="60">
        <f t="shared" si="62"/>
        <v>836.16920186938046</v>
      </c>
      <c r="BI99" s="60">
        <f ca="1">AVERAGE(OFFSET($BH$3,0,0,'Données projet'!$E$11+1,1))-AVERAGE(OFFSET($H$3,0,0,'Données projet'!$E$11+1,1))</f>
        <v>314.62110015707839</v>
      </c>
      <c r="BJ99" s="60">
        <f t="shared" si="92"/>
        <v>285.36905470736582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4.9000000000000004</v>
      </c>
      <c r="BY99" s="13">
        <f>IF('Données projet'!$A$114&gt;35,BY98+BX99-CG98,IF(A99&lt;'Données projet'!$A$114,$BV$205^A99,IF(A99='Données projet'!$A$114,'Données projet'!$B$114,BY98+BX99-CG98)))</f>
        <v>283.39999999999992</v>
      </c>
      <c r="BZ99" s="14">
        <f>BY99*VLOOKUP('Données projet'!$B$12,Paramètres!$A$1:$I$89,3,0)*VLOOKUP('Données projet'!$B$12,Paramètres!$A$1:$I$89,5,0)</f>
        <v>256.42031999999989</v>
      </c>
      <c r="CA99" s="14">
        <f t="shared" si="93"/>
        <v>61.958720258016918</v>
      </c>
      <c r="CB99" s="22">
        <f t="shared" si="64"/>
        <v>554.51016178271254</v>
      </c>
      <c r="CC99" s="60">
        <f t="shared" si="65"/>
        <v>847.84349511604591</v>
      </c>
      <c r="CD99" s="60">
        <f ca="1">AVERAGE(OFFSET($CC$3,0,0,'Données projet'!$E$12+1,1))-AVERAGE(OFFSET($H$3,0,0,'Données projet'!$E$12+1,1))</f>
        <v>303.73499739059076</v>
      </c>
      <c r="CE99" s="60">
        <f t="shared" si="94"/>
        <v>172.32171001882188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4.9000000000000004</v>
      </c>
      <c r="CT99" s="13">
        <f>IF('Données projet'!$A$140&gt;35,CT98+CS99-DB98,IF(A99&lt;'Données projet'!$A$140,$CQ$205^A99,IF(A99='Données projet'!$A$140,'Données projet'!$B$140,CT98+CS99-DB98)))</f>
        <v>283.39999999999992</v>
      </c>
      <c r="CU99" s="18">
        <f>CT99*VLOOKUP('Données projet'!$B$13,Paramètres!$A$1:$I$89,3,0)*VLOOKUP('Données projet'!$B$13,Paramètres!$A$1:$I$89,5,0)</f>
        <v>287.36759999999992</v>
      </c>
      <c r="CV99" s="14">
        <f t="shared" si="95"/>
        <v>68.521633201565123</v>
      </c>
      <c r="CW99" s="22">
        <f t="shared" si="67"/>
        <v>619.84041449272581</v>
      </c>
      <c r="CX99" s="60">
        <f t="shared" si="68"/>
        <v>913.17374782605907</v>
      </c>
      <c r="CY99" s="60">
        <f ca="1">AVERAGE(OFFSET($CX$3,0,0,'Données projet'!$E$13+1,1))-AVERAGE(OFFSET($H$3,0,0,'Données projet'!$E$13+1,1))</f>
        <v>350.3652766444938</v>
      </c>
      <c r="CZ99" s="60">
        <f t="shared" si="96"/>
        <v>197.04549436738586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4.9000000000000004</v>
      </c>
      <c r="DO99" s="13">
        <f>IF('Données projet'!$A$166&gt;35,DO98+DN99-DW98,IF(A99&lt;'Données projet'!$A$166,$DL$205^A99,IF(A99='Données projet'!$A$166,'Données projet'!$B$166,DO98+DN99-DW98)))</f>
        <v>283.39999999999992</v>
      </c>
      <c r="DP99" s="18">
        <f>DO99*VLOOKUP('Données projet'!$B$14,Paramètres!$A$1:$I$89,3,0)*VLOOKUP('Données projet'!$B$14,Paramètres!$A$1:$I$89,5,0)</f>
        <v>305.05175999999989</v>
      </c>
      <c r="DQ99" s="14">
        <f t="shared" si="97"/>
        <v>72.23447495258219</v>
      </c>
      <c r="DR99" s="22">
        <f t="shared" si="70"/>
        <v>657.10685920908043</v>
      </c>
      <c r="DS99" s="60">
        <f t="shared" si="71"/>
        <v>950.4401925424138</v>
      </c>
      <c r="DT99" s="60">
        <f ca="1">AVERAGE(OFFSET($DS$3,0,0,'Données projet'!$E$14+1,1))-AVERAGE(OFFSET($H$3,0,0,'Données projet'!$E$14+1,1))</f>
        <v>376.96388721258387</v>
      </c>
      <c r="DU99" s="60">
        <f t="shared" si="98"/>
        <v>211.14628470344377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4.9000000000000004</v>
      </c>
      <c r="EJ99" s="13">
        <f>IF('Données projet'!$A$192&gt;35,EJ98+EI99-ER98,IF(A99&lt;'Données projet'!$A$192,$EG$205^A99,IF(A99='Données projet'!$A$192,'Données projet'!$B$192,EJ98+EI99-ER98)))</f>
        <v>283.39999999999992</v>
      </c>
      <c r="EK99" s="18">
        <f>EJ99*VLOOKUP('Données projet'!$B$15,Paramètres!$A$1:$I$89,3,0)*VLOOKUP('Données projet'!$B$15,Paramètres!$A$1:$I$89,5,0)</f>
        <v>274.10447999999991</v>
      </c>
      <c r="EL99" s="14">
        <f t="shared" si="99"/>
        <v>65.719577181765516</v>
      </c>
      <c r="EM99" s="22">
        <f t="shared" si="73"/>
        <v>591.86023292490802</v>
      </c>
      <c r="EN99" s="60">
        <f t="shared" si="74"/>
        <v>885.19356625824139</v>
      </c>
      <c r="EO99" s="60">
        <f ca="1">AVERAGE(OFFSET($EN$3,0,0,'Données projet'!$E$15+1,1))-AVERAGE(OFFSET($H$3,0,0,'Données projet'!$E$15+1,1))</f>
        <v>330.39429528665841</v>
      </c>
      <c r="EP99" s="60">
        <f t="shared" si="100"/>
        <v>186.45728006007261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8">
        <f t="shared" si="56"/>
        <v>412.35557309963951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-5.6843418860808015E-14</v>
      </c>
      <c r="O100" s="14">
        <f>N100*VLOOKUP('Données projet'!$B$9,Paramètres!$A$1:$I$89,3,0)*VLOOKUP('Données projet'!$B$9,Paramètres!$A$1:$I$89,5,0)</f>
        <v>-3.3992364478763198E-14</v>
      </c>
      <c r="P100" s="14" t="e">
        <f t="shared" si="87"/>
        <v>#NUM!</v>
      </c>
      <c r="Q100" s="22" t="e">
        <f t="shared" si="107"/>
        <v>#NUM!</v>
      </c>
      <c r="R100" s="60" t="e">
        <f t="shared" si="55"/>
        <v>#NUM!</v>
      </c>
      <c r="S100" s="60">
        <f ca="1">AVERAGE(OFFSET($R$3,0,0,'Données projet'!$E$9+1,1))-AVERAGE(OFFSET($H$3,0,0,'Données projet'!$E$9+1,1))</f>
        <v>155.11440101086782</v>
      </c>
      <c r="T100" s="60">
        <f t="shared" si="88"/>
        <v>239.53454701506638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3.580623133700521</v>
      </c>
      <c r="AA100" s="23">
        <f>EXP(-LN(2)/25)*AA99+(1-EXP(-LN(2)/25))/(LN(2)/25)*Calculateur!V100*Calculateur!X100*VLOOKUP('Données projet'!$B$9,Paramètres!$A$1:$I$89,3,0)*0.475*44/12</f>
        <v>1.1300569382428867</v>
      </c>
      <c r="AB100" s="23">
        <f>EXP(-LN(2)/2)*AB99+(1-EXP(-LN(2)/2))/(LN(2)/2)*V100*Y100*VLOOKUP('Données projet'!$B$9,Paramètres!$A$1:$I$89,3,0)*0.475*44/12</f>
        <v>2.4275128329337089E-10</v>
      </c>
      <c r="AC100" s="24">
        <f t="shared" si="57"/>
        <v>4.7106800721861593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-3.4106051316484809E-13</v>
      </c>
      <c r="AJ100" s="14">
        <f>AI100*VLOOKUP('Données projet'!$B$10,Paramètres!$A$1:$I$89,3,0)*VLOOKUP('Données projet'!$B$10,Paramètres!$A$1:$I$89,5,0)</f>
        <v>-1.9065282685915009E-13</v>
      </c>
      <c r="AK100" s="14" t="e">
        <f t="shared" si="89"/>
        <v>#NUM!</v>
      </c>
      <c r="AL100" s="22" t="e">
        <f t="shared" si="58"/>
        <v>#NUM!</v>
      </c>
      <c r="AM100" s="60" t="e">
        <f t="shared" si="59"/>
        <v>#NUM!</v>
      </c>
      <c r="AN100" s="60">
        <f ca="1">AVERAGE(OFFSET($AM$3,0,0,'Données projet'!$E$10+1,1))-AVERAGE(OFFSET($H$3,0,0,'Données projet'!$E$10+1,1))</f>
        <v>302.20483575440988</v>
      </c>
      <c r="AO100" s="60">
        <f t="shared" si="90"/>
        <v>275.32862097158687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1.0788091904682233</v>
      </c>
      <c r="AW100" s="23">
        <f>EXP(-LN(2)/2)*AW99+(1-EXP(-LN(2)/2))/(LN(2)/2)*AQ100*AT100*VLOOKUP('Données projet'!$B$10,Paramètres!$A$1:$I$89,3,0)*0.475*44/12</f>
        <v>7.2491137500781247E-10</v>
      </c>
      <c r="AX100" s="23">
        <f t="shared" si="60"/>
        <v>1.0788091911931348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3.2</v>
      </c>
      <c r="BD100" s="13">
        <f>IF('Données projet'!$A$88&gt;35,BD99+BC100-BL99,IF(A100&lt;'Données projet'!$A$88,$BA$205^A100,IF(A100='Données projet'!$A$88,'Données projet'!$B$88,BD99+BC100-BL99)))</f>
        <v>290.39999999999986</v>
      </c>
      <c r="BE100" s="14">
        <f>BD100*VLOOKUP('Données projet'!$B$11,Paramètres!$A$1:$I$89,3,0)*VLOOKUP('Données projet'!$B$11,Paramètres!$A$1:$I$89,5,0)</f>
        <v>253.69343999999992</v>
      </c>
      <c r="BF100" s="14">
        <f t="shared" si="91"/>
        <v>61.376159112289358</v>
      </c>
      <c r="BG100" s="22">
        <f t="shared" si="61"/>
        <v>548.74621845390379</v>
      </c>
      <c r="BH100" s="60">
        <f t="shared" si="62"/>
        <v>842.07955178723705</v>
      </c>
      <c r="BI100" s="60">
        <f ca="1">AVERAGE(OFFSET($BH$3,0,0,'Données projet'!$E$11+1,1))-AVERAGE(OFFSET($H$3,0,0,'Données projet'!$E$11+1,1))</f>
        <v>314.62110015707839</v>
      </c>
      <c r="BJ100" s="60">
        <f t="shared" si="92"/>
        <v>285.36905470736582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4.9000000000000004</v>
      </c>
      <c r="BY100" s="13">
        <f>IF('Données projet'!$A$114&gt;35,BY99+BX100-CG99,IF(A100&lt;'Données projet'!$A$114,$BV$205^A100,IF(A100='Données projet'!$A$114,'Données projet'!$B$114,BY99+BX100-CG99)))</f>
        <v>288.2999999999999</v>
      </c>
      <c r="BZ100" s="14">
        <f>BY100*VLOOKUP('Données projet'!$B$12,Paramètres!$A$1:$I$89,3,0)*VLOOKUP('Données projet'!$B$12,Paramètres!$A$1:$I$89,5,0)</f>
        <v>260.85383999999993</v>
      </c>
      <c r="CA100" s="14">
        <f t="shared" si="93"/>
        <v>62.904347395903763</v>
      </c>
      <c r="CB100" s="22">
        <f t="shared" si="64"/>
        <v>563.87884304786564</v>
      </c>
      <c r="CC100" s="60">
        <f t="shared" si="65"/>
        <v>857.21217638119901</v>
      </c>
      <c r="CD100" s="60">
        <f ca="1">AVERAGE(OFFSET($CC$3,0,0,'Données projet'!$E$12+1,1))-AVERAGE(OFFSET($H$3,0,0,'Données projet'!$E$12+1,1))</f>
        <v>303.73499739059076</v>
      </c>
      <c r="CE100" s="60">
        <f t="shared" si="94"/>
        <v>172.32171001882188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4.9000000000000004</v>
      </c>
      <c r="CT100" s="13">
        <f>IF('Données projet'!$A$140&gt;35,CT99+CS100-DB99,IF(A100&lt;'Données projet'!$A$140,$CQ$205^A100,IF(A100='Données projet'!$A$140,'Données projet'!$B$140,CT99+CS100-DB99)))</f>
        <v>288.2999999999999</v>
      </c>
      <c r="CU100" s="18">
        <f>CT100*VLOOKUP('Données projet'!$B$13,Paramètres!$A$1:$I$89,3,0)*VLOOKUP('Données projet'!$B$13,Paramètres!$A$1:$I$89,5,0)</f>
        <v>292.33619999999996</v>
      </c>
      <c r="CV100" s="14">
        <f t="shared" si="95"/>
        <v>69.56742490962327</v>
      </c>
      <c r="CW100" s="22">
        <f t="shared" si="67"/>
        <v>630.31548005092702</v>
      </c>
      <c r="CX100" s="60">
        <f t="shared" si="68"/>
        <v>923.64881338426039</v>
      </c>
      <c r="CY100" s="60">
        <f ca="1">AVERAGE(OFFSET($CX$3,0,0,'Données projet'!$E$13+1,1))-AVERAGE(OFFSET($H$3,0,0,'Données projet'!$E$13+1,1))</f>
        <v>350.3652766444938</v>
      </c>
      <c r="CZ100" s="60">
        <f t="shared" si="96"/>
        <v>197.04549436738586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4.9000000000000004</v>
      </c>
      <c r="DO100" s="13">
        <f>IF('Données projet'!$A$166&gt;35,DO99+DN100-DW99,IF(A100&lt;'Données projet'!$A$166,$DL$205^A100,IF(A100='Données projet'!$A$166,'Données projet'!$B$166,DO99+DN100-DW99)))</f>
        <v>288.2999999999999</v>
      </c>
      <c r="DP100" s="18">
        <f>DO100*VLOOKUP('Données projet'!$B$14,Paramètres!$A$1:$I$89,3,0)*VLOOKUP('Données projet'!$B$14,Paramètres!$A$1:$I$89,5,0)</f>
        <v>310.32611999999989</v>
      </c>
      <c r="DQ100" s="14">
        <f t="shared" si="97"/>
        <v>73.336932839409357</v>
      </c>
      <c r="DR100" s="22">
        <f t="shared" si="70"/>
        <v>668.21315036197109</v>
      </c>
      <c r="DS100" s="60">
        <f t="shared" si="71"/>
        <v>961.54648369530446</v>
      </c>
      <c r="DT100" s="60">
        <f ca="1">AVERAGE(OFFSET($DS$3,0,0,'Données projet'!$E$14+1,1))-AVERAGE(OFFSET($H$3,0,0,'Données projet'!$E$14+1,1))</f>
        <v>376.96388721258387</v>
      </c>
      <c r="DU100" s="60">
        <f t="shared" si="98"/>
        <v>211.14628470344377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4.9000000000000004</v>
      </c>
      <c r="EJ100" s="13">
        <f>IF('Données projet'!$A$192&gt;35,EJ99+EI100-ER99,IF(A100&lt;'Données projet'!$A$192,$EG$205^A100,IF(A100='Données projet'!$A$192,'Données projet'!$B$192,EJ99+EI100-ER99)))</f>
        <v>288.2999999999999</v>
      </c>
      <c r="EK100" s="18">
        <f>EJ100*VLOOKUP('Données projet'!$B$15,Paramètres!$A$1:$I$89,3,0)*VLOOKUP('Données projet'!$B$15,Paramètres!$A$1:$I$89,5,0)</f>
        <v>278.84375999999992</v>
      </c>
      <c r="EL100" s="14">
        <f t="shared" si="99"/>
        <v>66.722603316177725</v>
      </c>
      <c r="EM100" s="22">
        <f t="shared" si="73"/>
        <v>601.86141610900938</v>
      </c>
      <c r="EN100" s="60">
        <f t="shared" si="74"/>
        <v>895.19474944234275</v>
      </c>
      <c r="EO100" s="60">
        <f ca="1">AVERAGE(OFFSET($EN$3,0,0,'Données projet'!$E$15+1,1))-AVERAGE(OFFSET($H$3,0,0,'Données projet'!$E$15+1,1))</f>
        <v>330.39429528665841</v>
      </c>
      <c r="EP100" s="60">
        <f t="shared" si="100"/>
        <v>186.45728006007261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8">
        <f t="shared" si="56"/>
        <v>413.55032458168552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-5.6843418860808015E-14</v>
      </c>
      <c r="O101" s="14">
        <f>N101*VLOOKUP('Données projet'!$B$9,Paramètres!$A$1:$I$89,3,0)*VLOOKUP('Données projet'!$B$9,Paramètres!$A$1:$I$89,5,0)</f>
        <v>-3.3992364478763198E-14</v>
      </c>
      <c r="P101" s="14" t="e">
        <f t="shared" si="87"/>
        <v>#NUM!</v>
      </c>
      <c r="Q101" s="22" t="e">
        <f t="shared" si="107"/>
        <v>#NUM!</v>
      </c>
      <c r="R101" s="60" t="e">
        <f t="shared" si="55"/>
        <v>#NUM!</v>
      </c>
      <c r="S101" s="60">
        <f ca="1">AVERAGE(OFFSET($R$3,0,0,'Données projet'!$E$9+1,1))-AVERAGE(OFFSET($H$3,0,0,'Données projet'!$E$9+1,1))</f>
        <v>155.11440101086782</v>
      </c>
      <c r="T101" s="60">
        <f t="shared" si="88"/>
        <v>239.53454701506638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3.510409298013117</v>
      </c>
      <c r="AA101" s="23">
        <f>EXP(-LN(2)/25)*AA100+(1-EXP(-LN(2)/25))/(LN(2)/25)*Calculateur!V101*Calculateur!X101*VLOOKUP('Données projet'!$B$9,Paramètres!$A$1:$I$89,3,0)*0.475*44/12</f>
        <v>1.0991554718395233</v>
      </c>
      <c r="AB101" s="23">
        <f>EXP(-LN(2)/2)*AB100+(1-EXP(-LN(2)/2))/(LN(2)/2)*V101*Y101*VLOOKUP('Données projet'!$B$9,Paramètres!$A$1:$I$89,3,0)*0.475*44/12</f>
        <v>1.7165107855847922E-10</v>
      </c>
      <c r="AC101" s="24">
        <f t="shared" si="57"/>
        <v>4.6095647700242912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-3.4106051316484809E-13</v>
      </c>
      <c r="AJ101" s="14">
        <f>AI101*VLOOKUP('Données projet'!$B$10,Paramètres!$A$1:$I$89,3,0)*VLOOKUP('Données projet'!$B$10,Paramètres!$A$1:$I$89,5,0)</f>
        <v>-1.9065282685915009E-13</v>
      </c>
      <c r="AK101" s="14" t="e">
        <f t="shared" si="89"/>
        <v>#NUM!</v>
      </c>
      <c r="AL101" s="22" t="e">
        <f t="shared" si="58"/>
        <v>#NUM!</v>
      </c>
      <c r="AM101" s="60" t="e">
        <f t="shared" si="59"/>
        <v>#NUM!</v>
      </c>
      <c r="AN101" s="60">
        <f ca="1">AVERAGE(OFFSET($AM$3,0,0,'Données projet'!$E$10+1,1))-AVERAGE(OFFSET($H$3,0,0,'Données projet'!$E$10+1,1))</f>
        <v>302.20483575440988</v>
      </c>
      <c r="AO101" s="60">
        <f t="shared" si="90"/>
        <v>275.32862097158687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1.04930909642276</v>
      </c>
      <c r="AW101" s="23">
        <f>EXP(-LN(2)/2)*AW100+(1-EXP(-LN(2)/2))/(LN(2)/2)*AQ101*AT101*VLOOKUP('Données projet'!$B$10,Paramètres!$A$1:$I$89,3,0)*0.475*44/12</f>
        <v>5.1258974902728855E-10</v>
      </c>
      <c r="AX101" s="23">
        <f t="shared" si="60"/>
        <v>1.0493090969353498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3.2</v>
      </c>
      <c r="BD101" s="13">
        <f>IF('Données projet'!$A$88&gt;35,BD100+BC101-BL100,IF(A101&lt;'Données projet'!$A$88,$BA$205^A101,IF(A101='Données projet'!$A$88,'Données projet'!$B$88,BD100+BC101-BL100)))</f>
        <v>293.59999999999985</v>
      </c>
      <c r="BE101" s="14">
        <f>BD101*VLOOKUP('Données projet'!$B$11,Paramètres!$A$1:$I$89,3,0)*VLOOKUP('Données projet'!$B$11,Paramètres!$A$1:$I$89,5,0)</f>
        <v>256.48895999999991</v>
      </c>
      <c r="BF101" s="14">
        <f t="shared" si="91"/>
        <v>61.973374933905369</v>
      </c>
      <c r="BG101" s="22">
        <f t="shared" si="61"/>
        <v>554.65523334321836</v>
      </c>
      <c r="BH101" s="60">
        <f t="shared" si="62"/>
        <v>847.98856667655173</v>
      </c>
      <c r="BI101" s="60">
        <f ca="1">AVERAGE(OFFSET($BH$3,0,0,'Données projet'!$E$11+1,1))-AVERAGE(OFFSET($H$3,0,0,'Données projet'!$E$11+1,1))</f>
        <v>314.62110015707839</v>
      </c>
      <c r="BJ101" s="60">
        <f t="shared" si="92"/>
        <v>285.36905470736582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4.9000000000000004</v>
      </c>
      <c r="BY101" s="13">
        <f>IF('Données projet'!$A$114&gt;35,BY100+BX101-CG100,IF(A101&lt;'Données projet'!$A$114,$BV$205^A101,IF(A101='Données projet'!$A$114,'Données projet'!$B$114,BY100+BX101-CG100)))</f>
        <v>293.19999999999987</v>
      </c>
      <c r="BZ101" s="14">
        <f>BY101*VLOOKUP('Données projet'!$B$12,Paramètres!$A$1:$I$89,3,0)*VLOOKUP('Données projet'!$B$12,Paramètres!$A$1:$I$89,5,0)</f>
        <v>265.28735999999992</v>
      </c>
      <c r="CA101" s="14">
        <f t="shared" si="93"/>
        <v>63.84810550096995</v>
      </c>
      <c r="CB101" s="22">
        <f t="shared" si="64"/>
        <v>573.24426908085582</v>
      </c>
      <c r="CC101" s="60">
        <f t="shared" si="65"/>
        <v>866.57760241418919</v>
      </c>
      <c r="CD101" s="60">
        <f ca="1">AVERAGE(OFFSET($CC$3,0,0,'Données projet'!$E$12+1,1))-AVERAGE(OFFSET($H$3,0,0,'Données projet'!$E$12+1,1))</f>
        <v>303.73499739059076</v>
      </c>
      <c r="CE101" s="60">
        <f t="shared" si="94"/>
        <v>172.32171001882188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4.9000000000000004</v>
      </c>
      <c r="CT101" s="13">
        <f>IF('Données projet'!$A$140&gt;35,CT100+CS101-DB100,IF(A101&lt;'Données projet'!$A$140,$CQ$205^A101,IF(A101='Données projet'!$A$140,'Données projet'!$B$140,CT100+CS101-DB100)))</f>
        <v>293.19999999999987</v>
      </c>
      <c r="CU101" s="18">
        <f>CT101*VLOOKUP('Données projet'!$B$13,Paramètres!$A$1:$I$89,3,0)*VLOOKUP('Données projet'!$B$13,Paramètres!$A$1:$I$89,5,0)</f>
        <v>297.30479999999989</v>
      </c>
      <c r="CV101" s="14">
        <f t="shared" si="95"/>
        <v>70.611149609504906</v>
      </c>
      <c r="CW101" s="22">
        <f t="shared" si="67"/>
        <v>640.78694556988739</v>
      </c>
      <c r="CX101" s="60">
        <f t="shared" si="68"/>
        <v>934.12027890322065</v>
      </c>
      <c r="CY101" s="60">
        <f ca="1">AVERAGE(OFFSET($CX$3,0,0,'Données projet'!$E$13+1,1))-AVERAGE(OFFSET($H$3,0,0,'Données projet'!$E$13+1,1))</f>
        <v>350.3652766444938</v>
      </c>
      <c r="CZ101" s="60">
        <f t="shared" si="96"/>
        <v>197.04549436738586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4.9000000000000004</v>
      </c>
      <c r="DO101" s="13">
        <f>IF('Données projet'!$A$166&gt;35,DO100+DN101-DW100,IF(A101&lt;'Données projet'!$A$166,$DL$205^A101,IF(A101='Données projet'!$A$166,'Données projet'!$B$166,DO100+DN101-DW100)))</f>
        <v>293.19999999999987</v>
      </c>
      <c r="DP101" s="18">
        <f>DO101*VLOOKUP('Données projet'!$B$14,Paramètres!$A$1:$I$89,3,0)*VLOOKUP('Données projet'!$B$14,Paramètres!$A$1:$I$89,5,0)</f>
        <v>315.60047999999989</v>
      </c>
      <c r="DQ101" s="14">
        <f t="shared" si="97"/>
        <v>74.437211717310802</v>
      </c>
      <c r="DR101" s="22">
        <f t="shared" si="70"/>
        <v>679.31564640764952</v>
      </c>
      <c r="DS101" s="60">
        <f t="shared" si="71"/>
        <v>972.6489797409829</v>
      </c>
      <c r="DT101" s="60">
        <f ca="1">AVERAGE(OFFSET($DS$3,0,0,'Données projet'!$E$14+1,1))-AVERAGE(OFFSET($H$3,0,0,'Données projet'!$E$14+1,1))</f>
        <v>376.96388721258387</v>
      </c>
      <c r="DU101" s="60">
        <f t="shared" si="98"/>
        <v>211.14628470344377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4.9000000000000004</v>
      </c>
      <c r="EJ101" s="13">
        <f>IF('Données projet'!$A$192&gt;35,EJ100+EI101-ER100,IF(A101&lt;'Données projet'!$A$192,$EG$205^A101,IF(A101='Données projet'!$A$192,'Données projet'!$B$192,EJ100+EI101-ER100)))</f>
        <v>293.19999999999987</v>
      </c>
      <c r="EK101" s="18">
        <f>EJ101*VLOOKUP('Données projet'!$B$15,Paramètres!$A$1:$I$89,3,0)*VLOOKUP('Données projet'!$B$15,Paramètres!$A$1:$I$89,5,0)</f>
        <v>283.58303999999993</v>
      </c>
      <c r="EL101" s="14">
        <f t="shared" si="99"/>
        <v>67.723646968605209</v>
      </c>
      <c r="EM101" s="22">
        <f t="shared" si="73"/>
        <v>611.85914647032064</v>
      </c>
      <c r="EN101" s="60">
        <f t="shared" si="74"/>
        <v>905.1924798036539</v>
      </c>
      <c r="EO101" s="60">
        <f ca="1">AVERAGE(OFFSET($EN$3,0,0,'Données projet'!$E$15+1,1))-AVERAGE(OFFSET($H$3,0,0,'Données projet'!$E$15+1,1))</f>
        <v>330.39429528665841</v>
      </c>
      <c r="EP101" s="60">
        <f t="shared" si="100"/>
        <v>186.45728006007261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8">
        <f t="shared" si="56"/>
        <v>414.74478665387051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-5.6843418860808015E-14</v>
      </c>
      <c r="O102" s="14">
        <f>N102*VLOOKUP('Données projet'!$B$9,Paramètres!$A$1:$I$89,3,0)*VLOOKUP('Données projet'!$B$9,Paramètres!$A$1:$I$89,5,0)</f>
        <v>-3.3992364478763198E-14</v>
      </c>
      <c r="P102" s="14" t="e">
        <f t="shared" si="87"/>
        <v>#NUM!</v>
      </c>
      <c r="Q102" s="22" t="e">
        <f t="shared" si="107"/>
        <v>#NUM!</v>
      </c>
      <c r="R102" s="60" t="e">
        <f t="shared" si="55"/>
        <v>#NUM!</v>
      </c>
      <c r="S102" s="60">
        <f ca="1">AVERAGE(OFFSET($R$3,0,0,'Données projet'!$E$9+1,1))-AVERAGE(OFFSET($H$3,0,0,'Données projet'!$E$9+1,1))</f>
        <v>155.11440101086782</v>
      </c>
      <c r="T102" s="60">
        <f t="shared" si="88"/>
        <v>239.53454701506638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3.4415723128173319</v>
      </c>
      <c r="AA102" s="23">
        <f>EXP(-LN(2)/25)*AA101+(1-EXP(-LN(2)/25))/(LN(2)/25)*Calculateur!V102*Calculateur!X102*VLOOKUP('Données projet'!$B$9,Paramètres!$A$1:$I$89,3,0)*0.475*44/12</f>
        <v>1.0690990076599975</v>
      </c>
      <c r="AB102" s="23">
        <f>EXP(-LN(2)/2)*AB101+(1-EXP(-LN(2)/2))/(LN(2)/2)*V102*Y102*VLOOKUP('Données projet'!$B$9,Paramètres!$A$1:$I$89,3,0)*0.475*44/12</f>
        <v>1.2137564164668544E-10</v>
      </c>
      <c r="AC102" s="24">
        <f t="shared" si="57"/>
        <v>4.5106713205987052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-3.4106051316484809E-13</v>
      </c>
      <c r="AJ102" s="14">
        <f>AI102*VLOOKUP('Données projet'!$B$10,Paramètres!$A$1:$I$89,3,0)*VLOOKUP('Données projet'!$B$10,Paramètres!$A$1:$I$89,5,0)</f>
        <v>-1.9065282685915009E-13</v>
      </c>
      <c r="AK102" s="14" t="e">
        <f t="shared" si="89"/>
        <v>#NUM!</v>
      </c>
      <c r="AL102" s="22" t="e">
        <f t="shared" si="58"/>
        <v>#NUM!</v>
      </c>
      <c r="AM102" s="60" t="e">
        <f t="shared" si="59"/>
        <v>#NUM!</v>
      </c>
      <c r="AN102" s="60">
        <f ca="1">AVERAGE(OFFSET($AM$3,0,0,'Données projet'!$E$10+1,1))-AVERAGE(OFFSET($H$3,0,0,'Données projet'!$E$10+1,1))</f>
        <v>302.20483575440988</v>
      </c>
      <c r="AO102" s="60">
        <f t="shared" si="90"/>
        <v>275.32862097158687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1.0206156840003124</v>
      </c>
      <c r="AW102" s="23">
        <f>EXP(-LN(2)/2)*AW101+(1-EXP(-LN(2)/2))/(LN(2)/2)*AQ102*AT102*VLOOKUP('Données projet'!$B$10,Paramètres!$A$1:$I$89,3,0)*0.475*44/12</f>
        <v>3.6245568750390623E-10</v>
      </c>
      <c r="AX102" s="23">
        <f t="shared" si="60"/>
        <v>1.0206156843627681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3.2</v>
      </c>
      <c r="BD102" s="13">
        <f>IF('Données projet'!$A$88&gt;35,BD101+BC102-BL101,IF(A102&lt;'Données projet'!$A$88,$BA$205^A102,IF(A102='Données projet'!$A$88,'Données projet'!$B$88,BD101+BC102-BL101)))</f>
        <v>296.79999999999984</v>
      </c>
      <c r="BE102" s="14">
        <f>BD102*VLOOKUP('Données projet'!$B$11,Paramètres!$A$1:$I$89,3,0)*VLOOKUP('Données projet'!$B$11,Paramètres!$A$1:$I$89,5,0)</f>
        <v>259.28447999999986</v>
      </c>
      <c r="BF102" s="14">
        <f t="shared" si="91"/>
        <v>62.569833553355394</v>
      </c>
      <c r="BG102" s="22">
        <f t="shared" si="61"/>
        <v>560.56292943876031</v>
      </c>
      <c r="BH102" s="60">
        <f t="shared" si="62"/>
        <v>853.89626277209368</v>
      </c>
      <c r="BI102" s="60">
        <f ca="1">AVERAGE(OFFSET($BH$3,0,0,'Données projet'!$E$11+1,1))-AVERAGE(OFFSET($H$3,0,0,'Données projet'!$E$11+1,1))</f>
        <v>314.62110015707839</v>
      </c>
      <c r="BJ102" s="60">
        <f t="shared" si="92"/>
        <v>285.36905470736582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4.9000000000000004</v>
      </c>
      <c r="BY102" s="13">
        <f>IF('Données projet'!$A$114&gt;35,BY101+BX102-CG101,IF(A102&lt;'Données projet'!$A$114,$BV$205^A102,IF(A102='Données projet'!$A$114,'Données projet'!$B$114,BY101+BX102-CG101)))</f>
        <v>298.09999999999985</v>
      </c>
      <c r="BZ102" s="14">
        <f>BY102*VLOOKUP('Données projet'!$B$12,Paramètres!$A$1:$I$89,3,0)*VLOOKUP('Données projet'!$B$12,Paramètres!$A$1:$I$89,5,0)</f>
        <v>269.72087999999985</v>
      </c>
      <c r="CA102" s="14">
        <f t="shared" si="93"/>
        <v>64.790029413946939</v>
      </c>
      <c r="CB102" s="22">
        <f t="shared" si="64"/>
        <v>582.60650056262409</v>
      </c>
      <c r="CC102" s="60">
        <f t="shared" si="65"/>
        <v>875.93983389595746</v>
      </c>
      <c r="CD102" s="60">
        <f ca="1">AVERAGE(OFFSET($CC$3,0,0,'Données projet'!$E$12+1,1))-AVERAGE(OFFSET($H$3,0,0,'Données projet'!$E$12+1,1))</f>
        <v>303.73499739059076</v>
      </c>
      <c r="CE102" s="60">
        <f t="shared" si="94"/>
        <v>172.32171001882188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4.9000000000000004</v>
      </c>
      <c r="CT102" s="13">
        <f>IF('Données projet'!$A$140&gt;35,CT101+CS102-DB101,IF(A102&lt;'Données projet'!$A$140,$CQ$205^A102,IF(A102='Données projet'!$A$140,'Données projet'!$B$140,CT101+CS102-DB101)))</f>
        <v>298.09999999999985</v>
      </c>
      <c r="CU102" s="18">
        <f>CT102*VLOOKUP('Données projet'!$B$13,Paramètres!$A$1:$I$89,3,0)*VLOOKUP('Données projet'!$B$13,Paramètres!$A$1:$I$89,5,0)</f>
        <v>302.27339999999987</v>
      </c>
      <c r="CV102" s="14">
        <f t="shared" si="95"/>
        <v>71.652845832409739</v>
      </c>
      <c r="CW102" s="22">
        <f t="shared" si="67"/>
        <v>651.25487815811346</v>
      </c>
      <c r="CX102" s="60">
        <f t="shared" si="68"/>
        <v>944.58821149144683</v>
      </c>
      <c r="CY102" s="60">
        <f ca="1">AVERAGE(OFFSET($CX$3,0,0,'Données projet'!$E$13+1,1))-AVERAGE(OFFSET($H$3,0,0,'Données projet'!$E$13+1,1))</f>
        <v>350.3652766444938</v>
      </c>
      <c r="CZ102" s="60">
        <f t="shared" si="96"/>
        <v>197.04549436738586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4.9000000000000004</v>
      </c>
      <c r="DO102" s="13">
        <f>IF('Données projet'!$A$166&gt;35,DO101+DN102-DW101,IF(A102&lt;'Données projet'!$A$166,$DL$205^A102,IF(A102='Données projet'!$A$166,'Données projet'!$B$166,DO101+DN102-DW101)))</f>
        <v>298.09999999999985</v>
      </c>
      <c r="DP102" s="18">
        <f>DO102*VLOOKUP('Données projet'!$B$14,Paramètres!$A$1:$I$89,3,0)*VLOOKUP('Données projet'!$B$14,Paramètres!$A$1:$I$89,5,0)</f>
        <v>320.87483999999984</v>
      </c>
      <c r="DQ102" s="14">
        <f t="shared" si="97"/>
        <v>75.535352205297585</v>
      </c>
      <c r="DR102" s="22">
        <f t="shared" si="70"/>
        <v>690.41441809089304</v>
      </c>
      <c r="DS102" s="60">
        <f t="shared" si="71"/>
        <v>983.74775142422641</v>
      </c>
      <c r="DT102" s="60">
        <f ca="1">AVERAGE(OFFSET($DS$3,0,0,'Données projet'!$E$14+1,1))-AVERAGE(OFFSET($H$3,0,0,'Données projet'!$E$14+1,1))</f>
        <v>376.96388721258387</v>
      </c>
      <c r="DU102" s="60">
        <f t="shared" si="98"/>
        <v>211.14628470344377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4.9000000000000004</v>
      </c>
      <c r="EJ102" s="13">
        <f>IF('Données projet'!$A$192&gt;35,EJ101+EI102-ER101,IF(A102&lt;'Données projet'!$A$192,$EG$205^A102,IF(A102='Données projet'!$A$192,'Données projet'!$B$192,EJ101+EI102-ER101)))</f>
        <v>298.09999999999985</v>
      </c>
      <c r="EK102" s="18">
        <f>EJ102*VLOOKUP('Données projet'!$B$15,Paramètres!$A$1:$I$89,3,0)*VLOOKUP('Données projet'!$B$15,Paramètres!$A$1:$I$89,5,0)</f>
        <v>288.32231999999988</v>
      </c>
      <c r="EL102" s="14">
        <f t="shared" si="99"/>
        <v>68.722745094590621</v>
      </c>
      <c r="EM102" s="22">
        <f t="shared" si="73"/>
        <v>621.85348837307845</v>
      </c>
      <c r="EN102" s="60">
        <f t="shared" si="74"/>
        <v>915.18682170641182</v>
      </c>
      <c r="EO102" s="60">
        <f ca="1">AVERAGE(OFFSET($EN$3,0,0,'Données projet'!$E$15+1,1))-AVERAGE(OFFSET($H$3,0,0,'Données projet'!$E$15+1,1))</f>
        <v>330.39429528665841</v>
      </c>
      <c r="EP102" s="60">
        <f t="shared" si="100"/>
        <v>186.45728006007261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8">
        <f t="shared" si="56"/>
        <v>415.93896257799588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-5.6843418860808015E-14</v>
      </c>
      <c r="O103" s="14">
        <f>N103*VLOOKUP('Données projet'!$B$9,Paramètres!$A$1:$I$89,3,0)*VLOOKUP('Données projet'!$B$9,Paramètres!$A$1:$I$89,5,0)</f>
        <v>-3.3992364478763198E-14</v>
      </c>
      <c r="P103" s="14" t="e">
        <f t="shared" si="87"/>
        <v>#NUM!</v>
      </c>
      <c r="Q103" s="22" t="e">
        <f t="shared" si="107"/>
        <v>#NUM!</v>
      </c>
      <c r="R103" s="60" t="e">
        <f t="shared" si="55"/>
        <v>#NUM!</v>
      </c>
      <c r="S103" s="60">
        <f ca="1">AVERAGE(OFFSET($R$3,0,0,'Données projet'!$E$9+1,1))-AVERAGE(OFFSET($H$3,0,0,'Données projet'!$E$9+1,1))</f>
        <v>155.11440101086782</v>
      </c>
      <c r="T103" s="60">
        <f t="shared" si="88"/>
        <v>239.53454701506638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3.3740851789148207</v>
      </c>
      <c r="AA103" s="23">
        <f>EXP(-LN(2)/25)*AA102+(1-EXP(-LN(2)/25))/(LN(2)/25)*Calculateur!V103*Calculateur!X103*VLOOKUP('Données projet'!$B$9,Paramètres!$A$1:$I$89,3,0)*0.475*44/12</f>
        <v>1.0398644390740615</v>
      </c>
      <c r="AB103" s="23">
        <f>EXP(-LN(2)/2)*AB102+(1-EXP(-LN(2)/2))/(LN(2)/2)*V103*Y103*VLOOKUP('Données projet'!$B$9,Paramètres!$A$1:$I$89,3,0)*0.475*44/12</f>
        <v>8.5825539279239611E-11</v>
      </c>
      <c r="AC103" s="24">
        <f t="shared" si="57"/>
        <v>4.4139496180747075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-3.4106051316484809E-13</v>
      </c>
      <c r="AJ103" s="14">
        <f>AI103*VLOOKUP('Données projet'!$B$10,Paramètres!$A$1:$I$89,3,0)*VLOOKUP('Données projet'!$B$10,Paramètres!$A$1:$I$89,5,0)</f>
        <v>-1.9065282685915009E-13</v>
      </c>
      <c r="AK103" s="14" t="e">
        <f t="shared" si="89"/>
        <v>#NUM!</v>
      </c>
      <c r="AL103" s="22" t="e">
        <f t="shared" si="58"/>
        <v>#NUM!</v>
      </c>
      <c r="AM103" s="60" t="e">
        <f t="shared" si="59"/>
        <v>#NUM!</v>
      </c>
      <c r="AN103" s="60">
        <f ca="1">AVERAGE(OFFSET($AM$3,0,0,'Données projet'!$E$10+1,1))-AVERAGE(OFFSET($H$3,0,0,'Données projet'!$E$10+1,1))</f>
        <v>302.20483575440988</v>
      </c>
      <c r="AO103" s="60">
        <f t="shared" si="90"/>
        <v>275.32862097158687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0.99270689444947768</v>
      </c>
      <c r="AW103" s="23">
        <f>EXP(-LN(2)/2)*AW102+(1-EXP(-LN(2)/2))/(LN(2)/2)*AQ103*AT103*VLOOKUP('Données projet'!$B$10,Paramètres!$A$1:$I$89,3,0)*0.475*44/12</f>
        <v>2.5629487451364427E-10</v>
      </c>
      <c r="AX103" s="23">
        <f t="shared" si="60"/>
        <v>0.99270689470577256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300</v>
      </c>
      <c r="BB103" s="13">
        <f>VLOOKUP(A103,'Données projet'!$A$87:$I$107,9,0)</f>
        <v>3.2</v>
      </c>
      <c r="BC103" s="13">
        <f t="array" ref="BC103">INDEX(BB:BB,MIN(IF(ISNUMBER(BB103:BB299),ROW(BB103:BB299),"")))</f>
        <v>3.2</v>
      </c>
      <c r="BD103" s="13">
        <f>IF('Données projet'!$A$88&gt;35,BD102+BC103-BL102,IF(A103&lt;'Données projet'!$A$88,$BA$205^A103,IF(A103='Données projet'!$A$88,'Données projet'!$B$88,BD102+BC103-BL102)))</f>
        <v>299.99999999999983</v>
      </c>
      <c r="BE103" s="14">
        <f>BD103*VLOOKUP('Données projet'!$B$11,Paramètres!$A$1:$I$89,3,0)*VLOOKUP('Données projet'!$B$11,Paramètres!$A$1:$I$89,5,0)</f>
        <v>262.07999999999987</v>
      </c>
      <c r="BF103" s="14">
        <f t="shared" si="91"/>
        <v>63.165544079460709</v>
      </c>
      <c r="BG103" s="22">
        <f t="shared" si="61"/>
        <v>566.46932260506048</v>
      </c>
      <c r="BH103" s="60">
        <f t="shared" si="62"/>
        <v>859.80265593839385</v>
      </c>
      <c r="BI103" s="60">
        <f ca="1">AVERAGE(OFFSET($BH$3,0,0,'Données projet'!$E$11+1,1))-AVERAGE(OFFSET($H$3,0,0,'Données projet'!$E$11+1,1))</f>
        <v>314.62110015707839</v>
      </c>
      <c r="BJ103" s="60">
        <f t="shared" si="92"/>
        <v>285.36905470736582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300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303</v>
      </c>
      <c r="BW103" s="13">
        <f>VLOOKUP(A103,'Données projet'!$A$113:$I$133,9,0)</f>
        <v>4.9000000000000004</v>
      </c>
      <c r="BX103" s="13">
        <f t="array" ref="BX103">INDEX(BW:BW,MIN(IF(ISNUMBER(BW103:BW299),ROW(BW103:BW299),"")))</f>
        <v>4.9000000000000004</v>
      </c>
      <c r="BY103" s="13">
        <f>IF('Données projet'!$A$114&gt;35,BY102+BX103-CG102,IF(A103&lt;'Données projet'!$A$114,$BV$205^A103,IF(A103='Données projet'!$A$114,'Données projet'!$B$114,BY102+BX103-CG102)))</f>
        <v>302.99999999999983</v>
      </c>
      <c r="BZ103" s="14">
        <f>BY103*VLOOKUP('Données projet'!$B$12,Paramètres!$A$1:$I$89,3,0)*VLOOKUP('Données projet'!$B$12,Paramètres!$A$1:$I$89,5,0)</f>
        <v>274.15439999999984</v>
      </c>
      <c r="CA103" s="14">
        <f t="shared" si="93"/>
        <v>65.730152764515779</v>
      </c>
      <c r="CB103" s="22">
        <f t="shared" si="64"/>
        <v>591.9655960648646</v>
      </c>
      <c r="CC103" s="60">
        <f t="shared" si="65"/>
        <v>885.29892939819797</v>
      </c>
      <c r="CD103" s="60">
        <f ca="1">AVERAGE(OFFSET($CC$3,0,0,'Données projet'!$E$12+1,1))-AVERAGE(OFFSET($H$3,0,0,'Données projet'!$E$12+1,1))</f>
        <v>303.73499739059076</v>
      </c>
      <c r="CE103" s="60">
        <f t="shared" si="94"/>
        <v>172.32171001882188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42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303</v>
      </c>
      <c r="CR103" s="13">
        <f>VLOOKUP(A103,'Données projet'!$A$139:$I$159,9,0)</f>
        <v>4.9000000000000004</v>
      </c>
      <c r="CS103" s="13">
        <f t="array" ref="CS103">INDEX(CR:CR,MIN(IF(ISNUMBER(CR103:CR299),ROW(CR103:CR299),"")))</f>
        <v>4.9000000000000004</v>
      </c>
      <c r="CT103" s="13">
        <f>IF('Données projet'!$A$140&gt;35,CT102+CS103-DB102,IF(A103&lt;'Données projet'!$A$140,$CQ$205^A103,IF(A103='Données projet'!$A$140,'Données projet'!$B$140,CT102+CS103-DB102)))</f>
        <v>302.99999999999983</v>
      </c>
      <c r="CU103" s="18">
        <f>CT103*VLOOKUP('Données projet'!$B$13,Paramètres!$A$1:$I$89,3,0)*VLOOKUP('Données projet'!$B$13,Paramètres!$A$1:$I$89,5,0)</f>
        <v>307.24199999999985</v>
      </c>
      <c r="CV103" s="14">
        <f t="shared" si="95"/>
        <v>72.692550770207774</v>
      </c>
      <c r="CW103" s="22">
        <f t="shared" si="67"/>
        <v>661.71934259144484</v>
      </c>
      <c r="CX103" s="60">
        <f t="shared" si="68"/>
        <v>955.05267592477821</v>
      </c>
      <c r="CY103" s="60">
        <f ca="1">AVERAGE(OFFSET($CX$3,0,0,'Données projet'!$E$13+1,1))-AVERAGE(OFFSET($H$3,0,0,'Données projet'!$E$13+1,1))</f>
        <v>350.3652766444938</v>
      </c>
      <c r="CZ103" s="60">
        <f t="shared" si="96"/>
        <v>197.04549436738586</v>
      </c>
      <c r="DA103" s="16">
        <f>IF(ISNA(VLOOKUP(A103,'Données projet'!$A$139:$I$159,3,0)),0,VLOOKUP(A103,'Données projet'!$A$139:$I$159,3,0))</f>
        <v>8</v>
      </c>
      <c r="DB103" s="16">
        <f>IF(ISNA(VLOOKUP(A103,'Données projet'!$A$139:$I$159,4,0)),0,VLOOKUP(A103,'Données projet'!$A$139:$I$159,4,0))</f>
        <v>42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303</v>
      </c>
      <c r="DM103" s="13">
        <f>VLOOKUP(A103,'Données projet'!$A$165:$I$185,9,0)</f>
        <v>4.9000000000000004</v>
      </c>
      <c r="DN103" s="13">
        <f t="array" ref="DN103">INDEX(DM:DM,MIN(IF(ISNUMBER(DM103:DM299),ROW(DM103:DM299),"")))</f>
        <v>4.9000000000000004</v>
      </c>
      <c r="DO103" s="13">
        <f>IF('Données projet'!$A$166&gt;35,DO102+DN103-DW102,IF(A103&lt;'Données projet'!$A$166,$DL$205^A103,IF(A103='Données projet'!$A$166,'Données projet'!$B$166,DO102+DN103-DW102)))</f>
        <v>302.99999999999983</v>
      </c>
      <c r="DP103" s="18">
        <f>DO103*VLOOKUP('Données projet'!$B$14,Paramètres!$A$1:$I$89,3,0)*VLOOKUP('Données projet'!$B$14,Paramètres!$A$1:$I$89,5,0)</f>
        <v>326.14919999999984</v>
      </c>
      <c r="DQ103" s="14">
        <f t="shared" si="97"/>
        <v>76.631393510479555</v>
      </c>
      <c r="DR103" s="22">
        <f t="shared" si="70"/>
        <v>701.50953369741819</v>
      </c>
      <c r="DS103" s="60">
        <f t="shared" si="71"/>
        <v>994.84286703075145</v>
      </c>
      <c r="DT103" s="60">
        <f ca="1">AVERAGE(OFFSET($DS$3,0,0,'Données projet'!$E$14+1,1))-AVERAGE(OFFSET($H$3,0,0,'Données projet'!$E$14+1,1))</f>
        <v>376.96388721258387</v>
      </c>
      <c r="DU103" s="60">
        <f t="shared" si="98"/>
        <v>211.14628470344377</v>
      </c>
      <c r="DV103" s="16">
        <f>IF(ISNA(VLOOKUP(A103,'Données projet'!$A$165:$I$185,3,0)),0,VLOOKUP(A103,'Données projet'!$A$165:$I$185,3,0))</f>
        <v>8</v>
      </c>
      <c r="DW103" s="16">
        <f>IF(ISNA(VLOOKUP(A103,'Données projet'!$A$165:$I$185,4,0)),0,VLOOKUP(A103,'Données projet'!$A$165:$I$185,4,0))</f>
        <v>42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303</v>
      </c>
      <c r="EH103" s="13">
        <f>VLOOKUP(A103,'Données projet'!$A$191:$I$211,9,0)</f>
        <v>4.9000000000000004</v>
      </c>
      <c r="EI103" s="13">
        <f t="array" ref="EI103">INDEX(EH:EH,MIN(IF(ISNUMBER(EH103:EH299),ROW(EH103:EH299),"")))</f>
        <v>4.9000000000000004</v>
      </c>
      <c r="EJ103" s="13">
        <f>IF('Données projet'!$A$192&gt;35,EJ102+EI103-ER102,IF(A103&lt;'Données projet'!$A$192,$EG$205^A103,IF(A103='Données projet'!$A$192,'Données projet'!$B$192,EJ102+EI103-ER102)))</f>
        <v>302.99999999999983</v>
      </c>
      <c r="EK103" s="18">
        <f>EJ103*VLOOKUP('Données projet'!$B$15,Paramètres!$A$1:$I$89,3,0)*VLOOKUP('Données projet'!$B$15,Paramètres!$A$1:$I$89,5,0)</f>
        <v>293.06159999999983</v>
      </c>
      <c r="EL103" s="14">
        <f t="shared" si="99"/>
        <v>69.719933365116546</v>
      </c>
      <c r="EM103" s="22">
        <f t="shared" si="73"/>
        <v>631.84450394424437</v>
      </c>
      <c r="EN103" s="60">
        <f t="shared" si="74"/>
        <v>925.17783727757774</v>
      </c>
      <c r="EO103" s="60">
        <f ca="1">AVERAGE(OFFSET($EN$3,0,0,'Données projet'!$E$15+1,1))-AVERAGE(OFFSET($H$3,0,0,'Données projet'!$E$15+1,1))</f>
        <v>330.39429528665841</v>
      </c>
      <c r="EP103" s="60">
        <f t="shared" si="100"/>
        <v>186.45728006007261</v>
      </c>
      <c r="EQ103" s="16">
        <f>IF(ISNA(VLOOKUP(A103,'Données projet'!$A$191:$I$211,3,0)),0,VLOOKUP(A103,'Données projet'!$A$191:$I$211,3,0))</f>
        <v>8</v>
      </c>
      <c r="ER103" s="16">
        <f>IF(ISNA(VLOOKUP(A103,'Données projet'!$A$191:$I$211,4,0)),0,VLOOKUP(A103,'Données projet'!$A$191:$I$211,4,0))</f>
        <v>42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8">
        <f t="shared" si="56"/>
        <v>417.13285554686695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-5.6843418860808015E-14</v>
      </c>
      <c r="O104" s="14">
        <f>N104*VLOOKUP('Données projet'!$B$9,Paramètres!$A$1:$I$89,3,0)*VLOOKUP('Données projet'!$B$9,Paramètres!$A$1:$I$89,5,0)</f>
        <v>-3.3992364478763198E-14</v>
      </c>
      <c r="P104" s="14" t="e">
        <f t="shared" si="87"/>
        <v>#NUM!</v>
      </c>
      <c r="Q104" s="22" t="e">
        <f t="shared" si="107"/>
        <v>#NUM!</v>
      </c>
      <c r="R104" s="60" t="e">
        <f t="shared" si="55"/>
        <v>#NUM!</v>
      </c>
      <c r="S104" s="60">
        <f ca="1">AVERAGE(OFFSET($R$3,0,0,'Données projet'!$E$9+1,1))-AVERAGE(OFFSET($H$3,0,0,'Données projet'!$E$9+1,1))</f>
        <v>155.11440101086782</v>
      </c>
      <c r="T104" s="60">
        <f t="shared" si="88"/>
        <v>239.53454701506638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3.3079214265450507</v>
      </c>
      <c r="AA104" s="23">
        <f>EXP(-LN(2)/25)*AA103+(1-EXP(-LN(2)/25))/(LN(2)/25)*Calculateur!V104*Calculateur!X104*VLOOKUP('Données projet'!$B$9,Paramètres!$A$1:$I$89,3,0)*0.475*44/12</f>
        <v>1.011429291303487</v>
      </c>
      <c r="AB104" s="23">
        <f>EXP(-LN(2)/2)*AB103+(1-EXP(-LN(2)/2))/(LN(2)/2)*V104*Y104*VLOOKUP('Données projet'!$B$9,Paramètres!$A$1:$I$89,3,0)*0.475*44/12</f>
        <v>6.0687820823342722E-11</v>
      </c>
      <c r="AC104" s="24">
        <f t="shared" si="57"/>
        <v>4.3193507179092254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-3.4106051316484809E-13</v>
      </c>
      <c r="AJ104" s="14">
        <f>AI104*VLOOKUP('Données projet'!$B$10,Paramètres!$A$1:$I$89,3,0)*VLOOKUP('Données projet'!$B$10,Paramètres!$A$1:$I$89,5,0)</f>
        <v>-1.9065282685915009E-13</v>
      </c>
      <c r="AK104" s="14" t="e">
        <f t="shared" si="89"/>
        <v>#NUM!</v>
      </c>
      <c r="AL104" s="22" t="e">
        <f t="shared" si="58"/>
        <v>#NUM!</v>
      </c>
      <c r="AM104" s="60" t="e">
        <f t="shared" si="59"/>
        <v>#NUM!</v>
      </c>
      <c r="AN104" s="60">
        <f ca="1">AVERAGE(OFFSET($AM$3,0,0,'Données projet'!$E$10+1,1))-AVERAGE(OFFSET($H$3,0,0,'Données projet'!$E$10+1,1))</f>
        <v>302.20483575440988</v>
      </c>
      <c r="AO104" s="60">
        <f t="shared" si="90"/>
        <v>275.32862097158687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0.96556127221656995</v>
      </c>
      <c r="AW104" s="23">
        <f>EXP(-LN(2)/2)*AW103+(1-EXP(-LN(2)/2))/(LN(2)/2)*AQ104*AT104*VLOOKUP('Données projet'!$B$10,Paramètres!$A$1:$I$89,3,0)*0.475*44/12</f>
        <v>1.8122784375195312E-10</v>
      </c>
      <c r="AX104" s="23">
        <f t="shared" si="60"/>
        <v>0.96556127239779777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-1.7053025658242404E-13</v>
      </c>
      <c r="BE104" s="14">
        <f>BD104*VLOOKUP('Données projet'!$B$11,Paramètres!$A$1:$I$89,3,0)*VLOOKUP('Données projet'!$B$11,Paramètres!$A$1:$I$89,5,0)</f>
        <v>-1.4897523215040567E-13</v>
      </c>
      <c r="BF104" s="14" t="e">
        <f t="shared" si="91"/>
        <v>#NUM!</v>
      </c>
      <c r="BG104" s="22" t="e">
        <f t="shared" si="61"/>
        <v>#NUM!</v>
      </c>
      <c r="BH104" s="60" t="e">
        <f t="shared" si="62"/>
        <v>#NUM!</v>
      </c>
      <c r="BI104" s="60">
        <f ca="1">AVERAGE(OFFSET($BH$3,0,0,'Données projet'!$E$11+1,1))-AVERAGE(OFFSET($H$3,0,0,'Données projet'!$E$11+1,1))</f>
        <v>314.62110015707839</v>
      </c>
      <c r="BJ104" s="60">
        <f t="shared" si="92"/>
        <v>285.36905470736582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4.4000000000000004</v>
      </c>
      <c r="BY104" s="13">
        <f>IF('Données projet'!$A$114&gt;35,BY103+BX104-CG103,IF(A104&lt;'Données projet'!$A$114,$BV$205^A104,IF(A104='Données projet'!$A$114,'Données projet'!$B$114,BY103+BX104-CG103)))</f>
        <v>265.39999999999981</v>
      </c>
      <c r="BZ104" s="14">
        <f>BY104*VLOOKUP('Données projet'!$B$12,Paramètres!$A$1:$I$89,3,0)*VLOOKUP('Données projet'!$B$12,Paramètres!$A$1:$I$89,5,0)</f>
        <v>240.13391999999982</v>
      </c>
      <c r="CA104" s="14">
        <f t="shared" si="93"/>
        <v>58.468343087048559</v>
      </c>
      <c r="CB104" s="22">
        <f t="shared" si="64"/>
        <v>520.06560820994252</v>
      </c>
      <c r="CC104" s="60">
        <f t="shared" si="65"/>
        <v>813.3989415432759</v>
      </c>
      <c r="CD104" s="60">
        <f ca="1">AVERAGE(OFFSET($CC$3,0,0,'Données projet'!$E$12+1,1))-AVERAGE(OFFSET($H$3,0,0,'Données projet'!$E$12+1,1))</f>
        <v>303.73499739059076</v>
      </c>
      <c r="CE104" s="60">
        <f t="shared" si="94"/>
        <v>172.32171001882188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4.4000000000000004</v>
      </c>
      <c r="CT104" s="13">
        <f>IF('Données projet'!$A$140&gt;35,CT103+CS104-DB103,IF(A104&lt;'Données projet'!$A$140,$CQ$205^A104,IF(A104='Données projet'!$A$140,'Données projet'!$B$140,CT103+CS104-DB103)))</f>
        <v>265.39999999999981</v>
      </c>
      <c r="CU104" s="18">
        <f>CT104*VLOOKUP('Données projet'!$B$13,Paramètres!$A$1:$I$89,3,0)*VLOOKUP('Données projet'!$B$13,Paramètres!$A$1:$I$89,5,0)</f>
        <v>269.1155999999998</v>
      </c>
      <c r="CV104" s="14">
        <f t="shared" si="95"/>
        <v>64.661541462287076</v>
      </c>
      <c r="CW104" s="22">
        <f t="shared" si="67"/>
        <v>581.3285213801496</v>
      </c>
      <c r="CX104" s="60">
        <f t="shared" si="68"/>
        <v>874.66185471348285</v>
      </c>
      <c r="CY104" s="60">
        <f ca="1">AVERAGE(OFFSET($CX$3,0,0,'Données projet'!$E$13+1,1))-AVERAGE(OFFSET($H$3,0,0,'Données projet'!$E$13+1,1))</f>
        <v>350.3652766444938</v>
      </c>
      <c r="CZ104" s="60">
        <f t="shared" si="96"/>
        <v>197.04549436738586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4.4000000000000004</v>
      </c>
      <c r="DO104" s="13">
        <f>IF('Données projet'!$A$166&gt;35,DO103+DN104-DW103,IF(A104&lt;'Données projet'!$A$166,$DL$205^A104,IF(A104='Données projet'!$A$166,'Données projet'!$B$166,DO103+DN104-DW103)))</f>
        <v>265.39999999999981</v>
      </c>
      <c r="DP104" s="18">
        <f>DO104*VLOOKUP('Données projet'!$B$14,Paramètres!$A$1:$I$89,3,0)*VLOOKUP('Données projet'!$B$14,Paramètres!$A$1:$I$89,5,0)</f>
        <v>285.67655999999977</v>
      </c>
      <c r="DQ104" s="14">
        <f t="shared" si="97"/>
        <v>68.165224308258956</v>
      </c>
      <c r="DR104" s="22">
        <f t="shared" si="70"/>
        <v>616.27444100355058</v>
      </c>
      <c r="DS104" s="60">
        <f t="shared" si="71"/>
        <v>909.60777433688395</v>
      </c>
      <c r="DT104" s="60">
        <f ca="1">AVERAGE(OFFSET($DS$3,0,0,'Données projet'!$E$14+1,1))-AVERAGE(OFFSET($H$3,0,0,'Données projet'!$E$14+1,1))</f>
        <v>376.96388721258387</v>
      </c>
      <c r="DU104" s="60">
        <f t="shared" si="98"/>
        <v>211.14628470344377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4.4000000000000004</v>
      </c>
      <c r="EJ104" s="13">
        <f>IF('Données projet'!$A$192&gt;35,EJ103+EI104-ER103,IF(A104&lt;'Données projet'!$A$192,$EG$205^A104,IF(A104='Données projet'!$A$192,'Données projet'!$B$192,EJ103+EI104-ER103)))</f>
        <v>265.39999999999981</v>
      </c>
      <c r="EK104" s="18">
        <f>EJ104*VLOOKUP('Données projet'!$B$15,Paramètres!$A$1:$I$89,3,0)*VLOOKUP('Données projet'!$B$15,Paramètres!$A$1:$I$89,5,0)</f>
        <v>256.69487999999984</v>
      </c>
      <c r="EL104" s="14">
        <f t="shared" si="99"/>
        <v>62.017336223177502</v>
      </c>
      <c r="EM104" s="22">
        <f t="shared" si="73"/>
        <v>555.09044325536718</v>
      </c>
      <c r="EN104" s="60">
        <f t="shared" si="74"/>
        <v>848.42377658870055</v>
      </c>
      <c r="EO104" s="60">
        <f ca="1">AVERAGE(OFFSET($EN$3,0,0,'Données projet'!$E$15+1,1))-AVERAGE(OFFSET($H$3,0,0,'Données projet'!$E$15+1,1))</f>
        <v>330.39429528665841</v>
      </c>
      <c r="EP104" s="60">
        <f t="shared" si="100"/>
        <v>186.45728006007261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8">
        <f t="shared" si="56"/>
        <v>418.32646868642092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-5.6843418860808015E-14</v>
      </c>
      <c r="O105" s="14">
        <f>N105*VLOOKUP('Données projet'!$B$9,Paramètres!$A$1:$I$89,3,0)*VLOOKUP('Données projet'!$B$9,Paramètres!$A$1:$I$89,5,0)</f>
        <v>-3.3992364478763198E-14</v>
      </c>
      <c r="P105" s="14" t="e">
        <f t="shared" si="87"/>
        <v>#NUM!</v>
      </c>
      <c r="Q105" s="22" t="e">
        <f t="shared" si="107"/>
        <v>#NUM!</v>
      </c>
      <c r="R105" s="60" t="e">
        <f t="shared" si="55"/>
        <v>#NUM!</v>
      </c>
      <c r="S105" s="60">
        <f ca="1">AVERAGE(OFFSET($R$3,0,0,'Données projet'!$E$9+1,1))-AVERAGE(OFFSET($H$3,0,0,'Données projet'!$E$9+1,1))</f>
        <v>155.11440101086782</v>
      </c>
      <c r="T105" s="60">
        <f t="shared" si="88"/>
        <v>239.53454701506638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3.2430551050033478</v>
      </c>
      <c r="AA105" s="23">
        <f>EXP(-LN(2)/25)*AA104+(1-EXP(-LN(2)/25))/(LN(2)/25)*Calculateur!V105*Calculateur!X105*VLOOKUP('Données projet'!$B$9,Paramètres!$A$1:$I$89,3,0)*0.475*44/12</f>
        <v>0.98377170414403836</v>
      </c>
      <c r="AB105" s="23">
        <f>EXP(-LN(2)/2)*AB104+(1-EXP(-LN(2)/2))/(LN(2)/2)*V105*Y105*VLOOKUP('Données projet'!$B$9,Paramètres!$A$1:$I$89,3,0)*0.475*44/12</f>
        <v>4.2912769639619806E-11</v>
      </c>
      <c r="AC105" s="24">
        <f t="shared" si="57"/>
        <v>4.2268268091902987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-3.4106051316484809E-13</v>
      </c>
      <c r="AJ105" s="14">
        <f>AI105*VLOOKUP('Données projet'!$B$10,Paramètres!$A$1:$I$89,3,0)*VLOOKUP('Données projet'!$B$10,Paramètres!$A$1:$I$89,5,0)</f>
        <v>-1.9065282685915009E-13</v>
      </c>
      <c r="AK105" s="14" t="e">
        <f t="shared" si="89"/>
        <v>#NUM!</v>
      </c>
      <c r="AL105" s="22" t="e">
        <f t="shared" si="58"/>
        <v>#NUM!</v>
      </c>
      <c r="AM105" s="60" t="e">
        <f t="shared" si="59"/>
        <v>#NUM!</v>
      </c>
      <c r="AN105" s="60">
        <f ca="1">AVERAGE(OFFSET($AM$3,0,0,'Données projet'!$E$10+1,1))-AVERAGE(OFFSET($H$3,0,0,'Données projet'!$E$10+1,1))</f>
        <v>302.20483575440988</v>
      </c>
      <c r="AO105" s="60">
        <f t="shared" si="90"/>
        <v>275.32862097158687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0.93915794845114742</v>
      </c>
      <c r="AW105" s="23">
        <f>EXP(-LN(2)/2)*AW104+(1-EXP(-LN(2)/2))/(LN(2)/2)*AQ105*AT105*VLOOKUP('Données projet'!$B$10,Paramètres!$A$1:$I$89,3,0)*0.475*44/12</f>
        <v>1.2814743725682214E-10</v>
      </c>
      <c r="AX105" s="23">
        <f t="shared" si="60"/>
        <v>0.93915794857929491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-1.7053025658242404E-13</v>
      </c>
      <c r="BE105" s="14">
        <f>BD105*VLOOKUP('Données projet'!$B$11,Paramètres!$A$1:$I$89,3,0)*VLOOKUP('Données projet'!$B$11,Paramètres!$A$1:$I$89,5,0)</f>
        <v>-1.4897523215040567E-13</v>
      </c>
      <c r="BF105" s="14" t="e">
        <f t="shared" si="91"/>
        <v>#NUM!</v>
      </c>
      <c r="BG105" s="22" t="e">
        <f t="shared" si="61"/>
        <v>#NUM!</v>
      </c>
      <c r="BH105" s="60" t="e">
        <f t="shared" si="62"/>
        <v>#NUM!</v>
      </c>
      <c r="BI105" s="60">
        <f ca="1">AVERAGE(OFFSET($BH$3,0,0,'Données projet'!$E$11+1,1))-AVERAGE(OFFSET($H$3,0,0,'Données projet'!$E$11+1,1))</f>
        <v>314.62110015707839</v>
      </c>
      <c r="BJ105" s="60">
        <f t="shared" si="92"/>
        <v>285.36905470736582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4.4000000000000004</v>
      </c>
      <c r="BY105" s="13">
        <f>IF('Données projet'!$A$114&gt;35,BY104+BX105-CG104,IF(A105&lt;'Données projet'!$A$114,$BV$205^A105,IF(A105='Données projet'!$A$114,'Données projet'!$B$114,BY104+BX105-CG104)))</f>
        <v>269.79999999999978</v>
      </c>
      <c r="BZ105" s="14">
        <f>BY105*VLOOKUP('Données projet'!$B$12,Paramètres!$A$1:$I$89,3,0)*VLOOKUP('Données projet'!$B$12,Paramètres!$A$1:$I$89,5,0)</f>
        <v>244.11503999999979</v>
      </c>
      <c r="CA105" s="14">
        <f t="shared" si="93"/>
        <v>59.324023461759012</v>
      </c>
      <c r="CB105" s="22">
        <f t="shared" si="64"/>
        <v>528.48970219589648</v>
      </c>
      <c r="CC105" s="60">
        <f t="shared" si="65"/>
        <v>821.82303552922986</v>
      </c>
      <c r="CD105" s="60">
        <f ca="1">AVERAGE(OFFSET($CC$3,0,0,'Données projet'!$E$12+1,1))-AVERAGE(OFFSET($H$3,0,0,'Données projet'!$E$12+1,1))</f>
        <v>303.73499739059076</v>
      </c>
      <c r="CE105" s="60">
        <f t="shared" si="94"/>
        <v>172.32171001882188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4.4000000000000004</v>
      </c>
      <c r="CT105" s="13">
        <f>IF('Données projet'!$A$140&gt;35,CT104+CS105-DB104,IF(A105&lt;'Données projet'!$A$140,$CQ$205^A105,IF(A105='Données projet'!$A$140,'Données projet'!$B$140,CT104+CS105-DB104)))</f>
        <v>269.79999999999978</v>
      </c>
      <c r="CU105" s="18">
        <f>CT105*VLOOKUP('Données projet'!$B$13,Paramètres!$A$1:$I$89,3,0)*VLOOKUP('Données projet'!$B$13,Paramètres!$A$1:$I$89,5,0)</f>
        <v>273.57719999999978</v>
      </c>
      <c r="CV105" s="14">
        <f t="shared" si="95"/>
        <v>65.60785888991505</v>
      </c>
      <c r="CW105" s="22">
        <f t="shared" si="67"/>
        <v>590.74731089993509</v>
      </c>
      <c r="CX105" s="60">
        <f t="shared" si="68"/>
        <v>884.08064423326846</v>
      </c>
      <c r="CY105" s="60">
        <f ca="1">AVERAGE(OFFSET($CX$3,0,0,'Données projet'!$E$13+1,1))-AVERAGE(OFFSET($H$3,0,0,'Données projet'!$E$13+1,1))</f>
        <v>350.3652766444938</v>
      </c>
      <c r="CZ105" s="60">
        <f t="shared" si="96"/>
        <v>197.04549436738586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4.4000000000000004</v>
      </c>
      <c r="DO105" s="13">
        <f>IF('Données projet'!$A$166&gt;35,DO104+DN105-DW104,IF(A105&lt;'Données projet'!$A$166,$DL$205^A105,IF(A105='Données projet'!$A$166,'Données projet'!$B$166,DO104+DN105-DW104)))</f>
        <v>269.79999999999978</v>
      </c>
      <c r="DP105" s="18">
        <f>DO105*VLOOKUP('Données projet'!$B$14,Paramètres!$A$1:$I$89,3,0)*VLOOKUP('Données projet'!$B$14,Paramètres!$A$1:$I$89,5,0)</f>
        <v>290.41271999999975</v>
      </c>
      <c r="DQ105" s="14">
        <f t="shared" si="97"/>
        <v>69.162817905044719</v>
      </c>
      <c r="DR105" s="22">
        <f t="shared" si="70"/>
        <v>626.26072851795254</v>
      </c>
      <c r="DS105" s="60">
        <f t="shared" si="71"/>
        <v>919.59406185128591</v>
      </c>
      <c r="DT105" s="60">
        <f ca="1">AVERAGE(OFFSET($DS$3,0,0,'Données projet'!$E$14+1,1))-AVERAGE(OFFSET($H$3,0,0,'Données projet'!$E$14+1,1))</f>
        <v>376.96388721258387</v>
      </c>
      <c r="DU105" s="60">
        <f t="shared" si="98"/>
        <v>211.14628470344377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4.4000000000000004</v>
      </c>
      <c r="EJ105" s="13">
        <f>IF('Données projet'!$A$192&gt;35,EJ104+EI105-ER104,IF(A105&lt;'Données projet'!$A$192,$EG$205^A105,IF(A105='Données projet'!$A$192,'Données projet'!$B$192,EJ104+EI105-ER104)))</f>
        <v>269.79999999999978</v>
      </c>
      <c r="EK105" s="18">
        <f>EJ105*VLOOKUP('Données projet'!$B$15,Paramètres!$A$1:$I$89,3,0)*VLOOKUP('Données projet'!$B$15,Paramètres!$A$1:$I$89,5,0)</f>
        <v>260.95055999999983</v>
      </c>
      <c r="EL105" s="14">
        <f t="shared" si="99"/>
        <v>62.924955880176938</v>
      </c>
      <c r="EM105" s="22">
        <f t="shared" si="73"/>
        <v>564.08319015797451</v>
      </c>
      <c r="EN105" s="60">
        <f t="shared" si="74"/>
        <v>857.41652349130777</v>
      </c>
      <c r="EO105" s="60">
        <f ca="1">AVERAGE(OFFSET($EN$3,0,0,'Données projet'!$E$15+1,1))-AVERAGE(OFFSET($H$3,0,0,'Données projet'!$E$15+1,1))</f>
        <v>330.39429528665841</v>
      </c>
      <c r="EP105" s="60">
        <f t="shared" si="100"/>
        <v>186.45728006007261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8">
        <f t="shared" si="56"/>
        <v>419.51980505776862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-5.6843418860808015E-14</v>
      </c>
      <c r="O106" s="14">
        <f>N106*VLOOKUP('Données projet'!$B$9,Paramètres!$A$1:$I$89,3,0)*VLOOKUP('Données projet'!$B$9,Paramètres!$A$1:$I$89,5,0)</f>
        <v>-3.3992364478763198E-14</v>
      </c>
      <c r="P106" s="14" t="e">
        <f t="shared" si="87"/>
        <v>#NUM!</v>
      </c>
      <c r="Q106" s="22" t="e">
        <f t="shared" si="107"/>
        <v>#NUM!</v>
      </c>
      <c r="R106" s="60" t="e">
        <f t="shared" si="55"/>
        <v>#NUM!</v>
      </c>
      <c r="S106" s="60">
        <f ca="1">AVERAGE(OFFSET($R$3,0,0,'Données projet'!$E$9+1,1))-AVERAGE(OFFSET($H$3,0,0,'Données projet'!$E$9+1,1))</f>
        <v>155.11440101086782</v>
      </c>
      <c r="T106" s="60">
        <f t="shared" si="88"/>
        <v>239.53454701506638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3.1794607724625283</v>
      </c>
      <c r="AA106" s="23">
        <f>EXP(-LN(2)/25)*AA105+(1-EXP(-LN(2)/25))/(LN(2)/25)*Calculateur!V106*Calculateur!X106*VLOOKUP('Données projet'!$B$9,Paramètres!$A$1:$I$89,3,0)*0.475*44/12</f>
        <v>0.95687041515991411</v>
      </c>
      <c r="AB106" s="23">
        <f>EXP(-LN(2)/2)*AB105+(1-EXP(-LN(2)/2))/(LN(2)/2)*V106*Y106*VLOOKUP('Données projet'!$B$9,Paramètres!$A$1:$I$89,3,0)*0.475*44/12</f>
        <v>3.0343910411671361E-11</v>
      </c>
      <c r="AC106" s="24">
        <f t="shared" si="57"/>
        <v>4.136331187652786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-3.4106051316484809E-13</v>
      </c>
      <c r="AJ106" s="14">
        <f>AI106*VLOOKUP('Données projet'!$B$10,Paramètres!$A$1:$I$89,3,0)*VLOOKUP('Données projet'!$B$10,Paramètres!$A$1:$I$89,5,0)</f>
        <v>-1.9065282685915009E-13</v>
      </c>
      <c r="AK106" s="14" t="e">
        <f t="shared" si="89"/>
        <v>#NUM!</v>
      </c>
      <c r="AL106" s="22" t="e">
        <f t="shared" si="58"/>
        <v>#NUM!</v>
      </c>
      <c r="AM106" s="60" t="e">
        <f t="shared" si="59"/>
        <v>#NUM!</v>
      </c>
      <c r="AN106" s="60">
        <f ca="1">AVERAGE(OFFSET($AM$3,0,0,'Données projet'!$E$10+1,1))-AVERAGE(OFFSET($H$3,0,0,'Données projet'!$E$10+1,1))</f>
        <v>302.20483575440988</v>
      </c>
      <c r="AO106" s="60">
        <f t="shared" si="90"/>
        <v>275.32862097158687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0.91347662496258075</v>
      </c>
      <c r="AW106" s="23">
        <f>EXP(-LN(2)/2)*AW105+(1-EXP(-LN(2)/2))/(LN(2)/2)*AQ106*AT106*VLOOKUP('Données projet'!$B$10,Paramètres!$A$1:$I$89,3,0)*0.475*44/12</f>
        <v>9.0613921875976559E-11</v>
      </c>
      <c r="AX106" s="23">
        <f t="shared" si="60"/>
        <v>0.91347662505319471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-1.7053025658242404E-13</v>
      </c>
      <c r="BE106" s="14">
        <f>BD106*VLOOKUP('Données projet'!$B$11,Paramètres!$A$1:$I$89,3,0)*VLOOKUP('Données projet'!$B$11,Paramètres!$A$1:$I$89,5,0)</f>
        <v>-1.4897523215040567E-13</v>
      </c>
      <c r="BF106" s="14" t="e">
        <f t="shared" si="91"/>
        <v>#NUM!</v>
      </c>
      <c r="BG106" s="22" t="e">
        <f t="shared" si="61"/>
        <v>#NUM!</v>
      </c>
      <c r="BH106" s="60" t="e">
        <f t="shared" si="62"/>
        <v>#NUM!</v>
      </c>
      <c r="BI106" s="60">
        <f ca="1">AVERAGE(OFFSET($BH$3,0,0,'Données projet'!$E$11+1,1))-AVERAGE(OFFSET($H$3,0,0,'Données projet'!$E$11+1,1))</f>
        <v>314.62110015707839</v>
      </c>
      <c r="BJ106" s="60">
        <f t="shared" si="92"/>
        <v>285.36905470736582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4.4000000000000004</v>
      </c>
      <c r="BY106" s="13">
        <f>IF('Données projet'!$A$114&gt;35,BY105+BX106-CG105,IF(A106&lt;'Données projet'!$A$114,$BV$205^A106,IF(A106='Données projet'!$A$114,'Données projet'!$B$114,BY105+BX106-CG105)))</f>
        <v>274.19999999999976</v>
      </c>
      <c r="BZ106" s="14">
        <f>BY106*VLOOKUP('Données projet'!$B$12,Paramètres!$A$1:$I$89,3,0)*VLOOKUP('Données projet'!$B$12,Paramètres!$A$1:$I$89,5,0)</f>
        <v>248.0961599999998</v>
      </c>
      <c r="CA106" s="14">
        <f t="shared" si="93"/>
        <v>60.178080967364686</v>
      </c>
      <c r="CB106" s="22">
        <f t="shared" si="64"/>
        <v>536.91096968482657</v>
      </c>
      <c r="CC106" s="60">
        <f t="shared" si="65"/>
        <v>830.24430301815983</v>
      </c>
      <c r="CD106" s="60">
        <f ca="1">AVERAGE(OFFSET($CC$3,0,0,'Données projet'!$E$12+1,1))-AVERAGE(OFFSET($H$3,0,0,'Données projet'!$E$12+1,1))</f>
        <v>303.73499739059076</v>
      </c>
      <c r="CE106" s="60">
        <f t="shared" si="94"/>
        <v>172.32171001882188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4.4000000000000004</v>
      </c>
      <c r="CT106" s="13">
        <f>IF('Données projet'!$A$140&gt;35,CT105+CS106-DB105,IF(A106&lt;'Données projet'!$A$140,$CQ$205^A106,IF(A106='Données projet'!$A$140,'Données projet'!$B$140,CT105+CS106-DB105)))</f>
        <v>274.19999999999976</v>
      </c>
      <c r="CU106" s="18">
        <f>CT106*VLOOKUP('Données projet'!$B$13,Paramètres!$A$1:$I$89,3,0)*VLOOKUP('Données projet'!$B$13,Paramètres!$A$1:$I$89,5,0)</f>
        <v>278.03879999999975</v>
      </c>
      <c r="CV106" s="14">
        <f t="shared" si="95"/>
        <v>66.552381547717744</v>
      </c>
      <c r="CW106" s="22">
        <f t="shared" si="67"/>
        <v>600.16297452894128</v>
      </c>
      <c r="CX106" s="60">
        <f t="shared" si="68"/>
        <v>893.49630786227453</v>
      </c>
      <c r="CY106" s="60">
        <f ca="1">AVERAGE(OFFSET($CX$3,0,0,'Données projet'!$E$13+1,1))-AVERAGE(OFFSET($H$3,0,0,'Données projet'!$E$13+1,1))</f>
        <v>350.3652766444938</v>
      </c>
      <c r="CZ106" s="60">
        <f t="shared" si="96"/>
        <v>197.04549436738586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4.4000000000000004</v>
      </c>
      <c r="DO106" s="13">
        <f>IF('Données projet'!$A$166&gt;35,DO105+DN106-DW105,IF(A106&lt;'Données projet'!$A$166,$DL$205^A106,IF(A106='Données projet'!$A$166,'Données projet'!$B$166,DO105+DN106-DW105)))</f>
        <v>274.19999999999976</v>
      </c>
      <c r="DP106" s="18">
        <f>DO106*VLOOKUP('Données projet'!$B$14,Paramètres!$A$1:$I$89,3,0)*VLOOKUP('Données projet'!$B$14,Paramètres!$A$1:$I$89,5,0)</f>
        <v>295.14887999999974</v>
      </c>
      <c r="DQ106" s="14">
        <f t="shared" si="97"/>
        <v>70.158519482479349</v>
      </c>
      <c r="DR106" s="22">
        <f t="shared" si="70"/>
        <v>636.24372076531768</v>
      </c>
      <c r="DS106" s="60">
        <f t="shared" si="71"/>
        <v>929.57705409865093</v>
      </c>
      <c r="DT106" s="60">
        <f ca="1">AVERAGE(OFFSET($DS$3,0,0,'Données projet'!$E$14+1,1))-AVERAGE(OFFSET($H$3,0,0,'Données projet'!$E$14+1,1))</f>
        <v>376.96388721258387</v>
      </c>
      <c r="DU106" s="60">
        <f t="shared" si="98"/>
        <v>211.14628470344377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4.4000000000000004</v>
      </c>
      <c r="EJ106" s="13">
        <f>IF('Données projet'!$A$192&gt;35,EJ105+EI106-ER105,IF(A106&lt;'Données projet'!$A$192,$EG$205^A106,IF(A106='Données projet'!$A$192,'Données projet'!$B$192,EJ105+EI106-ER105)))</f>
        <v>274.19999999999976</v>
      </c>
      <c r="EK106" s="18">
        <f>EJ106*VLOOKUP('Données projet'!$B$15,Paramètres!$A$1:$I$89,3,0)*VLOOKUP('Données projet'!$B$15,Paramètres!$A$1:$I$89,5,0)</f>
        <v>265.20623999999975</v>
      </c>
      <c r="EL106" s="14">
        <f t="shared" si="99"/>
        <v>63.830854160896386</v>
      </c>
      <c r="EM106" s="22">
        <f t="shared" si="73"/>
        <v>573.07293899689409</v>
      </c>
      <c r="EN106" s="60">
        <f t="shared" si="74"/>
        <v>866.40627233022747</v>
      </c>
      <c r="EO106" s="60">
        <f ca="1">AVERAGE(OFFSET($EN$3,0,0,'Données projet'!$E$15+1,1))-AVERAGE(OFFSET($H$3,0,0,'Données projet'!$E$15+1,1))</f>
        <v>330.39429528665841</v>
      </c>
      <c r="EP106" s="60">
        <f t="shared" si="100"/>
        <v>186.45728006007261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8">
        <f t="shared" si="56"/>
        <v>420.71286765915517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-5.6843418860808015E-14</v>
      </c>
      <c r="O107" s="14">
        <f>N107*VLOOKUP('Données projet'!$B$9,Paramètres!$A$1:$I$89,3,0)*VLOOKUP('Données projet'!$B$9,Paramètres!$A$1:$I$89,5,0)</f>
        <v>-3.3992364478763198E-14</v>
      </c>
      <c r="P107" s="14" t="e">
        <f t="shared" si="87"/>
        <v>#NUM!</v>
      </c>
      <c r="Q107" s="22" t="e">
        <f t="shared" si="107"/>
        <v>#NUM!</v>
      </c>
      <c r="R107" s="60" t="e">
        <f t="shared" si="55"/>
        <v>#NUM!</v>
      </c>
      <c r="S107" s="60">
        <f ca="1">AVERAGE(OFFSET($R$3,0,0,'Données projet'!$E$9+1,1))-AVERAGE(OFFSET($H$3,0,0,'Données projet'!$E$9+1,1))</f>
        <v>155.11440101086782</v>
      </c>
      <c r="T107" s="60">
        <f t="shared" si="88"/>
        <v>239.53454701506638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3.1171134859941212</v>
      </c>
      <c r="AA107" s="23">
        <f>EXP(-LN(2)/25)*AA106+(1-EXP(-LN(2)/25))/(LN(2)/25)*Calculateur!V107*Calculateur!X107*VLOOKUP('Données projet'!$B$9,Paramètres!$A$1:$I$89,3,0)*0.475*44/12</f>
        <v>0.93070474333773812</v>
      </c>
      <c r="AB107" s="23">
        <f>EXP(-LN(2)/2)*AB106+(1-EXP(-LN(2)/2))/(LN(2)/2)*V107*Y107*VLOOKUP('Données projet'!$B$9,Paramètres!$A$1:$I$89,3,0)*0.475*44/12</f>
        <v>2.1456384819809903E-11</v>
      </c>
      <c r="AC107" s="24">
        <f t="shared" si="57"/>
        <v>4.0478182293533163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-3.4106051316484809E-13</v>
      </c>
      <c r="AJ107" s="14">
        <f>AI107*VLOOKUP('Données projet'!$B$10,Paramètres!$A$1:$I$89,3,0)*VLOOKUP('Données projet'!$B$10,Paramètres!$A$1:$I$89,5,0)</f>
        <v>-1.9065282685915009E-13</v>
      </c>
      <c r="AK107" s="14" t="e">
        <f t="shared" si="89"/>
        <v>#NUM!</v>
      </c>
      <c r="AL107" s="22" t="e">
        <f t="shared" si="58"/>
        <v>#NUM!</v>
      </c>
      <c r="AM107" s="60" t="e">
        <f t="shared" si="59"/>
        <v>#NUM!</v>
      </c>
      <c r="AN107" s="60">
        <f ca="1">AVERAGE(OFFSET($AM$3,0,0,'Données projet'!$E$10+1,1))-AVERAGE(OFFSET($H$3,0,0,'Données projet'!$E$10+1,1))</f>
        <v>302.20483575440988</v>
      </c>
      <c r="AO107" s="60">
        <f t="shared" si="90"/>
        <v>275.32862097158687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0.88849755861533108</v>
      </c>
      <c r="AW107" s="23">
        <f>EXP(-LN(2)/2)*AW106+(1-EXP(-LN(2)/2))/(LN(2)/2)*AQ107*AT107*VLOOKUP('Données projet'!$B$10,Paramètres!$A$1:$I$89,3,0)*0.475*44/12</f>
        <v>6.4073718628411068E-11</v>
      </c>
      <c r="AX107" s="23">
        <f t="shared" si="60"/>
        <v>0.88849755867940483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-1.7053025658242404E-13</v>
      </c>
      <c r="BE107" s="14">
        <f>BD107*VLOOKUP('Données projet'!$B$11,Paramètres!$A$1:$I$89,3,0)*VLOOKUP('Données projet'!$B$11,Paramètres!$A$1:$I$89,5,0)</f>
        <v>-1.4897523215040567E-13</v>
      </c>
      <c r="BF107" s="14" t="e">
        <f t="shared" si="91"/>
        <v>#NUM!</v>
      </c>
      <c r="BG107" s="22" t="e">
        <f t="shared" si="61"/>
        <v>#NUM!</v>
      </c>
      <c r="BH107" s="60" t="e">
        <f t="shared" si="62"/>
        <v>#NUM!</v>
      </c>
      <c r="BI107" s="60">
        <f ca="1">AVERAGE(OFFSET($BH$3,0,0,'Données projet'!$E$11+1,1))-AVERAGE(OFFSET($H$3,0,0,'Données projet'!$E$11+1,1))</f>
        <v>314.62110015707839</v>
      </c>
      <c r="BJ107" s="60">
        <f t="shared" si="92"/>
        <v>285.36905470736582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4.4000000000000004</v>
      </c>
      <c r="BY107" s="13">
        <f>IF('Données projet'!$A$114&gt;35,BY106+BX107-CG106,IF(A107&lt;'Données projet'!$A$114,$BV$205^A107,IF(A107='Données projet'!$A$114,'Données projet'!$B$114,BY106+BX107-CG106)))</f>
        <v>278.59999999999974</v>
      </c>
      <c r="BZ107" s="14">
        <f>BY107*VLOOKUP('Données projet'!$B$12,Paramètres!$A$1:$I$89,3,0)*VLOOKUP('Données projet'!$B$12,Paramètres!$A$1:$I$89,5,0)</f>
        <v>252.07727999999975</v>
      </c>
      <c r="CA107" s="14">
        <f t="shared" si="93"/>
        <v>61.03054465215493</v>
      </c>
      <c r="CB107" s="22">
        <f t="shared" si="64"/>
        <v>545.32946126916943</v>
      </c>
      <c r="CC107" s="60">
        <f t="shared" si="65"/>
        <v>838.6627946025028</v>
      </c>
      <c r="CD107" s="60">
        <f ca="1">AVERAGE(OFFSET($CC$3,0,0,'Données projet'!$E$12+1,1))-AVERAGE(OFFSET($H$3,0,0,'Données projet'!$E$12+1,1))</f>
        <v>303.73499739059076</v>
      </c>
      <c r="CE107" s="60">
        <f t="shared" si="94"/>
        <v>172.32171001882188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4.4000000000000004</v>
      </c>
      <c r="CT107" s="13">
        <f>IF('Données projet'!$A$140&gt;35,CT106+CS107-DB106,IF(A107&lt;'Données projet'!$A$140,$CQ$205^A107,IF(A107='Données projet'!$A$140,'Données projet'!$B$140,CT106+CS107-DB106)))</f>
        <v>278.59999999999974</v>
      </c>
      <c r="CU107" s="18">
        <f>CT107*VLOOKUP('Données projet'!$B$13,Paramètres!$A$1:$I$89,3,0)*VLOOKUP('Données projet'!$B$13,Paramètres!$A$1:$I$89,5,0)</f>
        <v>282.50039999999973</v>
      </c>
      <c r="CV107" s="14">
        <f t="shared" si="95"/>
        <v>67.495141560894311</v>
      </c>
      <c r="CW107" s="22">
        <f t="shared" si="67"/>
        <v>609.57556821855712</v>
      </c>
      <c r="CX107" s="60">
        <f t="shared" si="68"/>
        <v>902.90890155189049</v>
      </c>
      <c r="CY107" s="60">
        <f ca="1">AVERAGE(OFFSET($CX$3,0,0,'Données projet'!$E$13+1,1))-AVERAGE(OFFSET($H$3,0,0,'Données projet'!$E$13+1,1))</f>
        <v>350.3652766444938</v>
      </c>
      <c r="CZ107" s="60">
        <f t="shared" si="96"/>
        <v>197.04549436738586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4.4000000000000004</v>
      </c>
      <c r="DO107" s="13">
        <f>IF('Données projet'!$A$166&gt;35,DO106+DN107-DW106,IF(A107&lt;'Données projet'!$A$166,$DL$205^A107,IF(A107='Données projet'!$A$166,'Données projet'!$B$166,DO106+DN107-DW106)))</f>
        <v>278.59999999999974</v>
      </c>
      <c r="DP107" s="18">
        <f>DO107*VLOOKUP('Données projet'!$B$14,Paramètres!$A$1:$I$89,3,0)*VLOOKUP('Données projet'!$B$14,Paramètres!$A$1:$I$89,5,0)</f>
        <v>299.88503999999972</v>
      </c>
      <c r="DQ107" s="14">
        <f t="shared" si="97"/>
        <v>71.152362906464575</v>
      </c>
      <c r="DR107" s="22">
        <f t="shared" si="70"/>
        <v>646.22347672875867</v>
      </c>
      <c r="DS107" s="60">
        <f t="shared" si="71"/>
        <v>939.55681006209193</v>
      </c>
      <c r="DT107" s="60">
        <f ca="1">AVERAGE(OFFSET($DS$3,0,0,'Données projet'!$E$14+1,1))-AVERAGE(OFFSET($H$3,0,0,'Données projet'!$E$14+1,1))</f>
        <v>376.96388721258387</v>
      </c>
      <c r="DU107" s="60">
        <f t="shared" si="98"/>
        <v>211.14628470344377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4.4000000000000004</v>
      </c>
      <c r="EJ107" s="13">
        <f>IF('Données projet'!$A$192&gt;35,EJ106+EI107-ER106,IF(A107&lt;'Données projet'!$A$192,$EG$205^A107,IF(A107='Données projet'!$A$192,'Données projet'!$B$192,EJ106+EI107-ER106)))</f>
        <v>278.59999999999974</v>
      </c>
      <c r="EK107" s="18">
        <f>EJ107*VLOOKUP('Données projet'!$B$15,Paramètres!$A$1:$I$89,3,0)*VLOOKUP('Données projet'!$B$15,Paramètres!$A$1:$I$89,5,0)</f>
        <v>269.46191999999974</v>
      </c>
      <c r="EL107" s="14">
        <f t="shared" si="99"/>
        <v>64.735061876839055</v>
      </c>
      <c r="EM107" s="22">
        <f t="shared" si="73"/>
        <v>582.05974343549417</v>
      </c>
      <c r="EN107" s="60">
        <f t="shared" si="74"/>
        <v>875.39307676882754</v>
      </c>
      <c r="EO107" s="60">
        <f ca="1">AVERAGE(OFFSET($EN$3,0,0,'Données projet'!$E$15+1,1))-AVERAGE(OFFSET($H$3,0,0,'Données projet'!$E$15+1,1))</f>
        <v>330.39429528665841</v>
      </c>
      <c r="EP107" s="60">
        <f t="shared" si="100"/>
        <v>186.45728006007261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8">
        <f t="shared" si="56"/>
        <v>421.90565942784269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-5.6843418860808015E-14</v>
      </c>
      <c r="O108" s="14">
        <f>N108*VLOOKUP('Données projet'!$B$9,Paramètres!$A$1:$I$89,3,0)*VLOOKUP('Données projet'!$B$9,Paramètres!$A$1:$I$89,5,0)</f>
        <v>-3.3992364478763198E-14</v>
      </c>
      <c r="P108" s="14" t="e">
        <f t="shared" si="87"/>
        <v>#NUM!</v>
      </c>
      <c r="Q108" s="22" t="e">
        <f t="shared" si="107"/>
        <v>#NUM!</v>
      </c>
      <c r="R108" s="60" t="e">
        <f t="shared" si="55"/>
        <v>#NUM!</v>
      </c>
      <c r="S108" s="60">
        <f ca="1">AVERAGE(OFFSET($R$3,0,0,'Données projet'!$E$9+1,1))-AVERAGE(OFFSET($H$3,0,0,'Données projet'!$E$9+1,1))</f>
        <v>155.11440101086782</v>
      </c>
      <c r="T108" s="60">
        <f t="shared" si="88"/>
        <v>239.53454701506638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3.0559887917852699</v>
      </c>
      <c r="AA108" s="23">
        <f>EXP(-LN(2)/25)*AA107+(1-EXP(-LN(2)/25))/(LN(2)/25)*Calculateur!V108*Calculateur!X108*VLOOKUP('Données projet'!$B$9,Paramètres!$A$1:$I$89,3,0)*0.475*44/12</f>
        <v>0.90525457318753233</v>
      </c>
      <c r="AB108" s="23">
        <f>EXP(-LN(2)/2)*AB107+(1-EXP(-LN(2)/2))/(LN(2)/2)*V108*Y108*VLOOKUP('Données projet'!$B$9,Paramètres!$A$1:$I$89,3,0)*0.475*44/12</f>
        <v>1.517195520583568E-11</v>
      </c>
      <c r="AC108" s="24">
        <f t="shared" si="57"/>
        <v>3.9612433649879741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-3.4106051316484809E-13</v>
      </c>
      <c r="AJ108" s="14">
        <f>AI108*VLOOKUP('Données projet'!$B$10,Paramètres!$A$1:$I$89,3,0)*VLOOKUP('Données projet'!$B$10,Paramètres!$A$1:$I$89,5,0)</f>
        <v>-1.9065282685915009E-13</v>
      </c>
      <c r="AK108" s="14" t="e">
        <f t="shared" si="89"/>
        <v>#NUM!</v>
      </c>
      <c r="AL108" s="22" t="e">
        <f t="shared" si="58"/>
        <v>#NUM!</v>
      </c>
      <c r="AM108" s="60" t="e">
        <f t="shared" si="59"/>
        <v>#NUM!</v>
      </c>
      <c r="AN108" s="60">
        <f ca="1">AVERAGE(OFFSET($AM$3,0,0,'Données projet'!$E$10+1,1))-AVERAGE(OFFSET($H$3,0,0,'Données projet'!$E$10+1,1))</f>
        <v>302.20483575440988</v>
      </c>
      <c r="AO108" s="60">
        <f t="shared" si="90"/>
        <v>275.32862097158687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0.86420154615093892</v>
      </c>
      <c r="AW108" s="23">
        <f>EXP(-LN(2)/2)*AW107+(1-EXP(-LN(2)/2))/(LN(2)/2)*AQ108*AT108*VLOOKUP('Données projet'!$B$10,Paramètres!$A$1:$I$89,3,0)*0.475*44/12</f>
        <v>4.5306960937988279E-11</v>
      </c>
      <c r="AX108" s="23">
        <f t="shared" si="60"/>
        <v>0.8642015461962459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-1.7053025658242404E-13</v>
      </c>
      <c r="BE108" s="14">
        <f>BD108*VLOOKUP('Données projet'!$B$11,Paramètres!$A$1:$I$89,3,0)*VLOOKUP('Données projet'!$B$11,Paramètres!$A$1:$I$89,5,0)</f>
        <v>-1.4897523215040567E-13</v>
      </c>
      <c r="BF108" s="14" t="e">
        <f t="shared" si="91"/>
        <v>#NUM!</v>
      </c>
      <c r="BG108" s="22" t="e">
        <f t="shared" si="61"/>
        <v>#NUM!</v>
      </c>
      <c r="BH108" s="60" t="e">
        <f t="shared" si="62"/>
        <v>#NUM!</v>
      </c>
      <c r="BI108" s="60">
        <f ca="1">AVERAGE(OFFSET($BH$3,0,0,'Données projet'!$E$11+1,1))-AVERAGE(OFFSET($H$3,0,0,'Données projet'!$E$11+1,1))</f>
        <v>314.62110015707839</v>
      </c>
      <c r="BJ108" s="60">
        <f t="shared" si="92"/>
        <v>285.36905470736582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4.4000000000000004</v>
      </c>
      <c r="BY108" s="13">
        <f>IF('Données projet'!$A$114&gt;35,BY107+BX108-CG107,IF(A108&lt;'Données projet'!$A$114,$BV$205^A108,IF(A108='Données projet'!$A$114,'Données projet'!$B$114,BY107+BX108-CG107)))</f>
        <v>282.99999999999972</v>
      </c>
      <c r="BZ108" s="14">
        <f>BY108*VLOOKUP('Données projet'!$B$12,Paramètres!$A$1:$I$89,3,0)*VLOOKUP('Données projet'!$B$12,Paramètres!$A$1:$I$89,5,0)</f>
        <v>256.05839999999972</v>
      </c>
      <c r="CA108" s="14">
        <f t="shared" si="93"/>
        <v>61.881442594256434</v>
      </c>
      <c r="CB108" s="22">
        <f t="shared" si="64"/>
        <v>553.74522585166278</v>
      </c>
      <c r="CC108" s="60">
        <f t="shared" si="65"/>
        <v>847.07855918499604</v>
      </c>
      <c r="CD108" s="60">
        <f ca="1">AVERAGE(OFFSET($CC$3,0,0,'Données projet'!$E$12+1,1))-AVERAGE(OFFSET($H$3,0,0,'Données projet'!$E$12+1,1))</f>
        <v>303.73499739059076</v>
      </c>
      <c r="CE108" s="60">
        <f t="shared" si="94"/>
        <v>172.32171001882188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4.4000000000000004</v>
      </c>
      <c r="CT108" s="13">
        <f>IF('Données projet'!$A$140&gt;35,CT107+CS108-DB107,IF(A108&lt;'Données projet'!$A$140,$CQ$205^A108,IF(A108='Données projet'!$A$140,'Données projet'!$B$140,CT107+CS108-DB107)))</f>
        <v>282.99999999999972</v>
      </c>
      <c r="CU108" s="18">
        <f>CT108*VLOOKUP('Données projet'!$B$13,Paramètres!$A$1:$I$89,3,0)*VLOOKUP('Données projet'!$B$13,Paramètres!$A$1:$I$89,5,0)</f>
        <v>286.9619999999997</v>
      </c>
      <c r="CV108" s="14">
        <f t="shared" si="95"/>
        <v>68.436169981717796</v>
      </c>
      <c r="CW108" s="22">
        <f t="shared" si="67"/>
        <v>618.98514605149137</v>
      </c>
      <c r="CX108" s="60">
        <f t="shared" si="68"/>
        <v>912.31847938482474</v>
      </c>
      <c r="CY108" s="60">
        <f ca="1">AVERAGE(OFFSET($CX$3,0,0,'Données projet'!$E$13+1,1))-AVERAGE(OFFSET($H$3,0,0,'Données projet'!$E$13+1,1))</f>
        <v>350.3652766444938</v>
      </c>
      <c r="CZ108" s="60">
        <f t="shared" si="96"/>
        <v>197.04549436738586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4.4000000000000004</v>
      </c>
      <c r="DO108" s="13">
        <f>IF('Données projet'!$A$166&gt;35,DO107+DN108-DW107,IF(A108&lt;'Données projet'!$A$166,$DL$205^A108,IF(A108='Données projet'!$A$166,'Données projet'!$B$166,DO107+DN108-DW107)))</f>
        <v>282.99999999999972</v>
      </c>
      <c r="DP108" s="18">
        <f>DO108*VLOOKUP('Données projet'!$B$14,Paramètres!$A$1:$I$89,3,0)*VLOOKUP('Données projet'!$B$14,Paramètres!$A$1:$I$89,5,0)</f>
        <v>304.62119999999965</v>
      </c>
      <c r="DQ108" s="14">
        <f t="shared" si="97"/>
        <v>72.144380911839335</v>
      </c>
      <c r="DR108" s="22">
        <f t="shared" si="70"/>
        <v>656.20005342145294</v>
      </c>
      <c r="DS108" s="60">
        <f t="shared" si="71"/>
        <v>949.53338675478631</v>
      </c>
      <c r="DT108" s="60">
        <f ca="1">AVERAGE(OFFSET($DS$3,0,0,'Données projet'!$E$14+1,1))-AVERAGE(OFFSET($H$3,0,0,'Données projet'!$E$14+1,1))</f>
        <v>376.96388721258387</v>
      </c>
      <c r="DU108" s="60">
        <f t="shared" si="98"/>
        <v>211.14628470344377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4.4000000000000004</v>
      </c>
      <c r="EJ108" s="13">
        <f>IF('Données projet'!$A$192&gt;35,EJ107+EI108-ER107,IF(A108&lt;'Données projet'!$A$192,$EG$205^A108,IF(A108='Données projet'!$A$192,'Données projet'!$B$192,EJ107+EI108-ER107)))</f>
        <v>282.99999999999972</v>
      </c>
      <c r="EK108" s="18">
        <f>EJ108*VLOOKUP('Données projet'!$B$15,Paramètres!$A$1:$I$89,3,0)*VLOOKUP('Données projet'!$B$15,Paramètres!$A$1:$I$89,5,0)</f>
        <v>273.71759999999972</v>
      </c>
      <c r="EL108" s="14">
        <f t="shared" si="99"/>
        <v>65.637608810456612</v>
      </c>
      <c r="EM108" s="22">
        <f t="shared" si="73"/>
        <v>591.04365534487806</v>
      </c>
      <c r="EN108" s="60">
        <f t="shared" si="74"/>
        <v>884.37698867821132</v>
      </c>
      <c r="EO108" s="60">
        <f ca="1">AVERAGE(OFFSET($EN$3,0,0,'Données projet'!$E$15+1,1))-AVERAGE(OFFSET($H$3,0,0,'Données projet'!$E$15+1,1))</f>
        <v>330.39429528665841</v>
      </c>
      <c r="EP108" s="60">
        <f t="shared" si="100"/>
        <v>186.45728006007261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8">
        <f t="shared" si="56"/>
        <v>423.09818324191957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-5.6843418860808015E-14</v>
      </c>
      <c r="O109" s="14">
        <f>N109*VLOOKUP('Données projet'!$B$9,Paramètres!$A$1:$I$89,3,0)*VLOOKUP('Données projet'!$B$9,Paramètres!$A$1:$I$89,5,0)</f>
        <v>-3.3992364478763198E-14</v>
      </c>
      <c r="P109" s="14" t="e">
        <f t="shared" si="87"/>
        <v>#NUM!</v>
      </c>
      <c r="Q109" s="22" t="e">
        <f t="shared" si="107"/>
        <v>#NUM!</v>
      </c>
      <c r="R109" s="60" t="e">
        <f t="shared" si="55"/>
        <v>#NUM!</v>
      </c>
      <c r="S109" s="60">
        <f ca="1">AVERAGE(OFFSET($R$3,0,0,'Données projet'!$E$9+1,1))-AVERAGE(OFFSET($H$3,0,0,'Données projet'!$E$9+1,1))</f>
        <v>155.11440101086782</v>
      </c>
      <c r="T109" s="60">
        <f t="shared" si="88"/>
        <v>239.53454701506638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2.9960627155474722</v>
      </c>
      <c r="AA109" s="23">
        <f>EXP(-LN(2)/25)*AA108+(1-EXP(-LN(2)/25))/(LN(2)/25)*Calculateur!V109*Calculateur!X109*VLOOKUP('Données projet'!$B$9,Paramètres!$A$1:$I$89,3,0)*0.475*44/12</f>
        <v>0.88050033927845028</v>
      </c>
      <c r="AB109" s="23">
        <f>EXP(-LN(2)/2)*AB108+(1-EXP(-LN(2)/2))/(LN(2)/2)*V109*Y109*VLOOKUP('Données projet'!$B$9,Paramètres!$A$1:$I$89,3,0)*0.475*44/12</f>
        <v>1.0728192409904951E-11</v>
      </c>
      <c r="AC109" s="24">
        <f t="shared" si="57"/>
        <v>3.8765630548366508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-3.4106051316484809E-13</v>
      </c>
      <c r="AJ109" s="14">
        <f>AI109*VLOOKUP('Données projet'!$B$10,Paramètres!$A$1:$I$89,3,0)*VLOOKUP('Données projet'!$B$10,Paramètres!$A$1:$I$89,5,0)</f>
        <v>-1.9065282685915009E-13</v>
      </c>
      <c r="AK109" s="14" t="e">
        <f t="shared" si="89"/>
        <v>#NUM!</v>
      </c>
      <c r="AL109" s="22" t="e">
        <f t="shared" si="58"/>
        <v>#NUM!</v>
      </c>
      <c r="AM109" s="60" t="e">
        <f t="shared" si="59"/>
        <v>#NUM!</v>
      </c>
      <c r="AN109" s="60">
        <f ca="1">AVERAGE(OFFSET($AM$3,0,0,'Données projet'!$E$10+1,1))-AVERAGE(OFFSET($H$3,0,0,'Données projet'!$E$10+1,1))</f>
        <v>302.20483575440988</v>
      </c>
      <c r="AO109" s="60">
        <f t="shared" si="90"/>
        <v>275.32862097158687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0.84056990942505738</v>
      </c>
      <c r="AW109" s="23">
        <f>EXP(-LN(2)/2)*AW108+(1-EXP(-LN(2)/2))/(LN(2)/2)*AQ109*AT109*VLOOKUP('Données projet'!$B$10,Paramètres!$A$1:$I$89,3,0)*0.475*44/12</f>
        <v>3.2036859314205534E-11</v>
      </c>
      <c r="AX109" s="23">
        <f t="shared" si="60"/>
        <v>0.8405699094570942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-1.7053025658242404E-13</v>
      </c>
      <c r="BE109" s="14">
        <f>BD109*VLOOKUP('Données projet'!$B$11,Paramètres!$A$1:$I$89,3,0)*VLOOKUP('Données projet'!$B$11,Paramètres!$A$1:$I$89,5,0)</f>
        <v>-1.4897523215040567E-13</v>
      </c>
      <c r="BF109" s="14" t="e">
        <f t="shared" si="91"/>
        <v>#NUM!</v>
      </c>
      <c r="BG109" s="22" t="e">
        <f t="shared" si="61"/>
        <v>#NUM!</v>
      </c>
      <c r="BH109" s="60" t="e">
        <f t="shared" si="62"/>
        <v>#NUM!</v>
      </c>
      <c r="BI109" s="60">
        <f ca="1">AVERAGE(OFFSET($BH$3,0,0,'Données projet'!$E$11+1,1))-AVERAGE(OFFSET($H$3,0,0,'Données projet'!$E$11+1,1))</f>
        <v>314.62110015707839</v>
      </c>
      <c r="BJ109" s="60">
        <f t="shared" si="92"/>
        <v>285.36905470736582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4.4000000000000004</v>
      </c>
      <c r="BY109" s="13">
        <f>IF('Données projet'!$A$114&gt;35,BY108+BX109-CG108,IF(A109&lt;'Données projet'!$A$114,$BV$205^A109,IF(A109='Données projet'!$A$114,'Données projet'!$B$114,BY108+BX109-CG108)))</f>
        <v>287.39999999999969</v>
      </c>
      <c r="BZ109" s="14">
        <f>BY109*VLOOKUP('Données projet'!$B$12,Paramètres!$A$1:$I$89,3,0)*VLOOKUP('Données projet'!$B$12,Paramètres!$A$1:$I$89,5,0)</f>
        <v>260.0395199999997</v>
      </c>
      <c r="CA109" s="14">
        <f t="shared" si="93"/>
        <v>62.730801948604821</v>
      </c>
      <c r="CB109" s="22">
        <f t="shared" si="64"/>
        <v>562.15831072715287</v>
      </c>
      <c r="CC109" s="60">
        <f t="shared" si="65"/>
        <v>855.49164406048612</v>
      </c>
      <c r="CD109" s="60">
        <f ca="1">AVERAGE(OFFSET($CC$3,0,0,'Données projet'!$E$12+1,1))-AVERAGE(OFFSET($H$3,0,0,'Données projet'!$E$12+1,1))</f>
        <v>303.73499739059076</v>
      </c>
      <c r="CE109" s="60">
        <f t="shared" si="94"/>
        <v>172.32171001882188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4.4000000000000004</v>
      </c>
      <c r="CT109" s="13">
        <f>IF('Données projet'!$A$140&gt;35,CT108+CS109-DB108,IF(A109&lt;'Données projet'!$A$140,$CQ$205^A109,IF(A109='Données projet'!$A$140,'Données projet'!$B$140,CT108+CS109-DB108)))</f>
        <v>287.39999999999969</v>
      </c>
      <c r="CU109" s="18">
        <f>CT109*VLOOKUP('Données projet'!$B$13,Paramètres!$A$1:$I$89,3,0)*VLOOKUP('Données projet'!$B$13,Paramètres!$A$1:$I$89,5,0)</f>
        <v>291.42359999999968</v>
      </c>
      <c r="CV109" s="14">
        <f t="shared" si="95"/>
        <v>69.375496841482104</v>
      </c>
      <c r="CW109" s="22">
        <f t="shared" si="67"/>
        <v>628.39176033224737</v>
      </c>
      <c r="CX109" s="60">
        <f t="shared" si="68"/>
        <v>921.72509366558074</v>
      </c>
      <c r="CY109" s="60">
        <f ca="1">AVERAGE(OFFSET($CX$3,0,0,'Données projet'!$E$13+1,1))-AVERAGE(OFFSET($H$3,0,0,'Données projet'!$E$13+1,1))</f>
        <v>350.3652766444938</v>
      </c>
      <c r="CZ109" s="60">
        <f t="shared" si="96"/>
        <v>197.04549436738586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4.4000000000000004</v>
      </c>
      <c r="DO109" s="13">
        <f>IF('Données projet'!$A$166&gt;35,DO108+DN109-DW108,IF(A109&lt;'Données projet'!$A$166,$DL$205^A109,IF(A109='Données projet'!$A$166,'Données projet'!$B$166,DO108+DN109-DW108)))</f>
        <v>287.39999999999969</v>
      </c>
      <c r="DP109" s="18">
        <f>DO109*VLOOKUP('Données projet'!$B$14,Paramètres!$A$1:$I$89,3,0)*VLOOKUP('Données projet'!$B$14,Paramètres!$A$1:$I$89,5,0)</f>
        <v>309.35735999999969</v>
      </c>
      <c r="DQ109" s="14">
        <f t="shared" si="97"/>
        <v>73.134605157142161</v>
      </c>
      <c r="DR109" s="22">
        <f t="shared" si="70"/>
        <v>666.17350598202211</v>
      </c>
      <c r="DS109" s="60">
        <f t="shared" si="71"/>
        <v>959.50683931535536</v>
      </c>
      <c r="DT109" s="60">
        <f ca="1">AVERAGE(OFFSET($DS$3,0,0,'Données projet'!$E$14+1,1))-AVERAGE(OFFSET($H$3,0,0,'Données projet'!$E$14+1,1))</f>
        <v>376.96388721258387</v>
      </c>
      <c r="DU109" s="60">
        <f t="shared" si="98"/>
        <v>211.14628470344377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4.4000000000000004</v>
      </c>
      <c r="EJ109" s="13">
        <f>IF('Données projet'!$A$192&gt;35,EJ108+EI109-ER108,IF(A109&lt;'Données projet'!$A$192,$EG$205^A109,IF(A109='Données projet'!$A$192,'Données projet'!$B$192,EJ108+EI109-ER108)))</f>
        <v>287.39999999999969</v>
      </c>
      <c r="EK109" s="18">
        <f>EJ109*VLOOKUP('Données projet'!$B$15,Paramètres!$A$1:$I$89,3,0)*VLOOKUP('Données projet'!$B$15,Paramètres!$A$1:$I$89,5,0)</f>
        <v>277.9732799999997</v>
      </c>
      <c r="EL109" s="14">
        <f t="shared" si="99"/>
        <v>66.538523764973135</v>
      </c>
      <c r="EM109" s="22">
        <f t="shared" si="73"/>
        <v>600.0247248906611</v>
      </c>
      <c r="EN109" s="60">
        <f t="shared" si="74"/>
        <v>893.35805822399448</v>
      </c>
      <c r="EO109" s="60">
        <f ca="1">AVERAGE(OFFSET($EN$3,0,0,'Données projet'!$E$15+1,1))-AVERAGE(OFFSET($H$3,0,0,'Données projet'!$E$15+1,1))</f>
        <v>330.39429528665841</v>
      </c>
      <c r="EP109" s="60">
        <f t="shared" si="100"/>
        <v>186.45728006007261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8">
        <f t="shared" si="56"/>
        <v>424.29044192203901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-5.6843418860808015E-14</v>
      </c>
      <c r="O110" s="14">
        <f>N110*VLOOKUP('Données projet'!$B$9,Paramètres!$A$1:$I$89,3,0)*VLOOKUP('Données projet'!$B$9,Paramètres!$A$1:$I$89,5,0)</f>
        <v>-3.3992364478763198E-14</v>
      </c>
      <c r="P110" s="14" t="e">
        <f t="shared" si="87"/>
        <v>#NUM!</v>
      </c>
      <c r="Q110" s="22" t="e">
        <f t="shared" si="107"/>
        <v>#NUM!</v>
      </c>
      <c r="R110" s="60" t="e">
        <f t="shared" si="55"/>
        <v>#NUM!</v>
      </c>
      <c r="S110" s="60">
        <f ca="1">AVERAGE(OFFSET($R$3,0,0,'Données projet'!$E$9+1,1))-AVERAGE(OFFSET($H$3,0,0,'Données projet'!$E$9+1,1))</f>
        <v>155.11440101086782</v>
      </c>
      <c r="T110" s="60">
        <f t="shared" si="88"/>
        <v>239.53454701506638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2.9373117531134003</v>
      </c>
      <c r="AA110" s="23">
        <f>EXP(-LN(2)/25)*AA109+(1-EXP(-LN(2)/25))/(LN(2)/25)*Calculateur!V110*Calculateur!X110*VLOOKUP('Données projet'!$B$9,Paramètres!$A$1:$I$89,3,0)*0.475*44/12</f>
        <v>0.85642301119738062</v>
      </c>
      <c r="AB110" s="23">
        <f>EXP(-LN(2)/2)*AB109+(1-EXP(-LN(2)/2))/(LN(2)/2)*V110*Y110*VLOOKUP('Données projet'!$B$9,Paramètres!$A$1:$I$89,3,0)*0.475*44/12</f>
        <v>7.5859776029178402E-12</v>
      </c>
      <c r="AC110" s="24">
        <f t="shared" si="57"/>
        <v>3.793734764318367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-3.4106051316484809E-13</v>
      </c>
      <c r="AJ110" s="14">
        <f>AI110*VLOOKUP('Données projet'!$B$10,Paramètres!$A$1:$I$89,3,0)*VLOOKUP('Données projet'!$B$10,Paramètres!$A$1:$I$89,5,0)</f>
        <v>-1.9065282685915009E-13</v>
      </c>
      <c r="AK110" s="14" t="e">
        <f t="shared" si="89"/>
        <v>#NUM!</v>
      </c>
      <c r="AL110" s="22" t="e">
        <f t="shared" si="58"/>
        <v>#NUM!</v>
      </c>
      <c r="AM110" s="60" t="e">
        <f t="shared" si="59"/>
        <v>#NUM!</v>
      </c>
      <c r="AN110" s="60">
        <f ca="1">AVERAGE(OFFSET($AM$3,0,0,'Données projet'!$E$10+1,1))-AVERAGE(OFFSET($H$3,0,0,'Données projet'!$E$10+1,1))</f>
        <v>302.20483575440988</v>
      </c>
      <c r="AO110" s="60">
        <f t="shared" si="90"/>
        <v>275.32862097158687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0.81758448104817882</v>
      </c>
      <c r="AW110" s="23">
        <f>EXP(-LN(2)/2)*AW109+(1-EXP(-LN(2)/2))/(LN(2)/2)*AQ110*AT110*VLOOKUP('Données projet'!$B$10,Paramètres!$A$1:$I$89,3,0)*0.475*44/12</f>
        <v>2.265348046899414E-11</v>
      </c>
      <c r="AX110" s="23">
        <f t="shared" si="60"/>
        <v>0.81758448107083226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-1.7053025658242404E-13</v>
      </c>
      <c r="BE110" s="14">
        <f>BD110*VLOOKUP('Données projet'!$B$11,Paramètres!$A$1:$I$89,3,0)*VLOOKUP('Données projet'!$B$11,Paramètres!$A$1:$I$89,5,0)</f>
        <v>-1.4897523215040567E-13</v>
      </c>
      <c r="BF110" s="14" t="e">
        <f t="shared" si="91"/>
        <v>#NUM!</v>
      </c>
      <c r="BG110" s="22" t="e">
        <f t="shared" si="61"/>
        <v>#NUM!</v>
      </c>
      <c r="BH110" s="60" t="e">
        <f t="shared" si="62"/>
        <v>#NUM!</v>
      </c>
      <c r="BI110" s="60">
        <f ca="1">AVERAGE(OFFSET($BH$3,0,0,'Données projet'!$E$11+1,1))-AVERAGE(OFFSET($H$3,0,0,'Données projet'!$E$11+1,1))</f>
        <v>314.62110015707839</v>
      </c>
      <c r="BJ110" s="60">
        <f t="shared" si="92"/>
        <v>285.36905470736582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4.4000000000000004</v>
      </c>
      <c r="BY110" s="13">
        <f>IF('Données projet'!$A$114&gt;35,BY109+BX110-CG109,IF(A110&lt;'Données projet'!$A$114,$BV$205^A110,IF(A110='Données projet'!$A$114,'Données projet'!$B$114,BY109+BX110-CG109)))</f>
        <v>291.79999999999967</v>
      </c>
      <c r="BZ110" s="14">
        <f>BY110*VLOOKUP('Données projet'!$B$12,Paramètres!$A$1:$I$89,3,0)*VLOOKUP('Données projet'!$B$12,Paramètres!$A$1:$I$89,5,0)</f>
        <v>264.02063999999967</v>
      </c>
      <c r="CA110" s="14">
        <f t="shared" si="93"/>
        <v>63.57864899095906</v>
      </c>
      <c r="CB110" s="22">
        <f t="shared" si="64"/>
        <v>570.56876165925303</v>
      </c>
      <c r="CC110" s="60">
        <f t="shared" si="65"/>
        <v>863.9020949925864</v>
      </c>
      <c r="CD110" s="60">
        <f ca="1">AVERAGE(OFFSET($CC$3,0,0,'Données projet'!$E$12+1,1))-AVERAGE(OFFSET($H$3,0,0,'Données projet'!$E$12+1,1))</f>
        <v>303.73499739059076</v>
      </c>
      <c r="CE110" s="60">
        <f t="shared" si="94"/>
        <v>172.32171001882188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4.4000000000000004</v>
      </c>
      <c r="CT110" s="13">
        <f>IF('Données projet'!$A$140&gt;35,CT109+CS110-DB109,IF(A110&lt;'Données projet'!$A$140,$CQ$205^A110,IF(A110='Données projet'!$A$140,'Données projet'!$B$140,CT109+CS110-DB109)))</f>
        <v>291.79999999999967</v>
      </c>
      <c r="CU110" s="18">
        <f>CT110*VLOOKUP('Données projet'!$B$13,Paramètres!$A$1:$I$89,3,0)*VLOOKUP('Données projet'!$B$13,Paramètres!$A$1:$I$89,5,0)</f>
        <v>295.88519999999966</v>
      </c>
      <c r="CV110" s="14">
        <f t="shared" si="95"/>
        <v>70.313151199178748</v>
      </c>
      <c r="CW110" s="22">
        <f t="shared" si="67"/>
        <v>637.79546167190244</v>
      </c>
      <c r="CX110" s="60">
        <f t="shared" si="68"/>
        <v>931.12879500523582</v>
      </c>
      <c r="CY110" s="60">
        <f ca="1">AVERAGE(OFFSET($CX$3,0,0,'Données projet'!$E$13+1,1))-AVERAGE(OFFSET($H$3,0,0,'Données projet'!$E$13+1,1))</f>
        <v>350.3652766444938</v>
      </c>
      <c r="CZ110" s="60">
        <f t="shared" si="96"/>
        <v>197.04549436738586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4.4000000000000004</v>
      </c>
      <c r="DO110" s="13">
        <f>IF('Données projet'!$A$166&gt;35,DO109+DN110-DW109,IF(A110&lt;'Données projet'!$A$166,$DL$205^A110,IF(A110='Données projet'!$A$166,'Données projet'!$B$166,DO109+DN110-DW109)))</f>
        <v>291.79999999999967</v>
      </c>
      <c r="DP110" s="18">
        <f>DO110*VLOOKUP('Données projet'!$B$14,Paramètres!$A$1:$I$89,3,0)*VLOOKUP('Données projet'!$B$14,Paramètres!$A$1:$I$89,5,0)</f>
        <v>314.09351999999961</v>
      </c>
      <c r="DQ110" s="14">
        <f t="shared" si="97"/>
        <v>74.123066275924458</v>
      </c>
      <c r="DR110" s="22">
        <f t="shared" si="70"/>
        <v>676.14388776390103</v>
      </c>
      <c r="DS110" s="60">
        <f t="shared" si="71"/>
        <v>969.47722109723441</v>
      </c>
      <c r="DT110" s="60">
        <f ca="1">AVERAGE(OFFSET($DS$3,0,0,'Données projet'!$E$14+1,1))-AVERAGE(OFFSET($H$3,0,0,'Données projet'!$E$14+1,1))</f>
        <v>376.96388721258387</v>
      </c>
      <c r="DU110" s="60">
        <f t="shared" si="98"/>
        <v>211.14628470344377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4.4000000000000004</v>
      </c>
      <c r="EJ110" s="13">
        <f>IF('Données projet'!$A$192&gt;35,EJ109+EI110-ER109,IF(A110&lt;'Données projet'!$A$192,$EG$205^A110,IF(A110='Données projet'!$A$192,'Données projet'!$B$192,EJ109+EI110-ER109)))</f>
        <v>291.79999999999967</v>
      </c>
      <c r="EK110" s="18">
        <f>EJ110*VLOOKUP('Données projet'!$B$15,Paramètres!$A$1:$I$89,3,0)*VLOOKUP('Données projet'!$B$15,Paramètres!$A$1:$I$89,5,0)</f>
        <v>282.22895999999969</v>
      </c>
      <c r="EL110" s="14">
        <f t="shared" si="99"/>
        <v>67.437834611070301</v>
      </c>
      <c r="EM110" s="22">
        <f t="shared" si="73"/>
        <v>609.00300061428027</v>
      </c>
      <c r="EN110" s="60">
        <f t="shared" si="74"/>
        <v>902.33633394761364</v>
      </c>
      <c r="EO110" s="60">
        <f ca="1">AVERAGE(OFFSET($EN$3,0,0,'Données projet'!$E$15+1,1))-AVERAGE(OFFSET($H$3,0,0,'Données projet'!$E$15+1,1))</f>
        <v>330.39429528665841</v>
      </c>
      <c r="EP110" s="60">
        <f t="shared" si="100"/>
        <v>186.45728006007261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8">
        <f t="shared" si="56"/>
        <v>425.48243823309122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-5.6843418860808015E-14</v>
      </c>
      <c r="O111" s="14">
        <f>N111*VLOOKUP('Données projet'!$B$9,Paramètres!$A$1:$I$89,3,0)*VLOOKUP('Données projet'!$B$9,Paramètres!$A$1:$I$89,5,0)</f>
        <v>-3.3992364478763198E-14</v>
      </c>
      <c r="P111" s="14" t="e">
        <f t="shared" si="87"/>
        <v>#NUM!</v>
      </c>
      <c r="Q111" s="22" t="e">
        <f t="shared" si="107"/>
        <v>#NUM!</v>
      </c>
      <c r="R111" s="60" t="e">
        <f t="shared" si="55"/>
        <v>#NUM!</v>
      </c>
      <c r="S111" s="60">
        <f ca="1">AVERAGE(OFFSET($R$3,0,0,'Données projet'!$E$9+1,1))-AVERAGE(OFFSET($H$3,0,0,'Données projet'!$E$9+1,1))</f>
        <v>155.11440101086782</v>
      </c>
      <c r="T111" s="60">
        <f t="shared" si="88"/>
        <v>239.53454701506638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2.879712861218112</v>
      </c>
      <c r="AA111" s="23">
        <f>EXP(-LN(2)/25)*AA110+(1-EXP(-LN(2)/25))/(LN(2)/25)*Calculateur!V111*Calculateur!X111*VLOOKUP('Données projet'!$B$9,Paramètres!$A$1:$I$89,3,0)*0.475*44/12</f>
        <v>0.83300407891885953</v>
      </c>
      <c r="AB111" s="23">
        <f>EXP(-LN(2)/2)*AB110+(1-EXP(-LN(2)/2))/(LN(2)/2)*V111*Y111*VLOOKUP('Données projet'!$B$9,Paramètres!$A$1:$I$89,3,0)*0.475*44/12</f>
        <v>5.3640962049524757E-12</v>
      </c>
      <c r="AC111" s="24">
        <f t="shared" si="57"/>
        <v>3.7127169401423354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-3.4106051316484809E-13</v>
      </c>
      <c r="AJ111" s="14">
        <f>AI111*VLOOKUP('Données projet'!$B$10,Paramètres!$A$1:$I$89,3,0)*VLOOKUP('Données projet'!$B$10,Paramètres!$A$1:$I$89,5,0)</f>
        <v>-1.9065282685915009E-13</v>
      </c>
      <c r="AK111" s="14" t="e">
        <f t="shared" si="89"/>
        <v>#NUM!</v>
      </c>
      <c r="AL111" s="22" t="e">
        <f t="shared" si="58"/>
        <v>#NUM!</v>
      </c>
      <c r="AM111" s="60" t="e">
        <f t="shared" si="59"/>
        <v>#NUM!</v>
      </c>
      <c r="AN111" s="60">
        <f ca="1">AVERAGE(OFFSET($AM$3,0,0,'Données projet'!$E$10+1,1))-AVERAGE(OFFSET($H$3,0,0,'Données projet'!$E$10+1,1))</f>
        <v>302.20483575440988</v>
      </c>
      <c r="AO111" s="60">
        <f t="shared" si="90"/>
        <v>275.32862097158687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0.79522759041901714</v>
      </c>
      <c r="AW111" s="23">
        <f>EXP(-LN(2)/2)*AW110+(1-EXP(-LN(2)/2))/(LN(2)/2)*AQ111*AT111*VLOOKUP('Données projet'!$B$10,Paramètres!$A$1:$I$89,3,0)*0.475*44/12</f>
        <v>1.6018429657102767E-11</v>
      </c>
      <c r="AX111" s="23">
        <f t="shared" si="60"/>
        <v>0.79522759043503555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-1.7053025658242404E-13</v>
      </c>
      <c r="BE111" s="14">
        <f>BD111*VLOOKUP('Données projet'!$B$11,Paramètres!$A$1:$I$89,3,0)*VLOOKUP('Données projet'!$B$11,Paramètres!$A$1:$I$89,5,0)</f>
        <v>-1.4897523215040567E-13</v>
      </c>
      <c r="BF111" s="14" t="e">
        <f t="shared" si="91"/>
        <v>#NUM!</v>
      </c>
      <c r="BG111" s="22" t="e">
        <f t="shared" si="61"/>
        <v>#NUM!</v>
      </c>
      <c r="BH111" s="60" t="e">
        <f t="shared" si="62"/>
        <v>#NUM!</v>
      </c>
      <c r="BI111" s="60">
        <f ca="1">AVERAGE(OFFSET($BH$3,0,0,'Données projet'!$E$11+1,1))-AVERAGE(OFFSET($H$3,0,0,'Données projet'!$E$11+1,1))</f>
        <v>314.62110015707839</v>
      </c>
      <c r="BJ111" s="60">
        <f t="shared" si="92"/>
        <v>285.36905470736582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4.4000000000000004</v>
      </c>
      <c r="BY111" s="13">
        <f>IF('Données projet'!$A$114&gt;35,BY110+BX111-CG110,IF(A111&lt;'Données projet'!$A$114,$BV$205^A111,IF(A111='Données projet'!$A$114,'Données projet'!$B$114,BY110+BX111-CG110)))</f>
        <v>296.19999999999965</v>
      </c>
      <c r="BZ111" s="14">
        <f>BY111*VLOOKUP('Données projet'!$B$12,Paramètres!$A$1:$I$89,3,0)*VLOOKUP('Données projet'!$B$12,Paramètres!$A$1:$I$89,5,0)</f>
        <v>268.00175999999971</v>
      </c>
      <c r="CA111" s="14">
        <f t="shared" si="93"/>
        <v>64.425009159185521</v>
      </c>
      <c r="CB111" s="22">
        <f t="shared" si="64"/>
        <v>578.97662295224757</v>
      </c>
      <c r="CC111" s="60">
        <f t="shared" si="65"/>
        <v>872.30995628558094</v>
      </c>
      <c r="CD111" s="60">
        <f ca="1">AVERAGE(OFFSET($CC$3,0,0,'Données projet'!$E$12+1,1))-AVERAGE(OFFSET($H$3,0,0,'Données projet'!$E$12+1,1))</f>
        <v>303.73499739059076</v>
      </c>
      <c r="CE111" s="60">
        <f t="shared" si="94"/>
        <v>172.32171001882188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4.4000000000000004</v>
      </c>
      <c r="CT111" s="13">
        <f>IF('Données projet'!$A$140&gt;35,CT110+CS111-DB110,IF(A111&lt;'Données projet'!$A$140,$CQ$205^A111,IF(A111='Données projet'!$A$140,'Données projet'!$B$140,CT110+CS111-DB110)))</f>
        <v>296.19999999999965</v>
      </c>
      <c r="CU111" s="18">
        <f>CT111*VLOOKUP('Données projet'!$B$13,Paramètres!$A$1:$I$89,3,0)*VLOOKUP('Données projet'!$B$13,Paramètres!$A$1:$I$89,5,0)</f>
        <v>300.34679999999963</v>
      </c>
      <c r="CV111" s="14">
        <f t="shared" si="95"/>
        <v>71.249161187153291</v>
      </c>
      <c r="CW111" s="22">
        <f t="shared" si="67"/>
        <v>647.19629906762464</v>
      </c>
      <c r="CX111" s="60">
        <f t="shared" si="68"/>
        <v>940.52963240095801</v>
      </c>
      <c r="CY111" s="60">
        <f ca="1">AVERAGE(OFFSET($CX$3,0,0,'Données projet'!$E$13+1,1))-AVERAGE(OFFSET($H$3,0,0,'Données projet'!$E$13+1,1))</f>
        <v>350.3652766444938</v>
      </c>
      <c r="CZ111" s="60">
        <f t="shared" si="96"/>
        <v>197.04549436738586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4.4000000000000004</v>
      </c>
      <c r="DO111" s="13">
        <f>IF('Données projet'!$A$166&gt;35,DO110+DN111-DW110,IF(A111&lt;'Données projet'!$A$166,$DL$205^A111,IF(A111='Données projet'!$A$166,'Données projet'!$B$166,DO110+DN111-DW110)))</f>
        <v>296.19999999999965</v>
      </c>
      <c r="DP111" s="18">
        <f>DO111*VLOOKUP('Données projet'!$B$14,Paramètres!$A$1:$I$89,3,0)*VLOOKUP('Données projet'!$B$14,Paramètres!$A$1:$I$89,5,0)</f>
        <v>318.8296799999996</v>
      </c>
      <c r="DQ111" s="14">
        <f t="shared" si="97"/>
        <v>75.109793924882112</v>
      </c>
      <c r="DR111" s="22">
        <f t="shared" si="70"/>
        <v>686.11125041916887</v>
      </c>
      <c r="DS111" s="60">
        <f t="shared" si="71"/>
        <v>979.44458375250224</v>
      </c>
      <c r="DT111" s="60">
        <f ca="1">AVERAGE(OFFSET($DS$3,0,0,'Données projet'!$E$14+1,1))-AVERAGE(OFFSET($H$3,0,0,'Données projet'!$E$14+1,1))</f>
        <v>376.96388721258387</v>
      </c>
      <c r="DU111" s="60">
        <f t="shared" si="98"/>
        <v>211.14628470344377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4.4000000000000004</v>
      </c>
      <c r="EJ111" s="13">
        <f>IF('Données projet'!$A$192&gt;35,EJ110+EI111-ER110,IF(A111&lt;'Données projet'!$A$192,$EG$205^A111,IF(A111='Données projet'!$A$192,'Données projet'!$B$192,EJ110+EI111-ER110)))</f>
        <v>296.19999999999965</v>
      </c>
      <c r="EK111" s="18">
        <f>EJ111*VLOOKUP('Données projet'!$B$15,Paramètres!$A$1:$I$89,3,0)*VLOOKUP('Données projet'!$B$15,Paramètres!$A$1:$I$89,5,0)</f>
        <v>286.48463999999967</v>
      </c>
      <c r="EL111" s="14">
        <f t="shared" si="99"/>
        <v>68.335568330677432</v>
      </c>
      <c r="EM111" s="22">
        <f t="shared" si="73"/>
        <v>617.97852950926267</v>
      </c>
      <c r="EN111" s="60">
        <f t="shared" si="74"/>
        <v>911.31186284259593</v>
      </c>
      <c r="EO111" s="60">
        <f ca="1">AVERAGE(OFFSET($EN$3,0,0,'Données projet'!$E$15+1,1))-AVERAGE(OFFSET($H$3,0,0,'Données projet'!$E$15+1,1))</f>
        <v>330.39429528665841</v>
      </c>
      <c r="EP111" s="60">
        <f t="shared" si="100"/>
        <v>186.45728006007261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8">
        <f t="shared" si="56"/>
        <v>426.67417488581191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-5.6843418860808015E-14</v>
      </c>
      <c r="O112" s="14">
        <f>N112*VLOOKUP('Données projet'!$B$9,Paramètres!$A$1:$I$89,3,0)*VLOOKUP('Données projet'!$B$9,Paramètres!$A$1:$I$89,5,0)</f>
        <v>-3.3992364478763198E-14</v>
      </c>
      <c r="P112" s="14" t="e">
        <f t="shared" si="87"/>
        <v>#NUM!</v>
      </c>
      <c r="Q112" s="22" t="e">
        <f t="shared" si="107"/>
        <v>#NUM!</v>
      </c>
      <c r="R112" s="60" t="e">
        <f t="shared" si="55"/>
        <v>#NUM!</v>
      </c>
      <c r="S112" s="60">
        <f ca="1">AVERAGE(OFFSET($R$3,0,0,'Données projet'!$E$9+1,1))-AVERAGE(OFFSET($H$3,0,0,'Données projet'!$E$9+1,1))</f>
        <v>155.11440101086782</v>
      </c>
      <c r="T112" s="60">
        <f t="shared" si="88"/>
        <v>239.53454701506638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2.8232434484610351</v>
      </c>
      <c r="AA112" s="23">
        <f>EXP(-LN(2)/25)*AA111+(1-EXP(-LN(2)/25))/(LN(2)/25)*Calculateur!V112*Calculateur!X112*VLOOKUP('Données projet'!$B$9,Paramètres!$A$1:$I$89,3,0)*0.475*44/12</f>
        <v>0.81022553857504265</v>
      </c>
      <c r="AB112" s="23">
        <f>EXP(-LN(2)/2)*AB111+(1-EXP(-LN(2)/2))/(LN(2)/2)*V112*Y112*VLOOKUP('Données projet'!$B$9,Paramètres!$A$1:$I$89,3,0)*0.475*44/12</f>
        <v>3.7929888014589201E-12</v>
      </c>
      <c r="AC112" s="24">
        <f t="shared" si="57"/>
        <v>3.6334689870398709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-3.4106051316484809E-13</v>
      </c>
      <c r="AJ112" s="14">
        <f>AI112*VLOOKUP('Données projet'!$B$10,Paramètres!$A$1:$I$89,3,0)*VLOOKUP('Données projet'!$B$10,Paramètres!$A$1:$I$89,5,0)</f>
        <v>-1.9065282685915009E-13</v>
      </c>
      <c r="AK112" s="14" t="e">
        <f t="shared" si="89"/>
        <v>#NUM!</v>
      </c>
      <c r="AL112" s="22" t="e">
        <f t="shared" si="58"/>
        <v>#NUM!</v>
      </c>
      <c r="AM112" s="60" t="e">
        <f t="shared" si="59"/>
        <v>#NUM!</v>
      </c>
      <c r="AN112" s="60">
        <f ca="1">AVERAGE(OFFSET($AM$3,0,0,'Données projet'!$E$10+1,1))-AVERAGE(OFFSET($H$3,0,0,'Données projet'!$E$10+1,1))</f>
        <v>302.20483575440988</v>
      </c>
      <c r="AO112" s="60">
        <f t="shared" si="90"/>
        <v>275.32862097158687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0.77348205013980764</v>
      </c>
      <c r="AW112" s="23">
        <f>EXP(-LN(2)/2)*AW111+(1-EXP(-LN(2)/2))/(LN(2)/2)*AQ112*AT112*VLOOKUP('Données projet'!$B$10,Paramètres!$A$1:$I$89,3,0)*0.475*44/12</f>
        <v>1.132674023449707E-11</v>
      </c>
      <c r="AX112" s="23">
        <f t="shared" si="60"/>
        <v>0.77348205015113436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-1.7053025658242404E-13</v>
      </c>
      <c r="BE112" s="14">
        <f>BD112*VLOOKUP('Données projet'!$B$11,Paramètres!$A$1:$I$89,3,0)*VLOOKUP('Données projet'!$B$11,Paramètres!$A$1:$I$89,5,0)</f>
        <v>-1.4897523215040567E-13</v>
      </c>
      <c r="BF112" s="14" t="e">
        <f t="shared" si="91"/>
        <v>#NUM!</v>
      </c>
      <c r="BG112" s="22" t="e">
        <f t="shared" si="61"/>
        <v>#NUM!</v>
      </c>
      <c r="BH112" s="60" t="e">
        <f t="shared" si="62"/>
        <v>#NUM!</v>
      </c>
      <c r="BI112" s="60">
        <f ca="1">AVERAGE(OFFSET($BH$3,0,0,'Données projet'!$E$11+1,1))-AVERAGE(OFFSET($H$3,0,0,'Données projet'!$E$11+1,1))</f>
        <v>314.62110015707839</v>
      </c>
      <c r="BJ112" s="60">
        <f t="shared" si="92"/>
        <v>285.36905470736582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4.4000000000000004</v>
      </c>
      <c r="BY112" s="13">
        <f>IF('Données projet'!$A$114&gt;35,BY111+BX112-CG111,IF(A112&lt;'Données projet'!$A$114,$BV$205^A112,IF(A112='Données projet'!$A$114,'Données projet'!$B$114,BY111+BX112-CG111)))</f>
        <v>300.59999999999962</v>
      </c>
      <c r="BZ112" s="14">
        <f>BY112*VLOOKUP('Données projet'!$B$12,Paramètres!$A$1:$I$89,3,0)*VLOOKUP('Données projet'!$B$12,Paramètres!$A$1:$I$89,5,0)</f>
        <v>271.98287999999962</v>
      </c>
      <c r="CA112" s="14">
        <f t="shared" si="93"/>
        <v>65.269907092018684</v>
      </c>
      <c r="CB112" s="22">
        <f t="shared" si="64"/>
        <v>587.38193751859842</v>
      </c>
      <c r="CC112" s="60">
        <f t="shared" si="65"/>
        <v>880.71527085193179</v>
      </c>
      <c r="CD112" s="60">
        <f ca="1">AVERAGE(OFFSET($CC$3,0,0,'Données projet'!$E$12+1,1))-AVERAGE(OFFSET($H$3,0,0,'Données projet'!$E$12+1,1))</f>
        <v>303.73499739059076</v>
      </c>
      <c r="CE112" s="60">
        <f t="shared" si="94"/>
        <v>172.32171001882188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4.4000000000000004</v>
      </c>
      <c r="CT112" s="13">
        <f>IF('Données projet'!$A$140&gt;35,CT111+CS112-DB111,IF(A112&lt;'Données projet'!$A$140,$CQ$205^A112,IF(A112='Données projet'!$A$140,'Données projet'!$B$140,CT111+CS112-DB111)))</f>
        <v>300.59999999999962</v>
      </c>
      <c r="CU112" s="18">
        <f>CT112*VLOOKUP('Données projet'!$B$13,Paramètres!$A$1:$I$89,3,0)*VLOOKUP('Données projet'!$B$13,Paramètres!$A$1:$I$89,5,0)</f>
        <v>304.80839999999961</v>
      </c>
      <c r="CV112" s="14">
        <f t="shared" si="95"/>
        <v>72.183554053972728</v>
      </c>
      <c r="CW112" s="22">
        <f t="shared" si="67"/>
        <v>656.59431997733509</v>
      </c>
      <c r="CX112" s="60">
        <f t="shared" si="68"/>
        <v>949.92765331066835</v>
      </c>
      <c r="CY112" s="60">
        <f ca="1">AVERAGE(OFFSET($CX$3,0,0,'Données projet'!$E$13+1,1))-AVERAGE(OFFSET($H$3,0,0,'Données projet'!$E$13+1,1))</f>
        <v>350.3652766444938</v>
      </c>
      <c r="CZ112" s="60">
        <f t="shared" si="96"/>
        <v>197.04549436738586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4.4000000000000004</v>
      </c>
      <c r="DO112" s="13">
        <f>IF('Données projet'!$A$166&gt;35,DO111+DN112-DW111,IF(A112&lt;'Données projet'!$A$166,$DL$205^A112,IF(A112='Données projet'!$A$166,'Données projet'!$B$166,DO111+DN112-DW111)))</f>
        <v>300.59999999999962</v>
      </c>
      <c r="DP112" s="18">
        <f>DO112*VLOOKUP('Données projet'!$B$14,Paramètres!$A$1:$I$89,3,0)*VLOOKUP('Données projet'!$B$14,Paramètres!$A$1:$I$89,5,0)</f>
        <v>323.56583999999958</v>
      </c>
      <c r="DQ112" s="14">
        <f t="shared" si="97"/>
        <v>76.094816829044248</v>
      </c>
      <c r="DR112" s="22">
        <f t="shared" si="70"/>
        <v>696.07564397725127</v>
      </c>
      <c r="DS112" s="60">
        <f t="shared" si="71"/>
        <v>989.40897731058453</v>
      </c>
      <c r="DT112" s="60">
        <f ca="1">AVERAGE(OFFSET($DS$3,0,0,'Données projet'!$E$14+1,1))-AVERAGE(OFFSET($H$3,0,0,'Données projet'!$E$14+1,1))</f>
        <v>376.96388721258387</v>
      </c>
      <c r="DU112" s="60">
        <f t="shared" si="98"/>
        <v>211.14628470344377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4.4000000000000004</v>
      </c>
      <c r="EJ112" s="13">
        <f>IF('Données projet'!$A$192&gt;35,EJ111+EI112-ER111,IF(A112&lt;'Données projet'!$A$192,$EG$205^A112,IF(A112='Données projet'!$A$192,'Données projet'!$B$192,EJ111+EI112-ER111)))</f>
        <v>300.59999999999962</v>
      </c>
      <c r="EK112" s="18">
        <f>EJ112*VLOOKUP('Données projet'!$B$15,Paramètres!$A$1:$I$89,3,0)*VLOOKUP('Données projet'!$B$15,Paramètres!$A$1:$I$89,5,0)</f>
        <v>290.74031999999966</v>
      </c>
      <c r="EL112" s="14">
        <f t="shared" si="99"/>
        <v>69.231751058085507</v>
      </c>
      <c r="EM112" s="22">
        <f t="shared" si="73"/>
        <v>626.95135709283159</v>
      </c>
      <c r="EN112" s="60">
        <f t="shared" si="74"/>
        <v>920.28469042616484</v>
      </c>
      <c r="EO112" s="60">
        <f ca="1">AVERAGE(OFFSET($EN$3,0,0,'Données projet'!$E$15+1,1))-AVERAGE(OFFSET($H$3,0,0,'Données projet'!$E$15+1,1))</f>
        <v>330.39429528665841</v>
      </c>
      <c r="EP112" s="60">
        <f t="shared" si="100"/>
        <v>186.45728006007261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8">
        <f t="shared" si="56"/>
        <v>427.8656545383293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-5.6843418860808015E-14</v>
      </c>
      <c r="O113" s="14">
        <f>N113*VLOOKUP('Données projet'!$B$9,Paramètres!$A$1:$I$89,3,0)*VLOOKUP('Données projet'!$B$9,Paramètres!$A$1:$I$89,5,0)</f>
        <v>-3.3992364478763198E-14</v>
      </c>
      <c r="P113" s="14" t="e">
        <f t="shared" si="87"/>
        <v>#NUM!</v>
      </c>
      <c r="Q113" s="22" t="e">
        <f t="shared" si="107"/>
        <v>#NUM!</v>
      </c>
      <c r="R113" s="60" t="e">
        <f t="shared" si="55"/>
        <v>#NUM!</v>
      </c>
      <c r="S113" s="60">
        <f ca="1">AVERAGE(OFFSET($R$3,0,0,'Données projet'!$E$9+1,1))-AVERAGE(OFFSET($H$3,0,0,'Données projet'!$E$9+1,1))</f>
        <v>155.11440101086782</v>
      </c>
      <c r="T113" s="60">
        <f t="shared" si="88"/>
        <v>239.53454701506638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2.7678813664451836</v>
      </c>
      <c r="AA113" s="23">
        <f>EXP(-LN(2)/25)*AA112+(1-EXP(-LN(2)/25))/(LN(2)/25)*Calculateur!V113*Calculateur!X113*VLOOKUP('Données projet'!$B$9,Paramètres!$A$1:$I$89,3,0)*0.475*44/12</f>
        <v>0.78806987861479882</v>
      </c>
      <c r="AB113" s="23">
        <f>EXP(-LN(2)/2)*AB112+(1-EXP(-LN(2)/2))/(LN(2)/2)*V113*Y113*VLOOKUP('Données projet'!$B$9,Paramètres!$A$1:$I$89,3,0)*0.475*44/12</f>
        <v>2.6820481024762378E-12</v>
      </c>
      <c r="AC113" s="24">
        <f t="shared" si="57"/>
        <v>3.5559512450626642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-3.4106051316484809E-13</v>
      </c>
      <c r="AJ113" s="14">
        <f>AI113*VLOOKUP('Données projet'!$B$10,Paramètres!$A$1:$I$89,3,0)*VLOOKUP('Données projet'!$B$10,Paramètres!$A$1:$I$89,5,0)</f>
        <v>-1.9065282685915009E-13</v>
      </c>
      <c r="AK113" s="14" t="e">
        <f t="shared" si="89"/>
        <v>#NUM!</v>
      </c>
      <c r="AL113" s="22" t="e">
        <f t="shared" si="58"/>
        <v>#NUM!</v>
      </c>
      <c r="AM113" s="60" t="e">
        <f t="shared" si="59"/>
        <v>#NUM!</v>
      </c>
      <c r="AN113" s="60">
        <f ca="1">AVERAGE(OFFSET($AM$3,0,0,'Données projet'!$E$10+1,1))-AVERAGE(OFFSET($H$3,0,0,'Données projet'!$E$10+1,1))</f>
        <v>302.20483575440988</v>
      </c>
      <c r="AO113" s="60">
        <f t="shared" si="90"/>
        <v>275.32862097158687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0.75233114280308144</v>
      </c>
      <c r="AW113" s="23">
        <f>EXP(-LN(2)/2)*AW112+(1-EXP(-LN(2)/2))/(LN(2)/2)*AQ113*AT113*VLOOKUP('Données projet'!$B$10,Paramètres!$A$1:$I$89,3,0)*0.475*44/12</f>
        <v>8.0092148285513836E-12</v>
      </c>
      <c r="AX113" s="23">
        <f t="shared" si="60"/>
        <v>0.7523311428110907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-1.7053025658242404E-13</v>
      </c>
      <c r="BE113" s="14">
        <f>BD113*VLOOKUP('Données projet'!$B$11,Paramètres!$A$1:$I$89,3,0)*VLOOKUP('Données projet'!$B$11,Paramètres!$A$1:$I$89,5,0)</f>
        <v>-1.4897523215040567E-13</v>
      </c>
      <c r="BF113" s="14" t="e">
        <f t="shared" si="91"/>
        <v>#NUM!</v>
      </c>
      <c r="BG113" s="22" t="e">
        <f t="shared" si="61"/>
        <v>#NUM!</v>
      </c>
      <c r="BH113" s="60" t="e">
        <f t="shared" si="62"/>
        <v>#NUM!</v>
      </c>
      <c r="BI113" s="60">
        <f ca="1">AVERAGE(OFFSET($BH$3,0,0,'Données projet'!$E$11+1,1))-AVERAGE(OFFSET($H$3,0,0,'Données projet'!$E$11+1,1))</f>
        <v>314.62110015707839</v>
      </c>
      <c r="BJ113" s="60">
        <f t="shared" si="92"/>
        <v>285.36905470736582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305</v>
      </c>
      <c r="BW113" s="13">
        <f>VLOOKUP(A113,'Données projet'!$A$113:$I$133,9,0)</f>
        <v>4.4000000000000004</v>
      </c>
      <c r="BX113" s="13">
        <f t="array" ref="BX113">INDEX(BW:BW,MIN(IF(ISNUMBER(BW113:BW309),ROW(BW113:BW309),"")))</f>
        <v>4.4000000000000004</v>
      </c>
      <c r="BY113" s="13">
        <f>IF('Données projet'!$A$114&gt;35,BY112+BX113-CG112,IF(A113&lt;'Données projet'!$A$114,$BV$205^A113,IF(A113='Données projet'!$A$114,'Données projet'!$B$114,BY112+BX113-CG112)))</f>
        <v>304.9999999999996</v>
      </c>
      <c r="BZ113" s="14">
        <f>BY113*VLOOKUP('Données projet'!$B$12,Paramètres!$A$1:$I$89,3,0)*VLOOKUP('Données projet'!$B$12,Paramètres!$A$1:$I$89,5,0)</f>
        <v>275.9639999999996</v>
      </c>
      <c r="CA113" s="14">
        <f t="shared" si="93"/>
        <v>66.113366665488797</v>
      </c>
      <c r="CB113" s="22">
        <f t="shared" si="64"/>
        <v>595.7847469423923</v>
      </c>
      <c r="CC113" s="60">
        <f t="shared" si="65"/>
        <v>889.11808027572556</v>
      </c>
      <c r="CD113" s="60">
        <f ca="1">AVERAGE(OFFSET($CC$3,0,0,'Données projet'!$E$12+1,1))-AVERAGE(OFFSET($H$3,0,0,'Données projet'!$E$12+1,1))</f>
        <v>303.73499739059076</v>
      </c>
      <c r="CE113" s="60">
        <f t="shared" si="94"/>
        <v>172.32171001882188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39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305</v>
      </c>
      <c r="CR113" s="13">
        <f>VLOOKUP(A113,'Données projet'!$A$139:$I$159,9,0)</f>
        <v>4.4000000000000004</v>
      </c>
      <c r="CS113" s="13">
        <f t="array" ref="CS113">INDEX(CR:CR,MIN(IF(ISNUMBER(CR113:CR309),ROW(CR113:CR309),"")))</f>
        <v>4.4000000000000004</v>
      </c>
      <c r="CT113" s="13">
        <f>IF('Données projet'!$A$140&gt;35,CT112+CS113-DB112,IF(A113&lt;'Données projet'!$A$140,$CQ$205^A113,IF(A113='Données projet'!$A$140,'Données projet'!$B$140,CT112+CS113-DB112)))</f>
        <v>304.9999999999996</v>
      </c>
      <c r="CU113" s="18">
        <f>CT113*VLOOKUP('Données projet'!$B$13,Paramètres!$A$1:$I$89,3,0)*VLOOKUP('Données projet'!$B$13,Paramètres!$A$1:$I$89,5,0)</f>
        <v>309.26999999999958</v>
      </c>
      <c r="CV113" s="14">
        <f t="shared" si="95"/>
        <v>73.116356204710968</v>
      </c>
      <c r="CW113" s="22">
        <f t="shared" si="67"/>
        <v>665.98957038987078</v>
      </c>
      <c r="CX113" s="60">
        <f t="shared" si="68"/>
        <v>959.32290372320404</v>
      </c>
      <c r="CY113" s="60">
        <f ca="1">AVERAGE(OFFSET($CX$3,0,0,'Données projet'!$E$13+1,1))-AVERAGE(OFFSET($H$3,0,0,'Données projet'!$E$13+1,1))</f>
        <v>350.3652766444938</v>
      </c>
      <c r="CZ113" s="60">
        <f t="shared" si="96"/>
        <v>197.04549436738586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39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305</v>
      </c>
      <c r="DM113" s="13">
        <f>VLOOKUP(A113,'Données projet'!$A$165:$I$185,9,0)</f>
        <v>4.4000000000000004</v>
      </c>
      <c r="DN113" s="13">
        <f t="array" ref="DN113">INDEX(DM:DM,MIN(IF(ISNUMBER(DM113:DM309),ROW(DM113:DM309),"")))</f>
        <v>4.4000000000000004</v>
      </c>
      <c r="DO113" s="13">
        <f>IF('Données projet'!$A$166&gt;35,DO112+DN113-DW112,IF(A113&lt;'Données projet'!$A$166,$DL$205^A113,IF(A113='Données projet'!$A$166,'Données projet'!$B$166,DO112+DN113-DW112)))</f>
        <v>304.9999999999996</v>
      </c>
      <c r="DP113" s="18">
        <f>DO113*VLOOKUP('Données projet'!$B$14,Paramètres!$A$1:$I$89,3,0)*VLOOKUP('Données projet'!$B$14,Paramètres!$A$1:$I$89,5,0)</f>
        <v>328.30199999999957</v>
      </c>
      <c r="DQ113" s="14">
        <f t="shared" si="97"/>
        <v>77.078162824242781</v>
      </c>
      <c r="DR113" s="22">
        <f t="shared" si="70"/>
        <v>706.03711691888873</v>
      </c>
      <c r="DS113" s="60">
        <f t="shared" si="71"/>
        <v>999.3704502522221</v>
      </c>
      <c r="DT113" s="60">
        <f ca="1">AVERAGE(OFFSET($DS$3,0,0,'Données projet'!$E$14+1,1))-AVERAGE(OFFSET($H$3,0,0,'Données projet'!$E$14+1,1))</f>
        <v>376.96388721258387</v>
      </c>
      <c r="DU113" s="60">
        <f t="shared" si="98"/>
        <v>211.14628470344377</v>
      </c>
      <c r="DV113" s="16">
        <f>IF(ISNA(VLOOKUP(A113,'Données projet'!$A$165:$I$185,3,0)),0,VLOOKUP(A113,'Données projet'!$A$165:$I$185,3,0))</f>
        <v>9</v>
      </c>
      <c r="DW113" s="16">
        <f>IF(ISNA(VLOOKUP(A113,'Données projet'!$A$165:$I$185,4,0)),0,VLOOKUP(A113,'Données projet'!$A$165:$I$185,4,0))</f>
        <v>39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305</v>
      </c>
      <c r="EH113" s="13">
        <f>VLOOKUP(A113,'Données projet'!$A$191:$I$211,9,0)</f>
        <v>4.4000000000000004</v>
      </c>
      <c r="EI113" s="13">
        <f t="array" ref="EI113">INDEX(EH:EH,MIN(IF(ISNUMBER(EH113:EH309),ROW(EH113:EH309),"")))</f>
        <v>4.4000000000000004</v>
      </c>
      <c r="EJ113" s="13">
        <f>IF('Données projet'!$A$192&gt;35,EJ112+EI113-ER112,IF(A113&lt;'Données projet'!$A$192,$EG$205^A113,IF(A113='Données projet'!$A$192,'Données projet'!$B$192,EJ112+EI113-ER112)))</f>
        <v>304.9999999999996</v>
      </c>
      <c r="EK113" s="18">
        <f>EJ113*VLOOKUP('Données projet'!$B$15,Paramètres!$A$1:$I$89,3,0)*VLOOKUP('Données projet'!$B$15,Paramètres!$A$1:$I$89,5,0)</f>
        <v>294.99599999999958</v>
      </c>
      <c r="EL113" s="14">
        <f t="shared" si="99"/>
        <v>70.126408118585317</v>
      </c>
      <c r="EM113" s="22">
        <f t="shared" si="73"/>
        <v>635.92152747320199</v>
      </c>
      <c r="EN113" s="60">
        <f t="shared" si="74"/>
        <v>929.25486080653536</v>
      </c>
      <c r="EO113" s="60">
        <f ca="1">AVERAGE(OFFSET($EN$3,0,0,'Données projet'!$E$15+1,1))-AVERAGE(OFFSET($H$3,0,0,'Données projet'!$E$15+1,1))</f>
        <v>330.39429528665841</v>
      </c>
      <c r="EP113" s="60">
        <f t="shared" si="100"/>
        <v>186.45728006007261</v>
      </c>
      <c r="EQ113" s="16">
        <f>IF(ISNA(VLOOKUP(A113,'Données projet'!$A$191:$I$211,3,0)),0,VLOOKUP(A113,'Données projet'!$A$191:$I$211,3,0))</f>
        <v>9</v>
      </c>
      <c r="ER113" s="16">
        <f>IF(ISNA(VLOOKUP(A113,'Données projet'!$A$191:$I$211,4,0)),0,VLOOKUP(A113,'Données projet'!$A$191:$I$211,4,0))</f>
        <v>39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8">
        <f t="shared" si="56"/>
        <v>429.05687979765457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-5.6843418860808015E-14</v>
      </c>
      <c r="O114" s="14">
        <f>N114*VLOOKUP('Données projet'!$B$9,Paramètres!$A$1:$I$89,3,0)*VLOOKUP('Données projet'!$B$9,Paramètres!$A$1:$I$89,5,0)</f>
        <v>-3.3992364478763198E-14</v>
      </c>
      <c r="P114" s="14" t="e">
        <f t="shared" si="87"/>
        <v>#NUM!</v>
      </c>
      <c r="Q114" s="22" t="e">
        <f t="shared" si="107"/>
        <v>#NUM!</v>
      </c>
      <c r="R114" s="60" t="e">
        <f t="shared" si="55"/>
        <v>#NUM!</v>
      </c>
      <c r="S114" s="60">
        <f ca="1">AVERAGE(OFFSET($R$3,0,0,'Données projet'!$E$9+1,1))-AVERAGE(OFFSET($H$3,0,0,'Données projet'!$E$9+1,1))</f>
        <v>155.11440101086782</v>
      </c>
      <c r="T114" s="60">
        <f t="shared" si="88"/>
        <v>239.53454701506638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2.7136049010901271</v>
      </c>
      <c r="AA114" s="23">
        <f>EXP(-LN(2)/25)*AA113+(1-EXP(-LN(2)/25))/(LN(2)/25)*Calculateur!V114*Calculateur!X114*VLOOKUP('Données projet'!$B$9,Paramètres!$A$1:$I$89,3,0)*0.475*44/12</f>
        <v>0.76652006634128345</v>
      </c>
      <c r="AB114" s="23">
        <f>EXP(-LN(2)/2)*AB113+(1-EXP(-LN(2)/2))/(LN(2)/2)*V114*Y114*VLOOKUP('Données projet'!$B$9,Paramètres!$A$1:$I$89,3,0)*0.475*44/12</f>
        <v>1.8964944007294601E-12</v>
      </c>
      <c r="AC114" s="24">
        <f t="shared" si="57"/>
        <v>3.4801249674333072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-3.4106051316484809E-13</v>
      </c>
      <c r="AJ114" s="14">
        <f>AI114*VLOOKUP('Données projet'!$B$10,Paramètres!$A$1:$I$89,3,0)*VLOOKUP('Données projet'!$B$10,Paramètres!$A$1:$I$89,5,0)</f>
        <v>-1.9065282685915009E-13</v>
      </c>
      <c r="AK114" s="14" t="e">
        <f t="shared" si="89"/>
        <v>#NUM!</v>
      </c>
      <c r="AL114" s="22" t="e">
        <f t="shared" si="58"/>
        <v>#NUM!</v>
      </c>
      <c r="AM114" s="60" t="e">
        <f t="shared" si="59"/>
        <v>#NUM!</v>
      </c>
      <c r="AN114" s="60">
        <f ca="1">AVERAGE(OFFSET($AM$3,0,0,'Données projet'!$E$10+1,1))-AVERAGE(OFFSET($H$3,0,0,'Données projet'!$E$10+1,1))</f>
        <v>302.20483575440988</v>
      </c>
      <c r="AO114" s="60">
        <f t="shared" si="90"/>
        <v>275.32862097158687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0.73175860813975591</v>
      </c>
      <c r="AW114" s="23">
        <f>EXP(-LN(2)/2)*AW113+(1-EXP(-LN(2)/2))/(LN(2)/2)*AQ114*AT114*VLOOKUP('Données projet'!$B$10,Paramètres!$A$1:$I$89,3,0)*0.475*44/12</f>
        <v>5.6633701172485349E-12</v>
      </c>
      <c r="AX114" s="23">
        <f t="shared" si="60"/>
        <v>0.73175860814541926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-1.7053025658242404E-13</v>
      </c>
      <c r="BE114" s="14">
        <f>BD114*VLOOKUP('Données projet'!$B$11,Paramètres!$A$1:$I$89,3,0)*VLOOKUP('Données projet'!$B$11,Paramètres!$A$1:$I$89,5,0)</f>
        <v>-1.4897523215040567E-13</v>
      </c>
      <c r="BF114" s="14" t="e">
        <f t="shared" si="91"/>
        <v>#NUM!</v>
      </c>
      <c r="BG114" s="22" t="e">
        <f t="shared" si="61"/>
        <v>#NUM!</v>
      </c>
      <c r="BH114" s="60" t="e">
        <f t="shared" si="62"/>
        <v>#NUM!</v>
      </c>
      <c r="BI114" s="60">
        <f ca="1">AVERAGE(OFFSET($BH$3,0,0,'Données projet'!$E$11+1,1))-AVERAGE(OFFSET($H$3,0,0,'Données projet'!$E$11+1,1))</f>
        <v>314.62110015707839</v>
      </c>
      <c r="BJ114" s="60">
        <f t="shared" si="92"/>
        <v>285.36905470736582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3.7</v>
      </c>
      <c r="BY114" s="13">
        <f>IF('Données projet'!$A$114&gt;35,BY113+BX114-CG113,IF(A114&lt;'Données projet'!$A$114,$BV$205^A114,IF(A114='Données projet'!$A$114,'Données projet'!$B$114,BY113+BX114-CG113)))</f>
        <v>269.69999999999959</v>
      </c>
      <c r="BZ114" s="14">
        <f>BY114*VLOOKUP('Données projet'!$B$12,Paramètres!$A$1:$I$89,3,0)*VLOOKUP('Données projet'!$B$12,Paramètres!$A$1:$I$89,5,0)</f>
        <v>244.02455999999964</v>
      </c>
      <c r="CA114" s="14">
        <f t="shared" si="93"/>
        <v>59.304594314969229</v>
      </c>
      <c r="CB114" s="22">
        <f t="shared" si="64"/>
        <v>528.29827709857079</v>
      </c>
      <c r="CC114" s="60">
        <f t="shared" si="65"/>
        <v>821.63161043190416</v>
      </c>
      <c r="CD114" s="60">
        <f ca="1">AVERAGE(OFFSET($CC$3,0,0,'Données projet'!$E$12+1,1))-AVERAGE(OFFSET($H$3,0,0,'Données projet'!$E$12+1,1))</f>
        <v>303.73499739059076</v>
      </c>
      <c r="CE114" s="60">
        <f t="shared" si="94"/>
        <v>172.32171001882188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3.7</v>
      </c>
      <c r="CT114" s="13">
        <f>IF('Données projet'!$A$140&gt;35,CT113+CS114-DB113,IF(A114&lt;'Données projet'!$A$140,$CQ$205^A114,IF(A114='Données projet'!$A$140,'Données projet'!$B$140,CT113+CS114-DB113)))</f>
        <v>269.69999999999959</v>
      </c>
      <c r="CU114" s="18">
        <f>CT114*VLOOKUP('Données projet'!$B$13,Paramètres!$A$1:$I$89,3,0)*VLOOKUP('Données projet'!$B$13,Paramètres!$A$1:$I$89,5,0)</f>
        <v>273.47579999999959</v>
      </c>
      <c r="CV114" s="14">
        <f t="shared" si="95"/>
        <v>65.586371730977532</v>
      </c>
      <c r="CW114" s="22">
        <f t="shared" si="67"/>
        <v>590.53328243145177</v>
      </c>
      <c r="CX114" s="60">
        <f t="shared" si="68"/>
        <v>883.86661576478514</v>
      </c>
      <c r="CY114" s="60">
        <f ca="1">AVERAGE(OFFSET($CX$3,0,0,'Données projet'!$E$13+1,1))-AVERAGE(OFFSET($H$3,0,0,'Données projet'!$E$13+1,1))</f>
        <v>350.3652766444938</v>
      </c>
      <c r="CZ114" s="60">
        <f t="shared" si="96"/>
        <v>197.04549436738586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3.7</v>
      </c>
      <c r="DO114" s="13">
        <f>IF('Données projet'!$A$166&gt;35,DO113+DN114-DW113,IF(A114&lt;'Données projet'!$A$166,$DL$205^A114,IF(A114='Données projet'!$A$166,'Données projet'!$B$166,DO113+DN114-DW113)))</f>
        <v>269.69999999999959</v>
      </c>
      <c r="DP114" s="18">
        <f>DO114*VLOOKUP('Données projet'!$B$14,Paramètres!$A$1:$I$89,3,0)*VLOOKUP('Données projet'!$B$14,Paramètres!$A$1:$I$89,5,0)</f>
        <v>290.30507999999958</v>
      </c>
      <c r="DQ114" s="14">
        <f t="shared" si="97"/>
        <v>69.140166465323375</v>
      </c>
      <c r="DR114" s="22">
        <f t="shared" si="70"/>
        <v>626.03380426043748</v>
      </c>
      <c r="DS114" s="60">
        <f t="shared" si="71"/>
        <v>919.36713759377085</v>
      </c>
      <c r="DT114" s="60">
        <f ca="1">AVERAGE(OFFSET($DS$3,0,0,'Données projet'!$E$14+1,1))-AVERAGE(OFFSET($H$3,0,0,'Données projet'!$E$14+1,1))</f>
        <v>376.96388721258387</v>
      </c>
      <c r="DU114" s="60">
        <f t="shared" si="98"/>
        <v>211.14628470344377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3.7</v>
      </c>
      <c r="EJ114" s="13">
        <f>IF('Données projet'!$A$192&gt;35,EJ113+EI114-ER113,IF(A114&lt;'Données projet'!$A$192,$EG$205^A114,IF(A114='Données projet'!$A$192,'Données projet'!$B$192,EJ113+EI114-ER113)))</f>
        <v>269.69999999999959</v>
      </c>
      <c r="EK114" s="18">
        <f>EJ114*VLOOKUP('Données projet'!$B$15,Paramètres!$A$1:$I$89,3,0)*VLOOKUP('Données projet'!$B$15,Paramètres!$A$1:$I$89,5,0)</f>
        <v>260.85383999999959</v>
      </c>
      <c r="EL114" s="14">
        <f t="shared" si="99"/>
        <v>62.904347395903649</v>
      </c>
      <c r="EM114" s="22">
        <f t="shared" si="73"/>
        <v>563.87884304786473</v>
      </c>
      <c r="EN114" s="60">
        <f t="shared" si="74"/>
        <v>857.21217638119811</v>
      </c>
      <c r="EO114" s="60">
        <f ca="1">AVERAGE(OFFSET($EN$3,0,0,'Données projet'!$E$15+1,1))-AVERAGE(OFFSET($H$3,0,0,'Données projet'!$E$15+1,1))</f>
        <v>330.39429528665841</v>
      </c>
      <c r="EP114" s="60">
        <f t="shared" si="100"/>
        <v>186.45728006007261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8">
        <f t="shared" si="56"/>
        <v>430.24785322111563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-5.6843418860808015E-14</v>
      </c>
      <c r="O115" s="14">
        <f>N115*VLOOKUP('Données projet'!$B$9,Paramètres!$A$1:$I$89,3,0)*VLOOKUP('Données projet'!$B$9,Paramètres!$A$1:$I$89,5,0)</f>
        <v>-3.3992364478763198E-14</v>
      </c>
      <c r="P115" s="14" t="e">
        <f t="shared" si="87"/>
        <v>#NUM!</v>
      </c>
      <c r="Q115" s="22" t="e">
        <f t="shared" si="107"/>
        <v>#NUM!</v>
      </c>
      <c r="R115" s="60" t="e">
        <f t="shared" si="55"/>
        <v>#NUM!</v>
      </c>
      <c r="S115" s="60">
        <f ca="1">AVERAGE(OFFSET($R$3,0,0,'Données projet'!$E$9+1,1))-AVERAGE(OFFSET($H$3,0,0,'Données projet'!$E$9+1,1))</f>
        <v>155.11440101086782</v>
      </c>
      <c r="T115" s="60">
        <f t="shared" si="88"/>
        <v>239.53454701506638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2.6603927641153082</v>
      </c>
      <c r="AA115" s="23">
        <f>EXP(-LN(2)/25)*AA114+(1-EXP(-LN(2)/25))/(LN(2)/25)*Calculateur!V115*Calculateur!X115*VLOOKUP('Données projet'!$B$9,Paramètres!$A$1:$I$89,3,0)*0.475*44/12</f>
        <v>0.7455595348176427</v>
      </c>
      <c r="AB115" s="23">
        <f>EXP(-LN(2)/2)*AB114+(1-EXP(-LN(2)/2))/(LN(2)/2)*V115*Y115*VLOOKUP('Données projet'!$B$9,Paramètres!$A$1:$I$89,3,0)*0.475*44/12</f>
        <v>1.3410240512381189E-12</v>
      </c>
      <c r="AC115" s="24">
        <f t="shared" si="57"/>
        <v>3.4059522989342921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-3.4106051316484809E-13</v>
      </c>
      <c r="AJ115" s="14">
        <f>AI115*VLOOKUP('Données projet'!$B$10,Paramètres!$A$1:$I$89,3,0)*VLOOKUP('Données projet'!$B$10,Paramètres!$A$1:$I$89,5,0)</f>
        <v>-1.9065282685915009E-13</v>
      </c>
      <c r="AK115" s="14" t="e">
        <f t="shared" si="89"/>
        <v>#NUM!</v>
      </c>
      <c r="AL115" s="22" t="e">
        <f t="shared" si="58"/>
        <v>#NUM!</v>
      </c>
      <c r="AM115" s="60" t="e">
        <f t="shared" si="59"/>
        <v>#NUM!</v>
      </c>
      <c r="AN115" s="60">
        <f ca="1">AVERAGE(OFFSET($AM$3,0,0,'Données projet'!$E$10+1,1))-AVERAGE(OFFSET($H$3,0,0,'Données projet'!$E$10+1,1))</f>
        <v>302.20483575440988</v>
      </c>
      <c r="AO115" s="60">
        <f t="shared" si="90"/>
        <v>275.32862097158687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0.71174863051866155</v>
      </c>
      <c r="AW115" s="23">
        <f>EXP(-LN(2)/2)*AW114+(1-EXP(-LN(2)/2))/(LN(2)/2)*AQ115*AT115*VLOOKUP('Données projet'!$B$10,Paramètres!$A$1:$I$89,3,0)*0.475*44/12</f>
        <v>4.0046074142756918E-12</v>
      </c>
      <c r="AX115" s="23">
        <f t="shared" si="60"/>
        <v>0.71174863052266613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-1.7053025658242404E-13</v>
      </c>
      <c r="BE115" s="14">
        <f>BD115*VLOOKUP('Données projet'!$B$11,Paramètres!$A$1:$I$89,3,0)*VLOOKUP('Données projet'!$B$11,Paramètres!$A$1:$I$89,5,0)</f>
        <v>-1.4897523215040567E-13</v>
      </c>
      <c r="BF115" s="14" t="e">
        <f t="shared" si="91"/>
        <v>#NUM!</v>
      </c>
      <c r="BG115" s="22" t="e">
        <f t="shared" si="61"/>
        <v>#NUM!</v>
      </c>
      <c r="BH115" s="60" t="e">
        <f t="shared" si="62"/>
        <v>#NUM!</v>
      </c>
      <c r="BI115" s="60">
        <f ca="1">AVERAGE(OFFSET($BH$3,0,0,'Données projet'!$E$11+1,1))-AVERAGE(OFFSET($H$3,0,0,'Données projet'!$E$11+1,1))</f>
        <v>314.62110015707839</v>
      </c>
      <c r="BJ115" s="60">
        <f t="shared" si="92"/>
        <v>285.36905470736582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3.7</v>
      </c>
      <c r="BY115" s="13">
        <f>IF('Données projet'!$A$114&gt;35,BY114+BX115-CG114,IF(A115&lt;'Données projet'!$A$114,$BV$205^A115,IF(A115='Données projet'!$A$114,'Données projet'!$B$114,BY114+BX115-CG114)))</f>
        <v>273.39999999999958</v>
      </c>
      <c r="BZ115" s="14">
        <f>BY115*VLOOKUP('Données projet'!$B$12,Paramètres!$A$1:$I$89,3,0)*VLOOKUP('Données projet'!$B$12,Paramètres!$A$1:$I$89,5,0)</f>
        <v>247.3723199999996</v>
      </c>
      <c r="CA115" s="14">
        <f t="shared" si="93"/>
        <v>60.022917171130942</v>
      </c>
      <c r="CB115" s="22">
        <f t="shared" si="64"/>
        <v>535.38003807305233</v>
      </c>
      <c r="CC115" s="60">
        <f t="shared" si="65"/>
        <v>828.7133714063857</v>
      </c>
      <c r="CD115" s="60">
        <f ca="1">AVERAGE(OFFSET($CC$3,0,0,'Données projet'!$E$12+1,1))-AVERAGE(OFFSET($H$3,0,0,'Données projet'!$E$12+1,1))</f>
        <v>303.73499739059076</v>
      </c>
      <c r="CE115" s="60">
        <f t="shared" si="94"/>
        <v>172.32171001882188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3.7</v>
      </c>
      <c r="CT115" s="13">
        <f>IF('Données projet'!$A$140&gt;35,CT114+CS115-DB114,IF(A115&lt;'Données projet'!$A$140,$CQ$205^A115,IF(A115='Données projet'!$A$140,'Données projet'!$B$140,CT114+CS115-DB114)))</f>
        <v>273.39999999999958</v>
      </c>
      <c r="CU115" s="18">
        <f>CT115*VLOOKUP('Données projet'!$B$13,Paramètres!$A$1:$I$89,3,0)*VLOOKUP('Données projet'!$B$13,Paramètres!$A$1:$I$89,5,0)</f>
        <v>277.2275999999996</v>
      </c>
      <c r="CV115" s="14">
        <f t="shared" si="95"/>
        <v>66.380782187895392</v>
      </c>
      <c r="CW115" s="22">
        <f t="shared" si="67"/>
        <v>598.45126564391705</v>
      </c>
      <c r="CX115" s="60">
        <f t="shared" si="68"/>
        <v>891.78459897725043</v>
      </c>
      <c r="CY115" s="60">
        <f ca="1">AVERAGE(OFFSET($CX$3,0,0,'Données projet'!$E$13+1,1))-AVERAGE(OFFSET($H$3,0,0,'Données projet'!$E$13+1,1))</f>
        <v>350.3652766444938</v>
      </c>
      <c r="CZ115" s="60">
        <f t="shared" si="96"/>
        <v>197.04549436738586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3.7</v>
      </c>
      <c r="DO115" s="13">
        <f>IF('Données projet'!$A$166&gt;35,DO114+DN115-DW114,IF(A115&lt;'Données projet'!$A$166,$DL$205^A115,IF(A115='Données projet'!$A$166,'Données projet'!$B$166,DO114+DN115-DW114)))</f>
        <v>273.39999999999958</v>
      </c>
      <c r="DP115" s="18">
        <f>DO115*VLOOKUP('Données projet'!$B$14,Paramètres!$A$1:$I$89,3,0)*VLOOKUP('Données projet'!$B$14,Paramètres!$A$1:$I$89,5,0)</f>
        <v>294.28775999999954</v>
      </c>
      <c r="DQ115" s="14">
        <f t="shared" si="97"/>
        <v>69.977622018717668</v>
      </c>
      <c r="DR115" s="22">
        <f t="shared" si="70"/>
        <v>634.42887368259915</v>
      </c>
      <c r="DS115" s="60">
        <f t="shared" si="71"/>
        <v>927.76220701593252</v>
      </c>
      <c r="DT115" s="60">
        <f ca="1">AVERAGE(OFFSET($DS$3,0,0,'Données projet'!$E$14+1,1))-AVERAGE(OFFSET($H$3,0,0,'Données projet'!$E$14+1,1))</f>
        <v>376.96388721258387</v>
      </c>
      <c r="DU115" s="60">
        <f t="shared" si="98"/>
        <v>211.14628470344377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3.7</v>
      </c>
      <c r="EJ115" s="13">
        <f>IF('Données projet'!$A$192&gt;35,EJ114+EI115-ER114,IF(A115&lt;'Données projet'!$A$192,$EG$205^A115,IF(A115='Données projet'!$A$192,'Données projet'!$B$192,EJ114+EI115-ER114)))</f>
        <v>273.39999999999958</v>
      </c>
      <c r="EK115" s="18">
        <f>EJ115*VLOOKUP('Données projet'!$B$15,Paramètres!$A$1:$I$89,3,0)*VLOOKUP('Données projet'!$B$15,Paramètres!$A$1:$I$89,5,0)</f>
        <v>264.4324799999996</v>
      </c>
      <c r="EL115" s="14">
        <f t="shared" si="99"/>
        <v>63.666272015882292</v>
      </c>
      <c r="EM115" s="22">
        <f t="shared" si="73"/>
        <v>571.43865976099426</v>
      </c>
      <c r="EN115" s="60">
        <f t="shared" si="74"/>
        <v>864.77199309432763</v>
      </c>
      <c r="EO115" s="60">
        <f ca="1">AVERAGE(OFFSET($EN$3,0,0,'Données projet'!$E$15+1,1))-AVERAGE(OFFSET($H$3,0,0,'Données projet'!$E$15+1,1))</f>
        <v>330.39429528665841</v>
      </c>
      <c r="EP115" s="60">
        <f t="shared" si="100"/>
        <v>186.45728006007261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8">
        <f t="shared" si="56"/>
        <v>431.43857731773937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-5.6843418860808015E-14</v>
      </c>
      <c r="O116" s="14">
        <f>N116*VLOOKUP('Données projet'!$B$9,Paramètres!$A$1:$I$89,3,0)*VLOOKUP('Données projet'!$B$9,Paramètres!$A$1:$I$89,5,0)</f>
        <v>-3.3992364478763198E-14</v>
      </c>
      <c r="P116" s="14" t="e">
        <f t="shared" si="87"/>
        <v>#NUM!</v>
      </c>
      <c r="Q116" s="22" t="e">
        <f t="shared" si="107"/>
        <v>#NUM!</v>
      </c>
      <c r="R116" s="60" t="e">
        <f t="shared" si="55"/>
        <v>#NUM!</v>
      </c>
      <c r="S116" s="60">
        <f ca="1">AVERAGE(OFFSET($R$3,0,0,'Données projet'!$E$9+1,1))-AVERAGE(OFFSET($H$3,0,0,'Données projet'!$E$9+1,1))</f>
        <v>155.11440101086782</v>
      </c>
      <c r="T116" s="60">
        <f t="shared" si="88"/>
        <v>239.53454701506638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2.608224084690367</v>
      </c>
      <c r="AA116" s="23">
        <f>EXP(-LN(2)/25)*AA115+(1-EXP(-LN(2)/25))/(LN(2)/25)*Calculateur!V116*Calculateur!X116*VLOOKUP('Données projet'!$B$9,Paramètres!$A$1:$I$89,3,0)*0.475*44/12</f>
        <v>0.72517217013078228</v>
      </c>
      <c r="AB116" s="23">
        <f>EXP(-LN(2)/2)*AB115+(1-EXP(-LN(2)/2))/(LN(2)/2)*V116*Y116*VLOOKUP('Données projet'!$B$9,Paramètres!$A$1:$I$89,3,0)*0.475*44/12</f>
        <v>9.4824720036473003E-13</v>
      </c>
      <c r="AC116" s="24">
        <f t="shared" si="57"/>
        <v>3.3333962548220977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-3.4106051316484809E-13</v>
      </c>
      <c r="AJ116" s="14">
        <f>AI116*VLOOKUP('Données projet'!$B$10,Paramètres!$A$1:$I$89,3,0)*VLOOKUP('Données projet'!$B$10,Paramètres!$A$1:$I$89,5,0)</f>
        <v>-1.9065282685915009E-13</v>
      </c>
      <c r="AK116" s="14" t="e">
        <f t="shared" si="89"/>
        <v>#NUM!</v>
      </c>
      <c r="AL116" s="22" t="e">
        <f t="shared" si="58"/>
        <v>#NUM!</v>
      </c>
      <c r="AM116" s="60" t="e">
        <f t="shared" si="59"/>
        <v>#NUM!</v>
      </c>
      <c r="AN116" s="60">
        <f ca="1">AVERAGE(OFFSET($AM$3,0,0,'Données projet'!$E$10+1,1))-AVERAGE(OFFSET($H$3,0,0,'Données projet'!$E$10+1,1))</f>
        <v>302.20483575440988</v>
      </c>
      <c r="AO116" s="60">
        <f t="shared" si="90"/>
        <v>275.32862097158687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0.69228582678789496</v>
      </c>
      <c r="AW116" s="23">
        <f>EXP(-LN(2)/2)*AW115+(1-EXP(-LN(2)/2))/(LN(2)/2)*AQ116*AT116*VLOOKUP('Données projet'!$B$10,Paramètres!$A$1:$I$89,3,0)*0.475*44/12</f>
        <v>2.8316850586242675E-12</v>
      </c>
      <c r="AX116" s="23">
        <f t="shared" si="60"/>
        <v>0.6922858267907267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-1.7053025658242404E-13</v>
      </c>
      <c r="BE116" s="14">
        <f>BD116*VLOOKUP('Données projet'!$B$11,Paramètres!$A$1:$I$89,3,0)*VLOOKUP('Données projet'!$B$11,Paramètres!$A$1:$I$89,5,0)</f>
        <v>-1.4897523215040567E-13</v>
      </c>
      <c r="BF116" s="14" t="e">
        <f t="shared" si="91"/>
        <v>#NUM!</v>
      </c>
      <c r="BG116" s="22" t="e">
        <f t="shared" si="61"/>
        <v>#NUM!</v>
      </c>
      <c r="BH116" s="60" t="e">
        <f t="shared" si="62"/>
        <v>#NUM!</v>
      </c>
      <c r="BI116" s="60">
        <f ca="1">AVERAGE(OFFSET($BH$3,0,0,'Données projet'!$E$11+1,1))-AVERAGE(OFFSET($H$3,0,0,'Données projet'!$E$11+1,1))</f>
        <v>314.62110015707839</v>
      </c>
      <c r="BJ116" s="60">
        <f t="shared" si="92"/>
        <v>285.36905470736582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3.7</v>
      </c>
      <c r="BY116" s="13">
        <f>IF('Données projet'!$A$114&gt;35,BY115+BX116-CG115,IF(A116&lt;'Données projet'!$A$114,$BV$205^A116,IF(A116='Données projet'!$A$114,'Données projet'!$B$114,BY115+BX116-CG115)))</f>
        <v>277.09999999999957</v>
      </c>
      <c r="BZ116" s="14">
        <f>BY116*VLOOKUP('Données projet'!$B$12,Paramètres!$A$1:$I$89,3,0)*VLOOKUP('Données projet'!$B$12,Paramètres!$A$1:$I$89,5,0)</f>
        <v>250.7200799999996</v>
      </c>
      <c r="CA116" s="14">
        <f t="shared" si="93"/>
        <v>60.740109326032709</v>
      </c>
      <c r="CB116" s="22">
        <f t="shared" si="64"/>
        <v>542.45982974283959</v>
      </c>
      <c r="CC116" s="60">
        <f t="shared" si="65"/>
        <v>835.79316307617296</v>
      </c>
      <c r="CD116" s="60">
        <f ca="1">AVERAGE(OFFSET($CC$3,0,0,'Données projet'!$E$12+1,1))-AVERAGE(OFFSET($H$3,0,0,'Données projet'!$E$12+1,1))</f>
        <v>303.73499739059076</v>
      </c>
      <c r="CE116" s="60">
        <f t="shared" si="94"/>
        <v>172.32171001882188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3.7</v>
      </c>
      <c r="CT116" s="13">
        <f>IF('Données projet'!$A$140&gt;35,CT115+CS116-DB115,IF(A116&lt;'Données projet'!$A$140,$CQ$205^A116,IF(A116='Données projet'!$A$140,'Données projet'!$B$140,CT115+CS116-DB115)))</f>
        <v>277.09999999999957</v>
      </c>
      <c r="CU116" s="18">
        <f>CT116*VLOOKUP('Données projet'!$B$13,Paramètres!$A$1:$I$89,3,0)*VLOOKUP('Données projet'!$B$13,Paramètres!$A$1:$I$89,5,0)</f>
        <v>280.9793999999996</v>
      </c>
      <c r="CV116" s="14">
        <f t="shared" si="95"/>
        <v>67.173942175199358</v>
      </c>
      <c r="CW116" s="22">
        <f t="shared" si="67"/>
        <v>606.36707095513827</v>
      </c>
      <c r="CX116" s="60">
        <f t="shared" si="68"/>
        <v>899.70040428847165</v>
      </c>
      <c r="CY116" s="60">
        <f ca="1">AVERAGE(OFFSET($CX$3,0,0,'Données projet'!$E$13+1,1))-AVERAGE(OFFSET($H$3,0,0,'Données projet'!$E$13+1,1))</f>
        <v>350.3652766444938</v>
      </c>
      <c r="CZ116" s="60">
        <f t="shared" si="96"/>
        <v>197.04549436738586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3.7</v>
      </c>
      <c r="DO116" s="13">
        <f>IF('Données projet'!$A$166&gt;35,DO115+DN116-DW115,IF(A116&lt;'Données projet'!$A$166,$DL$205^A116,IF(A116='Données projet'!$A$166,'Données projet'!$B$166,DO115+DN116-DW115)))</f>
        <v>277.09999999999957</v>
      </c>
      <c r="DP116" s="18">
        <f>DO116*VLOOKUP('Données projet'!$B$14,Paramètres!$A$1:$I$89,3,0)*VLOOKUP('Données projet'!$B$14,Paramètres!$A$1:$I$89,5,0)</f>
        <v>298.27043999999955</v>
      </c>
      <c r="DQ116" s="14">
        <f t="shared" si="97"/>
        <v>70.813759345855914</v>
      </c>
      <c r="DR116" s="22">
        <f t="shared" si="70"/>
        <v>642.82164719403158</v>
      </c>
      <c r="DS116" s="60">
        <f t="shared" si="71"/>
        <v>936.15498052736484</v>
      </c>
      <c r="DT116" s="60">
        <f ca="1">AVERAGE(OFFSET($DS$3,0,0,'Données projet'!$E$14+1,1))-AVERAGE(OFFSET($H$3,0,0,'Données projet'!$E$14+1,1))</f>
        <v>376.96388721258387</v>
      </c>
      <c r="DU116" s="60">
        <f t="shared" si="98"/>
        <v>211.14628470344377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3.7</v>
      </c>
      <c r="EJ116" s="13">
        <f>IF('Données projet'!$A$192&gt;35,EJ115+EI116-ER115,IF(A116&lt;'Données projet'!$A$192,$EG$205^A116,IF(A116='Données projet'!$A$192,'Données projet'!$B$192,EJ115+EI116-ER115)))</f>
        <v>277.09999999999957</v>
      </c>
      <c r="EK116" s="18">
        <f>EJ116*VLOOKUP('Données projet'!$B$15,Paramètres!$A$1:$I$89,3,0)*VLOOKUP('Données projet'!$B$15,Paramètres!$A$1:$I$89,5,0)</f>
        <v>268.01111999999961</v>
      </c>
      <c r="EL116" s="14">
        <f t="shared" si="99"/>
        <v>64.426997301716796</v>
      </c>
      <c r="EM116" s="22">
        <f t="shared" si="73"/>
        <v>578.99638763382268</v>
      </c>
      <c r="EN116" s="60">
        <f t="shared" si="74"/>
        <v>872.32972096715594</v>
      </c>
      <c r="EO116" s="60">
        <f ca="1">AVERAGE(OFFSET($EN$3,0,0,'Données projet'!$E$15+1,1))-AVERAGE(OFFSET($H$3,0,0,'Données projet'!$E$15+1,1))</f>
        <v>330.39429528665841</v>
      </c>
      <c r="EP116" s="60">
        <f t="shared" si="100"/>
        <v>186.45728006007261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8">
        <f t="shared" si="56"/>
        <v>432.62905454958297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-5.6843418860808015E-14</v>
      </c>
      <c r="O117" s="14">
        <f>N117*VLOOKUP('Données projet'!$B$9,Paramètres!$A$1:$I$89,3,0)*VLOOKUP('Données projet'!$B$9,Paramètres!$A$1:$I$89,5,0)</f>
        <v>-3.3992364478763198E-14</v>
      </c>
      <c r="P117" s="14" t="e">
        <f t="shared" si="87"/>
        <v>#NUM!</v>
      </c>
      <c r="Q117" s="22" t="e">
        <f t="shared" si="107"/>
        <v>#NUM!</v>
      </c>
      <c r="R117" s="60" t="e">
        <f t="shared" si="55"/>
        <v>#NUM!</v>
      </c>
      <c r="S117" s="60">
        <f ca="1">AVERAGE(OFFSET($R$3,0,0,'Données projet'!$E$9+1,1))-AVERAGE(OFFSET($H$3,0,0,'Données projet'!$E$9+1,1))</f>
        <v>155.11440101086782</v>
      </c>
      <c r="T117" s="60">
        <f t="shared" si="88"/>
        <v>239.53454701506638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2.5570784012491963</v>
      </c>
      <c r="AA117" s="23">
        <f>EXP(-LN(2)/25)*AA116+(1-EXP(-LN(2)/25))/(LN(2)/25)*Calculateur!V117*Calculateur!X117*VLOOKUP('Données projet'!$B$9,Paramètres!$A$1:$I$89,3,0)*0.475*44/12</f>
        <v>0.70534229900340906</v>
      </c>
      <c r="AB117" s="23">
        <f>EXP(-LN(2)/2)*AB116+(1-EXP(-LN(2)/2))/(LN(2)/2)*V117*Y117*VLOOKUP('Données projet'!$B$9,Paramètres!$A$1:$I$89,3,0)*0.475*44/12</f>
        <v>6.7051202561905946E-13</v>
      </c>
      <c r="AC117" s="24">
        <f t="shared" si="57"/>
        <v>3.2624207002532759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-3.4106051316484809E-13</v>
      </c>
      <c r="AJ117" s="14">
        <f>AI117*VLOOKUP('Données projet'!$B$10,Paramètres!$A$1:$I$89,3,0)*VLOOKUP('Données projet'!$B$10,Paramètres!$A$1:$I$89,5,0)</f>
        <v>-1.9065282685915009E-13</v>
      </c>
      <c r="AK117" s="14" t="e">
        <f t="shared" si="89"/>
        <v>#NUM!</v>
      </c>
      <c r="AL117" s="22" t="e">
        <f t="shared" si="58"/>
        <v>#NUM!</v>
      </c>
      <c r="AM117" s="60" t="e">
        <f t="shared" si="59"/>
        <v>#NUM!</v>
      </c>
      <c r="AN117" s="60">
        <f ca="1">AVERAGE(OFFSET($AM$3,0,0,'Données projet'!$E$10+1,1))-AVERAGE(OFFSET($H$3,0,0,'Données projet'!$E$10+1,1))</f>
        <v>302.20483575440988</v>
      </c>
      <c r="AO117" s="60">
        <f t="shared" si="90"/>
        <v>275.32862097158687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0.67335523444865064</v>
      </c>
      <c r="AW117" s="23">
        <f>EXP(-LN(2)/2)*AW116+(1-EXP(-LN(2)/2))/(LN(2)/2)*AQ117*AT117*VLOOKUP('Données projet'!$B$10,Paramètres!$A$1:$I$89,3,0)*0.475*44/12</f>
        <v>2.0023037071378459E-12</v>
      </c>
      <c r="AX117" s="23">
        <f t="shared" si="60"/>
        <v>0.67335523445065293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-1.7053025658242404E-13</v>
      </c>
      <c r="BE117" s="14">
        <f>BD117*VLOOKUP('Données projet'!$B$11,Paramètres!$A$1:$I$89,3,0)*VLOOKUP('Données projet'!$B$11,Paramètres!$A$1:$I$89,5,0)</f>
        <v>-1.4897523215040567E-13</v>
      </c>
      <c r="BF117" s="14" t="e">
        <f t="shared" si="91"/>
        <v>#NUM!</v>
      </c>
      <c r="BG117" s="22" t="e">
        <f t="shared" si="61"/>
        <v>#NUM!</v>
      </c>
      <c r="BH117" s="60" t="e">
        <f t="shared" si="62"/>
        <v>#NUM!</v>
      </c>
      <c r="BI117" s="60">
        <f ca="1">AVERAGE(OFFSET($BH$3,0,0,'Données projet'!$E$11+1,1))-AVERAGE(OFFSET($H$3,0,0,'Données projet'!$E$11+1,1))</f>
        <v>314.62110015707839</v>
      </c>
      <c r="BJ117" s="60">
        <f t="shared" si="92"/>
        <v>285.36905470736582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3.7</v>
      </c>
      <c r="BY117" s="13">
        <f>IF('Données projet'!$A$114&gt;35,BY116+BX117-CG116,IF(A117&lt;'Données projet'!$A$114,$BV$205^A117,IF(A117='Données projet'!$A$114,'Données projet'!$B$114,BY116+BX117-CG116)))</f>
        <v>280.79999999999956</v>
      </c>
      <c r="BZ117" s="14">
        <f>BY117*VLOOKUP('Données projet'!$B$12,Paramètres!$A$1:$I$89,3,0)*VLOOKUP('Données projet'!$B$12,Paramètres!$A$1:$I$89,5,0)</f>
        <v>254.06783999999956</v>
      </c>
      <c r="CA117" s="14">
        <f t="shared" si="93"/>
        <v>61.456187622750669</v>
      </c>
      <c r="CB117" s="22">
        <f t="shared" si="64"/>
        <v>549.53768144295657</v>
      </c>
      <c r="CC117" s="60">
        <f t="shared" si="65"/>
        <v>842.87101477628994</v>
      </c>
      <c r="CD117" s="60">
        <f ca="1">AVERAGE(OFFSET($CC$3,0,0,'Données projet'!$E$12+1,1))-AVERAGE(OFFSET($H$3,0,0,'Données projet'!$E$12+1,1))</f>
        <v>303.73499739059076</v>
      </c>
      <c r="CE117" s="60">
        <f t="shared" si="94"/>
        <v>172.32171001882188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3.7</v>
      </c>
      <c r="CT117" s="13">
        <f>IF('Données projet'!$A$140&gt;35,CT116+CS117-DB116,IF(A117&lt;'Données projet'!$A$140,$CQ$205^A117,IF(A117='Données projet'!$A$140,'Données projet'!$B$140,CT116+CS117-DB116)))</f>
        <v>280.79999999999956</v>
      </c>
      <c r="CU117" s="18">
        <f>CT117*VLOOKUP('Données projet'!$B$13,Paramètres!$A$1:$I$89,3,0)*VLOOKUP('Données projet'!$B$13,Paramètres!$A$1:$I$89,5,0)</f>
        <v>284.7311999999996</v>
      </c>
      <c r="CV117" s="14">
        <f t="shared" si="95"/>
        <v>67.965870320050882</v>
      </c>
      <c r="CW117" s="22">
        <f t="shared" si="67"/>
        <v>614.28073080742126</v>
      </c>
      <c r="CX117" s="60">
        <f t="shared" si="68"/>
        <v>907.61406414075464</v>
      </c>
      <c r="CY117" s="60">
        <f ca="1">AVERAGE(OFFSET($CX$3,0,0,'Données projet'!$E$13+1,1))-AVERAGE(OFFSET($H$3,0,0,'Données projet'!$E$13+1,1))</f>
        <v>350.3652766444938</v>
      </c>
      <c r="CZ117" s="60">
        <f t="shared" si="96"/>
        <v>197.04549436738586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3.7</v>
      </c>
      <c r="DO117" s="13">
        <f>IF('Données projet'!$A$166&gt;35,DO116+DN117-DW116,IF(A117&lt;'Données projet'!$A$166,$DL$205^A117,IF(A117='Données projet'!$A$166,'Données projet'!$B$166,DO116+DN117-DW116)))</f>
        <v>280.79999999999956</v>
      </c>
      <c r="DP117" s="18">
        <f>DO117*VLOOKUP('Données projet'!$B$14,Paramètres!$A$1:$I$89,3,0)*VLOOKUP('Données projet'!$B$14,Paramètres!$A$1:$I$89,5,0)</f>
        <v>302.25311999999951</v>
      </c>
      <c r="DQ117" s="14">
        <f t="shared" si="97"/>
        <v>71.648598083211283</v>
      </c>
      <c r="DR117" s="22">
        <f t="shared" si="70"/>
        <v>651.21215899492529</v>
      </c>
      <c r="DS117" s="60">
        <f t="shared" si="71"/>
        <v>944.54549232825866</v>
      </c>
      <c r="DT117" s="60">
        <f ca="1">AVERAGE(OFFSET($DS$3,0,0,'Données projet'!$E$14+1,1))-AVERAGE(OFFSET($H$3,0,0,'Données projet'!$E$14+1,1))</f>
        <v>376.96388721258387</v>
      </c>
      <c r="DU117" s="60">
        <f t="shared" si="98"/>
        <v>211.14628470344377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3.7</v>
      </c>
      <c r="EJ117" s="13">
        <f>IF('Données projet'!$A$192&gt;35,EJ116+EI117-ER116,IF(A117&lt;'Données projet'!$A$192,$EG$205^A117,IF(A117='Données projet'!$A$192,'Données projet'!$B$192,EJ116+EI117-ER116)))</f>
        <v>280.79999999999956</v>
      </c>
      <c r="EK117" s="18">
        <f>EJ117*VLOOKUP('Données projet'!$B$15,Paramètres!$A$1:$I$89,3,0)*VLOOKUP('Données projet'!$B$15,Paramètres!$A$1:$I$89,5,0)</f>
        <v>271.58975999999956</v>
      </c>
      <c r="EL117" s="14">
        <f t="shared" si="99"/>
        <v>65.186541118848012</v>
      </c>
      <c r="EM117" s="22">
        <f t="shared" si="73"/>
        <v>586.55205778199286</v>
      </c>
      <c r="EN117" s="60">
        <f t="shared" si="74"/>
        <v>879.88539111532623</v>
      </c>
      <c r="EO117" s="60">
        <f ca="1">AVERAGE(OFFSET($EN$3,0,0,'Données projet'!$E$15+1,1))-AVERAGE(OFFSET($H$3,0,0,'Données projet'!$E$15+1,1))</f>
        <v>330.39429528665841</v>
      </c>
      <c r="EP117" s="60">
        <f t="shared" si="100"/>
        <v>186.45728006007261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8">
        <f t="shared" si="56"/>
        <v>433.81928733301731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-5.6843418860808015E-14</v>
      </c>
      <c r="O118" s="14">
        <f>N118*VLOOKUP('Données projet'!$B$9,Paramètres!$A$1:$I$89,3,0)*VLOOKUP('Données projet'!$B$9,Paramètres!$A$1:$I$89,5,0)</f>
        <v>-3.3992364478763198E-14</v>
      </c>
      <c r="P118" s="14" t="e">
        <f t="shared" si="87"/>
        <v>#NUM!</v>
      </c>
      <c r="Q118" s="22" t="e">
        <f t="shared" si="107"/>
        <v>#NUM!</v>
      </c>
      <c r="R118" s="60" t="e">
        <f t="shared" si="55"/>
        <v>#NUM!</v>
      </c>
      <c r="S118" s="60">
        <f ca="1">AVERAGE(OFFSET($R$3,0,0,'Données projet'!$E$9+1,1))-AVERAGE(OFFSET($H$3,0,0,'Données projet'!$E$9+1,1))</f>
        <v>155.11440101086782</v>
      </c>
      <c r="T118" s="60">
        <f t="shared" si="88"/>
        <v>239.53454701506638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2.5069356534645202</v>
      </c>
      <c r="AA118" s="23">
        <f>EXP(-LN(2)/25)*AA117+(1-EXP(-LN(2)/25))/(LN(2)/25)*Calculateur!V118*Calculateur!X118*VLOOKUP('Données projet'!$B$9,Paramètres!$A$1:$I$89,3,0)*0.475*44/12</f>
        <v>0.68605467674482146</v>
      </c>
      <c r="AB118" s="23">
        <f>EXP(-LN(2)/2)*AB117+(1-EXP(-LN(2)/2))/(LN(2)/2)*V118*Y118*VLOOKUP('Données projet'!$B$9,Paramètres!$A$1:$I$89,3,0)*0.475*44/12</f>
        <v>4.7412360018236501E-13</v>
      </c>
      <c r="AC118" s="24">
        <f t="shared" si="57"/>
        <v>3.1929903302098159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-3.4106051316484809E-13</v>
      </c>
      <c r="AJ118" s="14">
        <f>AI118*VLOOKUP('Données projet'!$B$10,Paramètres!$A$1:$I$89,3,0)*VLOOKUP('Données projet'!$B$10,Paramètres!$A$1:$I$89,5,0)</f>
        <v>-1.9065282685915009E-13</v>
      </c>
      <c r="AK118" s="14" t="e">
        <f t="shared" si="89"/>
        <v>#NUM!</v>
      </c>
      <c r="AL118" s="22" t="e">
        <f t="shared" si="58"/>
        <v>#NUM!</v>
      </c>
      <c r="AM118" s="60" t="e">
        <f t="shared" si="59"/>
        <v>#NUM!</v>
      </c>
      <c r="AN118" s="60">
        <f ca="1">AVERAGE(OFFSET($AM$3,0,0,'Données projet'!$E$10+1,1))-AVERAGE(OFFSET($H$3,0,0,'Données projet'!$E$10+1,1))</f>
        <v>302.20483575440988</v>
      </c>
      <c r="AO118" s="60">
        <f t="shared" si="90"/>
        <v>275.32862097158687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0.65494230015243948</v>
      </c>
      <c r="AW118" s="23">
        <f>EXP(-LN(2)/2)*AW117+(1-EXP(-LN(2)/2))/(LN(2)/2)*AQ118*AT118*VLOOKUP('Données projet'!$B$10,Paramètres!$A$1:$I$89,3,0)*0.475*44/12</f>
        <v>1.4158425293121337E-12</v>
      </c>
      <c r="AX118" s="23">
        <f t="shared" si="60"/>
        <v>0.65494230015385535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-1.7053025658242404E-13</v>
      </c>
      <c r="BE118" s="14">
        <f>BD118*VLOOKUP('Données projet'!$B$11,Paramètres!$A$1:$I$89,3,0)*VLOOKUP('Données projet'!$B$11,Paramètres!$A$1:$I$89,5,0)</f>
        <v>-1.4897523215040567E-13</v>
      </c>
      <c r="BF118" s="14" t="e">
        <f t="shared" si="91"/>
        <v>#NUM!</v>
      </c>
      <c r="BG118" s="22" t="e">
        <f t="shared" si="61"/>
        <v>#NUM!</v>
      </c>
      <c r="BH118" s="60" t="e">
        <f t="shared" si="62"/>
        <v>#NUM!</v>
      </c>
      <c r="BI118" s="60">
        <f ca="1">AVERAGE(OFFSET($BH$3,0,0,'Données projet'!$E$11+1,1))-AVERAGE(OFFSET($H$3,0,0,'Données projet'!$E$11+1,1))</f>
        <v>314.62110015707839</v>
      </c>
      <c r="BJ118" s="60">
        <f t="shared" si="92"/>
        <v>285.36905470736582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3.7</v>
      </c>
      <c r="BY118" s="13">
        <f>IF('Données projet'!$A$114&gt;35,BY117+BX118-CG117,IF(A118&lt;'Données projet'!$A$114,$BV$205^A118,IF(A118='Données projet'!$A$114,'Données projet'!$B$114,BY117+BX118-CG117)))</f>
        <v>284.49999999999955</v>
      </c>
      <c r="BZ118" s="14">
        <f>BY118*VLOOKUP('Données projet'!$B$12,Paramètres!$A$1:$I$89,3,0)*VLOOKUP('Données projet'!$B$12,Paramètres!$A$1:$I$89,5,0)</f>
        <v>257.41559999999959</v>
      </c>
      <c r="CA118" s="14">
        <f t="shared" si="93"/>
        <v>62.171168434977062</v>
      </c>
      <c r="CB118" s="22">
        <f t="shared" si="64"/>
        <v>556.61362169091774</v>
      </c>
      <c r="CC118" s="60">
        <f t="shared" si="65"/>
        <v>849.94695502425111</v>
      </c>
      <c r="CD118" s="60">
        <f ca="1">AVERAGE(OFFSET($CC$3,0,0,'Données projet'!$E$12+1,1))-AVERAGE(OFFSET($H$3,0,0,'Données projet'!$E$12+1,1))</f>
        <v>303.73499739059076</v>
      </c>
      <c r="CE118" s="60">
        <f t="shared" si="94"/>
        <v>172.32171001882188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3.7</v>
      </c>
      <c r="CT118" s="13">
        <f>IF('Données projet'!$A$140&gt;35,CT117+CS118-DB117,IF(A118&lt;'Données projet'!$A$140,$CQ$205^A118,IF(A118='Données projet'!$A$140,'Données projet'!$B$140,CT117+CS118-DB117)))</f>
        <v>284.49999999999955</v>
      </c>
      <c r="CU118" s="18">
        <f>CT118*VLOOKUP('Données projet'!$B$13,Paramètres!$A$1:$I$89,3,0)*VLOOKUP('Données projet'!$B$13,Paramètres!$A$1:$I$89,5,0)</f>
        <v>288.48299999999955</v>
      </c>
      <c r="CV118" s="14">
        <f t="shared" si="95"/>
        <v>68.756584730508635</v>
      </c>
      <c r="CW118" s="22">
        <f t="shared" si="67"/>
        <v>622.19227673896842</v>
      </c>
      <c r="CX118" s="60">
        <f t="shared" si="68"/>
        <v>915.52561007230179</v>
      </c>
      <c r="CY118" s="60">
        <f ca="1">AVERAGE(OFFSET($CX$3,0,0,'Données projet'!$E$13+1,1))-AVERAGE(OFFSET($H$3,0,0,'Données projet'!$E$13+1,1))</f>
        <v>350.3652766444938</v>
      </c>
      <c r="CZ118" s="60">
        <f t="shared" si="96"/>
        <v>197.04549436738586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3.7</v>
      </c>
      <c r="DO118" s="13">
        <f>IF('Données projet'!$A$166&gt;35,DO117+DN118-DW117,IF(A118&lt;'Données projet'!$A$166,$DL$205^A118,IF(A118='Données projet'!$A$166,'Données projet'!$B$166,DO117+DN118-DW117)))</f>
        <v>284.49999999999955</v>
      </c>
      <c r="DP118" s="18">
        <f>DO118*VLOOKUP('Données projet'!$B$14,Paramètres!$A$1:$I$89,3,0)*VLOOKUP('Données projet'!$B$14,Paramètres!$A$1:$I$89,5,0)</f>
        <v>306.23579999999947</v>
      </c>
      <c r="DQ118" s="14">
        <f t="shared" si="97"/>
        <v>72.482157320026886</v>
      </c>
      <c r="DR118" s="22">
        <f t="shared" si="70"/>
        <v>659.6004423323792</v>
      </c>
      <c r="DS118" s="60">
        <f t="shared" si="71"/>
        <v>952.93377566571257</v>
      </c>
      <c r="DT118" s="60">
        <f ca="1">AVERAGE(OFFSET($DS$3,0,0,'Données projet'!$E$14+1,1))-AVERAGE(OFFSET($H$3,0,0,'Données projet'!$E$14+1,1))</f>
        <v>376.96388721258387</v>
      </c>
      <c r="DU118" s="60">
        <f t="shared" si="98"/>
        <v>211.14628470344377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3.7</v>
      </c>
      <c r="EJ118" s="13">
        <f>IF('Données projet'!$A$192&gt;35,EJ117+EI118-ER117,IF(A118&lt;'Données projet'!$A$192,$EG$205^A118,IF(A118='Données projet'!$A$192,'Données projet'!$B$192,EJ117+EI118-ER117)))</f>
        <v>284.49999999999955</v>
      </c>
      <c r="EK118" s="18">
        <f>EJ118*VLOOKUP('Données projet'!$B$15,Paramètres!$A$1:$I$89,3,0)*VLOOKUP('Données projet'!$B$15,Paramètres!$A$1:$I$89,5,0)</f>
        <v>275.16839999999956</v>
      </c>
      <c r="EL118" s="14">
        <f t="shared" si="99"/>
        <v>65.944920834841554</v>
      </c>
      <c r="EM118" s="22">
        <f t="shared" si="73"/>
        <v>594.10570045401494</v>
      </c>
      <c r="EN118" s="60">
        <f t="shared" si="74"/>
        <v>887.43903378734831</v>
      </c>
      <c r="EO118" s="60">
        <f ca="1">AVERAGE(OFFSET($EN$3,0,0,'Données projet'!$E$15+1,1))-AVERAGE(OFFSET($H$3,0,0,'Données projet'!$E$15+1,1))</f>
        <v>330.39429528665841</v>
      </c>
      <c r="EP118" s="60">
        <f t="shared" si="100"/>
        <v>186.45728006007261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8">
        <f t="shared" si="56"/>
        <v>435.00927803996456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-5.6843418860808015E-14</v>
      </c>
      <c r="O119" s="14">
        <f>N119*VLOOKUP('Données projet'!$B$9,Paramètres!$A$1:$I$89,3,0)*VLOOKUP('Données projet'!$B$9,Paramètres!$A$1:$I$89,5,0)</f>
        <v>-3.3992364478763198E-14</v>
      </c>
      <c r="P119" s="14" t="e">
        <f t="shared" si="87"/>
        <v>#NUM!</v>
      </c>
      <c r="Q119" s="22" t="e">
        <f t="shared" si="107"/>
        <v>#NUM!</v>
      </c>
      <c r="R119" s="60" t="e">
        <f t="shared" si="55"/>
        <v>#NUM!</v>
      </c>
      <c r="S119" s="60">
        <f ca="1">AVERAGE(OFFSET($R$3,0,0,'Données projet'!$E$9+1,1))-AVERAGE(OFFSET($H$3,0,0,'Données projet'!$E$9+1,1))</f>
        <v>155.11440101086782</v>
      </c>
      <c r="T119" s="60">
        <f t="shared" si="88"/>
        <v>239.53454701506638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2.4577761743798456</v>
      </c>
      <c r="AA119" s="23">
        <f>EXP(-LN(2)/25)*AA118+(1-EXP(-LN(2)/25))/(LN(2)/25)*Calculateur!V119*Calculateur!X119*VLOOKUP('Données projet'!$B$9,Paramètres!$A$1:$I$89,3,0)*0.475*44/12</f>
        <v>0.66729447553118681</v>
      </c>
      <c r="AB119" s="23">
        <f>EXP(-LN(2)/2)*AB118+(1-EXP(-LN(2)/2))/(LN(2)/2)*V119*Y119*VLOOKUP('Données projet'!$B$9,Paramètres!$A$1:$I$89,3,0)*0.475*44/12</f>
        <v>3.3525601280952973E-13</v>
      </c>
      <c r="AC119" s="24">
        <f t="shared" si="57"/>
        <v>3.1250706499113678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-3.4106051316484809E-13</v>
      </c>
      <c r="AJ119" s="14">
        <f>AI119*VLOOKUP('Données projet'!$B$10,Paramètres!$A$1:$I$89,3,0)*VLOOKUP('Données projet'!$B$10,Paramètres!$A$1:$I$89,5,0)</f>
        <v>-1.9065282685915009E-13</v>
      </c>
      <c r="AK119" s="14" t="e">
        <f t="shared" si="89"/>
        <v>#NUM!</v>
      </c>
      <c r="AL119" s="22" t="e">
        <f t="shared" si="58"/>
        <v>#NUM!</v>
      </c>
      <c r="AM119" s="60" t="e">
        <f t="shared" si="59"/>
        <v>#NUM!</v>
      </c>
      <c r="AN119" s="60">
        <f ca="1">AVERAGE(OFFSET($AM$3,0,0,'Données projet'!$E$10+1,1))-AVERAGE(OFFSET($H$3,0,0,'Données projet'!$E$10+1,1))</f>
        <v>302.20483575440988</v>
      </c>
      <c r="AO119" s="60">
        <f t="shared" si="90"/>
        <v>275.32862097158687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0.63703286851285235</v>
      </c>
      <c r="AW119" s="23">
        <f>EXP(-LN(2)/2)*AW118+(1-EXP(-LN(2)/2))/(LN(2)/2)*AQ119*AT119*VLOOKUP('Données projet'!$B$10,Paramètres!$A$1:$I$89,3,0)*0.475*44/12</f>
        <v>1.0011518535689229E-12</v>
      </c>
      <c r="AX119" s="23">
        <f t="shared" si="60"/>
        <v>0.63703286851385355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-1.7053025658242404E-13</v>
      </c>
      <c r="BE119" s="14">
        <f>BD119*VLOOKUP('Données projet'!$B$11,Paramètres!$A$1:$I$89,3,0)*VLOOKUP('Données projet'!$B$11,Paramètres!$A$1:$I$89,5,0)</f>
        <v>-1.4897523215040567E-13</v>
      </c>
      <c r="BF119" s="14" t="e">
        <f t="shared" si="91"/>
        <v>#NUM!</v>
      </c>
      <c r="BG119" s="22" t="e">
        <f t="shared" si="61"/>
        <v>#NUM!</v>
      </c>
      <c r="BH119" s="60" t="e">
        <f t="shared" si="62"/>
        <v>#NUM!</v>
      </c>
      <c r="BI119" s="60">
        <f ca="1">AVERAGE(OFFSET($BH$3,0,0,'Données projet'!$E$11+1,1))-AVERAGE(OFFSET($H$3,0,0,'Données projet'!$E$11+1,1))</f>
        <v>314.62110015707839</v>
      </c>
      <c r="BJ119" s="60">
        <f t="shared" si="92"/>
        <v>285.36905470736582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3.7</v>
      </c>
      <c r="BY119" s="13">
        <f>IF('Données projet'!$A$114&gt;35,BY118+BX119-CG118,IF(A119&lt;'Données projet'!$A$114,$BV$205^A119,IF(A119='Données projet'!$A$114,'Données projet'!$B$114,BY118+BX119-CG118)))</f>
        <v>288.19999999999953</v>
      </c>
      <c r="BZ119" s="14">
        <f>BY119*VLOOKUP('Données projet'!$B$12,Paramètres!$A$1:$I$89,3,0)*VLOOKUP('Données projet'!$B$12,Paramètres!$A$1:$I$89,5,0)</f>
        <v>260.76335999999958</v>
      </c>
      <c r="CA119" s="14">
        <f t="shared" si="93"/>
        <v>62.885067686031896</v>
      </c>
      <c r="CB119" s="22">
        <f t="shared" si="64"/>
        <v>563.68767821983818</v>
      </c>
      <c r="CC119" s="60">
        <f t="shared" si="65"/>
        <v>857.02101155317155</v>
      </c>
      <c r="CD119" s="60">
        <f ca="1">AVERAGE(OFFSET($CC$3,0,0,'Données projet'!$E$12+1,1))-AVERAGE(OFFSET($H$3,0,0,'Données projet'!$E$12+1,1))</f>
        <v>303.73499739059076</v>
      </c>
      <c r="CE119" s="60">
        <f t="shared" si="94"/>
        <v>172.32171001882188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3.7</v>
      </c>
      <c r="CT119" s="13">
        <f>IF('Données projet'!$A$140&gt;35,CT118+CS119-DB118,IF(A119&lt;'Données projet'!$A$140,$CQ$205^A119,IF(A119='Données projet'!$A$140,'Données projet'!$B$140,CT118+CS119-DB118)))</f>
        <v>288.19999999999953</v>
      </c>
      <c r="CU119" s="18">
        <f>CT119*VLOOKUP('Données projet'!$B$13,Paramètres!$A$1:$I$89,3,0)*VLOOKUP('Données projet'!$B$13,Paramètres!$A$1:$I$89,5,0)</f>
        <v>292.23479999999955</v>
      </c>
      <c r="CV119" s="14">
        <f t="shared" si="95"/>
        <v>69.546103016553644</v>
      </c>
      <c r="CW119" s="22">
        <f t="shared" si="67"/>
        <v>630.10173942049676</v>
      </c>
      <c r="CX119" s="60">
        <f t="shared" si="68"/>
        <v>923.43507275383013</v>
      </c>
      <c r="CY119" s="60">
        <f ca="1">AVERAGE(OFFSET($CX$3,0,0,'Données projet'!$E$13+1,1))-AVERAGE(OFFSET($H$3,0,0,'Données projet'!$E$13+1,1))</f>
        <v>350.3652766444938</v>
      </c>
      <c r="CZ119" s="60">
        <f t="shared" si="96"/>
        <v>197.04549436738586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3.7</v>
      </c>
      <c r="DO119" s="13">
        <f>IF('Données projet'!$A$166&gt;35,DO118+DN119-DW118,IF(A119&lt;'Données projet'!$A$166,$DL$205^A119,IF(A119='Données projet'!$A$166,'Données projet'!$B$166,DO118+DN119-DW118)))</f>
        <v>288.19999999999953</v>
      </c>
      <c r="DP119" s="18">
        <f>DO119*VLOOKUP('Données projet'!$B$14,Paramètres!$A$1:$I$89,3,0)*VLOOKUP('Données projet'!$B$14,Paramètres!$A$1:$I$89,5,0)</f>
        <v>310.21847999999949</v>
      </c>
      <c r="DQ119" s="14">
        <f t="shared" si="97"/>
        <v>73.314455620479848</v>
      </c>
      <c r="DR119" s="22">
        <f t="shared" si="70"/>
        <v>667.98652953900148</v>
      </c>
      <c r="DS119" s="60">
        <f t="shared" si="71"/>
        <v>961.31986287233485</v>
      </c>
      <c r="DT119" s="60">
        <f ca="1">AVERAGE(OFFSET($DS$3,0,0,'Données projet'!$E$14+1,1))-AVERAGE(OFFSET($H$3,0,0,'Données projet'!$E$14+1,1))</f>
        <v>376.96388721258387</v>
      </c>
      <c r="DU119" s="60">
        <f t="shared" si="98"/>
        <v>211.14628470344377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3.7</v>
      </c>
      <c r="EJ119" s="13">
        <f>IF('Données projet'!$A$192&gt;35,EJ118+EI119-ER118,IF(A119&lt;'Données projet'!$A$192,$EG$205^A119,IF(A119='Données projet'!$A$192,'Données projet'!$B$192,EJ118+EI119-ER118)))</f>
        <v>288.19999999999953</v>
      </c>
      <c r="EK119" s="18">
        <f>EJ119*VLOOKUP('Données projet'!$B$15,Paramètres!$A$1:$I$89,3,0)*VLOOKUP('Données projet'!$B$15,Paramètres!$A$1:$I$89,5,0)</f>
        <v>278.74703999999957</v>
      </c>
      <c r="EL119" s="14">
        <f t="shared" si="99"/>
        <v>66.702153339553135</v>
      </c>
      <c r="EM119" s="22">
        <f t="shared" si="73"/>
        <v>601.65734506638762</v>
      </c>
      <c r="EN119" s="60">
        <f t="shared" si="74"/>
        <v>894.99067839972099</v>
      </c>
      <c r="EO119" s="60">
        <f ca="1">AVERAGE(OFFSET($EN$3,0,0,'Données projet'!$E$15+1,1))-AVERAGE(OFFSET($H$3,0,0,'Données projet'!$E$15+1,1))</f>
        <v>330.39429528665841</v>
      </c>
      <c r="EP119" s="60">
        <f t="shared" si="100"/>
        <v>186.45728006007261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8">
        <f t="shared" si="56"/>
        <v>436.19902899909141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-5.6843418860808015E-14</v>
      </c>
      <c r="O120" s="14">
        <f>N120*VLOOKUP('Données projet'!$B$9,Paramètres!$A$1:$I$89,3,0)*VLOOKUP('Données projet'!$B$9,Paramètres!$A$1:$I$89,5,0)</f>
        <v>-3.3992364478763198E-14</v>
      </c>
      <c r="P120" s="14" t="e">
        <f t="shared" si="87"/>
        <v>#NUM!</v>
      </c>
      <c r="Q120" s="22" t="e">
        <f t="shared" si="107"/>
        <v>#NUM!</v>
      </c>
      <c r="R120" s="60" t="e">
        <f t="shared" si="55"/>
        <v>#NUM!</v>
      </c>
      <c r="S120" s="60">
        <f ca="1">AVERAGE(OFFSET($R$3,0,0,'Données projet'!$E$9+1,1))-AVERAGE(OFFSET($H$3,0,0,'Données projet'!$E$9+1,1))</f>
        <v>155.11440101086782</v>
      </c>
      <c r="T120" s="60">
        <f t="shared" si="88"/>
        <v>239.53454701506638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2.4095806826957</v>
      </c>
      <c r="AA120" s="23">
        <f>EXP(-LN(2)/25)*AA119+(1-EXP(-LN(2)/25))/(LN(2)/25)*Calculateur!V120*Calculateur!X120*VLOOKUP('Données projet'!$B$9,Paramètres!$A$1:$I$89,3,0)*0.475*44/12</f>
        <v>0.64904727300629517</v>
      </c>
      <c r="AB120" s="23">
        <f>EXP(-LN(2)/2)*AB119+(1-EXP(-LN(2)/2))/(LN(2)/2)*V120*Y120*VLOOKUP('Données projet'!$B$9,Paramètres!$A$1:$I$89,3,0)*0.475*44/12</f>
        <v>2.3706180009118251E-13</v>
      </c>
      <c r="AC120" s="24">
        <f t="shared" si="57"/>
        <v>3.0586279557022324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-3.4106051316484809E-13</v>
      </c>
      <c r="AJ120" s="14">
        <f>AI120*VLOOKUP('Données projet'!$B$10,Paramètres!$A$1:$I$89,3,0)*VLOOKUP('Données projet'!$B$10,Paramètres!$A$1:$I$89,5,0)</f>
        <v>-1.9065282685915009E-13</v>
      </c>
      <c r="AK120" s="14" t="e">
        <f t="shared" si="89"/>
        <v>#NUM!</v>
      </c>
      <c r="AL120" s="22" t="e">
        <f t="shared" si="58"/>
        <v>#NUM!</v>
      </c>
      <c r="AM120" s="60" t="e">
        <f t="shared" si="59"/>
        <v>#NUM!</v>
      </c>
      <c r="AN120" s="60">
        <f ca="1">AVERAGE(OFFSET($AM$3,0,0,'Données projet'!$E$10+1,1))-AVERAGE(OFFSET($H$3,0,0,'Données projet'!$E$10+1,1))</f>
        <v>302.20483575440988</v>
      </c>
      <c r="AO120" s="60">
        <f t="shared" si="90"/>
        <v>275.32862097158687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0.61961317122326576</v>
      </c>
      <c r="AW120" s="23">
        <f>EXP(-LN(2)/2)*AW119+(1-EXP(-LN(2)/2))/(LN(2)/2)*AQ120*AT120*VLOOKUP('Données projet'!$B$10,Paramètres!$A$1:$I$89,3,0)*0.475*44/12</f>
        <v>7.0792126465606686E-13</v>
      </c>
      <c r="AX120" s="23">
        <f t="shared" si="60"/>
        <v>0.61961317122397364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-1.7053025658242404E-13</v>
      </c>
      <c r="BE120" s="14">
        <f>BD120*VLOOKUP('Données projet'!$B$11,Paramètres!$A$1:$I$89,3,0)*VLOOKUP('Données projet'!$B$11,Paramètres!$A$1:$I$89,5,0)</f>
        <v>-1.4897523215040567E-13</v>
      </c>
      <c r="BF120" s="14" t="e">
        <f t="shared" si="91"/>
        <v>#NUM!</v>
      </c>
      <c r="BG120" s="22" t="e">
        <f t="shared" si="61"/>
        <v>#NUM!</v>
      </c>
      <c r="BH120" s="60" t="e">
        <f t="shared" si="62"/>
        <v>#NUM!</v>
      </c>
      <c r="BI120" s="60">
        <f ca="1">AVERAGE(OFFSET($BH$3,0,0,'Données projet'!$E$11+1,1))-AVERAGE(OFFSET($H$3,0,0,'Données projet'!$E$11+1,1))</f>
        <v>314.62110015707839</v>
      </c>
      <c r="BJ120" s="60">
        <f t="shared" si="92"/>
        <v>285.36905470736582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3.7</v>
      </c>
      <c r="BY120" s="13">
        <f>IF('Données projet'!$A$114&gt;35,BY119+BX120-CG119,IF(A120&lt;'Données projet'!$A$114,$BV$205^A120,IF(A120='Données projet'!$A$114,'Données projet'!$B$114,BY119+BX120-CG119)))</f>
        <v>291.89999999999952</v>
      </c>
      <c r="BZ120" s="14">
        <f>BY120*VLOOKUP('Données projet'!$B$12,Paramètres!$A$1:$I$89,3,0)*VLOOKUP('Données projet'!$B$12,Paramètres!$A$1:$I$89,5,0)</f>
        <v>264.11111999999957</v>
      </c>
      <c r="CA120" s="14">
        <f t="shared" si="93"/>
        <v>63.597900866870546</v>
      </c>
      <c r="CB120" s="22">
        <f t="shared" si="64"/>
        <v>570.75987800979885</v>
      </c>
      <c r="CC120" s="60">
        <f t="shared" si="65"/>
        <v>864.09321134313223</v>
      </c>
      <c r="CD120" s="60">
        <f ca="1">AVERAGE(OFFSET($CC$3,0,0,'Données projet'!$E$12+1,1))-AVERAGE(OFFSET($H$3,0,0,'Données projet'!$E$12+1,1))</f>
        <v>303.73499739059076</v>
      </c>
      <c r="CE120" s="60">
        <f t="shared" si="94"/>
        <v>172.32171001882188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3.7</v>
      </c>
      <c r="CT120" s="13">
        <f>IF('Données projet'!$A$140&gt;35,CT119+CS120-DB119,IF(A120&lt;'Données projet'!$A$140,$CQ$205^A120,IF(A120='Données projet'!$A$140,'Données projet'!$B$140,CT119+CS120-DB119)))</f>
        <v>291.89999999999952</v>
      </c>
      <c r="CU120" s="18">
        <f>CT120*VLOOKUP('Données projet'!$B$13,Paramètres!$A$1:$I$89,3,0)*VLOOKUP('Données projet'!$B$13,Paramètres!$A$1:$I$89,5,0)</f>
        <v>295.98659999999956</v>
      </c>
      <c r="CV120" s="14">
        <f t="shared" si="95"/>
        <v>70.334442310004661</v>
      </c>
      <c r="CW120" s="22">
        <f t="shared" si="67"/>
        <v>638.00914868992402</v>
      </c>
      <c r="CX120" s="60">
        <f t="shared" si="68"/>
        <v>931.34248202325739</v>
      </c>
      <c r="CY120" s="60">
        <f ca="1">AVERAGE(OFFSET($CX$3,0,0,'Données projet'!$E$13+1,1))-AVERAGE(OFFSET($H$3,0,0,'Données projet'!$E$13+1,1))</f>
        <v>350.3652766444938</v>
      </c>
      <c r="CZ120" s="60">
        <f t="shared" si="96"/>
        <v>197.04549436738586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3.7</v>
      </c>
      <c r="DO120" s="13">
        <f>IF('Données projet'!$A$166&gt;35,DO119+DN120-DW119,IF(A120&lt;'Données projet'!$A$166,$DL$205^A120,IF(A120='Données projet'!$A$166,'Données projet'!$B$166,DO119+DN120-DW119)))</f>
        <v>291.89999999999952</v>
      </c>
      <c r="DP120" s="18">
        <f>DO120*VLOOKUP('Données projet'!$B$14,Paramètres!$A$1:$I$89,3,0)*VLOOKUP('Données projet'!$B$14,Paramètres!$A$1:$I$89,5,0)</f>
        <v>314.2011599999995</v>
      </c>
      <c r="DQ120" s="14">
        <f t="shared" si="97"/>
        <v>74.145511044675771</v>
      </c>
      <c r="DR120" s="22">
        <f t="shared" si="70"/>
        <v>676.37045206947607</v>
      </c>
      <c r="DS120" s="60">
        <f t="shared" si="71"/>
        <v>969.70378540280944</v>
      </c>
      <c r="DT120" s="60">
        <f ca="1">AVERAGE(OFFSET($DS$3,0,0,'Données projet'!$E$14+1,1))-AVERAGE(OFFSET($H$3,0,0,'Données projet'!$E$14+1,1))</f>
        <v>376.96388721258387</v>
      </c>
      <c r="DU120" s="60">
        <f t="shared" si="98"/>
        <v>211.14628470344377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3.7</v>
      </c>
      <c r="EJ120" s="13">
        <f>IF('Données projet'!$A$192&gt;35,EJ119+EI120-ER119,IF(A120&lt;'Données projet'!$A$192,$EG$205^A120,IF(A120='Données projet'!$A$192,'Données projet'!$B$192,EJ119+EI120-ER119)))</f>
        <v>291.89999999999952</v>
      </c>
      <c r="EK120" s="18">
        <f>EJ120*VLOOKUP('Données projet'!$B$15,Paramètres!$A$1:$I$89,3,0)*VLOOKUP('Données projet'!$B$15,Paramètres!$A$1:$I$89,5,0)</f>
        <v>282.32567999999952</v>
      </c>
      <c r="EL120" s="14">
        <f t="shared" si="99"/>
        <v>67.458255064229917</v>
      </c>
      <c r="EM120" s="22">
        <f t="shared" si="73"/>
        <v>609.20702023686624</v>
      </c>
      <c r="EN120" s="60">
        <f t="shared" si="74"/>
        <v>902.54035357019961</v>
      </c>
      <c r="EO120" s="60">
        <f ca="1">AVERAGE(OFFSET($EN$3,0,0,'Données projet'!$E$15+1,1))-AVERAGE(OFFSET($H$3,0,0,'Données projet'!$E$15+1,1))</f>
        <v>330.39429528665841</v>
      </c>
      <c r="EP120" s="60">
        <f t="shared" si="100"/>
        <v>186.45728006007261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8">
        <f t="shared" si="56"/>
        <v>437.38854249696135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-5.6843418860808015E-14</v>
      </c>
      <c r="O121" s="14">
        <f>N121*VLOOKUP('Données projet'!$B$9,Paramètres!$A$1:$I$89,3,0)*VLOOKUP('Données projet'!$B$9,Paramètres!$A$1:$I$89,5,0)</f>
        <v>-3.3992364478763198E-14</v>
      </c>
      <c r="P121" s="14" t="e">
        <f t="shared" si="87"/>
        <v>#NUM!</v>
      </c>
      <c r="Q121" s="22" t="e">
        <f t="shared" si="107"/>
        <v>#NUM!</v>
      </c>
      <c r="R121" s="60" t="e">
        <f t="shared" si="55"/>
        <v>#NUM!</v>
      </c>
      <c r="S121" s="60">
        <f ca="1">AVERAGE(OFFSET($R$3,0,0,'Données projet'!$E$9+1,1))-AVERAGE(OFFSET($H$3,0,0,'Données projet'!$E$9+1,1))</f>
        <v>155.11440101086782</v>
      </c>
      <c r="T121" s="60">
        <f t="shared" si="88"/>
        <v>239.53454701506638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2.3623302752071331</v>
      </c>
      <c r="AA121" s="23">
        <f>EXP(-LN(2)/25)*AA120+(1-EXP(-LN(2)/25))/(LN(2)/25)*Calculateur!V121*Calculateur!X121*VLOOKUP('Données projet'!$B$9,Paramètres!$A$1:$I$89,3,0)*0.475*44/12</f>
        <v>0.63129904119402536</v>
      </c>
      <c r="AB121" s="23">
        <f>EXP(-LN(2)/2)*AB120+(1-EXP(-LN(2)/2))/(LN(2)/2)*V121*Y121*VLOOKUP('Données projet'!$B$9,Paramètres!$A$1:$I$89,3,0)*0.475*44/12</f>
        <v>1.6762800640476487E-13</v>
      </c>
      <c r="AC121" s="24">
        <f t="shared" si="57"/>
        <v>2.9936293164013259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-3.4106051316484809E-13</v>
      </c>
      <c r="AJ121" s="14">
        <f>AI121*VLOOKUP('Données projet'!$B$10,Paramètres!$A$1:$I$89,3,0)*VLOOKUP('Données projet'!$B$10,Paramètres!$A$1:$I$89,5,0)</f>
        <v>-1.9065282685915009E-13</v>
      </c>
      <c r="AK121" s="14" t="e">
        <f t="shared" si="89"/>
        <v>#NUM!</v>
      </c>
      <c r="AL121" s="22" t="e">
        <f t="shared" si="58"/>
        <v>#NUM!</v>
      </c>
      <c r="AM121" s="60" t="e">
        <f t="shared" si="59"/>
        <v>#NUM!</v>
      </c>
      <c r="AN121" s="60">
        <f ca="1">AVERAGE(OFFSET($AM$3,0,0,'Données projet'!$E$10+1,1))-AVERAGE(OFFSET($H$3,0,0,'Données projet'!$E$10+1,1))</f>
        <v>302.20483575440988</v>
      </c>
      <c r="AO121" s="60">
        <f t="shared" si="90"/>
        <v>275.32862097158687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0.60266981647212503</v>
      </c>
      <c r="AW121" s="23">
        <f>EXP(-LN(2)/2)*AW120+(1-EXP(-LN(2)/2))/(LN(2)/2)*AQ121*AT121*VLOOKUP('Données projet'!$B$10,Paramètres!$A$1:$I$89,3,0)*0.475*44/12</f>
        <v>5.0057592678446147E-13</v>
      </c>
      <c r="AX121" s="23">
        <f t="shared" si="60"/>
        <v>0.60266981647262563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-1.7053025658242404E-13</v>
      </c>
      <c r="BE121" s="14">
        <f>BD121*VLOOKUP('Données projet'!$B$11,Paramètres!$A$1:$I$89,3,0)*VLOOKUP('Données projet'!$B$11,Paramètres!$A$1:$I$89,5,0)</f>
        <v>-1.4897523215040567E-13</v>
      </c>
      <c r="BF121" s="14" t="e">
        <f t="shared" si="91"/>
        <v>#NUM!</v>
      </c>
      <c r="BG121" s="22" t="e">
        <f t="shared" si="61"/>
        <v>#NUM!</v>
      </c>
      <c r="BH121" s="60" t="e">
        <f t="shared" si="62"/>
        <v>#NUM!</v>
      </c>
      <c r="BI121" s="60">
        <f ca="1">AVERAGE(OFFSET($BH$3,0,0,'Données projet'!$E$11+1,1))-AVERAGE(OFFSET($H$3,0,0,'Données projet'!$E$11+1,1))</f>
        <v>314.62110015707839</v>
      </c>
      <c r="BJ121" s="60">
        <f t="shared" si="92"/>
        <v>285.36905470736582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3.7</v>
      </c>
      <c r="BY121" s="13">
        <f>IF('Données projet'!$A$114&gt;35,BY120+BX121-CG120,IF(A121&lt;'Données projet'!$A$114,$BV$205^A121,IF(A121='Données projet'!$A$114,'Données projet'!$B$114,BY120+BX121-CG120)))</f>
        <v>295.59999999999951</v>
      </c>
      <c r="BZ121" s="14">
        <f>BY121*VLOOKUP('Données projet'!$B$12,Paramètres!$A$1:$I$89,3,0)*VLOOKUP('Données projet'!$B$12,Paramètres!$A$1:$I$89,5,0)</f>
        <v>267.45887999999951</v>
      </c>
      <c r="CA121" s="14">
        <f t="shared" si="93"/>
        <v>64.309683053152327</v>
      </c>
      <c r="CB121" s="22">
        <f t="shared" si="64"/>
        <v>577.8302473175728</v>
      </c>
      <c r="CC121" s="60">
        <f t="shared" si="65"/>
        <v>871.16358065090617</v>
      </c>
      <c r="CD121" s="60">
        <f ca="1">AVERAGE(OFFSET($CC$3,0,0,'Données projet'!$E$12+1,1))-AVERAGE(OFFSET($H$3,0,0,'Données projet'!$E$12+1,1))</f>
        <v>303.73499739059076</v>
      </c>
      <c r="CE121" s="60">
        <f t="shared" si="94"/>
        <v>172.32171001882188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3.7</v>
      </c>
      <c r="CT121" s="13">
        <f>IF('Données projet'!$A$140&gt;35,CT120+CS121-DB120,IF(A121&lt;'Données projet'!$A$140,$CQ$205^A121,IF(A121='Données projet'!$A$140,'Données projet'!$B$140,CT120+CS121-DB120)))</f>
        <v>295.59999999999951</v>
      </c>
      <c r="CU121" s="18">
        <f>CT121*VLOOKUP('Données projet'!$B$13,Paramètres!$A$1:$I$89,3,0)*VLOOKUP('Données projet'!$B$13,Paramètres!$A$1:$I$89,5,0)</f>
        <v>299.73839999999956</v>
      </c>
      <c r="CV121" s="14">
        <f t="shared" si="95"/>
        <v>71.121619283394352</v>
      </c>
      <c r="CW121" s="22">
        <f t="shared" si="67"/>
        <v>645.91453358524438</v>
      </c>
      <c r="CX121" s="60">
        <f t="shared" si="68"/>
        <v>939.24786691857776</v>
      </c>
      <c r="CY121" s="60">
        <f ca="1">AVERAGE(OFFSET($CX$3,0,0,'Données projet'!$E$13+1,1))-AVERAGE(OFFSET($H$3,0,0,'Données projet'!$E$13+1,1))</f>
        <v>350.3652766444938</v>
      </c>
      <c r="CZ121" s="60">
        <f t="shared" si="96"/>
        <v>197.04549436738586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3.7</v>
      </c>
      <c r="DO121" s="13">
        <f>IF('Données projet'!$A$166&gt;35,DO120+DN121-DW120,IF(A121&lt;'Données projet'!$A$166,$DL$205^A121,IF(A121='Données projet'!$A$166,'Données projet'!$B$166,DO120+DN121-DW120)))</f>
        <v>295.59999999999951</v>
      </c>
      <c r="DP121" s="18">
        <f>DO121*VLOOKUP('Données projet'!$B$14,Paramètres!$A$1:$I$89,3,0)*VLOOKUP('Données projet'!$B$14,Paramètres!$A$1:$I$89,5,0)</f>
        <v>318.18383999999946</v>
      </c>
      <c r="DQ121" s="14">
        <f t="shared" si="97"/>
        <v>74.975341168547786</v>
      </c>
      <c r="DR121" s="22">
        <f t="shared" si="70"/>
        <v>684.75224053521981</v>
      </c>
      <c r="DS121" s="60">
        <f t="shared" si="71"/>
        <v>978.08557386855318</v>
      </c>
      <c r="DT121" s="60">
        <f ca="1">AVERAGE(OFFSET($DS$3,0,0,'Données projet'!$E$14+1,1))-AVERAGE(OFFSET($H$3,0,0,'Données projet'!$E$14+1,1))</f>
        <v>376.96388721258387</v>
      </c>
      <c r="DU121" s="60">
        <f t="shared" si="98"/>
        <v>211.14628470344377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3.7</v>
      </c>
      <c r="EJ121" s="13">
        <f>IF('Données projet'!$A$192&gt;35,EJ120+EI121-ER120,IF(A121&lt;'Données projet'!$A$192,$EG$205^A121,IF(A121='Données projet'!$A$192,'Données projet'!$B$192,EJ120+EI121-ER120)))</f>
        <v>295.59999999999951</v>
      </c>
      <c r="EK121" s="18">
        <f>EJ121*VLOOKUP('Données projet'!$B$15,Paramètres!$A$1:$I$89,3,0)*VLOOKUP('Données projet'!$B$15,Paramètres!$A$1:$I$89,5,0)</f>
        <v>285.90431999999953</v>
      </c>
      <c r="EL121" s="14">
        <f t="shared" si="99"/>
        <v>68.213241999614453</v>
      </c>
      <c r="EM121" s="22">
        <f t="shared" si="73"/>
        <v>616.75475381599438</v>
      </c>
      <c r="EN121" s="60">
        <f t="shared" si="74"/>
        <v>910.08808714932775</v>
      </c>
      <c r="EO121" s="60">
        <f ca="1">AVERAGE(OFFSET($EN$3,0,0,'Données projet'!$E$15+1,1))-AVERAGE(OFFSET($H$3,0,0,'Données projet'!$E$15+1,1))</f>
        <v>330.39429528665841</v>
      </c>
      <c r="EP121" s="60">
        <f t="shared" si="100"/>
        <v>186.45728006007261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8">
        <f t="shared" si="56"/>
        <v>438.57782077914567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-5.6843418860808015E-14</v>
      </c>
      <c r="O122" s="14">
        <f>N122*VLOOKUP('Données projet'!$B$9,Paramètres!$A$1:$I$89,3,0)*VLOOKUP('Données projet'!$B$9,Paramètres!$A$1:$I$89,5,0)</f>
        <v>-3.3992364478763198E-14</v>
      </c>
      <c r="P122" s="14" t="e">
        <f t="shared" si="87"/>
        <v>#NUM!</v>
      </c>
      <c r="Q122" s="22" t="e">
        <f t="shared" si="107"/>
        <v>#NUM!</v>
      </c>
      <c r="R122" s="60" t="e">
        <f t="shared" si="55"/>
        <v>#NUM!</v>
      </c>
      <c r="S122" s="60">
        <f ca="1">AVERAGE(OFFSET($R$3,0,0,'Données projet'!$E$9+1,1))-AVERAGE(OFFSET($H$3,0,0,'Données projet'!$E$9+1,1))</f>
        <v>155.11440101086782</v>
      </c>
      <c r="T122" s="60">
        <f t="shared" si="88"/>
        <v>239.53454701506638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2.316006419389514</v>
      </c>
      <c r="AA122" s="23">
        <f>EXP(-LN(2)/25)*AA121+(1-EXP(-LN(2)/25))/(LN(2)/25)*Calculateur!V122*Calculateur!X122*VLOOKUP('Données projet'!$B$9,Paramètres!$A$1:$I$89,3,0)*0.475*44/12</f>
        <v>0.61403613571400106</v>
      </c>
      <c r="AB122" s="23">
        <f>EXP(-LN(2)/2)*AB121+(1-EXP(-LN(2)/2))/(LN(2)/2)*V122*Y122*VLOOKUP('Données projet'!$B$9,Paramètres!$A$1:$I$89,3,0)*0.475*44/12</f>
        <v>1.1853090004559125E-13</v>
      </c>
      <c r="AC122" s="24">
        <f t="shared" si="57"/>
        <v>2.9300425551036335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-3.4106051316484809E-13</v>
      </c>
      <c r="AJ122" s="14">
        <f>AI122*VLOOKUP('Données projet'!$B$10,Paramètres!$A$1:$I$89,3,0)*VLOOKUP('Données projet'!$B$10,Paramètres!$A$1:$I$89,5,0)</f>
        <v>-1.9065282685915009E-13</v>
      </c>
      <c r="AK122" s="14" t="e">
        <f t="shared" si="89"/>
        <v>#NUM!</v>
      </c>
      <c r="AL122" s="22" t="e">
        <f t="shared" si="58"/>
        <v>#NUM!</v>
      </c>
      <c r="AM122" s="60" t="e">
        <f t="shared" si="59"/>
        <v>#NUM!</v>
      </c>
      <c r="AN122" s="60">
        <f ca="1">AVERAGE(OFFSET($AM$3,0,0,'Données projet'!$E$10+1,1))-AVERAGE(OFFSET($H$3,0,0,'Données projet'!$E$10+1,1))</f>
        <v>302.20483575440988</v>
      </c>
      <c r="AO122" s="60">
        <f t="shared" si="90"/>
        <v>275.32862097158687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0.58618977864766653</v>
      </c>
      <c r="AW122" s="23">
        <f>EXP(-LN(2)/2)*AW121+(1-EXP(-LN(2)/2))/(LN(2)/2)*AQ122*AT122*VLOOKUP('Données projet'!$B$10,Paramètres!$A$1:$I$89,3,0)*0.475*44/12</f>
        <v>3.5396063232803343E-13</v>
      </c>
      <c r="AX122" s="23">
        <f t="shared" si="60"/>
        <v>0.58618977864802047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-1.7053025658242404E-13</v>
      </c>
      <c r="BE122" s="14">
        <f>BD122*VLOOKUP('Données projet'!$B$11,Paramètres!$A$1:$I$89,3,0)*VLOOKUP('Données projet'!$B$11,Paramètres!$A$1:$I$89,5,0)</f>
        <v>-1.4897523215040567E-13</v>
      </c>
      <c r="BF122" s="14" t="e">
        <f t="shared" si="91"/>
        <v>#NUM!</v>
      </c>
      <c r="BG122" s="22" t="e">
        <f t="shared" si="61"/>
        <v>#NUM!</v>
      </c>
      <c r="BH122" s="60" t="e">
        <f t="shared" si="62"/>
        <v>#NUM!</v>
      </c>
      <c r="BI122" s="60">
        <f ca="1">AVERAGE(OFFSET($BH$3,0,0,'Données projet'!$E$11+1,1))-AVERAGE(OFFSET($H$3,0,0,'Données projet'!$E$11+1,1))</f>
        <v>314.62110015707839</v>
      </c>
      <c r="BJ122" s="60">
        <f t="shared" si="92"/>
        <v>285.36905470736582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3.7</v>
      </c>
      <c r="BY122" s="13">
        <f>IF('Données projet'!$A$114&gt;35,BY121+BX122-CG121,IF(A122&lt;'Données projet'!$A$114,$BV$205^A122,IF(A122='Données projet'!$A$114,'Données projet'!$B$114,BY121+BX122-CG121)))</f>
        <v>299.2999999999995</v>
      </c>
      <c r="BZ122" s="14">
        <f>BY122*VLOOKUP('Données projet'!$B$12,Paramètres!$A$1:$I$89,3,0)*VLOOKUP('Données projet'!$B$12,Paramètres!$A$1:$I$89,5,0)</f>
        <v>270.80663999999956</v>
      </c>
      <c r="CA122" s="14">
        <f t="shared" si="93"/>
        <v>65.020428921429911</v>
      </c>
      <c r="CB122" s="22">
        <f t="shared" si="64"/>
        <v>584.89881170482306</v>
      </c>
      <c r="CC122" s="60">
        <f t="shared" si="65"/>
        <v>878.23214503815643</v>
      </c>
      <c r="CD122" s="60">
        <f ca="1">AVERAGE(OFFSET($CC$3,0,0,'Données projet'!$E$12+1,1))-AVERAGE(OFFSET($H$3,0,0,'Données projet'!$E$12+1,1))</f>
        <v>303.73499739059076</v>
      </c>
      <c r="CE122" s="60">
        <f t="shared" si="94"/>
        <v>172.32171001882188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3.7</v>
      </c>
      <c r="CT122" s="13">
        <f>IF('Données projet'!$A$140&gt;35,CT121+CS122-DB121,IF(A122&lt;'Données projet'!$A$140,$CQ$205^A122,IF(A122='Données projet'!$A$140,'Données projet'!$B$140,CT121+CS122-DB121)))</f>
        <v>299.2999999999995</v>
      </c>
      <c r="CU122" s="18">
        <f>CT122*VLOOKUP('Données projet'!$B$13,Paramètres!$A$1:$I$89,3,0)*VLOOKUP('Données projet'!$B$13,Paramètres!$A$1:$I$89,5,0)</f>
        <v>303.4901999999995</v>
      </c>
      <c r="CV122" s="14">
        <f t="shared" si="95"/>
        <v>71.907650167874138</v>
      </c>
      <c r="CW122" s="22">
        <f t="shared" si="67"/>
        <v>653.81792237571324</v>
      </c>
      <c r="CX122" s="60">
        <f t="shared" si="68"/>
        <v>947.15125570904661</v>
      </c>
      <c r="CY122" s="60">
        <f ca="1">AVERAGE(OFFSET($CX$3,0,0,'Données projet'!$E$13+1,1))-AVERAGE(OFFSET($H$3,0,0,'Données projet'!$E$13+1,1))</f>
        <v>350.3652766444938</v>
      </c>
      <c r="CZ122" s="60">
        <f t="shared" si="96"/>
        <v>197.04549436738586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3.7</v>
      </c>
      <c r="DO122" s="13">
        <f>IF('Données projet'!$A$166&gt;35,DO121+DN122-DW121,IF(A122&lt;'Données projet'!$A$166,$DL$205^A122,IF(A122='Données projet'!$A$166,'Données projet'!$B$166,DO121+DN122-DW121)))</f>
        <v>299.2999999999995</v>
      </c>
      <c r="DP122" s="18">
        <f>DO122*VLOOKUP('Données projet'!$B$14,Paramètres!$A$1:$I$89,3,0)*VLOOKUP('Données projet'!$B$14,Paramètres!$A$1:$I$89,5,0)</f>
        <v>322.16651999999942</v>
      </c>
      <c r="DQ122" s="14">
        <f t="shared" si="97"/>
        <v>75.803963102731529</v>
      </c>
      <c r="DR122" s="22">
        <f t="shared" si="70"/>
        <v>693.13192473725633</v>
      </c>
      <c r="DS122" s="60">
        <f t="shared" si="71"/>
        <v>986.4652580705897</v>
      </c>
      <c r="DT122" s="60">
        <f ca="1">AVERAGE(OFFSET($DS$3,0,0,'Données projet'!$E$14+1,1))-AVERAGE(OFFSET($H$3,0,0,'Données projet'!$E$14+1,1))</f>
        <v>376.96388721258387</v>
      </c>
      <c r="DU122" s="60">
        <f t="shared" si="98"/>
        <v>211.14628470344377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3.7</v>
      </c>
      <c r="EJ122" s="13">
        <f>IF('Données projet'!$A$192&gt;35,EJ121+EI122-ER121,IF(A122&lt;'Données projet'!$A$192,$EG$205^A122,IF(A122='Données projet'!$A$192,'Données projet'!$B$192,EJ121+EI122-ER121)))</f>
        <v>299.2999999999995</v>
      </c>
      <c r="EK122" s="18">
        <f>EJ122*VLOOKUP('Données projet'!$B$15,Paramètres!$A$1:$I$89,3,0)*VLOOKUP('Données projet'!$B$15,Paramètres!$A$1:$I$89,5,0)</f>
        <v>289.48295999999954</v>
      </c>
      <c r="EL122" s="14">
        <f t="shared" si="99"/>
        <v>68.967129713117401</v>
      </c>
      <c r="EM122" s="22">
        <f t="shared" si="73"/>
        <v>624.300572917012</v>
      </c>
      <c r="EN122" s="60">
        <f t="shared" si="74"/>
        <v>917.63390625034526</v>
      </c>
      <c r="EO122" s="60">
        <f ca="1">AVERAGE(OFFSET($EN$3,0,0,'Données projet'!$E$15+1,1))-AVERAGE(OFFSET($H$3,0,0,'Données projet'!$E$15+1,1))</f>
        <v>330.39429528665841</v>
      </c>
      <c r="EP122" s="60">
        <f t="shared" si="100"/>
        <v>186.45728006007261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8">
        <f t="shared" si="56"/>
        <v>439.76686605129635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-5.6843418860808015E-14</v>
      </c>
      <c r="O123" s="14">
        <f>N123*VLOOKUP('Données projet'!$B$9,Paramètres!$A$1:$I$89,3,0)*VLOOKUP('Données projet'!$B$9,Paramètres!$A$1:$I$89,5,0)</f>
        <v>-3.3992364478763198E-14</v>
      </c>
      <c r="P123" s="14" t="e">
        <f t="shared" si="87"/>
        <v>#NUM!</v>
      </c>
      <c r="Q123" s="22" t="e">
        <f t="shared" si="107"/>
        <v>#NUM!</v>
      </c>
      <c r="R123" s="60" t="e">
        <f t="shared" si="55"/>
        <v>#NUM!</v>
      </c>
      <c r="S123" s="60">
        <f ca="1">AVERAGE(OFFSET($R$3,0,0,'Données projet'!$E$9+1,1))-AVERAGE(OFFSET($H$3,0,0,'Données projet'!$E$9+1,1))</f>
        <v>155.11440101086782</v>
      </c>
      <c r="T123" s="60">
        <f t="shared" si="88"/>
        <v>239.53454701506638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2.2705909461297162</v>
      </c>
      <c r="AA123" s="23">
        <f>EXP(-LN(2)/25)*AA122+(1-EXP(-LN(2)/25))/(LN(2)/25)*Calculateur!V123*Calculateur!X123*VLOOKUP('Données projet'!$B$9,Paramètres!$A$1:$I$89,3,0)*0.475*44/12</f>
        <v>0.59724528529214471</v>
      </c>
      <c r="AB123" s="23">
        <f>EXP(-LN(2)/2)*AB122+(1-EXP(-LN(2)/2))/(LN(2)/2)*V123*Y123*VLOOKUP('Données projet'!$B$9,Paramètres!$A$1:$I$89,3,0)*0.475*44/12</f>
        <v>8.3814003202382433E-14</v>
      </c>
      <c r="AC123" s="24">
        <f t="shared" si="57"/>
        <v>2.8678362314219448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-3.4106051316484809E-13</v>
      </c>
      <c r="AJ123" s="14">
        <f>AI123*VLOOKUP('Données projet'!$B$10,Paramètres!$A$1:$I$89,3,0)*VLOOKUP('Données projet'!$B$10,Paramètres!$A$1:$I$89,5,0)</f>
        <v>-1.9065282685915009E-13</v>
      </c>
      <c r="AK123" s="14" t="e">
        <f t="shared" si="89"/>
        <v>#NUM!</v>
      </c>
      <c r="AL123" s="22" t="e">
        <f t="shared" si="58"/>
        <v>#NUM!</v>
      </c>
      <c r="AM123" s="60" t="e">
        <f t="shared" si="59"/>
        <v>#NUM!</v>
      </c>
      <c r="AN123" s="60">
        <f ca="1">AVERAGE(OFFSET($AM$3,0,0,'Données projet'!$E$10+1,1))-AVERAGE(OFFSET($H$3,0,0,'Données projet'!$E$10+1,1))</f>
        <v>302.20483575440988</v>
      </c>
      <c r="AO123" s="60">
        <f t="shared" si="90"/>
        <v>275.32862097158687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0.57016038832416538</v>
      </c>
      <c r="AW123" s="23">
        <f>EXP(-LN(2)/2)*AW122+(1-EXP(-LN(2)/2))/(LN(2)/2)*AQ123*AT123*VLOOKUP('Données projet'!$B$10,Paramètres!$A$1:$I$89,3,0)*0.475*44/12</f>
        <v>2.5028796339223074E-13</v>
      </c>
      <c r="AX123" s="23">
        <f t="shared" si="60"/>
        <v>0.57016038832441562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-1.7053025658242404E-13</v>
      </c>
      <c r="BE123" s="14">
        <f>BD123*VLOOKUP('Données projet'!$B$11,Paramètres!$A$1:$I$89,3,0)*VLOOKUP('Données projet'!$B$11,Paramètres!$A$1:$I$89,5,0)</f>
        <v>-1.4897523215040567E-13</v>
      </c>
      <c r="BF123" s="14" t="e">
        <f t="shared" si="91"/>
        <v>#NUM!</v>
      </c>
      <c r="BG123" s="22" t="e">
        <f t="shared" si="61"/>
        <v>#NUM!</v>
      </c>
      <c r="BH123" s="60" t="e">
        <f t="shared" si="62"/>
        <v>#NUM!</v>
      </c>
      <c r="BI123" s="60">
        <f ca="1">AVERAGE(OFFSET($BH$3,0,0,'Données projet'!$E$11+1,1))-AVERAGE(OFFSET($H$3,0,0,'Données projet'!$E$11+1,1))</f>
        <v>314.62110015707839</v>
      </c>
      <c r="BJ123" s="60">
        <f t="shared" si="92"/>
        <v>285.36905470736582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303</v>
      </c>
      <c r="BW123" s="13">
        <f>VLOOKUP(A123,'Données projet'!$A$113:$I$133,9,0)</f>
        <v>3.7</v>
      </c>
      <c r="BX123" s="13">
        <f t="array" ref="BX123">INDEX(BW:BW,MIN(IF(ISNUMBER(BW123:BW319),ROW(BW123:BW319),"")))</f>
        <v>3.7</v>
      </c>
      <c r="BY123" s="13">
        <f>IF('Données projet'!$A$114&gt;35,BY122+BX123-CG122,IF(A123&lt;'Données projet'!$A$114,$BV$205^A123,IF(A123='Données projet'!$A$114,'Données projet'!$B$114,BY122+BX123-CG122)))</f>
        <v>302.99999999999949</v>
      </c>
      <c r="BZ123" s="14">
        <f>BY123*VLOOKUP('Données projet'!$B$12,Paramètres!$A$1:$I$89,3,0)*VLOOKUP('Données projet'!$B$12,Paramètres!$A$1:$I$89,5,0)</f>
        <v>274.15439999999955</v>
      </c>
      <c r="CA123" s="14">
        <f t="shared" si="93"/>
        <v>65.730152764515779</v>
      </c>
      <c r="CB123" s="22">
        <f t="shared" si="64"/>
        <v>591.96559606486414</v>
      </c>
      <c r="CC123" s="60">
        <f t="shared" si="65"/>
        <v>885.29892939819752</v>
      </c>
      <c r="CD123" s="60">
        <f ca="1">AVERAGE(OFFSET($CC$3,0,0,'Données projet'!$E$12+1,1))-AVERAGE(OFFSET($H$3,0,0,'Données projet'!$E$12+1,1))</f>
        <v>303.73499739059076</v>
      </c>
      <c r="CE123" s="60">
        <f t="shared" si="94"/>
        <v>172.32171001882188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35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303</v>
      </c>
      <c r="CR123" s="13">
        <f>VLOOKUP(A123,'Données projet'!$A$139:$I$159,9,0)</f>
        <v>3.7</v>
      </c>
      <c r="CS123" s="13">
        <f t="array" ref="CS123">INDEX(CR:CR,MIN(IF(ISNUMBER(CR123:CR319),ROW(CR123:CR319),"")))</f>
        <v>3.7</v>
      </c>
      <c r="CT123" s="13">
        <f>IF('Données projet'!$A$140&gt;35,CT122+CS123-DB122,IF(A123&lt;'Données projet'!$A$140,$CQ$205^A123,IF(A123='Données projet'!$A$140,'Données projet'!$B$140,CT122+CS123-DB122)))</f>
        <v>302.99999999999949</v>
      </c>
      <c r="CU123" s="18">
        <f>CT123*VLOOKUP('Données projet'!$B$13,Paramètres!$A$1:$I$89,3,0)*VLOOKUP('Données projet'!$B$13,Paramètres!$A$1:$I$89,5,0)</f>
        <v>307.24199999999951</v>
      </c>
      <c r="CV123" s="14">
        <f t="shared" si="95"/>
        <v>72.692550770207717</v>
      </c>
      <c r="CW123" s="22">
        <f t="shared" si="67"/>
        <v>661.71934259144427</v>
      </c>
      <c r="CX123" s="60">
        <f t="shared" si="68"/>
        <v>955.05267592477753</v>
      </c>
      <c r="CY123" s="60">
        <f ca="1">AVERAGE(OFFSET($CX$3,0,0,'Données projet'!$E$13+1,1))-AVERAGE(OFFSET($H$3,0,0,'Données projet'!$E$13+1,1))</f>
        <v>350.3652766444938</v>
      </c>
      <c r="CZ123" s="60">
        <f t="shared" si="96"/>
        <v>197.04549436738586</v>
      </c>
      <c r="DA123" s="16">
        <f>IF(ISNA(VLOOKUP(A123,'Données projet'!$A$139:$I$159,3,0)),0,VLOOKUP(A123,'Données projet'!$A$139:$I$159,3,0))</f>
        <v>10</v>
      </c>
      <c r="DB123" s="16">
        <f>IF(ISNA(VLOOKUP(A123,'Données projet'!$A$139:$I$159,4,0)),0,VLOOKUP(A123,'Données projet'!$A$139:$I$159,4,0))</f>
        <v>35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303</v>
      </c>
      <c r="DM123" s="13">
        <f>VLOOKUP(A123,'Données projet'!$A$165:$I$185,9,0)</f>
        <v>3.7</v>
      </c>
      <c r="DN123" s="13">
        <f t="array" ref="DN123">INDEX(DM:DM,MIN(IF(ISNUMBER(DM123:DM319),ROW(DM123:DM319),"")))</f>
        <v>3.7</v>
      </c>
      <c r="DO123" s="13">
        <f>IF('Données projet'!$A$166&gt;35,DO122+DN123-DW122,IF(A123&lt;'Données projet'!$A$166,$DL$205^A123,IF(A123='Données projet'!$A$166,'Données projet'!$B$166,DO122+DN123-DW122)))</f>
        <v>302.99999999999949</v>
      </c>
      <c r="DP123" s="18">
        <f>DO123*VLOOKUP('Données projet'!$B$14,Paramètres!$A$1:$I$89,3,0)*VLOOKUP('Données projet'!$B$14,Paramètres!$A$1:$I$89,5,0)</f>
        <v>326.14919999999944</v>
      </c>
      <c r="DQ123" s="14">
        <f t="shared" si="97"/>
        <v>76.631393510479555</v>
      </c>
      <c r="DR123" s="22">
        <f t="shared" si="70"/>
        <v>701.50953369741762</v>
      </c>
      <c r="DS123" s="60">
        <f t="shared" si="71"/>
        <v>994.84286703075099</v>
      </c>
      <c r="DT123" s="60">
        <f ca="1">AVERAGE(OFFSET($DS$3,0,0,'Données projet'!$E$14+1,1))-AVERAGE(OFFSET($H$3,0,0,'Données projet'!$E$14+1,1))</f>
        <v>376.96388721258387</v>
      </c>
      <c r="DU123" s="60">
        <f t="shared" si="98"/>
        <v>211.14628470344377</v>
      </c>
      <c r="DV123" s="16">
        <f>IF(ISNA(VLOOKUP(A123,'Données projet'!$A$165:$I$185,3,0)),0,VLOOKUP(A123,'Données projet'!$A$165:$I$185,3,0))</f>
        <v>10</v>
      </c>
      <c r="DW123" s="16">
        <f>IF(ISNA(VLOOKUP(A123,'Données projet'!$A$165:$I$185,4,0)),0,VLOOKUP(A123,'Données projet'!$A$165:$I$185,4,0))</f>
        <v>35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>
        <f>VLOOKUP(A123,'Données projet'!$A$191:$I$211,2,0)</f>
        <v>303</v>
      </c>
      <c r="EH123" s="13">
        <f>VLOOKUP(A123,'Données projet'!$A$191:$I$211,9,0)</f>
        <v>3.7</v>
      </c>
      <c r="EI123" s="13">
        <f t="array" ref="EI123">INDEX(EH:EH,MIN(IF(ISNUMBER(EH123:EH319),ROW(EH123:EH319),"")))</f>
        <v>3.7</v>
      </c>
      <c r="EJ123" s="13">
        <f>IF('Données projet'!$A$192&gt;35,EJ122+EI123-ER122,IF(A123&lt;'Données projet'!$A$192,$EG$205^A123,IF(A123='Données projet'!$A$192,'Données projet'!$B$192,EJ122+EI123-ER122)))</f>
        <v>302.99999999999949</v>
      </c>
      <c r="EK123" s="18">
        <f>EJ123*VLOOKUP('Données projet'!$B$15,Paramètres!$A$1:$I$89,3,0)*VLOOKUP('Données projet'!$B$15,Paramètres!$A$1:$I$89,5,0)</f>
        <v>293.06159999999949</v>
      </c>
      <c r="EL123" s="14">
        <f t="shared" si="99"/>
        <v>69.719933365116432</v>
      </c>
      <c r="EM123" s="22">
        <f t="shared" si="73"/>
        <v>631.84450394424357</v>
      </c>
      <c r="EN123" s="60">
        <f t="shared" si="74"/>
        <v>925.17783727757683</v>
      </c>
      <c r="EO123" s="60">
        <f ca="1">AVERAGE(OFFSET($EN$3,0,0,'Données projet'!$E$15+1,1))-AVERAGE(OFFSET($H$3,0,0,'Données projet'!$E$15+1,1))</f>
        <v>330.39429528665841</v>
      </c>
      <c r="EP123" s="60">
        <f t="shared" si="100"/>
        <v>186.45728006007261</v>
      </c>
      <c r="EQ123" s="16">
        <f>IF(ISNA(VLOOKUP(A123,'Données projet'!$A$191:$I$211,3,0)),0,VLOOKUP(A123,'Données projet'!$A$191:$I$211,3,0))</f>
        <v>10</v>
      </c>
      <c r="ER123" s="16">
        <f>IF(ISNA(VLOOKUP(A123,'Données projet'!$A$191:$I$211,4,0)),0,VLOOKUP(A123,'Données projet'!$A$191:$I$211,4,0))</f>
        <v>35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8">
        <f t="shared" si="56"/>
        <v>440.95568048018276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-3.3992364478763198E-14</v>
      </c>
      <c r="P124" s="14" t="e">
        <f t="shared" si="87"/>
        <v>#NUM!</v>
      </c>
      <c r="Q124" s="22" t="e">
        <f t="shared" si="107"/>
        <v>#NUM!</v>
      </c>
      <c r="R124" s="60" t="e">
        <f t="shared" si="55"/>
        <v>#NUM!</v>
      </c>
      <c r="S124" s="60">
        <f ca="1">AVERAGE(OFFSET($R$3,0,0,'Données projet'!$E$9+1,1))-AVERAGE(OFFSET($H$3,0,0,'Données projet'!$E$9+1,1))</f>
        <v>155.11440101086782</v>
      </c>
      <c r="T124" s="60">
        <f t="shared" si="88"/>
        <v>239.53454701506638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2.22606604259984</v>
      </c>
      <c r="AA124" s="23">
        <f>EXP(-LN(2)/25)*AA123+(1-EXP(-LN(2)/25))/(LN(2)/25)*Calculateur!V124*Calculateur!X124*VLOOKUP('Données projet'!$B$9,Paramètres!$A$1:$I$89,3,0)*0.475*44/12</f>
        <v>0.58091358155806649</v>
      </c>
      <c r="AB124" s="23">
        <f>EXP(-LN(2)/2)*AB123+(1-EXP(-LN(2)/2))/(LN(2)/2)*V124*Y124*VLOOKUP('Données projet'!$B$9,Paramètres!$A$1:$I$89,3,0)*0.475*44/12</f>
        <v>5.9265450022795627E-14</v>
      </c>
      <c r="AC124" s="24">
        <f t="shared" si="57"/>
        <v>2.8069796241579654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-3.4106051316484809E-13</v>
      </c>
      <c r="AJ124" s="14">
        <f>AI124*VLOOKUP('Données projet'!$B$10,Paramètres!$A$1:$I$89,3,0)*VLOOKUP('Données projet'!$B$10,Paramètres!$A$1:$I$89,5,0)</f>
        <v>-1.9065282685915009E-13</v>
      </c>
      <c r="AK124" s="14" t="e">
        <f t="shared" si="89"/>
        <v>#NUM!</v>
      </c>
      <c r="AL124" s="22" t="e">
        <f t="shared" si="58"/>
        <v>#NUM!</v>
      </c>
      <c r="AM124" s="60" t="e">
        <f t="shared" si="59"/>
        <v>#NUM!</v>
      </c>
      <c r="AN124" s="60">
        <f ca="1">AVERAGE(OFFSET($AM$3,0,0,'Données projet'!$E$10+1,1))-AVERAGE(OFFSET($H$3,0,0,'Données projet'!$E$10+1,1))</f>
        <v>302.20483575440988</v>
      </c>
      <c r="AO124" s="60">
        <f t="shared" si="90"/>
        <v>275.32862097158687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0.55456932252200941</v>
      </c>
      <c r="AW124" s="23">
        <f>EXP(-LN(2)/2)*AW123+(1-EXP(-LN(2)/2))/(LN(2)/2)*AQ124*AT124*VLOOKUP('Données projet'!$B$10,Paramètres!$A$1:$I$89,3,0)*0.475*44/12</f>
        <v>1.7698031616401672E-13</v>
      </c>
      <c r="AX124" s="23">
        <f t="shared" si="60"/>
        <v>0.55456932252218638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-1.7053025658242404E-13</v>
      </c>
      <c r="BE124" s="14">
        <f>BD124*VLOOKUP('Données projet'!$B$11,Paramètres!$A$1:$I$89,3,0)*VLOOKUP('Données projet'!$B$11,Paramètres!$A$1:$I$89,5,0)</f>
        <v>-1.4897523215040567E-13</v>
      </c>
      <c r="BF124" s="14" t="e">
        <f t="shared" si="91"/>
        <v>#NUM!</v>
      </c>
      <c r="BG124" s="22" t="e">
        <f t="shared" si="61"/>
        <v>#NUM!</v>
      </c>
      <c r="BH124" s="60" t="e">
        <f t="shared" si="62"/>
        <v>#NUM!</v>
      </c>
      <c r="BI124" s="60">
        <f ca="1">AVERAGE(OFFSET($BH$3,0,0,'Données projet'!$E$11+1,1))-AVERAGE(OFFSET($H$3,0,0,'Données projet'!$E$11+1,1))</f>
        <v>314.62110015707839</v>
      </c>
      <c r="BJ124" s="60">
        <f t="shared" si="92"/>
        <v>285.36905470736582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3.2</v>
      </c>
      <c r="BY124" s="13">
        <f>IF('Données projet'!$A$114&gt;35,BY123+BX124-CG123,IF(A124&lt;'Données projet'!$A$114,$BV$205^A124,IF(A124='Données projet'!$A$114,'Données projet'!$B$114,BY123+BX124-CG123)))</f>
        <v>271.19999999999948</v>
      </c>
      <c r="BZ124" s="14">
        <f>BY124*VLOOKUP('Données projet'!$B$12,Paramètres!$A$1:$I$89,3,0)*VLOOKUP('Données projet'!$B$12,Paramètres!$A$1:$I$89,5,0)</f>
        <v>245.3817599999995</v>
      </c>
      <c r="CA124" s="14">
        <f t="shared" si="93"/>
        <v>59.595943661626663</v>
      </c>
      <c r="CB124" s="22">
        <f t="shared" si="64"/>
        <v>531.16950054399888</v>
      </c>
      <c r="CC124" s="60">
        <f t="shared" si="65"/>
        <v>824.50283387733225</v>
      </c>
      <c r="CD124" s="60">
        <f ca="1">AVERAGE(OFFSET($CC$3,0,0,'Données projet'!$E$12+1,1))-AVERAGE(OFFSET($H$3,0,0,'Données projet'!$E$12+1,1))</f>
        <v>303.73499739059076</v>
      </c>
      <c r="CE124" s="60">
        <f t="shared" si="94"/>
        <v>172.32171001882188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3.2</v>
      </c>
      <c r="CT124" s="13">
        <f>IF('Données projet'!$A$140&gt;35,CT123+CS124-DB123,IF(A124&lt;'Données projet'!$A$140,$CQ$205^A124,IF(A124='Données projet'!$A$140,'Données projet'!$B$140,CT123+CS124-DB123)))</f>
        <v>271.19999999999948</v>
      </c>
      <c r="CU124" s="18">
        <f>CT124*VLOOKUP('Données projet'!$B$13,Paramètres!$A$1:$I$89,3,0)*VLOOKUP('Données projet'!$B$13,Paramètres!$A$1:$I$89,5,0)</f>
        <v>274.9967999999995</v>
      </c>
      <c r="CV124" s="14">
        <f t="shared" si="95"/>
        <v>65.908581953881495</v>
      </c>
      <c r="CW124" s="22">
        <f t="shared" si="67"/>
        <v>593.74354023634271</v>
      </c>
      <c r="CX124" s="60">
        <f t="shared" si="68"/>
        <v>887.07687356967608</v>
      </c>
      <c r="CY124" s="60">
        <f ca="1">AVERAGE(OFFSET($CX$3,0,0,'Données projet'!$E$13+1,1))-AVERAGE(OFFSET($H$3,0,0,'Données projet'!$E$13+1,1))</f>
        <v>350.3652766444938</v>
      </c>
      <c r="CZ124" s="60">
        <f t="shared" si="96"/>
        <v>197.04549436738586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3.2</v>
      </c>
      <c r="DO124" s="13">
        <f>IF('Données projet'!$A$166&gt;35,DO123+DN124-DW123,IF(A124&lt;'Données projet'!$A$166,$DL$205^A124,IF(A124='Données projet'!$A$166,'Données projet'!$B$166,DO123+DN124-DW123)))</f>
        <v>271.19999999999948</v>
      </c>
      <c r="DP124" s="18">
        <f>DO124*VLOOKUP('Données projet'!$B$14,Paramètres!$A$1:$I$89,3,0)*VLOOKUP('Données projet'!$B$14,Paramètres!$A$1:$I$89,5,0)</f>
        <v>291.9196799999994</v>
      </c>
      <c r="DQ124" s="14">
        <f t="shared" si="97"/>
        <v>69.47983563531173</v>
      </c>
      <c r="DR124" s="22">
        <f t="shared" si="70"/>
        <v>629.43748973150025</v>
      </c>
      <c r="DS124" s="60">
        <f t="shared" si="71"/>
        <v>922.77082306483362</v>
      </c>
      <c r="DT124" s="60">
        <f ca="1">AVERAGE(OFFSET($DS$3,0,0,'Données projet'!$E$14+1,1))-AVERAGE(OFFSET($H$3,0,0,'Données projet'!$E$14+1,1))</f>
        <v>376.96388721258387</v>
      </c>
      <c r="DU124" s="60">
        <f t="shared" si="98"/>
        <v>211.14628470344377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3.2</v>
      </c>
      <c r="EJ124" s="13">
        <f>IF('Données projet'!$A$192&gt;35,EJ123+EI124-ER123,IF(A124&lt;'Données projet'!$A$192,$EG$205^A124,IF(A124='Données projet'!$A$192,'Données projet'!$B$192,EJ123+EI124-ER123)))</f>
        <v>271.19999999999948</v>
      </c>
      <c r="EK124" s="18">
        <f>EJ124*VLOOKUP('Données projet'!$B$15,Paramètres!$A$1:$I$89,3,0)*VLOOKUP('Données projet'!$B$15,Paramètres!$A$1:$I$89,5,0)</f>
        <v>262.30463999999949</v>
      </c>
      <c r="EL124" s="14">
        <f t="shared" si="99"/>
        <v>63.213381472055985</v>
      </c>
      <c r="EM124" s="22">
        <f t="shared" si="73"/>
        <v>566.94388739716328</v>
      </c>
      <c r="EN124" s="60">
        <f t="shared" si="74"/>
        <v>860.27722073049654</v>
      </c>
      <c r="EO124" s="60">
        <f ca="1">AVERAGE(OFFSET($EN$3,0,0,'Données projet'!$E$15+1,1))-AVERAGE(OFFSET($H$3,0,0,'Données projet'!$E$15+1,1))</f>
        <v>330.39429528665841</v>
      </c>
      <c r="EP124" s="60">
        <f t="shared" si="100"/>
        <v>186.45728006007261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8">
        <f t="shared" si="56"/>
        <v>442.14426619469248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-3.3992364478763198E-14</v>
      </c>
      <c r="P125" s="14" t="e">
        <f t="shared" si="87"/>
        <v>#NUM!</v>
      </c>
      <c r="Q125" s="22" t="e">
        <f t="shared" si="107"/>
        <v>#NUM!</v>
      </c>
      <c r="R125" s="60" t="e">
        <f t="shared" si="55"/>
        <v>#NUM!</v>
      </c>
      <c r="S125" s="60">
        <f ca="1">AVERAGE(OFFSET($R$3,0,0,'Données projet'!$E$9+1,1))-AVERAGE(OFFSET($H$3,0,0,'Données projet'!$E$9+1,1))</f>
        <v>155.11440101086782</v>
      </c>
      <c r="T125" s="60">
        <f t="shared" si="88"/>
        <v>239.53454701506638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2.182414245270675</v>
      </c>
      <c r="AA125" s="23">
        <f>EXP(-LN(2)/25)*AA124+(1-EXP(-LN(2)/25))/(LN(2)/25)*Calculateur!V125*Calculateur!X125*VLOOKUP('Données projet'!$B$9,Paramètres!$A$1:$I$89,3,0)*0.475*44/12</f>
        <v>0.56502846912144356</v>
      </c>
      <c r="AB125" s="23">
        <f>EXP(-LN(2)/2)*AB124+(1-EXP(-LN(2)/2))/(LN(2)/2)*V125*Y125*VLOOKUP('Données projet'!$B$9,Paramètres!$A$1:$I$89,3,0)*0.475*44/12</f>
        <v>4.1907001601191216E-14</v>
      </c>
      <c r="AC125" s="24">
        <f t="shared" si="57"/>
        <v>2.74744271439216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-3.4106051316484809E-13</v>
      </c>
      <c r="AJ125" s="14">
        <f>AI125*VLOOKUP('Données projet'!$B$10,Paramètres!$A$1:$I$89,3,0)*VLOOKUP('Données projet'!$B$10,Paramètres!$A$1:$I$89,5,0)</f>
        <v>-1.9065282685915009E-13</v>
      </c>
      <c r="AK125" s="14" t="e">
        <f t="shared" si="89"/>
        <v>#NUM!</v>
      </c>
      <c r="AL125" s="22" t="e">
        <f t="shared" si="58"/>
        <v>#NUM!</v>
      </c>
      <c r="AM125" s="60" t="e">
        <f t="shared" si="59"/>
        <v>#NUM!</v>
      </c>
      <c r="AN125" s="60">
        <f ca="1">AVERAGE(OFFSET($AM$3,0,0,'Données projet'!$E$10+1,1))-AVERAGE(OFFSET($H$3,0,0,'Données projet'!$E$10+1,1))</f>
        <v>302.20483575440988</v>
      </c>
      <c r="AO125" s="60">
        <f t="shared" si="90"/>
        <v>275.32862097158687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0.53940459523411188</v>
      </c>
      <c r="AW125" s="23">
        <f>EXP(-LN(2)/2)*AW124+(1-EXP(-LN(2)/2))/(LN(2)/2)*AQ125*AT125*VLOOKUP('Données projet'!$B$10,Paramètres!$A$1:$I$89,3,0)*0.475*44/12</f>
        <v>1.2514398169611537E-13</v>
      </c>
      <c r="AX125" s="23">
        <f t="shared" si="60"/>
        <v>0.53940459523423701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-1.7053025658242404E-13</v>
      </c>
      <c r="BE125" s="14">
        <f>BD125*VLOOKUP('Données projet'!$B$11,Paramètres!$A$1:$I$89,3,0)*VLOOKUP('Données projet'!$B$11,Paramètres!$A$1:$I$89,5,0)</f>
        <v>-1.4897523215040567E-13</v>
      </c>
      <c r="BF125" s="14" t="e">
        <f t="shared" si="91"/>
        <v>#NUM!</v>
      </c>
      <c r="BG125" s="22" t="e">
        <f t="shared" si="61"/>
        <v>#NUM!</v>
      </c>
      <c r="BH125" s="60" t="e">
        <f t="shared" si="62"/>
        <v>#NUM!</v>
      </c>
      <c r="BI125" s="60">
        <f ca="1">AVERAGE(OFFSET($BH$3,0,0,'Données projet'!$E$11+1,1))-AVERAGE(OFFSET($H$3,0,0,'Données projet'!$E$11+1,1))</f>
        <v>314.62110015707839</v>
      </c>
      <c r="BJ125" s="60">
        <f t="shared" si="92"/>
        <v>285.36905470736582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3.2</v>
      </c>
      <c r="BY125" s="13">
        <f>IF('Données projet'!$A$114&gt;35,BY124+BX125-CG124,IF(A125&lt;'Données projet'!$A$114,$BV$205^A125,IF(A125='Données projet'!$A$114,'Données projet'!$B$114,BY124+BX125-CG124)))</f>
        <v>274.39999999999947</v>
      </c>
      <c r="BZ125" s="14">
        <f>BY125*VLOOKUP('Données projet'!$B$12,Paramètres!$A$1:$I$89,3,0)*VLOOKUP('Données projet'!$B$12,Paramètres!$A$1:$I$89,5,0)</f>
        <v>248.27711999999951</v>
      </c>
      <c r="CA125" s="14">
        <f t="shared" si="93"/>
        <v>60.216863677580257</v>
      </c>
      <c r="CB125" s="22">
        <f t="shared" si="64"/>
        <v>537.29368823845141</v>
      </c>
      <c r="CC125" s="60">
        <f t="shared" si="65"/>
        <v>830.62702157178478</v>
      </c>
      <c r="CD125" s="60">
        <f ca="1">AVERAGE(OFFSET($CC$3,0,0,'Données projet'!$E$12+1,1))-AVERAGE(OFFSET($H$3,0,0,'Données projet'!$E$12+1,1))</f>
        <v>303.73499739059076</v>
      </c>
      <c r="CE125" s="60">
        <f t="shared" si="94"/>
        <v>172.32171001882188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3.2</v>
      </c>
      <c r="CT125" s="13">
        <f>IF('Données projet'!$A$140&gt;35,CT124+CS125-DB124,IF(A125&lt;'Données projet'!$A$140,$CQ$205^A125,IF(A125='Données projet'!$A$140,'Données projet'!$B$140,CT124+CS125-DB124)))</f>
        <v>274.39999999999947</v>
      </c>
      <c r="CU125" s="18">
        <f>CT125*VLOOKUP('Données projet'!$B$13,Paramètres!$A$1:$I$89,3,0)*VLOOKUP('Données projet'!$B$13,Paramètres!$A$1:$I$89,5,0)</f>
        <v>278.24159999999949</v>
      </c>
      <c r="CV125" s="14">
        <f t="shared" si="95"/>
        <v>66.595272276139681</v>
      </c>
      <c r="CW125" s="22">
        <f t="shared" si="67"/>
        <v>600.59088588094244</v>
      </c>
      <c r="CX125" s="60">
        <f t="shared" si="68"/>
        <v>893.92421921427581</v>
      </c>
      <c r="CY125" s="60">
        <f ca="1">AVERAGE(OFFSET($CX$3,0,0,'Données projet'!$E$13+1,1))-AVERAGE(OFFSET($H$3,0,0,'Données projet'!$E$13+1,1))</f>
        <v>350.3652766444938</v>
      </c>
      <c r="CZ125" s="60">
        <f t="shared" si="96"/>
        <v>197.04549436738586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3.2</v>
      </c>
      <c r="DO125" s="13">
        <f>IF('Données projet'!$A$166&gt;35,DO124+DN125-DW124,IF(A125&lt;'Données projet'!$A$166,$DL$205^A125,IF(A125='Données projet'!$A$166,'Données projet'!$B$166,DO124+DN125-DW124)))</f>
        <v>274.39999999999947</v>
      </c>
      <c r="DP125" s="18">
        <f>DO125*VLOOKUP('Données projet'!$B$14,Paramètres!$A$1:$I$89,3,0)*VLOOKUP('Données projet'!$B$14,Paramètres!$A$1:$I$89,5,0)</f>
        <v>295.3641599999994</v>
      </c>
      <c r="DQ125" s="14">
        <f t="shared" si="97"/>
        <v>70.203734243178047</v>
      </c>
      <c r="DR125" s="22">
        <f t="shared" si="70"/>
        <v>636.6974158068673</v>
      </c>
      <c r="DS125" s="60">
        <f t="shared" si="71"/>
        <v>930.03074914020067</v>
      </c>
      <c r="DT125" s="60">
        <f ca="1">AVERAGE(OFFSET($DS$3,0,0,'Données projet'!$E$14+1,1))-AVERAGE(OFFSET($H$3,0,0,'Données projet'!$E$14+1,1))</f>
        <v>376.96388721258387</v>
      </c>
      <c r="DU125" s="60">
        <f t="shared" si="98"/>
        <v>211.14628470344377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3.2</v>
      </c>
      <c r="EJ125" s="13">
        <f>IF('Données projet'!$A$192&gt;35,EJ124+EI125-ER124,IF(A125&lt;'Données projet'!$A$192,$EG$205^A125,IF(A125='Données projet'!$A$192,'Données projet'!$B$192,EJ124+EI125-ER124)))</f>
        <v>274.39999999999947</v>
      </c>
      <c r="EK125" s="18">
        <f>EJ125*VLOOKUP('Données projet'!$B$15,Paramètres!$A$1:$I$89,3,0)*VLOOKUP('Données projet'!$B$15,Paramètres!$A$1:$I$89,5,0)</f>
        <v>265.39967999999948</v>
      </c>
      <c r="EL125" s="14">
        <f t="shared" si="99"/>
        <v>63.87199095821434</v>
      </c>
      <c r="EM125" s="22">
        <f t="shared" si="73"/>
        <v>573.48149358555565</v>
      </c>
      <c r="EN125" s="60">
        <f t="shared" si="74"/>
        <v>866.81482691888891</v>
      </c>
      <c r="EO125" s="60">
        <f ca="1">AVERAGE(OFFSET($EN$3,0,0,'Données projet'!$E$15+1,1))-AVERAGE(OFFSET($H$3,0,0,'Données projet'!$E$15+1,1))</f>
        <v>330.39429528665841</v>
      </c>
      <c r="EP125" s="60">
        <f t="shared" si="100"/>
        <v>186.45728006007261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8">
        <f t="shared" si="56"/>
        <v>443.33262528679836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-3.3992364478763198E-14</v>
      </c>
      <c r="P126" s="14" t="e">
        <f t="shared" si="87"/>
        <v>#NUM!</v>
      </c>
      <c r="Q126" s="22" t="e">
        <f t="shared" si="107"/>
        <v>#NUM!</v>
      </c>
      <c r="R126" s="60" t="e">
        <f t="shared" si="55"/>
        <v>#NUM!</v>
      </c>
      <c r="S126" s="60">
        <f ca="1">AVERAGE(OFFSET($R$3,0,0,'Données projet'!$E$9+1,1))-AVERAGE(OFFSET($H$3,0,0,'Données projet'!$E$9+1,1))</f>
        <v>155.11440101086782</v>
      </c>
      <c r="T126" s="60">
        <f t="shared" si="88"/>
        <v>239.53454701506638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2.1396184330621675</v>
      </c>
      <c r="AA126" s="23">
        <f>EXP(-LN(2)/25)*AA125+(1-EXP(-LN(2)/25))/(LN(2)/25)*Calculateur!V126*Calculateur!X126*VLOOKUP('Données projet'!$B$9,Paramètres!$A$1:$I$89,3,0)*0.475*44/12</f>
        <v>0.54957773591976189</v>
      </c>
      <c r="AB126" s="23">
        <f>EXP(-LN(2)/2)*AB125+(1-EXP(-LN(2)/2))/(LN(2)/2)*V126*Y126*VLOOKUP('Données projet'!$B$9,Paramètres!$A$1:$I$89,3,0)*0.475*44/12</f>
        <v>2.9632725011397813E-14</v>
      </c>
      <c r="AC126" s="24">
        <f t="shared" si="57"/>
        <v>2.689196168981959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-3.4106051316484809E-13</v>
      </c>
      <c r="AJ126" s="14">
        <f>AI126*VLOOKUP('Données projet'!$B$10,Paramètres!$A$1:$I$89,3,0)*VLOOKUP('Données projet'!$B$10,Paramètres!$A$1:$I$89,5,0)</f>
        <v>-1.9065282685915009E-13</v>
      </c>
      <c r="AK126" s="14" t="e">
        <f t="shared" si="89"/>
        <v>#NUM!</v>
      </c>
      <c r="AL126" s="22" t="e">
        <f t="shared" si="58"/>
        <v>#NUM!</v>
      </c>
      <c r="AM126" s="60" t="e">
        <f t="shared" si="59"/>
        <v>#NUM!</v>
      </c>
      <c r="AN126" s="60">
        <f ca="1">AVERAGE(OFFSET($AM$3,0,0,'Données projet'!$E$10+1,1))-AVERAGE(OFFSET($H$3,0,0,'Données projet'!$E$10+1,1))</f>
        <v>302.20483575440988</v>
      </c>
      <c r="AO126" s="60">
        <f t="shared" si="90"/>
        <v>275.32862097158687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0.52465454821138024</v>
      </c>
      <c r="AW126" s="23">
        <f>EXP(-LN(2)/2)*AW125+(1-EXP(-LN(2)/2))/(LN(2)/2)*AQ126*AT126*VLOOKUP('Données projet'!$B$10,Paramètres!$A$1:$I$89,3,0)*0.475*44/12</f>
        <v>8.8490158082008358E-14</v>
      </c>
      <c r="AX126" s="23">
        <f t="shared" si="60"/>
        <v>0.52465454821146873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-1.7053025658242404E-13</v>
      </c>
      <c r="BE126" s="14">
        <f>BD126*VLOOKUP('Données projet'!$B$11,Paramètres!$A$1:$I$89,3,0)*VLOOKUP('Données projet'!$B$11,Paramètres!$A$1:$I$89,5,0)</f>
        <v>-1.4897523215040567E-13</v>
      </c>
      <c r="BF126" s="14" t="e">
        <f t="shared" si="91"/>
        <v>#NUM!</v>
      </c>
      <c r="BG126" s="22" t="e">
        <f t="shared" si="61"/>
        <v>#NUM!</v>
      </c>
      <c r="BH126" s="60" t="e">
        <f t="shared" si="62"/>
        <v>#NUM!</v>
      </c>
      <c r="BI126" s="60">
        <f ca="1">AVERAGE(OFFSET($BH$3,0,0,'Données projet'!$E$11+1,1))-AVERAGE(OFFSET($H$3,0,0,'Données projet'!$E$11+1,1))</f>
        <v>314.62110015707839</v>
      </c>
      <c r="BJ126" s="60">
        <f t="shared" si="92"/>
        <v>285.36905470736582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3.2</v>
      </c>
      <c r="BY126" s="13">
        <f>IF('Données projet'!$A$114&gt;35,BY125+BX126-CG125,IF(A126&lt;'Données projet'!$A$114,$BV$205^A126,IF(A126='Données projet'!$A$114,'Données projet'!$B$114,BY125+BX126-CG125)))</f>
        <v>277.59999999999945</v>
      </c>
      <c r="BZ126" s="14">
        <f>BY126*VLOOKUP('Données projet'!$B$12,Paramètres!$A$1:$I$89,3,0)*VLOOKUP('Données projet'!$B$12,Paramètres!$A$1:$I$89,5,0)</f>
        <v>251.1724799999995</v>
      </c>
      <c r="CA126" s="14">
        <f t="shared" si="93"/>
        <v>60.836941386956575</v>
      </c>
      <c r="CB126" s="22">
        <f t="shared" si="64"/>
        <v>543.41640891561519</v>
      </c>
      <c r="CC126" s="60">
        <f t="shared" si="65"/>
        <v>836.74974224894845</v>
      </c>
      <c r="CD126" s="60">
        <f ca="1">AVERAGE(OFFSET($CC$3,0,0,'Données projet'!$E$12+1,1))-AVERAGE(OFFSET($H$3,0,0,'Données projet'!$E$12+1,1))</f>
        <v>303.73499739059076</v>
      </c>
      <c r="CE126" s="60">
        <f t="shared" si="94"/>
        <v>172.32171001882188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3.2</v>
      </c>
      <c r="CT126" s="13">
        <f>IF('Données projet'!$A$140&gt;35,CT125+CS126-DB125,IF(A126&lt;'Données projet'!$A$140,$CQ$205^A126,IF(A126='Données projet'!$A$140,'Données projet'!$B$140,CT125+CS126-DB125)))</f>
        <v>277.59999999999945</v>
      </c>
      <c r="CU126" s="18">
        <f>CT126*VLOOKUP('Données projet'!$B$13,Paramètres!$A$1:$I$89,3,0)*VLOOKUP('Données projet'!$B$13,Paramètres!$A$1:$I$89,5,0)</f>
        <v>281.48639999999949</v>
      </c>
      <c r="CV126" s="14">
        <f t="shared" si="95"/>
        <v>67.281031071373235</v>
      </c>
      <c r="CW126" s="22">
        <f t="shared" si="67"/>
        <v>607.43660911597419</v>
      </c>
      <c r="CX126" s="60">
        <f t="shared" si="68"/>
        <v>900.76994244930756</v>
      </c>
      <c r="CY126" s="60">
        <f ca="1">AVERAGE(OFFSET($CX$3,0,0,'Données projet'!$E$13+1,1))-AVERAGE(OFFSET($H$3,0,0,'Données projet'!$E$13+1,1))</f>
        <v>350.3652766444938</v>
      </c>
      <c r="CZ126" s="60">
        <f t="shared" si="96"/>
        <v>197.04549436738586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3.2</v>
      </c>
      <c r="DO126" s="13">
        <f>IF('Données projet'!$A$166&gt;35,DO125+DN126-DW125,IF(A126&lt;'Données projet'!$A$166,$DL$205^A126,IF(A126='Données projet'!$A$166,'Données projet'!$B$166,DO125+DN126-DW125)))</f>
        <v>277.59999999999945</v>
      </c>
      <c r="DP126" s="18">
        <f>DO126*VLOOKUP('Données projet'!$B$14,Paramètres!$A$1:$I$89,3,0)*VLOOKUP('Données projet'!$B$14,Paramètres!$A$1:$I$89,5,0)</f>
        <v>298.8086399999994</v>
      </c>
      <c r="DQ126" s="14">
        <f t="shared" si="97"/>
        <v>70.926650849267929</v>
      </c>
      <c r="DR126" s="22">
        <f t="shared" si="70"/>
        <v>643.95563156247397</v>
      </c>
      <c r="DS126" s="60">
        <f t="shared" si="71"/>
        <v>937.28896489580734</v>
      </c>
      <c r="DT126" s="60">
        <f ca="1">AVERAGE(OFFSET($DS$3,0,0,'Données projet'!$E$14+1,1))-AVERAGE(OFFSET($H$3,0,0,'Données projet'!$E$14+1,1))</f>
        <v>376.96388721258387</v>
      </c>
      <c r="DU126" s="60">
        <f t="shared" si="98"/>
        <v>211.14628470344377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3.2</v>
      </c>
      <c r="EJ126" s="13">
        <f>IF('Données projet'!$A$192&gt;35,EJ125+EI126-ER125,IF(A126&lt;'Données projet'!$A$192,$EG$205^A126,IF(A126='Données projet'!$A$192,'Données projet'!$B$192,EJ125+EI126-ER125)))</f>
        <v>277.59999999999945</v>
      </c>
      <c r="EK126" s="18">
        <f>EJ126*VLOOKUP('Données projet'!$B$15,Paramètres!$A$1:$I$89,3,0)*VLOOKUP('Données projet'!$B$15,Paramètres!$A$1:$I$89,5,0)</f>
        <v>268.49471999999946</v>
      </c>
      <c r="EL126" s="14">
        <f t="shared" si="99"/>
        <v>64.529707010294615</v>
      </c>
      <c r="EM126" s="22">
        <f t="shared" si="73"/>
        <v>580.01754370959543</v>
      </c>
      <c r="EN126" s="60">
        <f t="shared" si="74"/>
        <v>873.35087704292869</v>
      </c>
      <c r="EO126" s="60">
        <f ca="1">AVERAGE(OFFSET($EN$3,0,0,'Données projet'!$E$15+1,1))-AVERAGE(OFFSET($H$3,0,0,'Données projet'!$E$15+1,1))</f>
        <v>330.39429528665841</v>
      </c>
      <c r="EP126" s="60">
        <f t="shared" si="100"/>
        <v>186.45728006007261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8">
        <f t="shared" si="56"/>
        <v>444.52075981249368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-3.3992364478763198E-14</v>
      </c>
      <c r="P127" s="14" t="e">
        <f t="shared" si="87"/>
        <v>#NUM!</v>
      </c>
      <c r="Q127" s="22" t="e">
        <f t="shared" si="107"/>
        <v>#NUM!</v>
      </c>
      <c r="R127" s="60" t="e">
        <f t="shared" si="55"/>
        <v>#NUM!</v>
      </c>
      <c r="S127" s="60">
        <f ca="1">AVERAGE(OFFSET($R$3,0,0,'Données projet'!$E$9+1,1))-AVERAGE(OFFSET($H$3,0,0,'Données projet'!$E$9+1,1))</f>
        <v>155.11440101086782</v>
      </c>
      <c r="T127" s="60">
        <f t="shared" si="88"/>
        <v>239.53454701506638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2.0976618206282005</v>
      </c>
      <c r="AA127" s="23">
        <f>EXP(-LN(2)/25)*AA126+(1-EXP(-LN(2)/25))/(LN(2)/25)*Calculateur!V127*Calculateur!X127*VLOOKUP('Données projet'!$B$9,Paramètres!$A$1:$I$89,3,0)*0.475*44/12</f>
        <v>0.534549503829999</v>
      </c>
      <c r="AB127" s="23">
        <f>EXP(-LN(2)/2)*AB126+(1-EXP(-LN(2)/2))/(LN(2)/2)*V127*Y127*VLOOKUP('Données projet'!$B$9,Paramètres!$A$1:$I$89,3,0)*0.475*44/12</f>
        <v>2.0953500800595608E-14</v>
      </c>
      <c r="AC127" s="24">
        <f t="shared" si="57"/>
        <v>2.6322113244582206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-3.4106051316484809E-13</v>
      </c>
      <c r="AJ127" s="14">
        <f>AI127*VLOOKUP('Données projet'!$B$10,Paramètres!$A$1:$I$89,3,0)*VLOOKUP('Données projet'!$B$10,Paramètres!$A$1:$I$89,5,0)</f>
        <v>-1.9065282685915009E-13</v>
      </c>
      <c r="AK127" s="14" t="e">
        <f t="shared" si="89"/>
        <v>#NUM!</v>
      </c>
      <c r="AL127" s="22" t="e">
        <f t="shared" si="58"/>
        <v>#NUM!</v>
      </c>
      <c r="AM127" s="60" t="e">
        <f t="shared" si="59"/>
        <v>#NUM!</v>
      </c>
      <c r="AN127" s="60">
        <f ca="1">AVERAGE(OFFSET($AM$3,0,0,'Données projet'!$E$10+1,1))-AVERAGE(OFFSET($H$3,0,0,'Données projet'!$E$10+1,1))</f>
        <v>302.20483575440988</v>
      </c>
      <c r="AO127" s="60">
        <f t="shared" si="90"/>
        <v>275.32862097158687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0.51030784200015644</v>
      </c>
      <c r="AW127" s="23">
        <f>EXP(-LN(2)/2)*AW126+(1-EXP(-LN(2)/2))/(LN(2)/2)*AQ127*AT127*VLOOKUP('Données projet'!$B$10,Paramètres!$A$1:$I$89,3,0)*0.475*44/12</f>
        <v>6.2571990848057684E-14</v>
      </c>
      <c r="AX127" s="23">
        <f t="shared" si="60"/>
        <v>0.51030784200021906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-1.7053025658242404E-13</v>
      </c>
      <c r="BE127" s="14">
        <f>BD127*VLOOKUP('Données projet'!$B$11,Paramètres!$A$1:$I$89,3,0)*VLOOKUP('Données projet'!$B$11,Paramètres!$A$1:$I$89,5,0)</f>
        <v>-1.4897523215040567E-13</v>
      </c>
      <c r="BF127" s="14" t="e">
        <f t="shared" si="91"/>
        <v>#NUM!</v>
      </c>
      <c r="BG127" s="22" t="e">
        <f t="shared" si="61"/>
        <v>#NUM!</v>
      </c>
      <c r="BH127" s="60" t="e">
        <f t="shared" si="62"/>
        <v>#NUM!</v>
      </c>
      <c r="BI127" s="60">
        <f ca="1">AVERAGE(OFFSET($BH$3,0,0,'Données projet'!$E$11+1,1))-AVERAGE(OFFSET($H$3,0,0,'Données projet'!$E$11+1,1))</f>
        <v>314.62110015707839</v>
      </c>
      <c r="BJ127" s="60">
        <f t="shared" si="92"/>
        <v>285.36905470736582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3.2</v>
      </c>
      <c r="BY127" s="13">
        <f>IF('Données projet'!$A$114&gt;35,BY126+BX127-CG126,IF(A127&lt;'Données projet'!$A$114,$BV$205^A127,IF(A127='Données projet'!$A$114,'Données projet'!$B$114,BY126+BX127-CG126)))</f>
        <v>280.79999999999944</v>
      </c>
      <c r="BZ127" s="14">
        <f>BY127*VLOOKUP('Données projet'!$B$12,Paramètres!$A$1:$I$89,3,0)*VLOOKUP('Données projet'!$B$12,Paramètres!$A$1:$I$89,5,0)</f>
        <v>254.06783999999948</v>
      </c>
      <c r="CA127" s="14">
        <f t="shared" si="93"/>
        <v>61.456187622750612</v>
      </c>
      <c r="CB127" s="22">
        <f t="shared" si="64"/>
        <v>549.53768144295634</v>
      </c>
      <c r="CC127" s="60">
        <f t="shared" si="65"/>
        <v>842.87101477628971</v>
      </c>
      <c r="CD127" s="60">
        <f ca="1">AVERAGE(OFFSET($CC$3,0,0,'Données projet'!$E$12+1,1))-AVERAGE(OFFSET($H$3,0,0,'Données projet'!$E$12+1,1))</f>
        <v>303.73499739059076</v>
      </c>
      <c r="CE127" s="60">
        <f t="shared" si="94"/>
        <v>172.32171001882188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3.2</v>
      </c>
      <c r="CT127" s="13">
        <f>IF('Données projet'!$A$140&gt;35,CT126+CS127-DB126,IF(A127&lt;'Données projet'!$A$140,$CQ$205^A127,IF(A127='Données projet'!$A$140,'Données projet'!$B$140,CT126+CS127-DB126)))</f>
        <v>280.79999999999944</v>
      </c>
      <c r="CU127" s="18">
        <f>CT127*VLOOKUP('Données projet'!$B$13,Paramètres!$A$1:$I$89,3,0)*VLOOKUP('Données projet'!$B$13,Paramètres!$A$1:$I$89,5,0)</f>
        <v>284.73119999999943</v>
      </c>
      <c r="CV127" s="14">
        <f t="shared" si="95"/>
        <v>67.965870320050826</v>
      </c>
      <c r="CW127" s="22">
        <f t="shared" si="67"/>
        <v>614.28073080742081</v>
      </c>
      <c r="CX127" s="60">
        <f t="shared" si="68"/>
        <v>907.61406414075418</v>
      </c>
      <c r="CY127" s="60">
        <f ca="1">AVERAGE(OFFSET($CX$3,0,0,'Données projet'!$E$13+1,1))-AVERAGE(OFFSET($H$3,0,0,'Données projet'!$E$13+1,1))</f>
        <v>350.3652766444938</v>
      </c>
      <c r="CZ127" s="60">
        <f t="shared" si="96"/>
        <v>197.04549436738586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3.2</v>
      </c>
      <c r="DO127" s="13">
        <f>IF('Données projet'!$A$166&gt;35,DO126+DN127-DW126,IF(A127&lt;'Données projet'!$A$166,$DL$205^A127,IF(A127='Données projet'!$A$166,'Données projet'!$B$166,DO126+DN127-DW126)))</f>
        <v>280.79999999999944</v>
      </c>
      <c r="DP127" s="18">
        <f>DO127*VLOOKUP('Données projet'!$B$14,Paramètres!$A$1:$I$89,3,0)*VLOOKUP('Données projet'!$B$14,Paramètres!$A$1:$I$89,5,0)</f>
        <v>302.2531199999994</v>
      </c>
      <c r="DQ127" s="14">
        <f t="shared" si="97"/>
        <v>71.648598083211283</v>
      </c>
      <c r="DR127" s="22">
        <f t="shared" si="70"/>
        <v>651.21215899492529</v>
      </c>
      <c r="DS127" s="60">
        <f t="shared" si="71"/>
        <v>944.54549232825866</v>
      </c>
      <c r="DT127" s="60">
        <f ca="1">AVERAGE(OFFSET($DS$3,0,0,'Données projet'!$E$14+1,1))-AVERAGE(OFFSET($H$3,0,0,'Données projet'!$E$14+1,1))</f>
        <v>376.96388721258387</v>
      </c>
      <c r="DU127" s="60">
        <f t="shared" si="98"/>
        <v>211.14628470344377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3.2</v>
      </c>
      <c r="EJ127" s="13">
        <f>IF('Données projet'!$A$192&gt;35,EJ126+EI127-ER126,IF(A127&lt;'Données projet'!$A$192,$EG$205^A127,IF(A127='Données projet'!$A$192,'Données projet'!$B$192,EJ126+EI127-ER126)))</f>
        <v>280.79999999999944</v>
      </c>
      <c r="EK127" s="18">
        <f>EJ127*VLOOKUP('Données projet'!$B$15,Paramètres!$A$1:$I$89,3,0)*VLOOKUP('Données projet'!$B$15,Paramètres!$A$1:$I$89,5,0)</f>
        <v>271.5897599999995</v>
      </c>
      <c r="EL127" s="14">
        <f t="shared" si="99"/>
        <v>65.186541118848012</v>
      </c>
      <c r="EM127" s="22">
        <f t="shared" si="73"/>
        <v>586.55205778199274</v>
      </c>
      <c r="EN127" s="60">
        <f t="shared" si="74"/>
        <v>879.885391115326</v>
      </c>
      <c r="EO127" s="60">
        <f ca="1">AVERAGE(OFFSET($EN$3,0,0,'Données projet'!$E$15+1,1))-AVERAGE(OFFSET($H$3,0,0,'Données projet'!$E$15+1,1))</f>
        <v>330.39429528665841</v>
      </c>
      <c r="EP127" s="60">
        <f t="shared" si="100"/>
        <v>186.45728006007261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8">
        <f t="shared" si="56"/>
        <v>445.70867179269578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-3.3992364478763198E-14</v>
      </c>
      <c r="P128" s="14" t="e">
        <f t="shared" si="87"/>
        <v>#NUM!</v>
      </c>
      <c r="Q128" s="22" t="e">
        <f t="shared" si="107"/>
        <v>#NUM!</v>
      </c>
      <c r="R128" s="60" t="e">
        <f t="shared" si="55"/>
        <v>#NUM!</v>
      </c>
      <c r="S128" s="60">
        <f ca="1">AVERAGE(OFFSET($R$3,0,0,'Données projet'!$E$9+1,1))-AVERAGE(OFFSET($H$3,0,0,'Données projet'!$E$9+1,1))</f>
        <v>155.11440101086782</v>
      </c>
      <c r="T128" s="60">
        <f t="shared" si="88"/>
        <v>239.53454701506638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2.0565279517730573</v>
      </c>
      <c r="AA128" s="23">
        <f>EXP(-LN(2)/25)*AA127+(1-EXP(-LN(2)/25))/(LN(2)/25)*Calculateur!V128*Calculateur!X128*VLOOKUP('Données projet'!$B$9,Paramètres!$A$1:$I$89,3,0)*0.475*44/12</f>
        <v>0.51993221953703095</v>
      </c>
      <c r="AB128" s="23">
        <f>EXP(-LN(2)/2)*AB127+(1-EXP(-LN(2)/2))/(LN(2)/2)*V128*Y128*VLOOKUP('Données projet'!$B$9,Paramètres!$A$1:$I$89,3,0)*0.475*44/12</f>
        <v>1.4816362505698907E-14</v>
      </c>
      <c r="AC128" s="24">
        <f t="shared" si="57"/>
        <v>2.576460171310103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-3.4106051316484809E-13</v>
      </c>
      <c r="AJ128" s="14">
        <f>AI128*VLOOKUP('Données projet'!$B$10,Paramètres!$A$1:$I$89,3,0)*VLOOKUP('Données projet'!$B$10,Paramètres!$A$1:$I$89,5,0)</f>
        <v>-1.9065282685915009E-13</v>
      </c>
      <c r="AK128" s="14" t="e">
        <f t="shared" si="89"/>
        <v>#NUM!</v>
      </c>
      <c r="AL128" s="22" t="e">
        <f t="shared" si="58"/>
        <v>#NUM!</v>
      </c>
      <c r="AM128" s="60" t="e">
        <f t="shared" si="59"/>
        <v>#NUM!</v>
      </c>
      <c r="AN128" s="60">
        <f ca="1">AVERAGE(OFFSET($AM$3,0,0,'Données projet'!$E$10+1,1))-AVERAGE(OFFSET($H$3,0,0,'Données projet'!$E$10+1,1))</f>
        <v>302.20483575440988</v>
      </c>
      <c r="AO128" s="60">
        <f t="shared" si="90"/>
        <v>275.32862097158687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0.49635344722473906</v>
      </c>
      <c r="AW128" s="23">
        <f>EXP(-LN(2)/2)*AW127+(1-EXP(-LN(2)/2))/(LN(2)/2)*AQ128*AT128*VLOOKUP('Données projet'!$B$10,Paramètres!$A$1:$I$89,3,0)*0.475*44/12</f>
        <v>4.4245079041004179E-14</v>
      </c>
      <c r="AX128" s="23">
        <f t="shared" si="60"/>
        <v>0.49635344722478331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-1.7053025658242404E-13</v>
      </c>
      <c r="BE128" s="14">
        <f>BD128*VLOOKUP('Données projet'!$B$11,Paramètres!$A$1:$I$89,3,0)*VLOOKUP('Données projet'!$B$11,Paramètres!$A$1:$I$89,5,0)</f>
        <v>-1.4897523215040567E-13</v>
      </c>
      <c r="BF128" s="14" t="e">
        <f t="shared" si="91"/>
        <v>#NUM!</v>
      </c>
      <c r="BG128" s="22" t="e">
        <f t="shared" si="61"/>
        <v>#NUM!</v>
      </c>
      <c r="BH128" s="60" t="e">
        <f t="shared" si="62"/>
        <v>#NUM!</v>
      </c>
      <c r="BI128" s="60">
        <f ca="1">AVERAGE(OFFSET($BH$3,0,0,'Données projet'!$E$11+1,1))-AVERAGE(OFFSET($H$3,0,0,'Données projet'!$E$11+1,1))</f>
        <v>314.62110015707839</v>
      </c>
      <c r="BJ128" s="60">
        <f t="shared" si="92"/>
        <v>285.36905470736582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3.2</v>
      </c>
      <c r="BY128" s="13">
        <f>IF('Données projet'!$A$114&gt;35,BY127+BX128-CG127,IF(A128&lt;'Données projet'!$A$114,$BV$205^A128,IF(A128='Données projet'!$A$114,'Données projet'!$B$114,BY127+BX128-CG127)))</f>
        <v>283.99999999999943</v>
      </c>
      <c r="BZ128" s="14">
        <f>BY128*VLOOKUP('Données projet'!$B$12,Paramètres!$A$1:$I$89,3,0)*VLOOKUP('Données projet'!$B$12,Paramètres!$A$1:$I$89,5,0)</f>
        <v>256.96319999999946</v>
      </c>
      <c r="CA128" s="14">
        <f t="shared" si="93"/>
        <v>62.07461295683791</v>
      </c>
      <c r="CB128" s="22">
        <f t="shared" si="64"/>
        <v>555.65752423315837</v>
      </c>
      <c r="CC128" s="60">
        <f t="shared" si="65"/>
        <v>848.99085756649174</v>
      </c>
      <c r="CD128" s="60">
        <f ca="1">AVERAGE(OFFSET($CC$3,0,0,'Données projet'!$E$12+1,1))-AVERAGE(OFFSET($H$3,0,0,'Données projet'!$E$12+1,1))</f>
        <v>303.73499739059076</v>
      </c>
      <c r="CE128" s="60">
        <f t="shared" si="94"/>
        <v>172.32171001882188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3.2</v>
      </c>
      <c r="CT128" s="13">
        <f>IF('Données projet'!$A$140&gt;35,CT127+CS128-DB127,IF(A128&lt;'Données projet'!$A$140,$CQ$205^A128,IF(A128='Données projet'!$A$140,'Données projet'!$B$140,CT127+CS128-DB127)))</f>
        <v>283.99999999999943</v>
      </c>
      <c r="CU128" s="18">
        <f>CT128*VLOOKUP('Données projet'!$B$13,Paramètres!$A$1:$I$89,3,0)*VLOOKUP('Données projet'!$B$13,Paramètres!$A$1:$I$89,5,0)</f>
        <v>287.97599999999943</v>
      </c>
      <c r="CV128" s="14">
        <f t="shared" si="95"/>
        <v>68.649801713863027</v>
      </c>
      <c r="CW128" s="22">
        <f t="shared" si="67"/>
        <v>621.12327131831046</v>
      </c>
      <c r="CX128" s="60">
        <f t="shared" si="68"/>
        <v>914.45660465164383</v>
      </c>
      <c r="CY128" s="60">
        <f ca="1">AVERAGE(OFFSET($CX$3,0,0,'Données projet'!$E$13+1,1))-AVERAGE(OFFSET($H$3,0,0,'Données projet'!$E$13+1,1))</f>
        <v>350.3652766444938</v>
      </c>
      <c r="CZ128" s="60">
        <f t="shared" si="96"/>
        <v>197.04549436738586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3.2</v>
      </c>
      <c r="DO128" s="13">
        <f>IF('Données projet'!$A$166&gt;35,DO127+DN128-DW127,IF(A128&lt;'Données projet'!$A$166,$DL$205^A128,IF(A128='Données projet'!$A$166,'Données projet'!$B$166,DO127+DN128-DW127)))</f>
        <v>283.99999999999943</v>
      </c>
      <c r="DP128" s="18">
        <f>DO128*VLOOKUP('Données projet'!$B$14,Paramètres!$A$1:$I$89,3,0)*VLOOKUP('Données projet'!$B$14,Paramètres!$A$1:$I$89,5,0)</f>
        <v>305.69759999999934</v>
      </c>
      <c r="DQ128" s="14">
        <f t="shared" si="97"/>
        <v>72.369588270212233</v>
      </c>
      <c r="DR128" s="22">
        <f t="shared" si="70"/>
        <v>658.46701957061839</v>
      </c>
      <c r="DS128" s="60">
        <f t="shared" si="71"/>
        <v>951.80035290395176</v>
      </c>
      <c r="DT128" s="60">
        <f ca="1">AVERAGE(OFFSET($DS$3,0,0,'Données projet'!$E$14+1,1))-AVERAGE(OFFSET($H$3,0,0,'Données projet'!$E$14+1,1))</f>
        <v>376.96388721258387</v>
      </c>
      <c r="DU128" s="60">
        <f t="shared" si="98"/>
        <v>211.14628470344377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3.2</v>
      </c>
      <c r="EJ128" s="13">
        <f>IF('Données projet'!$A$192&gt;35,EJ127+EI128-ER127,IF(A128&lt;'Données projet'!$A$192,$EG$205^A128,IF(A128='Données projet'!$A$192,'Données projet'!$B$192,EJ127+EI128-ER127)))</f>
        <v>283.99999999999943</v>
      </c>
      <c r="EK128" s="18">
        <f>EJ128*VLOOKUP('Données projet'!$B$15,Paramètres!$A$1:$I$89,3,0)*VLOOKUP('Données projet'!$B$15,Paramètres!$A$1:$I$89,5,0)</f>
        <v>274.68479999999943</v>
      </c>
      <c r="EL128" s="14">
        <f t="shared" si="99"/>
        <v>65.842504497456545</v>
      </c>
      <c r="EM128" s="22">
        <f t="shared" si="73"/>
        <v>593.08505533306914</v>
      </c>
      <c r="EN128" s="60">
        <f t="shared" si="74"/>
        <v>886.41838866640251</v>
      </c>
      <c r="EO128" s="60">
        <f ca="1">AVERAGE(OFFSET($EN$3,0,0,'Données projet'!$E$15+1,1))-AVERAGE(OFFSET($H$3,0,0,'Données projet'!$E$15+1,1))</f>
        <v>330.39429528665841</v>
      </c>
      <c r="EP128" s="60">
        <f t="shared" si="100"/>
        <v>186.45728006007261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8">
        <f t="shared" si="56"/>
        <v>446.89636321412058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-3.3992364478763198E-14</v>
      </c>
      <c r="P129" s="14" t="e">
        <f t="shared" si="87"/>
        <v>#NUM!</v>
      </c>
      <c r="Q129" s="22" t="e">
        <f t="shared" si="107"/>
        <v>#NUM!</v>
      </c>
      <c r="R129" s="60" t="e">
        <f t="shared" si="55"/>
        <v>#NUM!</v>
      </c>
      <c r="S129" s="60">
        <f ca="1">AVERAGE(OFFSET($R$3,0,0,'Données projet'!$E$9+1,1))-AVERAGE(OFFSET($H$3,0,0,'Données projet'!$E$9+1,1))</f>
        <v>155.11440101086782</v>
      </c>
      <c r="T129" s="60">
        <f t="shared" si="88"/>
        <v>239.53454701506638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2.0162006929969807</v>
      </c>
      <c r="AA129" s="23">
        <f>EXP(-LN(2)/25)*AA128+(1-EXP(-LN(2)/25))/(LN(2)/25)*Calculateur!V129*Calculateur!X129*VLOOKUP('Données projet'!$B$9,Paramètres!$A$1:$I$89,3,0)*0.475*44/12</f>
        <v>0.50571464565174373</v>
      </c>
      <c r="AB129" s="23">
        <f>EXP(-LN(2)/2)*AB128+(1-EXP(-LN(2)/2))/(LN(2)/2)*V129*Y129*VLOOKUP('Données projet'!$B$9,Paramètres!$A$1:$I$89,3,0)*0.475*44/12</f>
        <v>1.0476750400297804E-14</v>
      </c>
      <c r="AC129" s="24">
        <f t="shared" si="57"/>
        <v>2.5219153386487352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-3.4106051316484809E-13</v>
      </c>
      <c r="AJ129" s="14">
        <f>AI129*VLOOKUP('Données projet'!$B$10,Paramètres!$A$1:$I$89,3,0)*VLOOKUP('Données projet'!$B$10,Paramètres!$A$1:$I$89,5,0)</f>
        <v>-1.9065282685915009E-13</v>
      </c>
      <c r="AK129" s="14" t="e">
        <f t="shared" si="89"/>
        <v>#NUM!</v>
      </c>
      <c r="AL129" s="22" t="e">
        <f t="shared" si="58"/>
        <v>#NUM!</v>
      </c>
      <c r="AM129" s="60" t="e">
        <f t="shared" si="59"/>
        <v>#NUM!</v>
      </c>
      <c r="AN129" s="60">
        <f ca="1">AVERAGE(OFFSET($AM$3,0,0,'Données projet'!$E$10+1,1))-AVERAGE(OFFSET($H$3,0,0,'Données projet'!$E$10+1,1))</f>
        <v>302.20483575440988</v>
      </c>
      <c r="AO129" s="60">
        <f t="shared" si="90"/>
        <v>275.32862097158687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0.4827806361082852</v>
      </c>
      <c r="AW129" s="23">
        <f>EXP(-LN(2)/2)*AW128+(1-EXP(-LN(2)/2))/(LN(2)/2)*AQ129*AT129*VLOOKUP('Données projet'!$B$10,Paramètres!$A$1:$I$89,3,0)*0.475*44/12</f>
        <v>3.1285995424028842E-14</v>
      </c>
      <c r="AX129" s="23">
        <f t="shared" si="60"/>
        <v>0.48278063610831651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-1.7053025658242404E-13</v>
      </c>
      <c r="BE129" s="14">
        <f>BD129*VLOOKUP('Données projet'!$B$11,Paramètres!$A$1:$I$89,3,0)*VLOOKUP('Données projet'!$B$11,Paramètres!$A$1:$I$89,5,0)</f>
        <v>-1.4897523215040567E-13</v>
      </c>
      <c r="BF129" s="14" t="e">
        <f t="shared" si="91"/>
        <v>#NUM!</v>
      </c>
      <c r="BG129" s="22" t="e">
        <f t="shared" si="61"/>
        <v>#NUM!</v>
      </c>
      <c r="BH129" s="60" t="e">
        <f t="shared" si="62"/>
        <v>#NUM!</v>
      </c>
      <c r="BI129" s="60">
        <f ca="1">AVERAGE(OFFSET($BH$3,0,0,'Données projet'!$E$11+1,1))-AVERAGE(OFFSET($H$3,0,0,'Données projet'!$E$11+1,1))</f>
        <v>314.62110015707839</v>
      </c>
      <c r="BJ129" s="60">
        <f t="shared" si="92"/>
        <v>285.36905470736582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3.2</v>
      </c>
      <c r="BY129" s="13">
        <f>IF('Données projet'!$A$114&gt;35,BY128+BX129-CG128,IF(A129&lt;'Données projet'!$A$114,$BV$205^A129,IF(A129='Données projet'!$A$114,'Données projet'!$B$114,BY128+BX129-CG128)))</f>
        <v>287.19999999999942</v>
      </c>
      <c r="BZ129" s="14">
        <f>BY129*VLOOKUP('Données projet'!$B$12,Paramètres!$A$1:$I$89,3,0)*VLOOKUP('Données projet'!$B$12,Paramètres!$A$1:$I$89,5,0)</f>
        <v>259.85855999999944</v>
      </c>
      <c r="CA129" s="14">
        <f t="shared" si="93"/>
        <v>62.692227709138365</v>
      </c>
      <c r="CB129" s="22">
        <f t="shared" si="64"/>
        <v>561.77595526008167</v>
      </c>
      <c r="CC129" s="60">
        <f t="shared" si="65"/>
        <v>855.10928859341493</v>
      </c>
      <c r="CD129" s="60">
        <f ca="1">AVERAGE(OFFSET($CC$3,0,0,'Données projet'!$E$12+1,1))-AVERAGE(OFFSET($H$3,0,0,'Données projet'!$E$12+1,1))</f>
        <v>303.73499739059076</v>
      </c>
      <c r="CE129" s="60">
        <f t="shared" si="94"/>
        <v>172.32171001882188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3.2</v>
      </c>
      <c r="CT129" s="13">
        <f>IF('Données projet'!$A$140&gt;35,CT128+CS129-DB128,IF(A129&lt;'Données projet'!$A$140,$CQ$205^A129,IF(A129='Données projet'!$A$140,'Données projet'!$B$140,CT128+CS129-DB128)))</f>
        <v>287.19999999999942</v>
      </c>
      <c r="CU129" s="18">
        <f>CT129*VLOOKUP('Données projet'!$B$13,Paramètres!$A$1:$I$89,3,0)*VLOOKUP('Données projet'!$B$13,Paramètres!$A$1:$I$89,5,0)</f>
        <v>291.22079999999943</v>
      </c>
      <c r="CV129" s="14">
        <f t="shared" si="95"/>
        <v>69.33283666585649</v>
      </c>
      <c r="CW129" s="22">
        <f t="shared" si="67"/>
        <v>627.96425052636573</v>
      </c>
      <c r="CX129" s="60">
        <f t="shared" si="68"/>
        <v>921.29758385969899</v>
      </c>
      <c r="CY129" s="60">
        <f ca="1">AVERAGE(OFFSET($CX$3,0,0,'Données projet'!$E$13+1,1))-AVERAGE(OFFSET($H$3,0,0,'Données projet'!$E$13+1,1))</f>
        <v>350.3652766444938</v>
      </c>
      <c r="CZ129" s="60">
        <f t="shared" si="96"/>
        <v>197.04549436738586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3.2</v>
      </c>
      <c r="DO129" s="13">
        <f>IF('Données projet'!$A$166&gt;35,DO128+DN129-DW128,IF(A129&lt;'Données projet'!$A$166,$DL$205^A129,IF(A129='Données projet'!$A$166,'Données projet'!$B$166,DO128+DN129-DW128)))</f>
        <v>287.19999999999942</v>
      </c>
      <c r="DP129" s="18">
        <f>DO129*VLOOKUP('Données projet'!$B$14,Paramètres!$A$1:$I$89,3,0)*VLOOKUP('Données projet'!$B$14,Paramètres!$A$1:$I$89,5,0)</f>
        <v>309.14207999999934</v>
      </c>
      <c r="DQ129" s="14">
        <f t="shared" si="97"/>
        <v>73.089633441733085</v>
      </c>
      <c r="DR129" s="22">
        <f t="shared" si="70"/>
        <v>665.72023424435065</v>
      </c>
      <c r="DS129" s="60">
        <f t="shared" si="71"/>
        <v>959.05356757768391</v>
      </c>
      <c r="DT129" s="60">
        <f ca="1">AVERAGE(OFFSET($DS$3,0,0,'Données projet'!$E$14+1,1))-AVERAGE(OFFSET($H$3,0,0,'Données projet'!$E$14+1,1))</f>
        <v>376.96388721258387</v>
      </c>
      <c r="DU129" s="60">
        <f t="shared" si="98"/>
        <v>211.14628470344377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3.2</v>
      </c>
      <c r="EJ129" s="13">
        <f>IF('Données projet'!$A$192&gt;35,EJ128+EI129-ER128,IF(A129&lt;'Données projet'!$A$192,$EG$205^A129,IF(A129='Données projet'!$A$192,'Données projet'!$B$192,EJ128+EI129-ER128)))</f>
        <v>287.19999999999942</v>
      </c>
      <c r="EK129" s="18">
        <f>EJ129*VLOOKUP('Données projet'!$B$15,Paramètres!$A$1:$I$89,3,0)*VLOOKUP('Données projet'!$B$15,Paramètres!$A$1:$I$89,5,0)</f>
        <v>277.77983999999947</v>
      </c>
      <c r="EL129" s="14">
        <f t="shared" si="99"/>
        <v>66.497608092453063</v>
      </c>
      <c r="EM129" s="22">
        <f t="shared" si="73"/>
        <v>599.61655542768813</v>
      </c>
      <c r="EN129" s="60">
        <f t="shared" si="74"/>
        <v>892.94988876102138</v>
      </c>
      <c r="EO129" s="60">
        <f ca="1">AVERAGE(OFFSET($EN$3,0,0,'Données projet'!$E$15+1,1))-AVERAGE(OFFSET($H$3,0,0,'Données projet'!$E$15+1,1))</f>
        <v>330.39429528665841</v>
      </c>
      <c r="EP129" s="60">
        <f t="shared" si="100"/>
        <v>186.45728006007261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8">
        <f t="shared" si="56"/>
        <v>448.08383603012737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-3.3992364478763198E-14</v>
      </c>
      <c r="P130" s="14" t="e">
        <f t="shared" si="87"/>
        <v>#NUM!</v>
      </c>
      <c r="Q130" s="22" t="e">
        <f t="shared" si="107"/>
        <v>#NUM!</v>
      </c>
      <c r="R130" s="60" t="e">
        <f t="shared" si="55"/>
        <v>#NUM!</v>
      </c>
      <c r="S130" s="60">
        <f ca="1">AVERAGE(OFFSET($R$3,0,0,'Données projet'!$E$9+1,1))-AVERAGE(OFFSET($H$3,0,0,'Données projet'!$E$9+1,1))</f>
        <v>155.11440101086782</v>
      </c>
      <c r="T130" s="60">
        <f t="shared" si="88"/>
        <v>239.53454701506638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1.9766642271683037</v>
      </c>
      <c r="AA130" s="23">
        <f>EXP(-LN(2)/25)*AA129+(1-EXP(-LN(2)/25))/(LN(2)/25)*Calculateur!V130*Calculateur!X130*VLOOKUP('Données projet'!$B$9,Paramètres!$A$1:$I$89,3,0)*0.475*44/12</f>
        <v>0.4918858520720194</v>
      </c>
      <c r="AB130" s="23">
        <f>EXP(-LN(2)/2)*AB129+(1-EXP(-LN(2)/2))/(LN(2)/2)*V130*Y130*VLOOKUP('Données projet'!$B$9,Paramètres!$A$1:$I$89,3,0)*0.475*44/12</f>
        <v>7.4081812528494533E-15</v>
      </c>
      <c r="AC130" s="24">
        <f t="shared" si="57"/>
        <v>2.4685500792403308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-3.4106051316484809E-13</v>
      </c>
      <c r="AJ130" s="14">
        <f>AI130*VLOOKUP('Données projet'!$B$10,Paramètres!$A$1:$I$89,3,0)*VLOOKUP('Données projet'!$B$10,Paramètres!$A$1:$I$89,5,0)</f>
        <v>-1.9065282685915009E-13</v>
      </c>
      <c r="AK130" s="14" t="e">
        <f t="shared" si="89"/>
        <v>#NUM!</v>
      </c>
      <c r="AL130" s="22" t="e">
        <f t="shared" si="58"/>
        <v>#NUM!</v>
      </c>
      <c r="AM130" s="60" t="e">
        <f t="shared" si="59"/>
        <v>#NUM!</v>
      </c>
      <c r="AN130" s="60">
        <f ca="1">AVERAGE(OFFSET($AM$3,0,0,'Données projet'!$E$10+1,1))-AVERAGE(OFFSET($H$3,0,0,'Données projet'!$E$10+1,1))</f>
        <v>302.20483575440988</v>
      </c>
      <c r="AO130" s="60">
        <f t="shared" si="90"/>
        <v>275.32862097158687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0.46957897422557388</v>
      </c>
      <c r="AW130" s="23">
        <f>EXP(-LN(2)/2)*AW129+(1-EXP(-LN(2)/2))/(LN(2)/2)*AQ130*AT130*VLOOKUP('Données projet'!$B$10,Paramètres!$A$1:$I$89,3,0)*0.475*44/12</f>
        <v>2.2122539520502089E-14</v>
      </c>
      <c r="AX130" s="23">
        <f t="shared" si="60"/>
        <v>0.46957897422559602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-1.7053025658242404E-13</v>
      </c>
      <c r="BE130" s="14">
        <f>BD130*VLOOKUP('Données projet'!$B$11,Paramètres!$A$1:$I$89,3,0)*VLOOKUP('Données projet'!$B$11,Paramètres!$A$1:$I$89,5,0)</f>
        <v>-1.4897523215040567E-13</v>
      </c>
      <c r="BF130" s="14" t="e">
        <f t="shared" si="91"/>
        <v>#NUM!</v>
      </c>
      <c r="BG130" s="22" t="e">
        <f t="shared" si="61"/>
        <v>#NUM!</v>
      </c>
      <c r="BH130" s="60" t="e">
        <f t="shared" si="62"/>
        <v>#NUM!</v>
      </c>
      <c r="BI130" s="60">
        <f ca="1">AVERAGE(OFFSET($BH$3,0,0,'Données projet'!$E$11+1,1))-AVERAGE(OFFSET($H$3,0,0,'Données projet'!$E$11+1,1))</f>
        <v>314.62110015707839</v>
      </c>
      <c r="BJ130" s="60">
        <f t="shared" si="92"/>
        <v>285.36905470736582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3.2</v>
      </c>
      <c r="BY130" s="13">
        <f>IF('Données projet'!$A$114&gt;35,BY129+BX130-CG129,IF(A130&lt;'Données projet'!$A$114,$BV$205^A130,IF(A130='Données projet'!$A$114,'Données projet'!$B$114,BY129+BX130-CG129)))</f>
        <v>290.39999999999941</v>
      </c>
      <c r="BZ130" s="14">
        <f>BY130*VLOOKUP('Données projet'!$B$12,Paramètres!$A$1:$I$89,3,0)*VLOOKUP('Données projet'!$B$12,Paramètres!$A$1:$I$89,5,0)</f>
        <v>262.75391999999948</v>
      </c>
      <c r="CA130" s="14">
        <f t="shared" si="93"/>
        <v>63.309041956360211</v>
      </c>
      <c r="CB130" s="22">
        <f t="shared" si="64"/>
        <v>567.89299207399313</v>
      </c>
      <c r="CC130" s="60">
        <f t="shared" si="65"/>
        <v>861.22632540732639</v>
      </c>
      <c r="CD130" s="60">
        <f ca="1">AVERAGE(OFFSET($CC$3,0,0,'Données projet'!$E$12+1,1))-AVERAGE(OFFSET($H$3,0,0,'Données projet'!$E$12+1,1))</f>
        <v>303.73499739059076</v>
      </c>
      <c r="CE130" s="60">
        <f t="shared" si="94"/>
        <v>172.32171001882188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3.2</v>
      </c>
      <c r="CT130" s="13">
        <f>IF('Données projet'!$A$140&gt;35,CT129+CS130-DB129,IF(A130&lt;'Données projet'!$A$140,$CQ$205^A130,IF(A130='Données projet'!$A$140,'Données projet'!$B$140,CT129+CS130-DB129)))</f>
        <v>290.39999999999941</v>
      </c>
      <c r="CU130" s="18">
        <f>CT130*VLOOKUP('Données projet'!$B$13,Paramètres!$A$1:$I$89,3,0)*VLOOKUP('Données projet'!$B$13,Paramètres!$A$1:$I$89,5,0)</f>
        <v>294.46559999999943</v>
      </c>
      <c r="CV130" s="14">
        <f t="shared" si="95"/>
        <v>70.0149863201041</v>
      </c>
      <c r="CW130" s="22">
        <f t="shared" si="67"/>
        <v>634.80368784084692</v>
      </c>
      <c r="CX130" s="60">
        <f t="shared" si="68"/>
        <v>928.13702117418029</v>
      </c>
      <c r="CY130" s="60">
        <f ca="1">AVERAGE(OFFSET($CX$3,0,0,'Données projet'!$E$13+1,1))-AVERAGE(OFFSET($H$3,0,0,'Données projet'!$E$13+1,1))</f>
        <v>350.3652766444938</v>
      </c>
      <c r="CZ130" s="60">
        <f t="shared" si="96"/>
        <v>197.04549436738586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3.2</v>
      </c>
      <c r="DO130" s="13">
        <f>IF('Données projet'!$A$166&gt;35,DO129+DN130-DW129,IF(A130&lt;'Données projet'!$A$166,$DL$205^A130,IF(A130='Données projet'!$A$166,'Données projet'!$B$166,DO129+DN130-DW129)))</f>
        <v>290.39999999999941</v>
      </c>
      <c r="DP130" s="18">
        <f>DO130*VLOOKUP('Données projet'!$B$14,Paramètres!$A$1:$I$89,3,0)*VLOOKUP('Données projet'!$B$14,Paramètres!$A$1:$I$89,5,0)</f>
        <v>312.58655999999934</v>
      </c>
      <c r="DQ130" s="14">
        <f t="shared" si="97"/>
        <v>73.808745345687839</v>
      </c>
      <c r="DR130" s="22">
        <f t="shared" si="70"/>
        <v>672.97182347707178</v>
      </c>
      <c r="DS130" s="60">
        <f t="shared" si="71"/>
        <v>966.30515681040515</v>
      </c>
      <c r="DT130" s="60">
        <f ca="1">AVERAGE(OFFSET($DS$3,0,0,'Données projet'!$E$14+1,1))-AVERAGE(OFFSET($H$3,0,0,'Données projet'!$E$14+1,1))</f>
        <v>376.96388721258387</v>
      </c>
      <c r="DU130" s="60">
        <f t="shared" si="98"/>
        <v>211.14628470344377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3.2</v>
      </c>
      <c r="EJ130" s="13">
        <f>IF('Données projet'!$A$192&gt;35,EJ129+EI130-ER129,IF(A130&lt;'Données projet'!$A$192,$EG$205^A130,IF(A130='Données projet'!$A$192,'Données projet'!$B$192,EJ129+EI130-ER129)))</f>
        <v>290.39999999999941</v>
      </c>
      <c r="EK130" s="18">
        <f>EJ130*VLOOKUP('Données projet'!$B$15,Paramètres!$A$1:$I$89,3,0)*VLOOKUP('Données projet'!$B$15,Paramètres!$A$1:$I$89,5,0)</f>
        <v>280.87487999999945</v>
      </c>
      <c r="EL130" s="14">
        <f t="shared" si="99"/>
        <v>67.151862592195727</v>
      </c>
      <c r="EM130" s="22">
        <f t="shared" si="73"/>
        <v>606.1465766814066</v>
      </c>
      <c r="EN130" s="60">
        <f t="shared" si="74"/>
        <v>899.47991001473997</v>
      </c>
      <c r="EO130" s="60">
        <f ca="1">AVERAGE(OFFSET($EN$3,0,0,'Données projet'!$E$15+1,1))-AVERAGE(OFFSET($H$3,0,0,'Données projet'!$E$15+1,1))</f>
        <v>330.39429528665841</v>
      </c>
      <c r="EP130" s="60">
        <f t="shared" si="100"/>
        <v>186.45728006007261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8">
        <f t="shared" si="56"/>
        <v>449.27109216153792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-3.3992364478763198E-14</v>
      </c>
      <c r="P131" s="14" t="e">
        <f t="shared" si="87"/>
        <v>#NUM!</v>
      </c>
      <c r="Q131" s="22" t="e">
        <f t="shared" ref="Q131:Q153" si="108">(O131+P131)*0.475*44/12</f>
        <v>#NUM!</v>
      </c>
      <c r="R131" s="60" t="e">
        <f t="shared" ref="R131:R194" si="109">Q131+(I131+J131)*44/12</f>
        <v>#NUM!</v>
      </c>
      <c r="S131" s="60">
        <f ca="1">AVERAGE(OFFSET($R$3,0,0,'Données projet'!$E$9+1,1))-AVERAGE(OFFSET($H$3,0,0,'Données projet'!$E$9+1,1))</f>
        <v>155.11440101086782</v>
      </c>
      <c r="T131" s="60">
        <f t="shared" si="88"/>
        <v>239.53454701506638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1.9379030473196641</v>
      </c>
      <c r="AA131" s="23">
        <f>EXP(-LN(2)/25)*AA130+(1-EXP(-LN(2)/25))/(LN(2)/25)*Calculateur!V131*Calculateur!X131*VLOOKUP('Données projet'!$B$9,Paramètres!$A$1:$I$89,3,0)*0.475*44/12</f>
        <v>0.47843520757995728</v>
      </c>
      <c r="AB131" s="23">
        <f>EXP(-LN(2)/2)*AB130+(1-EXP(-LN(2)/2))/(LN(2)/2)*V131*Y131*VLOOKUP('Données projet'!$B$9,Paramètres!$A$1:$I$89,3,0)*0.475*44/12</f>
        <v>5.238375200148902E-15</v>
      </c>
      <c r="AC131" s="24">
        <f t="shared" si="57"/>
        <v>2.4163382548996268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-3.4106051316484809E-13</v>
      </c>
      <c r="AJ131" s="14">
        <f>AI131*VLOOKUP('Données projet'!$B$10,Paramètres!$A$1:$I$89,3,0)*VLOOKUP('Données projet'!$B$10,Paramètres!$A$1:$I$89,5,0)</f>
        <v>-1.9065282685915009E-13</v>
      </c>
      <c r="AK131" s="14" t="e">
        <f t="shared" si="89"/>
        <v>#NUM!</v>
      </c>
      <c r="AL131" s="22" t="e">
        <f t="shared" si="58"/>
        <v>#NUM!</v>
      </c>
      <c r="AM131" s="60" t="e">
        <f t="shared" si="59"/>
        <v>#NUM!</v>
      </c>
      <c r="AN131" s="60">
        <f ca="1">AVERAGE(OFFSET($AM$3,0,0,'Données projet'!$E$10+1,1))-AVERAGE(OFFSET($H$3,0,0,'Données projet'!$E$10+1,1))</f>
        <v>302.20483575440988</v>
      </c>
      <c r="AO131" s="60">
        <f t="shared" si="90"/>
        <v>275.32862097158687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0.45673831248129054</v>
      </c>
      <c r="AW131" s="23">
        <f>EXP(-LN(2)/2)*AW130+(1-EXP(-LN(2)/2))/(LN(2)/2)*AQ131*AT131*VLOOKUP('Données projet'!$B$10,Paramètres!$A$1:$I$89,3,0)*0.475*44/12</f>
        <v>1.5642997712014421E-14</v>
      </c>
      <c r="AX131" s="23">
        <f t="shared" si="60"/>
        <v>0.4567383124813062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-1.7053025658242404E-13</v>
      </c>
      <c r="BE131" s="14">
        <f>BD131*VLOOKUP('Données projet'!$B$11,Paramètres!$A$1:$I$89,3,0)*VLOOKUP('Données projet'!$B$11,Paramètres!$A$1:$I$89,5,0)</f>
        <v>-1.4897523215040567E-13</v>
      </c>
      <c r="BF131" s="14" t="e">
        <f t="shared" si="91"/>
        <v>#NUM!</v>
      </c>
      <c r="BG131" s="22" t="e">
        <f t="shared" si="61"/>
        <v>#NUM!</v>
      </c>
      <c r="BH131" s="60" t="e">
        <f t="shared" si="62"/>
        <v>#NUM!</v>
      </c>
      <c r="BI131" s="60">
        <f ca="1">AVERAGE(OFFSET($BH$3,0,0,'Données projet'!$E$11+1,1))-AVERAGE(OFFSET($H$3,0,0,'Données projet'!$E$11+1,1))</f>
        <v>314.62110015707839</v>
      </c>
      <c r="BJ131" s="60">
        <f t="shared" si="92"/>
        <v>285.36905470736582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3.2</v>
      </c>
      <c r="BY131" s="13">
        <f>IF('Données projet'!$A$114&gt;35,BY130+BX131-CG130,IF(A131&lt;'Données projet'!$A$114,$BV$205^A131,IF(A131='Données projet'!$A$114,'Données projet'!$B$114,BY130+BX131-CG130)))</f>
        <v>293.5999999999994</v>
      </c>
      <c r="BZ131" s="14">
        <f>BY131*VLOOKUP('Données projet'!$B$12,Paramètres!$A$1:$I$89,3,0)*VLOOKUP('Données projet'!$B$12,Paramètres!$A$1:$I$89,5,0)</f>
        <v>265.64927999999946</v>
      </c>
      <c r="CA131" s="14">
        <f t="shared" si="93"/>
        <v>63.925065540346907</v>
      </c>
      <c r="CB131" s="22">
        <f t="shared" si="64"/>
        <v>574.00865181610322</v>
      </c>
      <c r="CC131" s="60">
        <f t="shared" si="65"/>
        <v>867.3419851494366</v>
      </c>
      <c r="CD131" s="60">
        <f ca="1">AVERAGE(OFFSET($CC$3,0,0,'Données projet'!$E$12+1,1))-AVERAGE(OFFSET($H$3,0,0,'Données projet'!$E$12+1,1))</f>
        <v>303.73499739059076</v>
      </c>
      <c r="CE131" s="60">
        <f t="shared" si="94"/>
        <v>172.32171001882188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3.2</v>
      </c>
      <c r="CT131" s="13">
        <f>IF('Données projet'!$A$140&gt;35,CT130+CS131-DB130,IF(A131&lt;'Données projet'!$A$140,$CQ$205^A131,IF(A131='Données projet'!$A$140,'Données projet'!$B$140,CT130+CS131-DB130)))</f>
        <v>293.5999999999994</v>
      </c>
      <c r="CU131" s="18">
        <f>CT131*VLOOKUP('Données projet'!$B$13,Paramètres!$A$1:$I$89,3,0)*VLOOKUP('Données projet'!$B$13,Paramètres!$A$1:$I$89,5,0)</f>
        <v>297.71039999999937</v>
      </c>
      <c r="CV131" s="14">
        <f t="shared" si="95"/>
        <v>70.696261560936534</v>
      </c>
      <c r="CW131" s="22">
        <f t="shared" si="67"/>
        <v>641.64160221862994</v>
      </c>
      <c r="CX131" s="60">
        <f t="shared" si="68"/>
        <v>934.9749355519632</v>
      </c>
      <c r="CY131" s="60">
        <f ca="1">AVERAGE(OFFSET($CX$3,0,0,'Données projet'!$E$13+1,1))-AVERAGE(OFFSET($H$3,0,0,'Données projet'!$E$13+1,1))</f>
        <v>350.3652766444938</v>
      </c>
      <c r="CZ131" s="60">
        <f t="shared" si="96"/>
        <v>197.04549436738586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3.2</v>
      </c>
      <c r="DO131" s="13">
        <f>IF('Données projet'!$A$166&gt;35,DO130+DN131-DW130,IF(A131&lt;'Données projet'!$A$166,$DL$205^A131,IF(A131='Données projet'!$A$166,'Données projet'!$B$166,DO130+DN131-DW130)))</f>
        <v>293.5999999999994</v>
      </c>
      <c r="DP131" s="18">
        <f>DO131*VLOOKUP('Données projet'!$B$14,Paramètres!$A$1:$I$89,3,0)*VLOOKUP('Données projet'!$B$14,Paramètres!$A$1:$I$89,5,0)</f>
        <v>316.03103999999934</v>
      </c>
      <c r="DQ131" s="14">
        <f t="shared" si="97"/>
        <v>74.526935456174002</v>
      </c>
      <c r="DR131" s="22">
        <f t="shared" si="70"/>
        <v>680.22180725283522</v>
      </c>
      <c r="DS131" s="60">
        <f t="shared" si="71"/>
        <v>973.55514058616859</v>
      </c>
      <c r="DT131" s="60">
        <f ca="1">AVERAGE(OFFSET($DS$3,0,0,'Données projet'!$E$14+1,1))-AVERAGE(OFFSET($H$3,0,0,'Données projet'!$E$14+1,1))</f>
        <v>376.96388721258387</v>
      </c>
      <c r="DU131" s="60">
        <f t="shared" si="98"/>
        <v>211.14628470344377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3.2</v>
      </c>
      <c r="EJ131" s="13">
        <f>IF('Données projet'!$A$192&gt;35,EJ130+EI131-ER130,IF(A131&lt;'Données projet'!$A$192,$EG$205^A131,IF(A131='Données projet'!$A$192,'Données projet'!$B$192,EJ130+EI131-ER130)))</f>
        <v>293.5999999999994</v>
      </c>
      <c r="EK131" s="18">
        <f>EJ131*VLOOKUP('Données projet'!$B$15,Paramètres!$A$1:$I$89,3,0)*VLOOKUP('Données projet'!$B$15,Paramètres!$A$1:$I$89,5,0)</f>
        <v>283.96991999999943</v>
      </c>
      <c r="EL131" s="14">
        <f t="shared" si="99"/>
        <v>67.805278435922148</v>
      </c>
      <c r="EM131" s="22">
        <f t="shared" si="73"/>
        <v>612.67513727589676</v>
      </c>
      <c r="EN131" s="60">
        <f t="shared" si="74"/>
        <v>906.00847060923002</v>
      </c>
      <c r="EO131" s="60">
        <f ca="1">AVERAGE(OFFSET($EN$3,0,0,'Données projet'!$E$15+1,1))-AVERAGE(OFFSET($H$3,0,0,'Données projet'!$E$15+1,1))</f>
        <v>330.39429528665841</v>
      </c>
      <c r="EP131" s="60">
        <f t="shared" si="100"/>
        <v>186.45728006007261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8">
        <f t="shared" ref="H132:H195" si="110">(B132+E132+F132)*44/12+(C132+D132)*0.475*44/12</f>
        <v>450.45813349742764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-3.3992364478763198E-14</v>
      </c>
      <c r="P132" s="14" t="e">
        <f t="shared" si="87"/>
        <v>#NUM!</v>
      </c>
      <c r="Q132" s="22" t="e">
        <f t="shared" si="108"/>
        <v>#NUM!</v>
      </c>
      <c r="R132" s="60" t="e">
        <f t="shared" si="109"/>
        <v>#NUM!</v>
      </c>
      <c r="S132" s="60">
        <f ca="1">AVERAGE(OFFSET($R$3,0,0,'Données projet'!$E$9+1,1))-AVERAGE(OFFSET($H$3,0,0,'Données projet'!$E$9+1,1))</f>
        <v>155.11440101086782</v>
      </c>
      <c r="T132" s="60">
        <f t="shared" si="88"/>
        <v>239.53454701506638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1.8999019505658712</v>
      </c>
      <c r="AA132" s="23">
        <f>EXP(-LN(2)/25)*AA131+(1-EXP(-LN(2)/25))/(LN(2)/25)*Calculateur!V132*Calculateur!X132*VLOOKUP('Données projet'!$B$9,Paramètres!$A$1:$I$89,3,0)*0.475*44/12</f>
        <v>0.46535237166886928</v>
      </c>
      <c r="AB132" s="23">
        <f>EXP(-LN(2)/2)*AB131+(1-EXP(-LN(2)/2))/(LN(2)/2)*V132*Y132*VLOOKUP('Données projet'!$B$9,Paramètres!$A$1:$I$89,3,0)*0.475*44/12</f>
        <v>3.7040906264247267E-15</v>
      </c>
      <c r="AC132" s="24">
        <f t="shared" ref="AC132:AC153" si="111">SUM(Z132:AB132)</f>
        <v>2.365254322234744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-3.4106051316484809E-13</v>
      </c>
      <c r="AJ132" s="14">
        <f>AI132*VLOOKUP('Données projet'!$B$10,Paramètres!$A$1:$I$89,3,0)*VLOOKUP('Données projet'!$B$10,Paramètres!$A$1:$I$89,5,0)</f>
        <v>-1.9065282685915009E-13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0" t="e">
        <f t="shared" ref="AM132:AM195" si="113">AL132+(AD132+AE132)*44/12</f>
        <v>#NUM!</v>
      </c>
      <c r="AN132" s="60">
        <f ca="1">AVERAGE(OFFSET($AM$3,0,0,'Données projet'!$E$10+1,1))-AVERAGE(OFFSET($H$3,0,0,'Données projet'!$E$10+1,1))</f>
        <v>302.20483575440988</v>
      </c>
      <c r="AO132" s="60">
        <f t="shared" si="90"/>
        <v>275.32862097158687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0.44424877930766571</v>
      </c>
      <c r="AW132" s="23">
        <f>EXP(-LN(2)/2)*AW131+(1-EXP(-LN(2)/2))/(LN(2)/2)*AQ132*AT132*VLOOKUP('Données projet'!$B$10,Paramètres!$A$1:$I$89,3,0)*0.475*44/12</f>
        <v>1.1061269760251045E-14</v>
      </c>
      <c r="AX132" s="23">
        <f t="shared" ref="AX132:AX153" si="114">SUM(AU132:AW132)</f>
        <v>0.44424877930767676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-1.7053025658242404E-13</v>
      </c>
      <c r="BE132" s="14">
        <f>BD132*VLOOKUP('Données projet'!$B$11,Paramètres!$A$1:$I$89,3,0)*VLOOKUP('Données projet'!$B$11,Paramètres!$A$1:$I$89,5,0)</f>
        <v>-1.4897523215040567E-13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0" t="e">
        <f t="shared" ref="BH132:BH195" si="116">BG132+(AY132+AZ132)*44/12</f>
        <v>#NUM!</v>
      </c>
      <c r="BI132" s="60">
        <f ca="1">AVERAGE(OFFSET($BH$3,0,0,'Données projet'!$E$11+1,1))-AVERAGE(OFFSET($H$3,0,0,'Données projet'!$E$11+1,1))</f>
        <v>314.62110015707839</v>
      </c>
      <c r="BJ132" s="60">
        <f t="shared" si="92"/>
        <v>285.36905470736582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3.2</v>
      </c>
      <c r="BY132" s="13">
        <f>IF('Données projet'!$A$114&gt;35,BY131+BX132-CG131,IF(A132&lt;'Données projet'!$A$114,$BV$205^A132,IF(A132='Données projet'!$A$114,'Données projet'!$B$114,BY131+BX132-CG131)))</f>
        <v>296.79999999999939</v>
      </c>
      <c r="BZ132" s="14">
        <f>BY132*VLOOKUP('Données projet'!$B$12,Paramètres!$A$1:$I$89,3,0)*VLOOKUP('Données projet'!$B$12,Paramètres!$A$1:$I$89,5,0)</f>
        <v>268.54463999999945</v>
      </c>
      <c r="CA132" s="14">
        <f t="shared" si="93"/>
        <v>64.540308076050593</v>
      </c>
      <c r="CB132" s="22">
        <f t="shared" ref="CB132:CB153" si="118">(BZ132+CA132)*0.475*44/12</f>
        <v>580.12295123245383</v>
      </c>
      <c r="CC132" s="60">
        <f t="shared" ref="CC132:CC195" si="119">CB132+(BT132+BU132)*44/12</f>
        <v>873.4562845657872</v>
      </c>
      <c r="CD132" s="60">
        <f ca="1">AVERAGE(OFFSET($CC$3,0,0,'Données projet'!$E$12+1,1))-AVERAGE(OFFSET($H$3,0,0,'Données projet'!$E$12+1,1))</f>
        <v>303.73499739059076</v>
      </c>
      <c r="CE132" s="60">
        <f t="shared" si="94"/>
        <v>172.32171001882188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3.2</v>
      </c>
      <c r="CT132" s="13">
        <f>IF('Données projet'!$A$140&gt;35,CT131+CS132-DB131,IF(A132&lt;'Données projet'!$A$140,$CQ$205^A132,IF(A132='Données projet'!$A$140,'Données projet'!$B$140,CT131+CS132-DB131)))</f>
        <v>296.79999999999939</v>
      </c>
      <c r="CU132" s="18">
        <f>CT132*VLOOKUP('Données projet'!$B$13,Paramètres!$A$1:$I$89,3,0)*VLOOKUP('Données projet'!$B$13,Paramètres!$A$1:$I$89,5,0)</f>
        <v>300.95519999999942</v>
      </c>
      <c r="CV132" s="14">
        <f t="shared" si="95"/>
        <v>71.376673021759657</v>
      </c>
      <c r="CW132" s="22">
        <f t="shared" ref="CW132:CW153" si="121">(CU132+CV132)*0.475*44/12</f>
        <v>648.47801217956373</v>
      </c>
      <c r="CX132" s="60">
        <f t="shared" ref="CX132:CX195" si="122">CW132+(CO132+CP132)*44/12</f>
        <v>941.81134551289711</v>
      </c>
      <c r="CY132" s="60">
        <f ca="1">AVERAGE(OFFSET($CX$3,0,0,'Données projet'!$E$13+1,1))-AVERAGE(OFFSET($H$3,0,0,'Données projet'!$E$13+1,1))</f>
        <v>350.3652766444938</v>
      </c>
      <c r="CZ132" s="60">
        <f t="shared" si="96"/>
        <v>197.04549436738586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3.2</v>
      </c>
      <c r="DO132" s="13">
        <f>IF('Données projet'!$A$166&gt;35,DO131+DN132-DW131,IF(A132&lt;'Données projet'!$A$166,$DL$205^A132,IF(A132='Données projet'!$A$166,'Données projet'!$B$166,DO131+DN132-DW131)))</f>
        <v>296.79999999999939</v>
      </c>
      <c r="DP132" s="18">
        <f>DO132*VLOOKUP('Données projet'!$B$14,Paramètres!$A$1:$I$89,3,0)*VLOOKUP('Données projet'!$B$14,Paramètres!$A$1:$I$89,5,0)</f>
        <v>319.47551999999928</v>
      </c>
      <c r="DQ132" s="14">
        <f t="shared" si="97"/>
        <v>75.244214982768113</v>
      </c>
      <c r="DR132" s="22">
        <f t="shared" ref="DR132:DR153" si="124">(DP132+DQ132)*0.475*44/12</f>
        <v>687.47020509498645</v>
      </c>
      <c r="DS132" s="60">
        <f t="shared" ref="DS132:DS195" si="125">DR132+(DJ132+DK132)*44/12</f>
        <v>980.80353842831983</v>
      </c>
      <c r="DT132" s="60">
        <f ca="1">AVERAGE(OFFSET($DS$3,0,0,'Données projet'!$E$14+1,1))-AVERAGE(OFFSET($H$3,0,0,'Données projet'!$E$14+1,1))</f>
        <v>376.96388721258387</v>
      </c>
      <c r="DU132" s="60">
        <f t="shared" si="98"/>
        <v>211.14628470344377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3.2</v>
      </c>
      <c r="EJ132" s="13">
        <f>IF('Données projet'!$A$192&gt;35,EJ131+EI132-ER131,IF(A132&lt;'Données projet'!$A$192,$EG$205^A132,IF(A132='Données projet'!$A$192,'Données projet'!$B$192,EJ131+EI132-ER131)))</f>
        <v>296.79999999999939</v>
      </c>
      <c r="EK132" s="18">
        <f>EJ132*VLOOKUP('Données projet'!$B$15,Paramètres!$A$1:$I$89,3,0)*VLOOKUP('Données projet'!$B$15,Paramètres!$A$1:$I$89,5,0)</f>
        <v>287.06495999999942</v>
      </c>
      <c r="EL132" s="14">
        <f t="shared" si="99"/>
        <v>68.457865822206202</v>
      </c>
      <c r="EM132" s="22">
        <f t="shared" ref="EM132:EM153" si="127">(EK132+EL132)*0.475*44/12</f>
        <v>619.20225497367471</v>
      </c>
      <c r="EN132" s="60">
        <f t="shared" ref="EN132:EN195" si="128">EM132+(EE132+EF132)*44/12</f>
        <v>912.53558830700808</v>
      </c>
      <c r="EO132" s="60">
        <f ca="1">AVERAGE(OFFSET($EN$3,0,0,'Données projet'!$E$15+1,1))-AVERAGE(OFFSET($H$3,0,0,'Données projet'!$E$15+1,1))</f>
        <v>330.39429528665841</v>
      </c>
      <c r="EP132" s="60">
        <f t="shared" si="100"/>
        <v>186.45728006007261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8">
        <f t="shared" si="110"/>
        <v>451.64496189589244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-3.3992364478763198E-14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0" t="e">
        <f t="shared" si="109"/>
        <v>#NUM!</v>
      </c>
      <c r="S133" s="60">
        <f ca="1">AVERAGE(OFFSET($R$3,0,0,'Données projet'!$E$9+1,1))-AVERAGE(OFFSET($H$3,0,0,'Données projet'!$E$9+1,1))</f>
        <v>155.11440101086782</v>
      </c>
      <c r="T133" s="60">
        <f t="shared" ref="T133:T196" si="142">$T$3</f>
        <v>239.53454701506638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1.8626460321410399</v>
      </c>
      <c r="AA133" s="23">
        <f>EXP(-LN(2)/25)*AA132+(1-EXP(-LN(2)/25))/(LN(2)/25)*Calculateur!V133*Calculateur!X133*VLOOKUP('Données projet'!$B$9,Paramètres!$A$1:$I$89,3,0)*0.475*44/12</f>
        <v>0.45262728659376639</v>
      </c>
      <c r="AB133" s="23">
        <f>EXP(-LN(2)/2)*AB132+(1-EXP(-LN(2)/2))/(LN(2)/2)*V133*Y133*VLOOKUP('Données projet'!$B$9,Paramètres!$A$1:$I$89,3,0)*0.475*44/12</f>
        <v>2.619187600074451E-15</v>
      </c>
      <c r="AC133" s="24">
        <f t="shared" si="111"/>
        <v>2.3152733187348087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-3.4106051316484809E-13</v>
      </c>
      <c r="AJ133" s="14">
        <f>AI133*VLOOKUP('Données projet'!$B$10,Paramètres!$A$1:$I$89,3,0)*VLOOKUP('Données projet'!$B$10,Paramètres!$A$1:$I$89,5,0)</f>
        <v>-1.9065282685915009E-13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0" t="e">
        <f t="shared" si="113"/>
        <v>#NUM!</v>
      </c>
      <c r="AN133" s="60">
        <f ca="1">AVERAGE(OFFSET($AM$3,0,0,'Données projet'!$E$10+1,1))-AVERAGE(OFFSET($H$3,0,0,'Données projet'!$E$10+1,1))</f>
        <v>302.20483575440988</v>
      </c>
      <c r="AO133" s="60">
        <f t="shared" ref="AO133:AO196" si="144">$AO$3</f>
        <v>275.32862097158687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0.43210077307546962</v>
      </c>
      <c r="AW133" s="23">
        <f>EXP(-LN(2)/2)*AW132+(1-EXP(-LN(2)/2))/(LN(2)/2)*AQ133*AT133*VLOOKUP('Données projet'!$B$10,Paramètres!$A$1:$I$89,3,0)*0.475*44/12</f>
        <v>7.8214988560072105E-15</v>
      </c>
      <c r="AX133" s="23">
        <f t="shared" si="114"/>
        <v>0.43210077307547745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-1.7053025658242404E-13</v>
      </c>
      <c r="BE133" s="14">
        <f>BD133*VLOOKUP('Données projet'!$B$11,Paramètres!$A$1:$I$89,3,0)*VLOOKUP('Données projet'!$B$11,Paramètres!$A$1:$I$89,5,0)</f>
        <v>-1.4897523215040567E-13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0" t="e">
        <f t="shared" si="116"/>
        <v>#NUM!</v>
      </c>
      <c r="BI133" s="60">
        <f ca="1">AVERAGE(OFFSET($BH$3,0,0,'Données projet'!$E$11+1,1))-AVERAGE(OFFSET($H$3,0,0,'Données projet'!$E$11+1,1))</f>
        <v>314.62110015707839</v>
      </c>
      <c r="BJ133" s="60">
        <f t="shared" ref="BJ133:BJ196" si="146">$BJ$3</f>
        <v>285.36905470736582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300</v>
      </c>
      <c r="BW133" s="13">
        <f>VLOOKUP(A133,'Données projet'!$A$113:$I$133,9,0)</f>
        <v>3.2</v>
      </c>
      <c r="BX133" s="13">
        <f t="array" ref="BX133">INDEX(BW:BW,MIN(IF(ISNUMBER(BW133:BW329),ROW(BW133:BW329),"")))</f>
        <v>3.2</v>
      </c>
      <c r="BY133" s="13">
        <f>IF('Données projet'!$A$114&gt;35,BY132+BX133-CG132,IF(A133&lt;'Données projet'!$A$114,$BV$205^A133,IF(A133='Données projet'!$A$114,'Données projet'!$B$114,BY132+BX133-CG132)))</f>
        <v>299.99999999999937</v>
      </c>
      <c r="BZ133" s="14">
        <f>BY133*VLOOKUP('Données projet'!$B$12,Paramètres!$A$1:$I$89,3,0)*VLOOKUP('Données projet'!$B$12,Paramètres!$A$1:$I$89,5,0)</f>
        <v>271.43999999999943</v>
      </c>
      <c r="CA133" s="14">
        <f t="shared" ref="CA133:CA153" si="147">EXP(-1.0587+0.8836*LN(BZ133)+0.284)</f>
        <v>65.154778959151116</v>
      </c>
      <c r="CB133" s="22">
        <f t="shared" si="118"/>
        <v>586.23590668718714</v>
      </c>
      <c r="CC133" s="60">
        <f t="shared" si="119"/>
        <v>879.56924002052051</v>
      </c>
      <c r="CD133" s="60">
        <f ca="1">AVERAGE(OFFSET($CC$3,0,0,'Données projet'!$E$12+1,1))-AVERAGE(OFFSET($H$3,0,0,'Données projet'!$E$12+1,1))</f>
        <v>303.73499739059076</v>
      </c>
      <c r="CE133" s="60">
        <f t="shared" ref="CE133:CE196" si="148">$CE$3</f>
        <v>172.32171001882188</v>
      </c>
      <c r="CF133" s="16">
        <f>IF(ISNA(VLOOKUP(A133,'Données projet'!$A$113:$I$133,3,0)),0,VLOOKUP(A133,'Données projet'!$A$113:$I$133,3,0))</f>
        <v>11</v>
      </c>
      <c r="CG133" s="16">
        <f>IF(ISNA(VLOOKUP(A133,'Données projet'!$A$113:$I$133,4,0)),0,VLOOKUP(A133,'Données projet'!$A$113:$I$133,4,0))</f>
        <v>31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300</v>
      </c>
      <c r="CR133" s="13">
        <f>VLOOKUP(A133,'Données projet'!$A$139:$I$159,9,0)</f>
        <v>3.2</v>
      </c>
      <c r="CS133" s="13">
        <f t="array" ref="CS133">INDEX(CR:CR,MIN(IF(ISNUMBER(CR133:CR329),ROW(CR133:CR329),"")))</f>
        <v>3.2</v>
      </c>
      <c r="CT133" s="13">
        <f>IF('Données projet'!$A$140&gt;35,CT132+CS133-DB132,IF(A133&lt;'Données projet'!$A$140,$CQ$205^A133,IF(A133='Données projet'!$A$140,'Données projet'!$B$140,CT132+CS133-DB132)))</f>
        <v>299.99999999999937</v>
      </c>
      <c r="CU133" s="18">
        <f>CT133*VLOOKUP('Données projet'!$B$13,Paramètres!$A$1:$I$89,3,0)*VLOOKUP('Données projet'!$B$13,Paramètres!$A$1:$I$89,5,0)</f>
        <v>304.19999999999936</v>
      </c>
      <c r="CV133" s="14">
        <f t="shared" ref="CV133:CV153" si="149">EXP(-1.0587+0.8836*LN(CU133)+0.284)</f>
        <v>72.056231093480946</v>
      </c>
      <c r="CW133" s="22">
        <f t="shared" si="121"/>
        <v>655.31293582114483</v>
      </c>
      <c r="CX133" s="60">
        <f t="shared" si="122"/>
        <v>948.6462691544782</v>
      </c>
      <c r="CY133" s="60">
        <f ca="1">AVERAGE(OFFSET($CX$3,0,0,'Données projet'!$E$13+1,1))-AVERAGE(OFFSET($H$3,0,0,'Données projet'!$E$13+1,1))</f>
        <v>350.3652766444938</v>
      </c>
      <c r="CZ133" s="60">
        <f t="shared" ref="CZ133:CZ196" si="150">$CZ$3</f>
        <v>197.04549436738586</v>
      </c>
      <c r="DA133" s="16">
        <f>IF(ISNA(VLOOKUP(A133,'Données projet'!$A$139:$I$159,3,0)),0,VLOOKUP(A133,'Données projet'!$A$139:$I$159,3,0))</f>
        <v>11</v>
      </c>
      <c r="DB133" s="16">
        <f>IF(ISNA(VLOOKUP(A133,'Données projet'!$A$139:$I$159,4,0)),0,VLOOKUP(A133,'Données projet'!$A$139:$I$159,4,0))</f>
        <v>31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300</v>
      </c>
      <c r="DM133" s="13">
        <f>VLOOKUP(A133,'Données projet'!$A$165:$I$185,9,0)</f>
        <v>3.2</v>
      </c>
      <c r="DN133" s="13">
        <f t="array" ref="DN133">INDEX(DM:DM,MIN(IF(ISNUMBER(DM133:DM329),ROW(DM133:DM329),"")))</f>
        <v>3.2</v>
      </c>
      <c r="DO133" s="13">
        <f>IF('Données projet'!$A$166&gt;35,DO132+DN133-DW132,IF(A133&lt;'Données projet'!$A$166,$DL$205^A133,IF(A133='Données projet'!$A$166,'Données projet'!$B$166,DO132+DN133-DW132)))</f>
        <v>299.99999999999937</v>
      </c>
      <c r="DP133" s="18">
        <f>DO133*VLOOKUP('Données projet'!$B$14,Paramètres!$A$1:$I$89,3,0)*VLOOKUP('Données projet'!$B$14,Paramètres!$A$1:$I$89,5,0)</f>
        <v>322.91999999999928</v>
      </c>
      <c r="DQ133" s="14">
        <f t="shared" ref="DQ133:DQ153" si="151">EXP(-1.0587+0.8836*LN(DP133)+0.284)</f>
        <v>75.960594879408617</v>
      </c>
      <c r="DR133" s="22">
        <f t="shared" si="124"/>
        <v>694.71703608163534</v>
      </c>
      <c r="DS133" s="60">
        <f t="shared" si="125"/>
        <v>988.0503694149686</v>
      </c>
      <c r="DT133" s="60">
        <f ca="1">AVERAGE(OFFSET($DS$3,0,0,'Données projet'!$E$14+1,1))-AVERAGE(OFFSET($H$3,0,0,'Données projet'!$E$14+1,1))</f>
        <v>376.96388721258387</v>
      </c>
      <c r="DU133" s="60">
        <f t="shared" ref="DU133:DU196" si="152">$DU$3</f>
        <v>211.14628470344377</v>
      </c>
      <c r="DV133" s="16">
        <f>IF(ISNA(VLOOKUP(A133,'Données projet'!$A$165:$I$185,3,0)),0,VLOOKUP(A133,'Données projet'!$A$165:$I$185,3,0))</f>
        <v>11</v>
      </c>
      <c r="DW133" s="16">
        <f>IF(ISNA(VLOOKUP(A133,'Données projet'!$A$165:$I$185,4,0)),0,VLOOKUP(A133,'Données projet'!$A$165:$I$185,4,0))</f>
        <v>31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>
        <f>VLOOKUP(A133,'Données projet'!$A$191:$I$211,2,0)</f>
        <v>300</v>
      </c>
      <c r="EH133" s="13">
        <f>VLOOKUP(A133,'Données projet'!$A$191:$I$211,9,0)</f>
        <v>3.2</v>
      </c>
      <c r="EI133" s="13">
        <f t="array" ref="EI133">INDEX(EH:EH,MIN(IF(ISNUMBER(EH133:EH329),ROW(EH133:EH329),"")))</f>
        <v>3.2</v>
      </c>
      <c r="EJ133" s="13">
        <f>IF('Données projet'!$A$192&gt;35,EJ132+EI133-ER132,IF(A133&lt;'Données projet'!$A$192,$EG$205^A133,IF(A133='Données projet'!$A$192,'Données projet'!$B$192,EJ132+EI133-ER132)))</f>
        <v>299.99999999999937</v>
      </c>
      <c r="EK133" s="18">
        <f>EJ133*VLOOKUP('Données projet'!$B$15,Paramètres!$A$1:$I$89,3,0)*VLOOKUP('Données projet'!$B$15,Paramètres!$A$1:$I$89,5,0)</f>
        <v>290.1599999999994</v>
      </c>
      <c r="EL133" s="14">
        <f t="shared" ref="EL133:EL153" si="153">EXP(-1.0587+0.8836*LN(EK133)+0.284)</f>
        <v>69.10963471703981</v>
      </c>
      <c r="EM133" s="22">
        <f t="shared" si="127"/>
        <v>625.72794713217661</v>
      </c>
      <c r="EN133" s="60">
        <f t="shared" si="128"/>
        <v>919.06128046550998</v>
      </c>
      <c r="EO133" s="60">
        <f ca="1">AVERAGE(OFFSET($EN$3,0,0,'Données projet'!$E$15+1,1))-AVERAGE(OFFSET($H$3,0,0,'Données projet'!$E$15+1,1))</f>
        <v>330.39429528665841</v>
      </c>
      <c r="EP133" s="60">
        <f t="shared" ref="EP133:EP196" si="154">$EP$3</f>
        <v>186.45728006007261</v>
      </c>
      <c r="EQ133" s="16">
        <f>IF(ISNA(VLOOKUP(A133,'Données projet'!$A$191:$I$211,3,0)),0,VLOOKUP(A133,'Données projet'!$A$191:$I$211,3,0))</f>
        <v>11</v>
      </c>
      <c r="ER133" s="16">
        <f>IF(ISNA(VLOOKUP(A133,'Données projet'!$A$191:$I$211,4,0)),0,VLOOKUP(A133,'Données projet'!$A$191:$I$211,4,0))</f>
        <v>31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8">
        <f t="shared" si="110"/>
        <v>452.83157918479128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-3.3992364478763198E-14</v>
      </c>
      <c r="P134" s="14" t="e">
        <f t="shared" si="141"/>
        <v>#NUM!</v>
      </c>
      <c r="Q134" s="22" t="e">
        <f t="shared" si="108"/>
        <v>#NUM!</v>
      </c>
      <c r="R134" s="60" t="e">
        <f t="shared" si="109"/>
        <v>#NUM!</v>
      </c>
      <c r="S134" s="60">
        <f ca="1">AVERAGE(OFFSET($R$3,0,0,'Données projet'!$E$9+1,1))-AVERAGE(OFFSET($H$3,0,0,'Données projet'!$E$9+1,1))</f>
        <v>155.11440101086782</v>
      </c>
      <c r="T134" s="60">
        <f t="shared" si="142"/>
        <v>239.53454701506638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1.826120679552653</v>
      </c>
      <c r="AA134" s="23">
        <f>EXP(-LN(2)/25)*AA133+(1-EXP(-LN(2)/25))/(LN(2)/25)*Calculateur!V134*Calculateur!X134*VLOOKUP('Données projet'!$B$9,Paramètres!$A$1:$I$89,3,0)*0.475*44/12</f>
        <v>0.44025016963922536</v>
      </c>
      <c r="AB134" s="23">
        <f>EXP(-LN(2)/2)*AB133+(1-EXP(-LN(2)/2))/(LN(2)/2)*V134*Y134*VLOOKUP('Données projet'!$B$9,Paramètres!$A$1:$I$89,3,0)*0.475*44/12</f>
        <v>1.8520453132123633E-15</v>
      </c>
      <c r="AC134" s="24">
        <f t="shared" si="111"/>
        <v>2.2663708491918801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-3.4106051316484809E-13</v>
      </c>
      <c r="AJ134" s="14">
        <f>AI134*VLOOKUP('Données projet'!$B$10,Paramètres!$A$1:$I$89,3,0)*VLOOKUP('Données projet'!$B$10,Paramètres!$A$1:$I$89,5,0)</f>
        <v>-1.9065282685915009E-13</v>
      </c>
      <c r="AK134" s="14" t="e">
        <f t="shared" si="143"/>
        <v>#NUM!</v>
      </c>
      <c r="AL134" s="22" t="e">
        <f t="shared" si="112"/>
        <v>#NUM!</v>
      </c>
      <c r="AM134" s="60" t="e">
        <f t="shared" si="113"/>
        <v>#NUM!</v>
      </c>
      <c r="AN134" s="60">
        <f ca="1">AVERAGE(OFFSET($AM$3,0,0,'Données projet'!$E$10+1,1))-AVERAGE(OFFSET($H$3,0,0,'Données projet'!$E$10+1,1))</f>
        <v>302.20483575440988</v>
      </c>
      <c r="AO134" s="60">
        <f t="shared" si="144"/>
        <v>275.32862097158687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0.42028495471252886</v>
      </c>
      <c r="AW134" s="23">
        <f>EXP(-LN(2)/2)*AW133+(1-EXP(-LN(2)/2))/(LN(2)/2)*AQ134*AT134*VLOOKUP('Données projet'!$B$10,Paramètres!$A$1:$I$89,3,0)*0.475*44/12</f>
        <v>5.5306348801255224E-15</v>
      </c>
      <c r="AX134" s="23">
        <f t="shared" si="114"/>
        <v>0.42028495471253441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-1.7053025658242404E-13</v>
      </c>
      <c r="BE134" s="14">
        <f>BD134*VLOOKUP('Données projet'!$B$11,Paramètres!$A$1:$I$89,3,0)*VLOOKUP('Données projet'!$B$11,Paramètres!$A$1:$I$89,5,0)</f>
        <v>-1.4897523215040567E-13</v>
      </c>
      <c r="BF134" s="14" t="e">
        <f t="shared" si="145"/>
        <v>#NUM!</v>
      </c>
      <c r="BG134" s="22" t="e">
        <f t="shared" si="115"/>
        <v>#NUM!</v>
      </c>
      <c r="BH134" s="60" t="e">
        <f t="shared" si="116"/>
        <v>#NUM!</v>
      </c>
      <c r="BI134" s="60">
        <f ca="1">AVERAGE(OFFSET($BH$3,0,0,'Données projet'!$E$11+1,1))-AVERAGE(OFFSET($H$3,0,0,'Données projet'!$E$11+1,1))</f>
        <v>314.62110015707839</v>
      </c>
      <c r="BJ134" s="60">
        <f t="shared" si="146"/>
        <v>285.36905470736582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2.7</v>
      </c>
      <c r="BY134" s="13">
        <f>IF('Données projet'!$A$114&gt;35,BY133+BX134-CG133,IF(A134&lt;'Données projet'!$A$114,$BV$205^A134,IF(A134='Données projet'!$A$114,'Données projet'!$B$114,BY133+BX134-CG133)))</f>
        <v>271.69999999999936</v>
      </c>
      <c r="BZ134" s="14">
        <f>BY134*VLOOKUP('Données projet'!$B$12,Paramètres!$A$1:$I$89,3,0)*VLOOKUP('Données projet'!$B$12,Paramètres!$A$1:$I$89,5,0)</f>
        <v>245.8341599999994</v>
      </c>
      <c r="CA134" s="14">
        <f t="shared" si="147"/>
        <v>59.693018383856675</v>
      </c>
      <c r="CB134" s="22">
        <f t="shared" si="118"/>
        <v>532.12650235188266</v>
      </c>
      <c r="CC134" s="60">
        <f t="shared" si="119"/>
        <v>825.45983568521592</v>
      </c>
      <c r="CD134" s="60">
        <f ca="1">AVERAGE(OFFSET($CC$3,0,0,'Données projet'!$E$12+1,1))-AVERAGE(OFFSET($H$3,0,0,'Données projet'!$E$12+1,1))</f>
        <v>303.73499739059076</v>
      </c>
      <c r="CE134" s="60">
        <f t="shared" si="148"/>
        <v>172.32171001882188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2.7</v>
      </c>
      <c r="CT134" s="13">
        <f>IF('Données projet'!$A$140&gt;35,CT133+CS134-DB133,IF(A134&lt;'Données projet'!$A$140,$CQ$205^A134,IF(A134='Données projet'!$A$140,'Données projet'!$B$140,CT133+CS134-DB133)))</f>
        <v>271.69999999999936</v>
      </c>
      <c r="CU134" s="18">
        <f>CT134*VLOOKUP('Données projet'!$B$13,Paramètres!$A$1:$I$89,3,0)*VLOOKUP('Données projet'!$B$13,Paramètres!$A$1:$I$89,5,0)</f>
        <v>275.50379999999939</v>
      </c>
      <c r="CV134" s="14">
        <f t="shared" si="149"/>
        <v>66.015939215007748</v>
      </c>
      <c r="CW134" s="22">
        <f t="shared" si="121"/>
        <v>594.81354579947072</v>
      </c>
      <c r="CX134" s="60">
        <f t="shared" si="122"/>
        <v>888.14687913280409</v>
      </c>
      <c r="CY134" s="60">
        <f ca="1">AVERAGE(OFFSET($CX$3,0,0,'Données projet'!$E$13+1,1))-AVERAGE(OFFSET($H$3,0,0,'Données projet'!$E$13+1,1))</f>
        <v>350.3652766444938</v>
      </c>
      <c r="CZ134" s="60">
        <f t="shared" si="150"/>
        <v>197.04549436738586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2.7</v>
      </c>
      <c r="DO134" s="13">
        <f>IF('Données projet'!$A$166&gt;35,DO133+DN134-DW133,IF(A134&lt;'Données projet'!$A$166,$DL$205^A134,IF(A134='Données projet'!$A$166,'Données projet'!$B$166,DO133+DN134-DW133)))</f>
        <v>271.69999999999936</v>
      </c>
      <c r="DP134" s="18">
        <f>DO134*VLOOKUP('Données projet'!$B$14,Paramètres!$A$1:$I$89,3,0)*VLOOKUP('Données projet'!$B$14,Paramètres!$A$1:$I$89,5,0)</f>
        <v>292.45787999999931</v>
      </c>
      <c r="DQ134" s="14">
        <f t="shared" si="151"/>
        <v>69.59301004501954</v>
      </c>
      <c r="DR134" s="22">
        <f t="shared" si="124"/>
        <v>630.57196682840777</v>
      </c>
      <c r="DS134" s="60">
        <f t="shared" si="125"/>
        <v>923.90530016174102</v>
      </c>
      <c r="DT134" s="60">
        <f ca="1">AVERAGE(OFFSET($DS$3,0,0,'Données projet'!$E$14+1,1))-AVERAGE(OFFSET($H$3,0,0,'Données projet'!$E$14+1,1))</f>
        <v>376.96388721258387</v>
      </c>
      <c r="DU134" s="60">
        <f t="shared" si="152"/>
        <v>211.14628470344377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2.7</v>
      </c>
      <c r="EJ134" s="13">
        <f>IF('Données projet'!$A$192&gt;35,EJ133+EI134-ER133,IF(A134&lt;'Données projet'!$A$192,$EG$205^A134,IF(A134='Données projet'!$A$192,'Données projet'!$B$192,EJ133+EI134-ER133)))</f>
        <v>271.69999999999936</v>
      </c>
      <c r="EK134" s="18">
        <f>EJ134*VLOOKUP('Données projet'!$B$15,Paramètres!$A$1:$I$89,3,0)*VLOOKUP('Données projet'!$B$15,Paramètres!$A$1:$I$89,5,0)</f>
        <v>262.7882399999994</v>
      </c>
      <c r="EL134" s="14">
        <f t="shared" si="153"/>
        <v>63.316348571334714</v>
      </c>
      <c r="EM134" s="22">
        <f t="shared" si="127"/>
        <v>567.96549176174028</v>
      </c>
      <c r="EN134" s="60">
        <f t="shared" si="128"/>
        <v>861.29882509507365</v>
      </c>
      <c r="EO134" s="60">
        <f ca="1">AVERAGE(OFFSET($EN$3,0,0,'Données projet'!$E$15+1,1))-AVERAGE(OFFSET($H$3,0,0,'Données projet'!$E$15+1,1))</f>
        <v>330.39429528665841</v>
      </c>
      <c r="EP134" s="60">
        <f t="shared" si="154"/>
        <v>186.45728006007261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8">
        <f t="shared" si="110"/>
        <v>454.01798716246486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-3.3992364478763198E-14</v>
      </c>
      <c r="P135" s="14" t="e">
        <f t="shared" si="141"/>
        <v>#NUM!</v>
      </c>
      <c r="Q135" s="22" t="e">
        <f t="shared" si="108"/>
        <v>#NUM!</v>
      </c>
      <c r="R135" s="60" t="e">
        <f t="shared" si="109"/>
        <v>#NUM!</v>
      </c>
      <c r="S135" s="60">
        <f ca="1">AVERAGE(OFFSET($R$3,0,0,'Données projet'!$E$9+1,1))-AVERAGE(OFFSET($H$3,0,0,'Données projet'!$E$9+1,1))</f>
        <v>155.11440101086782</v>
      </c>
      <c r="T135" s="60">
        <f t="shared" si="142"/>
        <v>239.53454701506638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1.7903115668502592</v>
      </c>
      <c r="AA135" s="23">
        <f>EXP(-LN(2)/25)*AA134+(1-EXP(-LN(2)/25))/(LN(2)/25)*Calculateur!V135*Calculateur!X135*VLOOKUP('Données projet'!$B$9,Paramètres!$A$1:$I$89,3,0)*0.475*44/12</f>
        <v>0.42821150559869053</v>
      </c>
      <c r="AB135" s="23">
        <f>EXP(-LN(2)/2)*AB134+(1-EXP(-LN(2)/2))/(LN(2)/2)*V135*Y135*VLOOKUP('Données projet'!$B$9,Paramètres!$A$1:$I$89,3,0)*0.475*44/12</f>
        <v>1.3095938000372255E-15</v>
      </c>
      <c r="AC135" s="24">
        <f t="shared" si="111"/>
        <v>2.2185230724489511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-3.4106051316484809E-13</v>
      </c>
      <c r="AJ135" s="14">
        <f>AI135*VLOOKUP('Données projet'!$B$10,Paramètres!$A$1:$I$89,3,0)*VLOOKUP('Données projet'!$B$10,Paramètres!$A$1:$I$89,5,0)</f>
        <v>-1.9065282685915009E-13</v>
      </c>
      <c r="AK135" s="14" t="e">
        <f t="shared" si="143"/>
        <v>#NUM!</v>
      </c>
      <c r="AL135" s="22" t="e">
        <f t="shared" si="112"/>
        <v>#NUM!</v>
      </c>
      <c r="AM135" s="60" t="e">
        <f t="shared" si="113"/>
        <v>#NUM!</v>
      </c>
      <c r="AN135" s="60">
        <f ca="1">AVERAGE(OFFSET($AM$3,0,0,'Données projet'!$E$10+1,1))-AVERAGE(OFFSET($H$3,0,0,'Données projet'!$E$10+1,1))</f>
        <v>302.20483575440988</v>
      </c>
      <c r="AO135" s="60">
        <f t="shared" si="144"/>
        <v>275.32862097158687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0.40879224052408958</v>
      </c>
      <c r="AW135" s="23">
        <f>EXP(-LN(2)/2)*AW134+(1-EXP(-LN(2)/2))/(LN(2)/2)*AQ135*AT135*VLOOKUP('Données projet'!$B$10,Paramètres!$A$1:$I$89,3,0)*0.475*44/12</f>
        <v>3.9107494280036053E-15</v>
      </c>
      <c r="AX135" s="23">
        <f t="shared" si="114"/>
        <v>0.40879224052409346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-1.7053025658242404E-13</v>
      </c>
      <c r="BE135" s="14">
        <f>BD135*VLOOKUP('Données projet'!$B$11,Paramètres!$A$1:$I$89,3,0)*VLOOKUP('Données projet'!$B$11,Paramètres!$A$1:$I$89,5,0)</f>
        <v>-1.4897523215040567E-13</v>
      </c>
      <c r="BF135" s="14" t="e">
        <f t="shared" si="145"/>
        <v>#NUM!</v>
      </c>
      <c r="BG135" s="22" t="e">
        <f t="shared" si="115"/>
        <v>#NUM!</v>
      </c>
      <c r="BH135" s="60" t="e">
        <f t="shared" si="116"/>
        <v>#NUM!</v>
      </c>
      <c r="BI135" s="60">
        <f ca="1">AVERAGE(OFFSET($BH$3,0,0,'Données projet'!$E$11+1,1))-AVERAGE(OFFSET($H$3,0,0,'Données projet'!$E$11+1,1))</f>
        <v>314.62110015707839</v>
      </c>
      <c r="BJ135" s="60">
        <f t="shared" si="146"/>
        <v>285.36905470736582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2.7</v>
      </c>
      <c r="BY135" s="13">
        <f>IF('Données projet'!$A$114&gt;35,BY134+BX135-CG134,IF(A135&lt;'Données projet'!$A$114,$BV$205^A135,IF(A135='Données projet'!$A$114,'Données projet'!$B$114,BY134+BX135-CG134)))</f>
        <v>274.39999999999935</v>
      </c>
      <c r="BZ135" s="14">
        <f>BY135*VLOOKUP('Données projet'!$B$12,Paramètres!$A$1:$I$89,3,0)*VLOOKUP('Données projet'!$B$12,Paramètres!$A$1:$I$89,5,0)</f>
        <v>248.2771199999994</v>
      </c>
      <c r="CA135" s="14">
        <f t="shared" si="147"/>
        <v>60.216863677580257</v>
      </c>
      <c r="CB135" s="22">
        <f t="shared" si="118"/>
        <v>537.29368823845118</v>
      </c>
      <c r="CC135" s="60">
        <f t="shared" si="119"/>
        <v>830.62702157178455</v>
      </c>
      <c r="CD135" s="60">
        <f ca="1">AVERAGE(OFFSET($CC$3,0,0,'Données projet'!$E$12+1,1))-AVERAGE(OFFSET($H$3,0,0,'Données projet'!$E$12+1,1))</f>
        <v>303.73499739059076</v>
      </c>
      <c r="CE135" s="60">
        <f t="shared" si="148"/>
        <v>172.32171001882188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2.7</v>
      </c>
      <c r="CT135" s="13">
        <f>IF('Données projet'!$A$140&gt;35,CT134+CS135-DB134,IF(A135&lt;'Données projet'!$A$140,$CQ$205^A135,IF(A135='Données projet'!$A$140,'Données projet'!$B$140,CT134+CS135-DB134)))</f>
        <v>274.39999999999935</v>
      </c>
      <c r="CU135" s="18">
        <f>CT135*VLOOKUP('Données projet'!$B$13,Paramètres!$A$1:$I$89,3,0)*VLOOKUP('Données projet'!$B$13,Paramètres!$A$1:$I$89,5,0)</f>
        <v>278.24159999999938</v>
      </c>
      <c r="CV135" s="14">
        <f t="shared" si="149"/>
        <v>66.595272276139625</v>
      </c>
      <c r="CW135" s="22">
        <f t="shared" si="121"/>
        <v>600.59088588094198</v>
      </c>
      <c r="CX135" s="60">
        <f t="shared" si="122"/>
        <v>893.92421921427535</v>
      </c>
      <c r="CY135" s="60">
        <f ca="1">AVERAGE(OFFSET($CX$3,0,0,'Données projet'!$E$13+1,1))-AVERAGE(OFFSET($H$3,0,0,'Données projet'!$E$13+1,1))</f>
        <v>350.3652766444938</v>
      </c>
      <c r="CZ135" s="60">
        <f t="shared" si="150"/>
        <v>197.04549436738586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2.7</v>
      </c>
      <c r="DO135" s="13">
        <f>IF('Données projet'!$A$166&gt;35,DO134+DN135-DW134,IF(A135&lt;'Données projet'!$A$166,$DL$205^A135,IF(A135='Données projet'!$A$166,'Données projet'!$B$166,DO134+DN135-DW134)))</f>
        <v>274.39999999999935</v>
      </c>
      <c r="DP135" s="18">
        <f>DO135*VLOOKUP('Données projet'!$B$14,Paramètres!$A$1:$I$89,3,0)*VLOOKUP('Données projet'!$B$14,Paramètres!$A$1:$I$89,5,0)</f>
        <v>295.36415999999929</v>
      </c>
      <c r="DQ135" s="14">
        <f t="shared" si="151"/>
        <v>70.203734243177976</v>
      </c>
      <c r="DR135" s="22">
        <f t="shared" si="124"/>
        <v>636.69741580686696</v>
      </c>
      <c r="DS135" s="60">
        <f t="shared" si="125"/>
        <v>930.03074914020021</v>
      </c>
      <c r="DT135" s="60">
        <f ca="1">AVERAGE(OFFSET($DS$3,0,0,'Données projet'!$E$14+1,1))-AVERAGE(OFFSET($H$3,0,0,'Données projet'!$E$14+1,1))</f>
        <v>376.96388721258387</v>
      </c>
      <c r="DU135" s="60">
        <f t="shared" si="152"/>
        <v>211.14628470344377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2.7</v>
      </c>
      <c r="EJ135" s="13">
        <f>IF('Données projet'!$A$192&gt;35,EJ134+EI135-ER134,IF(A135&lt;'Données projet'!$A$192,$EG$205^A135,IF(A135='Données projet'!$A$192,'Données projet'!$B$192,EJ134+EI135-ER134)))</f>
        <v>274.39999999999935</v>
      </c>
      <c r="EK135" s="18">
        <f>EJ135*VLOOKUP('Données projet'!$B$15,Paramètres!$A$1:$I$89,3,0)*VLOOKUP('Données projet'!$B$15,Paramètres!$A$1:$I$89,5,0)</f>
        <v>265.39967999999936</v>
      </c>
      <c r="EL135" s="14">
        <f t="shared" si="153"/>
        <v>63.87199095821434</v>
      </c>
      <c r="EM135" s="22">
        <f t="shared" si="127"/>
        <v>573.48149358555554</v>
      </c>
      <c r="EN135" s="60">
        <f t="shared" si="128"/>
        <v>866.81482691888891</v>
      </c>
      <c r="EO135" s="60">
        <f ca="1">AVERAGE(OFFSET($EN$3,0,0,'Données projet'!$E$15+1,1))-AVERAGE(OFFSET($H$3,0,0,'Données projet'!$E$15+1,1))</f>
        <v>330.39429528665841</v>
      </c>
      <c r="EP135" s="60">
        <f t="shared" si="154"/>
        <v>186.45728006007261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8">
        <f t="shared" si="110"/>
        <v>455.20418759843233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-3.3992364478763198E-14</v>
      </c>
      <c r="P136" s="14" t="e">
        <f t="shared" si="141"/>
        <v>#NUM!</v>
      </c>
      <c r="Q136" s="22" t="e">
        <f t="shared" si="108"/>
        <v>#NUM!</v>
      </c>
      <c r="R136" s="60" t="e">
        <f t="shared" si="109"/>
        <v>#NUM!</v>
      </c>
      <c r="S136" s="60">
        <f ca="1">AVERAGE(OFFSET($R$3,0,0,'Données projet'!$E$9+1,1))-AVERAGE(OFFSET($H$3,0,0,'Données projet'!$E$9+1,1))</f>
        <v>155.11440101086782</v>
      </c>
      <c r="T136" s="60">
        <f t="shared" si="142"/>
        <v>239.53454701506638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1.7552046490065571</v>
      </c>
      <c r="AA136" s="23">
        <f>EXP(-LN(2)/25)*AA135+(1-EXP(-LN(2)/25))/(LN(2)/25)*Calculateur!V136*Calculateur!X136*VLOOKUP('Données projet'!$B$9,Paramètres!$A$1:$I$89,3,0)*0.475*44/12</f>
        <v>0.41650203945942993</v>
      </c>
      <c r="AB136" s="23">
        <f>EXP(-LN(2)/2)*AB135+(1-EXP(-LN(2)/2))/(LN(2)/2)*V136*Y136*VLOOKUP('Données projet'!$B$9,Paramètres!$A$1:$I$89,3,0)*0.475*44/12</f>
        <v>9.2602265660618167E-16</v>
      </c>
      <c r="AC136" s="24">
        <f t="shared" si="111"/>
        <v>2.1717066884659881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-3.4106051316484809E-13</v>
      </c>
      <c r="AJ136" s="14">
        <f>AI136*VLOOKUP('Données projet'!$B$10,Paramètres!$A$1:$I$89,3,0)*VLOOKUP('Données projet'!$B$10,Paramètres!$A$1:$I$89,5,0)</f>
        <v>-1.9065282685915009E-13</v>
      </c>
      <c r="AK136" s="14" t="e">
        <f t="shared" si="143"/>
        <v>#NUM!</v>
      </c>
      <c r="AL136" s="22" t="e">
        <f t="shared" si="112"/>
        <v>#NUM!</v>
      </c>
      <c r="AM136" s="60" t="e">
        <f t="shared" si="113"/>
        <v>#NUM!</v>
      </c>
      <c r="AN136" s="60">
        <f ca="1">AVERAGE(OFFSET($AM$3,0,0,'Données projet'!$E$10+1,1))-AVERAGE(OFFSET($H$3,0,0,'Données projet'!$E$10+1,1))</f>
        <v>302.20483575440988</v>
      </c>
      <c r="AO136" s="60">
        <f t="shared" si="144"/>
        <v>275.32862097158687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0.39761379520950874</v>
      </c>
      <c r="AW136" s="23">
        <f>EXP(-LN(2)/2)*AW135+(1-EXP(-LN(2)/2))/(LN(2)/2)*AQ136*AT136*VLOOKUP('Données projet'!$B$10,Paramètres!$A$1:$I$89,3,0)*0.475*44/12</f>
        <v>2.7653174400627612E-15</v>
      </c>
      <c r="AX136" s="23">
        <f t="shared" si="114"/>
        <v>0.39761379520951151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-1.7053025658242404E-13</v>
      </c>
      <c r="BE136" s="14">
        <f>BD136*VLOOKUP('Données projet'!$B$11,Paramètres!$A$1:$I$89,3,0)*VLOOKUP('Données projet'!$B$11,Paramètres!$A$1:$I$89,5,0)</f>
        <v>-1.4897523215040567E-13</v>
      </c>
      <c r="BF136" s="14" t="e">
        <f t="shared" si="145"/>
        <v>#NUM!</v>
      </c>
      <c r="BG136" s="22" t="e">
        <f t="shared" si="115"/>
        <v>#NUM!</v>
      </c>
      <c r="BH136" s="60" t="e">
        <f t="shared" si="116"/>
        <v>#NUM!</v>
      </c>
      <c r="BI136" s="60">
        <f ca="1">AVERAGE(OFFSET($BH$3,0,0,'Données projet'!$E$11+1,1))-AVERAGE(OFFSET($H$3,0,0,'Données projet'!$E$11+1,1))</f>
        <v>314.62110015707839</v>
      </c>
      <c r="BJ136" s="60">
        <f t="shared" si="146"/>
        <v>285.36905470736582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2.7</v>
      </c>
      <c r="BY136" s="13">
        <f>IF('Données projet'!$A$114&gt;35,BY135+BX136-CG135,IF(A136&lt;'Données projet'!$A$114,$BV$205^A136,IF(A136='Données projet'!$A$114,'Données projet'!$B$114,BY135+BX136-CG135)))</f>
        <v>277.09999999999934</v>
      </c>
      <c r="BZ136" s="14">
        <f>BY136*VLOOKUP('Données projet'!$B$12,Paramètres!$A$1:$I$89,3,0)*VLOOKUP('Données projet'!$B$12,Paramètres!$A$1:$I$89,5,0)</f>
        <v>250.72007999999943</v>
      </c>
      <c r="CA136" s="14">
        <f t="shared" si="147"/>
        <v>60.740109326032709</v>
      </c>
      <c r="CB136" s="22">
        <f t="shared" si="118"/>
        <v>542.45982974283925</v>
      </c>
      <c r="CC136" s="60">
        <f t="shared" si="119"/>
        <v>835.7931630761725</v>
      </c>
      <c r="CD136" s="60">
        <f ca="1">AVERAGE(OFFSET($CC$3,0,0,'Données projet'!$E$12+1,1))-AVERAGE(OFFSET($H$3,0,0,'Données projet'!$E$12+1,1))</f>
        <v>303.73499739059076</v>
      </c>
      <c r="CE136" s="60">
        <f t="shared" si="148"/>
        <v>172.32171001882188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2.7</v>
      </c>
      <c r="CT136" s="13">
        <f>IF('Données projet'!$A$140&gt;35,CT135+CS136-DB135,IF(A136&lt;'Données projet'!$A$140,$CQ$205^A136,IF(A136='Données projet'!$A$140,'Données projet'!$B$140,CT135+CS136-DB135)))</f>
        <v>277.09999999999934</v>
      </c>
      <c r="CU136" s="18">
        <f>CT136*VLOOKUP('Données projet'!$B$13,Paramètres!$A$1:$I$89,3,0)*VLOOKUP('Données projet'!$B$13,Paramètres!$A$1:$I$89,5,0)</f>
        <v>280.97939999999937</v>
      </c>
      <c r="CV136" s="14">
        <f t="shared" si="149"/>
        <v>67.173942175199301</v>
      </c>
      <c r="CW136" s="22">
        <f t="shared" si="121"/>
        <v>606.36707095513759</v>
      </c>
      <c r="CX136" s="60">
        <f t="shared" si="122"/>
        <v>899.70040428847096</v>
      </c>
      <c r="CY136" s="60">
        <f ca="1">AVERAGE(OFFSET($CX$3,0,0,'Données projet'!$E$13+1,1))-AVERAGE(OFFSET($H$3,0,0,'Données projet'!$E$13+1,1))</f>
        <v>350.3652766444938</v>
      </c>
      <c r="CZ136" s="60">
        <f t="shared" si="150"/>
        <v>197.04549436738586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2.7</v>
      </c>
      <c r="DO136" s="13">
        <f>IF('Données projet'!$A$166&gt;35,DO135+DN136-DW135,IF(A136&lt;'Données projet'!$A$166,$DL$205^A136,IF(A136='Données projet'!$A$166,'Données projet'!$B$166,DO135+DN136-DW135)))</f>
        <v>277.09999999999934</v>
      </c>
      <c r="DP136" s="18">
        <f>DO136*VLOOKUP('Données projet'!$B$14,Paramètres!$A$1:$I$89,3,0)*VLOOKUP('Données projet'!$B$14,Paramètres!$A$1:$I$89,5,0)</f>
        <v>298.27043999999927</v>
      </c>
      <c r="DQ136" s="14">
        <f t="shared" si="151"/>
        <v>70.813759345855843</v>
      </c>
      <c r="DR136" s="22">
        <f t="shared" si="124"/>
        <v>642.8216471940309</v>
      </c>
      <c r="DS136" s="60">
        <f t="shared" si="125"/>
        <v>936.15498052736416</v>
      </c>
      <c r="DT136" s="60">
        <f ca="1">AVERAGE(OFFSET($DS$3,0,0,'Données projet'!$E$14+1,1))-AVERAGE(OFFSET($H$3,0,0,'Données projet'!$E$14+1,1))</f>
        <v>376.96388721258387</v>
      </c>
      <c r="DU136" s="60">
        <f t="shared" si="152"/>
        <v>211.14628470344377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2.7</v>
      </c>
      <c r="EJ136" s="13">
        <f>IF('Données projet'!$A$192&gt;35,EJ135+EI136-ER135,IF(A136&lt;'Données projet'!$A$192,$EG$205^A136,IF(A136='Données projet'!$A$192,'Données projet'!$B$192,EJ135+EI136-ER135)))</f>
        <v>277.09999999999934</v>
      </c>
      <c r="EK136" s="18">
        <f>EJ136*VLOOKUP('Données projet'!$B$15,Paramètres!$A$1:$I$89,3,0)*VLOOKUP('Données projet'!$B$15,Paramètres!$A$1:$I$89,5,0)</f>
        <v>268.01111999999938</v>
      </c>
      <c r="EL136" s="14">
        <f t="shared" si="153"/>
        <v>64.426997301716739</v>
      </c>
      <c r="EM136" s="22">
        <f t="shared" si="127"/>
        <v>578.99638763382234</v>
      </c>
      <c r="EN136" s="60">
        <f t="shared" si="128"/>
        <v>872.32972096715571</v>
      </c>
      <c r="EO136" s="60">
        <f ca="1">AVERAGE(OFFSET($EN$3,0,0,'Données projet'!$E$15+1,1))-AVERAGE(OFFSET($H$3,0,0,'Données projet'!$E$15+1,1))</f>
        <v>330.39429528665841</v>
      </c>
      <c r="EP136" s="60">
        <f t="shared" si="154"/>
        <v>186.45728006007261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8">
        <f t="shared" si="110"/>
        <v>456.39018223406657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-3.3992364478763198E-14</v>
      </c>
      <c r="P137" s="14" t="e">
        <f t="shared" si="141"/>
        <v>#NUM!</v>
      </c>
      <c r="Q137" s="22" t="e">
        <f t="shared" si="108"/>
        <v>#NUM!</v>
      </c>
      <c r="R137" s="60" t="e">
        <f t="shared" si="109"/>
        <v>#NUM!</v>
      </c>
      <c r="S137" s="60">
        <f ca="1">AVERAGE(OFFSET($R$3,0,0,'Données projet'!$E$9+1,1))-AVERAGE(OFFSET($H$3,0,0,'Données projet'!$E$9+1,1))</f>
        <v>155.11440101086782</v>
      </c>
      <c r="T137" s="60">
        <f t="shared" si="142"/>
        <v>239.53454701506638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1.7207861564086646</v>
      </c>
      <c r="AA137" s="23">
        <f>EXP(-LN(2)/25)*AA136+(1-EXP(-LN(2)/25))/(LN(2)/25)*Calculateur!V137*Calculateur!X137*VLOOKUP('Données projet'!$B$9,Paramètres!$A$1:$I$89,3,0)*0.475*44/12</f>
        <v>0.40511276928752149</v>
      </c>
      <c r="AB137" s="23">
        <f>EXP(-LN(2)/2)*AB136+(1-EXP(-LN(2)/2))/(LN(2)/2)*V137*Y137*VLOOKUP('Données projet'!$B$9,Paramètres!$A$1:$I$89,3,0)*0.475*44/12</f>
        <v>6.5479690001861276E-16</v>
      </c>
      <c r="AC137" s="24">
        <f t="shared" si="111"/>
        <v>2.1258989256961867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-3.4106051316484809E-13</v>
      </c>
      <c r="AJ137" s="14">
        <f>AI137*VLOOKUP('Données projet'!$B$10,Paramètres!$A$1:$I$89,3,0)*VLOOKUP('Données projet'!$B$10,Paramètres!$A$1:$I$89,5,0)</f>
        <v>-1.9065282685915009E-13</v>
      </c>
      <c r="AK137" s="14" t="e">
        <f t="shared" si="143"/>
        <v>#NUM!</v>
      </c>
      <c r="AL137" s="22" t="e">
        <f t="shared" si="112"/>
        <v>#NUM!</v>
      </c>
      <c r="AM137" s="60" t="e">
        <f t="shared" si="113"/>
        <v>#NUM!</v>
      </c>
      <c r="AN137" s="60">
        <f ca="1">AVERAGE(OFFSET($AM$3,0,0,'Données projet'!$E$10+1,1))-AVERAGE(OFFSET($H$3,0,0,'Données projet'!$E$10+1,1))</f>
        <v>302.20483575440988</v>
      </c>
      <c r="AO137" s="60">
        <f t="shared" si="144"/>
        <v>275.32862097158687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0.38674102506990399</v>
      </c>
      <c r="AW137" s="23">
        <f>EXP(-LN(2)/2)*AW136+(1-EXP(-LN(2)/2))/(LN(2)/2)*AQ137*AT137*VLOOKUP('Données projet'!$B$10,Paramètres!$A$1:$I$89,3,0)*0.475*44/12</f>
        <v>1.9553747140018026E-15</v>
      </c>
      <c r="AX137" s="23">
        <f t="shared" si="114"/>
        <v>0.38674102506990593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-1.7053025658242404E-13</v>
      </c>
      <c r="BE137" s="14">
        <f>BD137*VLOOKUP('Données projet'!$B$11,Paramètres!$A$1:$I$89,3,0)*VLOOKUP('Données projet'!$B$11,Paramètres!$A$1:$I$89,5,0)</f>
        <v>-1.4897523215040567E-13</v>
      </c>
      <c r="BF137" s="14" t="e">
        <f t="shared" si="145"/>
        <v>#NUM!</v>
      </c>
      <c r="BG137" s="22" t="e">
        <f t="shared" si="115"/>
        <v>#NUM!</v>
      </c>
      <c r="BH137" s="60" t="e">
        <f t="shared" si="116"/>
        <v>#NUM!</v>
      </c>
      <c r="BI137" s="60">
        <f ca="1">AVERAGE(OFFSET($BH$3,0,0,'Données projet'!$E$11+1,1))-AVERAGE(OFFSET($H$3,0,0,'Données projet'!$E$11+1,1))</f>
        <v>314.62110015707839</v>
      </c>
      <c r="BJ137" s="60">
        <f t="shared" si="146"/>
        <v>285.36905470736582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2.7</v>
      </c>
      <c r="BY137" s="13">
        <f>IF('Données projet'!$A$114&gt;35,BY136+BX137-CG136,IF(A137&lt;'Données projet'!$A$114,$BV$205^A137,IF(A137='Données projet'!$A$114,'Données projet'!$B$114,BY136+BX137-CG136)))</f>
        <v>279.79999999999933</v>
      </c>
      <c r="BZ137" s="14">
        <f>BY137*VLOOKUP('Données projet'!$B$12,Paramètres!$A$1:$I$89,3,0)*VLOOKUP('Données projet'!$B$12,Paramètres!$A$1:$I$89,5,0)</f>
        <v>253.16303999999937</v>
      </c>
      <c r="CA137" s="14">
        <f t="shared" si="147"/>
        <v>61.262761848634923</v>
      </c>
      <c r="CB137" s="22">
        <f t="shared" si="118"/>
        <v>547.62493821970475</v>
      </c>
      <c r="CC137" s="60">
        <f t="shared" si="119"/>
        <v>840.958271553038</v>
      </c>
      <c r="CD137" s="60">
        <f ca="1">AVERAGE(OFFSET($CC$3,0,0,'Données projet'!$E$12+1,1))-AVERAGE(OFFSET($H$3,0,0,'Données projet'!$E$12+1,1))</f>
        <v>303.73499739059076</v>
      </c>
      <c r="CE137" s="60">
        <f t="shared" si="148"/>
        <v>172.32171001882188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2.7</v>
      </c>
      <c r="CT137" s="13">
        <f>IF('Données projet'!$A$140&gt;35,CT136+CS137-DB136,IF(A137&lt;'Données projet'!$A$140,$CQ$205^A137,IF(A137='Données projet'!$A$140,'Données projet'!$B$140,CT136+CS137-DB136)))</f>
        <v>279.79999999999933</v>
      </c>
      <c r="CU137" s="18">
        <f>CT137*VLOOKUP('Données projet'!$B$13,Paramètres!$A$1:$I$89,3,0)*VLOOKUP('Données projet'!$B$13,Paramètres!$A$1:$I$89,5,0)</f>
        <v>283.71719999999937</v>
      </c>
      <c r="CV137" s="14">
        <f t="shared" si="149"/>
        <v>67.751956122170526</v>
      </c>
      <c r="CW137" s="22">
        <f t="shared" si="121"/>
        <v>612.14211357944589</v>
      </c>
      <c r="CX137" s="60">
        <f t="shared" si="122"/>
        <v>905.47544691277926</v>
      </c>
      <c r="CY137" s="60">
        <f ca="1">AVERAGE(OFFSET($CX$3,0,0,'Données projet'!$E$13+1,1))-AVERAGE(OFFSET($H$3,0,0,'Données projet'!$E$13+1,1))</f>
        <v>350.3652766444938</v>
      </c>
      <c r="CZ137" s="60">
        <f t="shared" si="150"/>
        <v>197.04549436738586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2.7</v>
      </c>
      <c r="DO137" s="13">
        <f>IF('Données projet'!$A$166&gt;35,DO136+DN137-DW136,IF(A137&lt;'Données projet'!$A$166,$DL$205^A137,IF(A137='Données projet'!$A$166,'Données projet'!$B$166,DO136+DN137-DW136)))</f>
        <v>279.79999999999933</v>
      </c>
      <c r="DP137" s="18">
        <f>DO137*VLOOKUP('Données projet'!$B$14,Paramètres!$A$1:$I$89,3,0)*VLOOKUP('Données projet'!$B$14,Paramètres!$A$1:$I$89,5,0)</f>
        <v>301.17671999999925</v>
      </c>
      <c r="DQ137" s="14">
        <f t="shared" si="151"/>
        <v>71.423092953709514</v>
      </c>
      <c r="DR137" s="22">
        <f t="shared" si="124"/>
        <v>648.94467422770936</v>
      </c>
      <c r="DS137" s="60">
        <f t="shared" si="125"/>
        <v>942.27800756104261</v>
      </c>
      <c r="DT137" s="60">
        <f ca="1">AVERAGE(OFFSET($DS$3,0,0,'Données projet'!$E$14+1,1))-AVERAGE(OFFSET($H$3,0,0,'Données projet'!$E$14+1,1))</f>
        <v>376.96388721258387</v>
      </c>
      <c r="DU137" s="60">
        <f t="shared" si="152"/>
        <v>211.14628470344377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2.7</v>
      </c>
      <c r="EJ137" s="13">
        <f>IF('Données projet'!$A$192&gt;35,EJ136+EI137-ER136,IF(A137&lt;'Données projet'!$A$192,$EG$205^A137,IF(A137='Données projet'!$A$192,'Données projet'!$B$192,EJ136+EI137-ER136)))</f>
        <v>279.79999999999933</v>
      </c>
      <c r="EK137" s="18">
        <f>EJ137*VLOOKUP('Données projet'!$B$15,Paramètres!$A$1:$I$89,3,0)*VLOOKUP('Données projet'!$B$15,Paramètres!$A$1:$I$89,5,0)</f>
        <v>270.62255999999934</v>
      </c>
      <c r="EL137" s="14">
        <f t="shared" si="153"/>
        <v>64.981374516987898</v>
      </c>
      <c r="EM137" s="22">
        <f t="shared" si="127"/>
        <v>584.51018595041944</v>
      </c>
      <c r="EN137" s="60">
        <f t="shared" si="128"/>
        <v>877.84351928375281</v>
      </c>
      <c r="EO137" s="60">
        <f ca="1">AVERAGE(OFFSET($EN$3,0,0,'Données projet'!$E$15+1,1))-AVERAGE(OFFSET($H$3,0,0,'Données projet'!$E$15+1,1))</f>
        <v>330.39429528665841</v>
      </c>
      <c r="EP137" s="60">
        <f t="shared" si="154"/>
        <v>186.45728006007261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8">
        <f t="shared" si="110"/>
        <v>457.57597278324812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-3.3992364478763198E-14</v>
      </c>
      <c r="P138" s="14" t="e">
        <f t="shared" si="141"/>
        <v>#NUM!</v>
      </c>
      <c r="Q138" s="22" t="e">
        <f t="shared" si="108"/>
        <v>#NUM!</v>
      </c>
      <c r="R138" s="60" t="e">
        <f t="shared" si="109"/>
        <v>#NUM!</v>
      </c>
      <c r="S138" s="60">
        <f ca="1">AVERAGE(OFFSET($R$3,0,0,'Données projet'!$E$9+1,1))-AVERAGE(OFFSET($H$3,0,0,'Données projet'!$E$9+1,1))</f>
        <v>155.11440101086782</v>
      </c>
      <c r="T138" s="60">
        <f t="shared" si="142"/>
        <v>239.53454701506638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1.687042589457409</v>
      </c>
      <c r="AA138" s="23">
        <f>EXP(-LN(2)/25)*AA137+(1-EXP(-LN(2)/25))/(LN(2)/25)*Calculateur!V138*Calculateur!X138*VLOOKUP('Données projet'!$B$9,Paramètres!$A$1:$I$89,3,0)*0.475*44/12</f>
        <v>0.39403493930739958</v>
      </c>
      <c r="AB138" s="23">
        <f>EXP(-LN(2)/2)*AB137+(1-EXP(-LN(2)/2))/(LN(2)/2)*V138*Y138*VLOOKUP('Données projet'!$B$9,Paramètres!$A$1:$I$89,3,0)*0.475*44/12</f>
        <v>4.6301132830309083E-16</v>
      </c>
      <c r="AC138" s="24">
        <f t="shared" si="111"/>
        <v>2.0810775287648089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-3.4106051316484809E-13</v>
      </c>
      <c r="AJ138" s="14">
        <f>AI138*VLOOKUP('Données projet'!$B$10,Paramètres!$A$1:$I$89,3,0)*VLOOKUP('Données projet'!$B$10,Paramètres!$A$1:$I$89,5,0)</f>
        <v>-1.9065282685915009E-13</v>
      </c>
      <c r="AK138" s="14" t="e">
        <f t="shared" si="143"/>
        <v>#NUM!</v>
      </c>
      <c r="AL138" s="22" t="e">
        <f t="shared" si="112"/>
        <v>#NUM!</v>
      </c>
      <c r="AM138" s="60" t="e">
        <f t="shared" si="113"/>
        <v>#NUM!</v>
      </c>
      <c r="AN138" s="60">
        <f ca="1">AVERAGE(OFFSET($AM$3,0,0,'Données projet'!$E$10+1,1))-AVERAGE(OFFSET($H$3,0,0,'Données projet'!$E$10+1,1))</f>
        <v>302.20483575440988</v>
      </c>
      <c r="AO138" s="60">
        <f t="shared" si="144"/>
        <v>275.32862097158687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0.37616557140154089</v>
      </c>
      <c r="AW138" s="23">
        <f>EXP(-LN(2)/2)*AW137+(1-EXP(-LN(2)/2))/(LN(2)/2)*AQ138*AT138*VLOOKUP('Données projet'!$B$10,Paramètres!$A$1:$I$89,3,0)*0.475*44/12</f>
        <v>1.3826587200313806E-15</v>
      </c>
      <c r="AX138" s="23">
        <f t="shared" si="114"/>
        <v>0.37616557140154228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-1.7053025658242404E-13</v>
      </c>
      <c r="BE138" s="14">
        <f>BD138*VLOOKUP('Données projet'!$B$11,Paramètres!$A$1:$I$89,3,0)*VLOOKUP('Données projet'!$B$11,Paramètres!$A$1:$I$89,5,0)</f>
        <v>-1.4897523215040567E-13</v>
      </c>
      <c r="BF138" s="14" t="e">
        <f t="shared" si="145"/>
        <v>#NUM!</v>
      </c>
      <c r="BG138" s="22" t="e">
        <f t="shared" si="115"/>
        <v>#NUM!</v>
      </c>
      <c r="BH138" s="60" t="e">
        <f t="shared" si="116"/>
        <v>#NUM!</v>
      </c>
      <c r="BI138" s="60">
        <f ca="1">AVERAGE(OFFSET($BH$3,0,0,'Données projet'!$E$11+1,1))-AVERAGE(OFFSET($H$3,0,0,'Données projet'!$E$11+1,1))</f>
        <v>314.62110015707839</v>
      </c>
      <c r="BJ138" s="60">
        <f t="shared" si="146"/>
        <v>285.36905470736582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2.7</v>
      </c>
      <c r="BY138" s="13">
        <f>IF('Données projet'!$A$114&gt;35,BY137+BX138-CG137,IF(A138&lt;'Données projet'!$A$114,$BV$205^A138,IF(A138='Données projet'!$A$114,'Données projet'!$B$114,BY137+BX138-CG137)))</f>
        <v>282.49999999999932</v>
      </c>
      <c r="BZ138" s="14">
        <f>BY138*VLOOKUP('Données projet'!$B$12,Paramètres!$A$1:$I$89,3,0)*VLOOKUP('Données projet'!$B$12,Paramètres!$A$1:$I$89,5,0)</f>
        <v>255.60599999999937</v>
      </c>
      <c r="CA138" s="14">
        <f t="shared" si="147"/>
        <v>61.784827631732192</v>
      </c>
      <c r="CB138" s="22">
        <f t="shared" si="118"/>
        <v>552.78902479193243</v>
      </c>
      <c r="CC138" s="60">
        <f t="shared" si="119"/>
        <v>846.12235812526569</v>
      </c>
      <c r="CD138" s="60">
        <f ca="1">AVERAGE(OFFSET($CC$3,0,0,'Données projet'!$E$12+1,1))-AVERAGE(OFFSET($H$3,0,0,'Données projet'!$E$12+1,1))</f>
        <v>303.73499739059076</v>
      </c>
      <c r="CE138" s="60">
        <f t="shared" si="148"/>
        <v>172.32171001882188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2.7</v>
      </c>
      <c r="CT138" s="13">
        <f>IF('Données projet'!$A$140&gt;35,CT137+CS138-DB137,IF(A138&lt;'Données projet'!$A$140,$CQ$205^A138,IF(A138='Données projet'!$A$140,'Données projet'!$B$140,CT137+CS138-DB137)))</f>
        <v>282.49999999999932</v>
      </c>
      <c r="CU138" s="18">
        <f>CT138*VLOOKUP('Données projet'!$B$13,Paramètres!$A$1:$I$89,3,0)*VLOOKUP('Données projet'!$B$13,Paramètres!$A$1:$I$89,5,0)</f>
        <v>286.45499999999936</v>
      </c>
      <c r="CV138" s="14">
        <f t="shared" si="149"/>
        <v>68.329321179865531</v>
      </c>
      <c r="CW138" s="22">
        <f t="shared" si="121"/>
        <v>617.91602605493142</v>
      </c>
      <c r="CX138" s="60">
        <f t="shared" si="122"/>
        <v>911.24935938826479</v>
      </c>
      <c r="CY138" s="60">
        <f ca="1">AVERAGE(OFFSET($CX$3,0,0,'Données projet'!$E$13+1,1))-AVERAGE(OFFSET($H$3,0,0,'Données projet'!$E$13+1,1))</f>
        <v>350.3652766444938</v>
      </c>
      <c r="CZ138" s="60">
        <f t="shared" si="150"/>
        <v>197.04549436738586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2.7</v>
      </c>
      <c r="DO138" s="13">
        <f>IF('Données projet'!$A$166&gt;35,DO137+DN138-DW137,IF(A138&lt;'Données projet'!$A$166,$DL$205^A138,IF(A138='Données projet'!$A$166,'Données projet'!$B$166,DO137+DN138-DW137)))</f>
        <v>282.49999999999932</v>
      </c>
      <c r="DP138" s="18">
        <f>DO138*VLOOKUP('Données projet'!$B$14,Paramètres!$A$1:$I$89,3,0)*VLOOKUP('Données projet'!$B$14,Paramètres!$A$1:$I$89,5,0)</f>
        <v>304.08299999999929</v>
      </c>
      <c r="DQ138" s="14">
        <f t="shared" si="151"/>
        <v>72.031742512249494</v>
      </c>
      <c r="DR138" s="22">
        <f t="shared" si="124"/>
        <v>655.06650987549995</v>
      </c>
      <c r="DS138" s="60">
        <f t="shared" si="125"/>
        <v>948.39984320883332</v>
      </c>
      <c r="DT138" s="60">
        <f ca="1">AVERAGE(OFFSET($DS$3,0,0,'Données projet'!$E$14+1,1))-AVERAGE(OFFSET($H$3,0,0,'Données projet'!$E$14+1,1))</f>
        <v>376.96388721258387</v>
      </c>
      <c r="DU138" s="60">
        <f t="shared" si="152"/>
        <v>211.14628470344377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2.7</v>
      </c>
      <c r="EJ138" s="13">
        <f>IF('Données projet'!$A$192&gt;35,EJ137+EI138-ER137,IF(A138&lt;'Données projet'!$A$192,$EG$205^A138,IF(A138='Données projet'!$A$192,'Données projet'!$B$192,EJ137+EI138-ER137)))</f>
        <v>282.49999999999932</v>
      </c>
      <c r="EK138" s="18">
        <f>EJ138*VLOOKUP('Données projet'!$B$15,Paramètres!$A$1:$I$89,3,0)*VLOOKUP('Données projet'!$B$15,Paramètres!$A$1:$I$89,5,0)</f>
        <v>273.23399999999936</v>
      </c>
      <c r="EL138" s="14">
        <f t="shared" si="153"/>
        <v>65.535129378020301</v>
      </c>
      <c r="EM138" s="22">
        <f t="shared" si="127"/>
        <v>590.0229003333842</v>
      </c>
      <c r="EN138" s="60">
        <f t="shared" si="128"/>
        <v>883.35623366671757</v>
      </c>
      <c r="EO138" s="60">
        <f ca="1">AVERAGE(OFFSET($EN$3,0,0,'Données projet'!$E$15+1,1))-AVERAGE(OFFSET($H$3,0,0,'Données projet'!$E$15+1,1))</f>
        <v>330.39429528665841</v>
      </c>
      <c r="EP138" s="60">
        <f t="shared" si="154"/>
        <v>186.45728006007261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8">
        <f t="shared" si="110"/>
        <v>458.76156093300006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-3.3992364478763198E-14</v>
      </c>
      <c r="P139" s="14" t="e">
        <f t="shared" si="141"/>
        <v>#NUM!</v>
      </c>
      <c r="Q139" s="22" t="e">
        <f t="shared" si="108"/>
        <v>#NUM!</v>
      </c>
      <c r="R139" s="60" t="e">
        <f t="shared" si="109"/>
        <v>#NUM!</v>
      </c>
      <c r="S139" s="60">
        <f ca="1">AVERAGE(OFFSET($R$3,0,0,'Données projet'!$E$9+1,1))-AVERAGE(OFFSET($H$3,0,0,'Données projet'!$E$9+1,1))</f>
        <v>155.11440101086782</v>
      </c>
      <c r="T139" s="60">
        <f t="shared" si="142"/>
        <v>239.53454701506638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1.653960713272524</v>
      </c>
      <c r="AA139" s="23">
        <f>EXP(-LN(2)/25)*AA138+(1-EXP(-LN(2)/25))/(LN(2)/25)*Calculateur!V139*Calculateur!X139*VLOOKUP('Données projet'!$B$9,Paramètres!$A$1:$I$89,3,0)*0.475*44/12</f>
        <v>0.38326003317064183</v>
      </c>
      <c r="AB139" s="23">
        <f>EXP(-LN(2)/2)*AB138+(1-EXP(-LN(2)/2))/(LN(2)/2)*V139*Y139*VLOOKUP('Données projet'!$B$9,Paramètres!$A$1:$I$89,3,0)*0.475*44/12</f>
        <v>3.2739845000930638E-16</v>
      </c>
      <c r="AC139" s="24">
        <f t="shared" si="111"/>
        <v>2.0372207464431664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-3.4106051316484809E-13</v>
      </c>
      <c r="AJ139" s="14">
        <f>AI139*VLOOKUP('Données projet'!$B$10,Paramètres!$A$1:$I$89,3,0)*VLOOKUP('Données projet'!$B$10,Paramètres!$A$1:$I$89,5,0)</f>
        <v>-1.9065282685915009E-13</v>
      </c>
      <c r="AK139" s="14" t="e">
        <f t="shared" si="143"/>
        <v>#NUM!</v>
      </c>
      <c r="AL139" s="22" t="e">
        <f t="shared" si="112"/>
        <v>#NUM!</v>
      </c>
      <c r="AM139" s="60" t="e">
        <f t="shared" si="113"/>
        <v>#NUM!</v>
      </c>
      <c r="AN139" s="60">
        <f ca="1">AVERAGE(OFFSET($AM$3,0,0,'Données projet'!$E$10+1,1))-AVERAGE(OFFSET($H$3,0,0,'Données projet'!$E$10+1,1))</f>
        <v>302.20483575440988</v>
      </c>
      <c r="AO139" s="60">
        <f t="shared" si="144"/>
        <v>275.32862097158687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0.36587930406987806</v>
      </c>
      <c r="AW139" s="23">
        <f>EXP(-LN(2)/2)*AW138+(1-EXP(-LN(2)/2))/(LN(2)/2)*AQ139*AT139*VLOOKUP('Données projet'!$B$10,Paramètres!$A$1:$I$89,3,0)*0.475*44/12</f>
        <v>9.7768735700090131E-16</v>
      </c>
      <c r="AX139" s="23">
        <f t="shared" si="114"/>
        <v>0.36587930406987906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-1.7053025658242404E-13</v>
      </c>
      <c r="BE139" s="14">
        <f>BD139*VLOOKUP('Données projet'!$B$11,Paramètres!$A$1:$I$89,3,0)*VLOOKUP('Données projet'!$B$11,Paramètres!$A$1:$I$89,5,0)</f>
        <v>-1.4897523215040567E-13</v>
      </c>
      <c r="BF139" s="14" t="e">
        <f t="shared" si="145"/>
        <v>#NUM!</v>
      </c>
      <c r="BG139" s="22" t="e">
        <f t="shared" si="115"/>
        <v>#NUM!</v>
      </c>
      <c r="BH139" s="60" t="e">
        <f t="shared" si="116"/>
        <v>#NUM!</v>
      </c>
      <c r="BI139" s="60">
        <f ca="1">AVERAGE(OFFSET($BH$3,0,0,'Données projet'!$E$11+1,1))-AVERAGE(OFFSET($H$3,0,0,'Données projet'!$E$11+1,1))</f>
        <v>314.62110015707839</v>
      </c>
      <c r="BJ139" s="60">
        <f t="shared" si="146"/>
        <v>285.36905470736582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2.7</v>
      </c>
      <c r="BY139" s="13">
        <f>IF('Données projet'!$A$114&gt;35,BY138+BX139-CG138,IF(A139&lt;'Données projet'!$A$114,$BV$205^A139,IF(A139='Données projet'!$A$114,'Données projet'!$B$114,BY138+BX139-CG138)))</f>
        <v>285.19999999999931</v>
      </c>
      <c r="BZ139" s="14">
        <f>BY139*VLOOKUP('Données projet'!$B$12,Paramètres!$A$1:$I$89,3,0)*VLOOKUP('Données projet'!$B$12,Paramètres!$A$1:$I$89,5,0)</f>
        <v>258.0489599999994</v>
      </c>
      <c r="CA139" s="14">
        <f t="shared" si="147"/>
        <v>62.306312932555649</v>
      </c>
      <c r="CB139" s="22">
        <f t="shared" si="118"/>
        <v>557.95210035753337</v>
      </c>
      <c r="CC139" s="60">
        <f t="shared" si="119"/>
        <v>851.28543369086674</v>
      </c>
      <c r="CD139" s="60">
        <f ca="1">AVERAGE(OFFSET($CC$3,0,0,'Données projet'!$E$12+1,1))-AVERAGE(OFFSET($H$3,0,0,'Données projet'!$E$12+1,1))</f>
        <v>303.73499739059076</v>
      </c>
      <c r="CE139" s="60">
        <f t="shared" si="148"/>
        <v>172.32171001882188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2.7</v>
      </c>
      <c r="CT139" s="13">
        <f>IF('Données projet'!$A$140&gt;35,CT138+CS139-DB138,IF(A139&lt;'Données projet'!$A$140,$CQ$205^A139,IF(A139='Données projet'!$A$140,'Données projet'!$B$140,CT138+CS139-DB138)))</f>
        <v>285.19999999999931</v>
      </c>
      <c r="CU139" s="18">
        <f>CT139*VLOOKUP('Données projet'!$B$13,Paramètres!$A$1:$I$89,3,0)*VLOOKUP('Données projet'!$B$13,Paramètres!$A$1:$I$89,5,0)</f>
        <v>289.19279999999935</v>
      </c>
      <c r="CV139" s="14">
        <f t="shared" si="149"/>
        <v>68.906044268306161</v>
      </c>
      <c r="CW139" s="22">
        <f t="shared" si="121"/>
        <v>623.68882043396547</v>
      </c>
      <c r="CX139" s="60">
        <f t="shared" si="122"/>
        <v>917.02215376729873</v>
      </c>
      <c r="CY139" s="60">
        <f ca="1">AVERAGE(OFFSET($CX$3,0,0,'Données projet'!$E$13+1,1))-AVERAGE(OFFSET($H$3,0,0,'Données projet'!$E$13+1,1))</f>
        <v>350.3652766444938</v>
      </c>
      <c r="CZ139" s="60">
        <f t="shared" si="150"/>
        <v>197.04549436738586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2.7</v>
      </c>
      <c r="DO139" s="13">
        <f>IF('Données projet'!$A$166&gt;35,DO138+DN139-DW138,IF(A139&lt;'Données projet'!$A$166,$DL$205^A139,IF(A139='Données projet'!$A$166,'Données projet'!$B$166,DO138+DN139-DW138)))</f>
        <v>285.19999999999931</v>
      </c>
      <c r="DP139" s="18">
        <f>DO139*VLOOKUP('Données projet'!$B$14,Paramètres!$A$1:$I$89,3,0)*VLOOKUP('Données projet'!$B$14,Paramètres!$A$1:$I$89,5,0)</f>
        <v>306.98927999999921</v>
      </c>
      <c r="DQ139" s="14">
        <f t="shared" si="151"/>
        <v>72.639715316458506</v>
      </c>
      <c r="DR139" s="22">
        <f t="shared" si="124"/>
        <v>661.18716684283038</v>
      </c>
      <c r="DS139" s="60">
        <f t="shared" si="125"/>
        <v>954.52050017616375</v>
      </c>
      <c r="DT139" s="60">
        <f ca="1">AVERAGE(OFFSET($DS$3,0,0,'Données projet'!$E$14+1,1))-AVERAGE(OFFSET($H$3,0,0,'Données projet'!$E$14+1,1))</f>
        <v>376.96388721258387</v>
      </c>
      <c r="DU139" s="60">
        <f t="shared" si="152"/>
        <v>211.14628470344377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2.7</v>
      </c>
      <c r="EJ139" s="13">
        <f>IF('Données projet'!$A$192&gt;35,EJ138+EI139-ER138,IF(A139&lt;'Données projet'!$A$192,$EG$205^A139,IF(A139='Données projet'!$A$192,'Données projet'!$B$192,EJ138+EI139-ER138)))</f>
        <v>285.19999999999931</v>
      </c>
      <c r="EK139" s="18">
        <f>EJ139*VLOOKUP('Données projet'!$B$15,Paramètres!$A$1:$I$89,3,0)*VLOOKUP('Données projet'!$B$15,Paramètres!$A$1:$I$89,5,0)</f>
        <v>275.84543999999931</v>
      </c>
      <c r="EL139" s="14">
        <f t="shared" si="153"/>
        <v>66.088268521855113</v>
      </c>
      <c r="EM139" s="22">
        <f t="shared" si="127"/>
        <v>595.53454234222977</v>
      </c>
      <c r="EN139" s="60">
        <f t="shared" si="128"/>
        <v>888.86787567556303</v>
      </c>
      <c r="EO139" s="60">
        <f ca="1">AVERAGE(OFFSET($EN$3,0,0,'Données projet'!$E$15+1,1))-AVERAGE(OFFSET($H$3,0,0,'Données projet'!$E$15+1,1))</f>
        <v>330.39429528665841</v>
      </c>
      <c r="EP139" s="60">
        <f t="shared" si="154"/>
        <v>186.45728006007261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8">
        <f t="shared" si="110"/>
        <v>459.94694834410268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-3.3992364478763198E-14</v>
      </c>
      <c r="P140" s="14" t="e">
        <f t="shared" si="141"/>
        <v>#NUM!</v>
      </c>
      <c r="Q140" s="22" t="e">
        <f t="shared" si="108"/>
        <v>#NUM!</v>
      </c>
      <c r="R140" s="60" t="e">
        <f t="shared" si="109"/>
        <v>#NUM!</v>
      </c>
      <c r="S140" s="60">
        <f ca="1">AVERAGE(OFFSET($R$3,0,0,'Données projet'!$E$9+1,1))-AVERAGE(OFFSET($H$3,0,0,'Données projet'!$E$9+1,1))</f>
        <v>155.11440101086782</v>
      </c>
      <c r="T140" s="60">
        <f t="shared" si="142"/>
        <v>239.53454701506638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1.6215275525016726</v>
      </c>
      <c r="AA140" s="23">
        <f>EXP(-LN(2)/25)*AA139+(1-EXP(-LN(2)/25))/(LN(2)/25)*Calculateur!V140*Calculateur!X140*VLOOKUP('Données projet'!$B$9,Paramètres!$A$1:$I$89,3,0)*0.475*44/12</f>
        <v>0.37277976740882146</v>
      </c>
      <c r="AB140" s="23">
        <f>EXP(-LN(2)/2)*AB139+(1-EXP(-LN(2)/2))/(LN(2)/2)*V140*Y140*VLOOKUP('Données projet'!$B$9,Paramètres!$A$1:$I$89,3,0)*0.475*44/12</f>
        <v>2.3150566415154542E-16</v>
      </c>
      <c r="AC140" s="24">
        <f t="shared" si="111"/>
        <v>1.9943073199104944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-3.4106051316484809E-13</v>
      </c>
      <c r="AJ140" s="14">
        <f>AI140*VLOOKUP('Données projet'!$B$10,Paramètres!$A$1:$I$89,3,0)*VLOOKUP('Données projet'!$B$10,Paramètres!$A$1:$I$89,5,0)</f>
        <v>-1.9065282685915009E-13</v>
      </c>
      <c r="AK140" s="14" t="e">
        <f t="shared" si="143"/>
        <v>#NUM!</v>
      </c>
      <c r="AL140" s="22" t="e">
        <f t="shared" si="112"/>
        <v>#NUM!</v>
      </c>
      <c r="AM140" s="60" t="e">
        <f t="shared" si="113"/>
        <v>#NUM!</v>
      </c>
      <c r="AN140" s="60">
        <f ca="1">AVERAGE(OFFSET($AM$3,0,0,'Données projet'!$E$10+1,1))-AVERAGE(OFFSET($H$3,0,0,'Données projet'!$E$10+1,1))</f>
        <v>302.20483575440988</v>
      </c>
      <c r="AO140" s="60">
        <f t="shared" si="144"/>
        <v>275.32862097158687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0.35587431525933089</v>
      </c>
      <c r="AW140" s="23">
        <f>EXP(-LN(2)/2)*AW139+(1-EXP(-LN(2)/2))/(LN(2)/2)*AQ140*AT140*VLOOKUP('Données projet'!$B$10,Paramètres!$A$1:$I$89,3,0)*0.475*44/12</f>
        <v>6.913293600156903E-16</v>
      </c>
      <c r="AX140" s="23">
        <f t="shared" si="114"/>
        <v>0.35587431525933155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-1.7053025658242404E-13</v>
      </c>
      <c r="BE140" s="14">
        <f>BD140*VLOOKUP('Données projet'!$B$11,Paramètres!$A$1:$I$89,3,0)*VLOOKUP('Données projet'!$B$11,Paramètres!$A$1:$I$89,5,0)</f>
        <v>-1.4897523215040567E-13</v>
      </c>
      <c r="BF140" s="14" t="e">
        <f t="shared" si="145"/>
        <v>#NUM!</v>
      </c>
      <c r="BG140" s="22" t="e">
        <f t="shared" si="115"/>
        <v>#NUM!</v>
      </c>
      <c r="BH140" s="60" t="e">
        <f t="shared" si="116"/>
        <v>#NUM!</v>
      </c>
      <c r="BI140" s="60">
        <f ca="1">AVERAGE(OFFSET($BH$3,0,0,'Données projet'!$E$11+1,1))-AVERAGE(OFFSET($H$3,0,0,'Données projet'!$E$11+1,1))</f>
        <v>314.62110015707839</v>
      </c>
      <c r="BJ140" s="60">
        <f t="shared" si="146"/>
        <v>285.36905470736582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2.7</v>
      </c>
      <c r="BY140" s="13">
        <f>IF('Données projet'!$A$114&gt;35,BY139+BX140-CG139,IF(A140&lt;'Données projet'!$A$114,$BV$205^A140,IF(A140='Données projet'!$A$114,'Données projet'!$B$114,BY139+BX140-CG139)))</f>
        <v>287.8999999999993</v>
      </c>
      <c r="BZ140" s="14">
        <f>BY140*VLOOKUP('Données projet'!$B$12,Paramètres!$A$1:$I$89,3,0)*VLOOKUP('Données projet'!$B$12,Paramètres!$A$1:$I$89,5,0)</f>
        <v>260.49191999999937</v>
      </c>
      <c r="CA140" s="14">
        <f t="shared" si="147"/>
        <v>62.827223883029681</v>
      </c>
      <c r="CB140" s="22">
        <f t="shared" si="118"/>
        <v>563.11417559627546</v>
      </c>
      <c r="CC140" s="60">
        <f t="shared" si="119"/>
        <v>856.44750892960883</v>
      </c>
      <c r="CD140" s="60">
        <f ca="1">AVERAGE(OFFSET($CC$3,0,0,'Données projet'!$E$12+1,1))-AVERAGE(OFFSET($H$3,0,0,'Données projet'!$E$12+1,1))</f>
        <v>303.73499739059076</v>
      </c>
      <c r="CE140" s="60">
        <f t="shared" si="148"/>
        <v>172.32171001882188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2.7</v>
      </c>
      <c r="CT140" s="13">
        <f>IF('Données projet'!$A$140&gt;35,CT139+CS140-DB139,IF(A140&lt;'Données projet'!$A$140,$CQ$205^A140,IF(A140='Données projet'!$A$140,'Données projet'!$B$140,CT139+CS140-DB139)))</f>
        <v>287.8999999999993</v>
      </c>
      <c r="CU140" s="18">
        <f>CT140*VLOOKUP('Données projet'!$B$13,Paramètres!$A$1:$I$89,3,0)*VLOOKUP('Données projet'!$B$13,Paramètres!$A$1:$I$89,5,0)</f>
        <v>291.93059999999929</v>
      </c>
      <c r="CV140" s="14">
        <f t="shared" si="149"/>
        <v>69.482132168934584</v>
      </c>
      <c r="CW140" s="22">
        <f t="shared" si="121"/>
        <v>629.4605085275598</v>
      </c>
      <c r="CX140" s="60">
        <f t="shared" si="122"/>
        <v>922.79384186089305</v>
      </c>
      <c r="CY140" s="60">
        <f ca="1">AVERAGE(OFFSET($CX$3,0,0,'Données projet'!$E$13+1,1))-AVERAGE(OFFSET($H$3,0,0,'Données projet'!$E$13+1,1))</f>
        <v>350.3652766444938</v>
      </c>
      <c r="CZ140" s="60">
        <f t="shared" si="150"/>
        <v>197.04549436738586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2.7</v>
      </c>
      <c r="DO140" s="13">
        <f>IF('Données projet'!$A$166&gt;35,DO139+DN140-DW139,IF(A140&lt;'Données projet'!$A$166,$DL$205^A140,IF(A140='Données projet'!$A$166,'Données projet'!$B$166,DO139+DN140-DW139)))</f>
        <v>287.8999999999993</v>
      </c>
      <c r="DP140" s="18">
        <f>DO140*VLOOKUP('Données projet'!$B$14,Paramètres!$A$1:$I$89,3,0)*VLOOKUP('Données projet'!$B$14,Paramètres!$A$1:$I$89,5,0)</f>
        <v>309.89555999999925</v>
      </c>
      <c r="DQ140" s="14">
        <f t="shared" si="151"/>
        <v>73.247018515231034</v>
      </c>
      <c r="DR140" s="22">
        <f t="shared" si="124"/>
        <v>667.30665758069279</v>
      </c>
      <c r="DS140" s="60">
        <f t="shared" si="125"/>
        <v>960.63999091402616</v>
      </c>
      <c r="DT140" s="60">
        <f ca="1">AVERAGE(OFFSET($DS$3,0,0,'Données projet'!$E$14+1,1))-AVERAGE(OFFSET($H$3,0,0,'Données projet'!$E$14+1,1))</f>
        <v>376.96388721258387</v>
      </c>
      <c r="DU140" s="60">
        <f t="shared" si="152"/>
        <v>211.14628470344377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2.7</v>
      </c>
      <c r="EJ140" s="13">
        <f>IF('Données projet'!$A$192&gt;35,EJ139+EI140-ER139,IF(A140&lt;'Données projet'!$A$192,$EG$205^A140,IF(A140='Données projet'!$A$192,'Données projet'!$B$192,EJ139+EI140-ER139)))</f>
        <v>287.8999999999993</v>
      </c>
      <c r="EK140" s="18">
        <f>EJ140*VLOOKUP('Données projet'!$B$15,Paramètres!$A$1:$I$89,3,0)*VLOOKUP('Données projet'!$B$15,Paramètres!$A$1:$I$89,5,0)</f>
        <v>278.45687999999933</v>
      </c>
      <c r="EL140" s="14">
        <f t="shared" si="153"/>
        <v>66.640798452620999</v>
      </c>
      <c r="EM140" s="22">
        <f t="shared" si="127"/>
        <v>601.04512330498039</v>
      </c>
      <c r="EN140" s="60">
        <f t="shared" si="128"/>
        <v>894.37845663831376</v>
      </c>
      <c r="EO140" s="60">
        <f ca="1">AVERAGE(OFFSET($EN$3,0,0,'Données projet'!$E$15+1,1))-AVERAGE(OFFSET($H$3,0,0,'Données projet'!$E$15+1,1))</f>
        <v>330.39429528665841</v>
      </c>
      <c r="EP140" s="60">
        <f t="shared" si="154"/>
        <v>186.45728006007261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8">
        <f t="shared" si="110"/>
        <v>461.13213665169064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-3.3992364478763198E-14</v>
      </c>
      <c r="P141" s="14" t="e">
        <f t="shared" si="141"/>
        <v>#NUM!</v>
      </c>
      <c r="Q141" s="22" t="e">
        <f t="shared" si="108"/>
        <v>#NUM!</v>
      </c>
      <c r="R141" s="60" t="e">
        <f t="shared" si="109"/>
        <v>#NUM!</v>
      </c>
      <c r="S141" s="60">
        <f ca="1">AVERAGE(OFFSET($R$3,0,0,'Données projet'!$E$9+1,1))-AVERAGE(OFFSET($H$3,0,0,'Données projet'!$E$9+1,1))</f>
        <v>155.11440101086782</v>
      </c>
      <c r="T141" s="60">
        <f t="shared" si="142"/>
        <v>239.53454701506638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1.5897303862312628</v>
      </c>
      <c r="AA141" s="23">
        <f>EXP(-LN(2)/25)*AA140+(1-EXP(-LN(2)/25))/(LN(2)/25)*Calculateur!V141*Calculateur!X141*VLOOKUP('Données projet'!$B$9,Paramètres!$A$1:$I$89,3,0)*0.475*44/12</f>
        <v>0.36258608506539125</v>
      </c>
      <c r="AB141" s="23">
        <f>EXP(-LN(2)/2)*AB140+(1-EXP(-LN(2)/2))/(LN(2)/2)*V141*Y141*VLOOKUP('Données projet'!$B$9,Paramètres!$A$1:$I$89,3,0)*0.475*44/12</f>
        <v>1.6369922500465319E-16</v>
      </c>
      <c r="AC141" s="24">
        <f t="shared" si="111"/>
        <v>1.9523164712966543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-3.4106051316484809E-13</v>
      </c>
      <c r="AJ141" s="14">
        <f>AI141*VLOOKUP('Données projet'!$B$10,Paramètres!$A$1:$I$89,3,0)*VLOOKUP('Données projet'!$B$10,Paramètres!$A$1:$I$89,5,0)</f>
        <v>-1.9065282685915009E-13</v>
      </c>
      <c r="AK141" s="14" t="e">
        <f t="shared" si="143"/>
        <v>#NUM!</v>
      </c>
      <c r="AL141" s="22" t="e">
        <f t="shared" si="112"/>
        <v>#NUM!</v>
      </c>
      <c r="AM141" s="60" t="e">
        <f t="shared" si="113"/>
        <v>#NUM!</v>
      </c>
      <c r="AN141" s="60">
        <f ca="1">AVERAGE(OFFSET($AM$3,0,0,'Données projet'!$E$10+1,1))-AVERAGE(OFFSET($H$3,0,0,'Données projet'!$E$10+1,1))</f>
        <v>302.20483575440988</v>
      </c>
      <c r="AO141" s="60">
        <f t="shared" si="144"/>
        <v>275.32862097158687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0.34614291339394759</v>
      </c>
      <c r="AW141" s="23">
        <f>EXP(-LN(2)/2)*AW140+(1-EXP(-LN(2)/2))/(LN(2)/2)*AQ141*AT141*VLOOKUP('Données projet'!$B$10,Paramètres!$A$1:$I$89,3,0)*0.475*44/12</f>
        <v>4.8884367850045066E-16</v>
      </c>
      <c r="AX141" s="23">
        <f t="shared" si="114"/>
        <v>0.34614291339394809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-1.7053025658242404E-13</v>
      </c>
      <c r="BE141" s="14">
        <f>BD141*VLOOKUP('Données projet'!$B$11,Paramètres!$A$1:$I$89,3,0)*VLOOKUP('Données projet'!$B$11,Paramètres!$A$1:$I$89,5,0)</f>
        <v>-1.4897523215040567E-13</v>
      </c>
      <c r="BF141" s="14" t="e">
        <f t="shared" si="145"/>
        <v>#NUM!</v>
      </c>
      <c r="BG141" s="22" t="e">
        <f t="shared" si="115"/>
        <v>#NUM!</v>
      </c>
      <c r="BH141" s="60" t="e">
        <f t="shared" si="116"/>
        <v>#NUM!</v>
      </c>
      <c r="BI141" s="60">
        <f ca="1">AVERAGE(OFFSET($BH$3,0,0,'Données projet'!$E$11+1,1))-AVERAGE(OFFSET($H$3,0,0,'Données projet'!$E$11+1,1))</f>
        <v>314.62110015707839</v>
      </c>
      <c r="BJ141" s="60">
        <f t="shared" si="146"/>
        <v>285.36905470736582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2.7</v>
      </c>
      <c r="BY141" s="13">
        <f>IF('Données projet'!$A$114&gt;35,BY140+BX141-CG140,IF(A141&lt;'Données projet'!$A$114,$BV$205^A141,IF(A141='Données projet'!$A$114,'Données projet'!$B$114,BY140+BX141-CG140)))</f>
        <v>290.59999999999928</v>
      </c>
      <c r="BZ141" s="14">
        <f>BY141*VLOOKUP('Données projet'!$B$12,Paramètres!$A$1:$I$89,3,0)*VLOOKUP('Données projet'!$B$12,Paramètres!$A$1:$I$89,5,0)</f>
        <v>262.93487999999934</v>
      </c>
      <c r="CA141" s="14">
        <f t="shared" si="147"/>
        <v>63.347566493432652</v>
      </c>
      <c r="CB141" s="22">
        <f t="shared" si="118"/>
        <v>568.27526097606062</v>
      </c>
      <c r="CC141" s="60">
        <f t="shared" si="119"/>
        <v>861.60859430939399</v>
      </c>
      <c r="CD141" s="60">
        <f ca="1">AVERAGE(OFFSET($CC$3,0,0,'Données projet'!$E$12+1,1))-AVERAGE(OFFSET($H$3,0,0,'Données projet'!$E$12+1,1))</f>
        <v>303.73499739059076</v>
      </c>
      <c r="CE141" s="60">
        <f t="shared" si="148"/>
        <v>172.32171001882188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2.7</v>
      </c>
      <c r="CT141" s="13">
        <f>IF('Données projet'!$A$140&gt;35,CT140+CS141-DB140,IF(A141&lt;'Données projet'!$A$140,$CQ$205^A141,IF(A141='Données projet'!$A$140,'Données projet'!$B$140,CT140+CS141-DB140)))</f>
        <v>290.59999999999928</v>
      </c>
      <c r="CU141" s="18">
        <f>CT141*VLOOKUP('Données projet'!$B$13,Paramètres!$A$1:$I$89,3,0)*VLOOKUP('Données projet'!$B$13,Paramètres!$A$1:$I$89,5,0)</f>
        <v>294.66839999999928</v>
      </c>
      <c r="CV141" s="14">
        <f t="shared" si="149"/>
        <v>70.057591528661433</v>
      </c>
      <c r="CW141" s="22">
        <f t="shared" si="121"/>
        <v>635.23110191241733</v>
      </c>
      <c r="CX141" s="60">
        <f t="shared" si="122"/>
        <v>928.5644352457507</v>
      </c>
      <c r="CY141" s="60">
        <f ca="1">AVERAGE(OFFSET($CX$3,0,0,'Données projet'!$E$13+1,1))-AVERAGE(OFFSET($H$3,0,0,'Données projet'!$E$13+1,1))</f>
        <v>350.3652766444938</v>
      </c>
      <c r="CZ141" s="60">
        <f t="shared" si="150"/>
        <v>197.04549436738586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2.7</v>
      </c>
      <c r="DO141" s="13">
        <f>IF('Données projet'!$A$166&gt;35,DO140+DN141-DW140,IF(A141&lt;'Données projet'!$A$166,$DL$205^A141,IF(A141='Données projet'!$A$166,'Données projet'!$B$166,DO140+DN141-DW140)))</f>
        <v>290.59999999999928</v>
      </c>
      <c r="DP141" s="18">
        <f>DO141*VLOOKUP('Données projet'!$B$14,Paramètres!$A$1:$I$89,3,0)*VLOOKUP('Données projet'!$B$14,Paramètres!$A$1:$I$89,5,0)</f>
        <v>312.80183999999923</v>
      </c>
      <c r="DQ141" s="14">
        <f t="shared" si="151"/>
        <v>73.853659115640255</v>
      </c>
      <c r="DR141" s="22">
        <f t="shared" si="124"/>
        <v>673.42499429307202</v>
      </c>
      <c r="DS141" s="60">
        <f t="shared" si="125"/>
        <v>966.75832762640539</v>
      </c>
      <c r="DT141" s="60">
        <f ca="1">AVERAGE(OFFSET($DS$3,0,0,'Données projet'!$E$14+1,1))-AVERAGE(OFFSET($H$3,0,0,'Données projet'!$E$14+1,1))</f>
        <v>376.96388721258387</v>
      </c>
      <c r="DU141" s="60">
        <f t="shared" si="152"/>
        <v>211.14628470344377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2.7</v>
      </c>
      <c r="EJ141" s="13">
        <f>IF('Données projet'!$A$192&gt;35,EJ140+EI141-ER140,IF(A141&lt;'Données projet'!$A$192,$EG$205^A141,IF(A141='Données projet'!$A$192,'Données projet'!$B$192,EJ140+EI141-ER140)))</f>
        <v>290.59999999999928</v>
      </c>
      <c r="EK141" s="18">
        <f>EJ141*VLOOKUP('Données projet'!$B$15,Paramètres!$A$1:$I$89,3,0)*VLOOKUP('Données projet'!$B$15,Paramètres!$A$1:$I$89,5,0)</f>
        <v>281.06831999999929</v>
      </c>
      <c r="EL141" s="14">
        <f t="shared" si="153"/>
        <v>67.192725545416536</v>
      </c>
      <c r="EM141" s="22">
        <f t="shared" si="127"/>
        <v>606.55465432493247</v>
      </c>
      <c r="EN141" s="60">
        <f t="shared" si="128"/>
        <v>899.88798765826573</v>
      </c>
      <c r="EO141" s="60">
        <f ca="1">AVERAGE(OFFSET($EN$3,0,0,'Données projet'!$E$15+1,1))-AVERAGE(OFFSET($H$3,0,0,'Données projet'!$E$15+1,1))</f>
        <v>330.39429528665841</v>
      </c>
      <c r="EP141" s="60">
        <f t="shared" si="154"/>
        <v>186.45728006007261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8">
        <f t="shared" si="110"/>
        <v>462.31712746583173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-3.3992364478763198E-14</v>
      </c>
      <c r="P142" s="14" t="e">
        <f t="shared" si="141"/>
        <v>#NUM!</v>
      </c>
      <c r="Q142" s="22" t="e">
        <f t="shared" si="108"/>
        <v>#NUM!</v>
      </c>
      <c r="R142" s="60" t="e">
        <f t="shared" si="109"/>
        <v>#NUM!</v>
      </c>
      <c r="S142" s="60">
        <f ca="1">AVERAGE(OFFSET($R$3,0,0,'Données projet'!$E$9+1,1))-AVERAGE(OFFSET($H$3,0,0,'Données projet'!$E$9+1,1))</f>
        <v>155.11440101086782</v>
      </c>
      <c r="T142" s="60">
        <f t="shared" si="142"/>
        <v>239.53454701506638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1.5585567429970595</v>
      </c>
      <c r="AA142" s="23">
        <f>EXP(-LN(2)/25)*AA141+(1-EXP(-LN(2)/25))/(LN(2)/25)*Calculateur!V142*Calculateur!X142*VLOOKUP('Données projet'!$B$9,Paramètres!$A$1:$I$89,3,0)*0.475*44/12</f>
        <v>0.35267114950170464</v>
      </c>
      <c r="AB142" s="23">
        <f>EXP(-LN(2)/2)*AB141+(1-EXP(-LN(2)/2))/(LN(2)/2)*V142*Y142*VLOOKUP('Données projet'!$B$9,Paramètres!$A$1:$I$89,3,0)*0.475*44/12</f>
        <v>1.1575283207577271E-16</v>
      </c>
      <c r="AC142" s="24">
        <f t="shared" si="111"/>
        <v>1.9112278924987642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-3.4106051316484809E-13</v>
      </c>
      <c r="AJ142" s="14">
        <f>AI142*VLOOKUP('Données projet'!$B$10,Paramètres!$A$1:$I$89,3,0)*VLOOKUP('Données projet'!$B$10,Paramètres!$A$1:$I$89,5,0)</f>
        <v>-1.9065282685915009E-13</v>
      </c>
      <c r="AK142" s="14" t="e">
        <f t="shared" si="143"/>
        <v>#NUM!</v>
      </c>
      <c r="AL142" s="22" t="e">
        <f t="shared" si="112"/>
        <v>#NUM!</v>
      </c>
      <c r="AM142" s="60" t="e">
        <f t="shared" si="113"/>
        <v>#NUM!</v>
      </c>
      <c r="AN142" s="60">
        <f ca="1">AVERAGE(OFFSET($AM$3,0,0,'Données projet'!$E$10+1,1))-AVERAGE(OFFSET($H$3,0,0,'Données projet'!$E$10+1,1))</f>
        <v>302.20483575440988</v>
      </c>
      <c r="AO142" s="60">
        <f t="shared" si="144"/>
        <v>275.32862097158687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0.33667761722432538</v>
      </c>
      <c r="AW142" s="23">
        <f>EXP(-LN(2)/2)*AW141+(1-EXP(-LN(2)/2))/(LN(2)/2)*AQ142*AT142*VLOOKUP('Données projet'!$B$10,Paramètres!$A$1:$I$89,3,0)*0.475*44/12</f>
        <v>3.4566468000784515E-16</v>
      </c>
      <c r="AX142" s="23">
        <f t="shared" si="114"/>
        <v>0.33667761722432571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-1.7053025658242404E-13</v>
      </c>
      <c r="BE142" s="14">
        <f>BD142*VLOOKUP('Données projet'!$B$11,Paramètres!$A$1:$I$89,3,0)*VLOOKUP('Données projet'!$B$11,Paramètres!$A$1:$I$89,5,0)</f>
        <v>-1.4897523215040567E-13</v>
      </c>
      <c r="BF142" s="14" t="e">
        <f t="shared" si="145"/>
        <v>#NUM!</v>
      </c>
      <c r="BG142" s="22" t="e">
        <f t="shared" si="115"/>
        <v>#NUM!</v>
      </c>
      <c r="BH142" s="60" t="e">
        <f t="shared" si="116"/>
        <v>#NUM!</v>
      </c>
      <c r="BI142" s="60">
        <f ca="1">AVERAGE(OFFSET($BH$3,0,0,'Données projet'!$E$11+1,1))-AVERAGE(OFFSET($H$3,0,0,'Données projet'!$E$11+1,1))</f>
        <v>314.62110015707839</v>
      </c>
      <c r="BJ142" s="60">
        <f t="shared" si="146"/>
        <v>285.36905470736582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2.7</v>
      </c>
      <c r="BY142" s="13">
        <f>IF('Données projet'!$A$114&gt;35,BY141+BX142-CG141,IF(A142&lt;'Données projet'!$A$114,$BV$205^A142,IF(A142='Données projet'!$A$114,'Données projet'!$B$114,BY141+BX142-CG141)))</f>
        <v>293.29999999999927</v>
      </c>
      <c r="BZ142" s="14">
        <f>BY142*VLOOKUP('Données projet'!$B$12,Paramètres!$A$1:$I$89,3,0)*VLOOKUP('Données projet'!$B$12,Paramètres!$A$1:$I$89,5,0)</f>
        <v>265.37783999999937</v>
      </c>
      <c r="CA142" s="14">
        <f t="shared" si="147"/>
        <v>63.867346655917089</v>
      </c>
      <c r="CB142" s="22">
        <f t="shared" si="118"/>
        <v>573.43536675905443</v>
      </c>
      <c r="CC142" s="60">
        <f t="shared" si="119"/>
        <v>866.76870009238769</v>
      </c>
      <c r="CD142" s="60">
        <f ca="1">AVERAGE(OFFSET($CC$3,0,0,'Données projet'!$E$12+1,1))-AVERAGE(OFFSET($H$3,0,0,'Données projet'!$E$12+1,1))</f>
        <v>303.73499739059076</v>
      </c>
      <c r="CE142" s="60">
        <f t="shared" si="148"/>
        <v>172.32171001882188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2.7</v>
      </c>
      <c r="CT142" s="13">
        <f>IF('Données projet'!$A$140&gt;35,CT141+CS142-DB141,IF(A142&lt;'Données projet'!$A$140,$CQ$205^A142,IF(A142='Données projet'!$A$140,'Données projet'!$B$140,CT141+CS142-DB141)))</f>
        <v>293.29999999999927</v>
      </c>
      <c r="CU142" s="18">
        <f>CT142*VLOOKUP('Données projet'!$B$13,Paramètres!$A$1:$I$89,3,0)*VLOOKUP('Données projet'!$B$13,Paramètres!$A$1:$I$89,5,0)</f>
        <v>297.40619999999927</v>
      </c>
      <c r="CV142" s="14">
        <f t="shared" si="149"/>
        <v>70.632428863759543</v>
      </c>
      <c r="CW142" s="22">
        <f t="shared" si="121"/>
        <v>641.0006119377133</v>
      </c>
      <c r="CX142" s="60">
        <f t="shared" si="122"/>
        <v>934.33394527104656</v>
      </c>
      <c r="CY142" s="60">
        <f ca="1">AVERAGE(OFFSET($CX$3,0,0,'Données projet'!$E$13+1,1))-AVERAGE(OFFSET($H$3,0,0,'Données projet'!$E$13+1,1))</f>
        <v>350.3652766444938</v>
      </c>
      <c r="CZ142" s="60">
        <f t="shared" si="150"/>
        <v>197.04549436738586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2.7</v>
      </c>
      <c r="DO142" s="13">
        <f>IF('Données projet'!$A$166&gt;35,DO141+DN142-DW141,IF(A142&lt;'Données projet'!$A$166,$DL$205^A142,IF(A142='Données projet'!$A$166,'Données projet'!$B$166,DO141+DN142-DW141)))</f>
        <v>293.29999999999927</v>
      </c>
      <c r="DP142" s="18">
        <f>DO142*VLOOKUP('Données projet'!$B$14,Paramètres!$A$1:$I$89,3,0)*VLOOKUP('Données projet'!$B$14,Paramètres!$A$1:$I$89,5,0)</f>
        <v>315.70811999999916</v>
      </c>
      <c r="DQ142" s="14">
        <f t="shared" si="151"/>
        <v>74.459643987042966</v>
      </c>
      <c r="DR142" s="22">
        <f t="shared" si="124"/>
        <v>679.54218894409837</v>
      </c>
      <c r="DS142" s="60">
        <f t="shared" si="125"/>
        <v>972.87552227743163</v>
      </c>
      <c r="DT142" s="60">
        <f ca="1">AVERAGE(OFFSET($DS$3,0,0,'Données projet'!$E$14+1,1))-AVERAGE(OFFSET($H$3,0,0,'Données projet'!$E$14+1,1))</f>
        <v>376.96388721258387</v>
      </c>
      <c r="DU142" s="60">
        <f t="shared" si="152"/>
        <v>211.14628470344377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2.7</v>
      </c>
      <c r="EJ142" s="13">
        <f>IF('Données projet'!$A$192&gt;35,EJ141+EI142-ER141,IF(A142&lt;'Données projet'!$A$192,$EG$205^A142,IF(A142='Données projet'!$A$192,'Données projet'!$B$192,EJ141+EI142-ER141)))</f>
        <v>293.29999999999927</v>
      </c>
      <c r="EK142" s="18">
        <f>EJ142*VLOOKUP('Données projet'!$B$15,Paramètres!$A$1:$I$89,3,0)*VLOOKUP('Données projet'!$B$15,Paramètres!$A$1:$I$89,5,0)</f>
        <v>283.67975999999931</v>
      </c>
      <c r="EL142" s="14">
        <f t="shared" si="153"/>
        <v>67.74405605004435</v>
      </c>
      <c r="EM142" s="22">
        <f t="shared" si="127"/>
        <v>612.06314628715938</v>
      </c>
      <c r="EN142" s="60">
        <f t="shared" si="128"/>
        <v>905.39647962049276</v>
      </c>
      <c r="EO142" s="60">
        <f ca="1">AVERAGE(OFFSET($EN$3,0,0,'Données projet'!$E$15+1,1))-AVERAGE(OFFSET($H$3,0,0,'Données projet'!$E$15+1,1))</f>
        <v>330.39429528665841</v>
      </c>
      <c r="EP142" s="60">
        <f t="shared" si="154"/>
        <v>186.45728006007261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8">
        <f t="shared" si="110"/>
        <v>463.50192237208853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-3.3992364478763198E-14</v>
      </c>
      <c r="P143" s="14" t="e">
        <f t="shared" si="141"/>
        <v>#NUM!</v>
      </c>
      <c r="Q143" s="22" t="e">
        <f t="shared" si="108"/>
        <v>#NUM!</v>
      </c>
      <c r="R143" s="60" t="e">
        <f t="shared" si="109"/>
        <v>#NUM!</v>
      </c>
      <c r="S143" s="60">
        <f ca="1">AVERAGE(OFFSET($R$3,0,0,'Données projet'!$E$9+1,1))-AVERAGE(OFFSET($H$3,0,0,'Données projet'!$E$9+1,1))</f>
        <v>155.11440101086782</v>
      </c>
      <c r="T143" s="60">
        <f t="shared" si="142"/>
        <v>239.53454701506638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1.5279943958926339</v>
      </c>
      <c r="AA143" s="23">
        <f>EXP(-LN(2)/25)*AA142+(1-EXP(-LN(2)/25))/(LN(2)/25)*Calculateur!V143*Calculateur!X143*VLOOKUP('Données projet'!$B$9,Paramètres!$A$1:$I$89,3,0)*0.475*44/12</f>
        <v>0.34302733837241084</v>
      </c>
      <c r="AB143" s="23">
        <f>EXP(-LN(2)/2)*AB142+(1-EXP(-LN(2)/2))/(LN(2)/2)*V143*Y143*VLOOKUP('Données projet'!$B$9,Paramètres!$A$1:$I$89,3,0)*0.475*44/12</f>
        <v>8.1849612502326594E-17</v>
      </c>
      <c r="AC143" s="24">
        <f t="shared" si="111"/>
        <v>1.8710217342650446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-3.4106051316484809E-13</v>
      </c>
      <c r="AJ143" s="14">
        <f>AI143*VLOOKUP('Données projet'!$B$10,Paramètres!$A$1:$I$89,3,0)*VLOOKUP('Données projet'!$B$10,Paramètres!$A$1:$I$89,5,0)</f>
        <v>-1.9065282685915009E-13</v>
      </c>
      <c r="AK143" s="14" t="e">
        <f t="shared" si="143"/>
        <v>#NUM!</v>
      </c>
      <c r="AL143" s="22" t="e">
        <f t="shared" si="112"/>
        <v>#NUM!</v>
      </c>
      <c r="AM143" s="60" t="e">
        <f t="shared" si="113"/>
        <v>#NUM!</v>
      </c>
      <c r="AN143" s="60">
        <f ca="1">AVERAGE(OFFSET($AM$3,0,0,'Données projet'!$E$10+1,1))-AVERAGE(OFFSET($H$3,0,0,'Données projet'!$E$10+1,1))</f>
        <v>302.20483575440988</v>
      </c>
      <c r="AO143" s="60">
        <f t="shared" si="144"/>
        <v>275.32862097158687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0.3274711500762198</v>
      </c>
      <c r="AW143" s="23">
        <f>EXP(-LN(2)/2)*AW142+(1-EXP(-LN(2)/2))/(LN(2)/2)*AQ143*AT143*VLOOKUP('Données projet'!$B$10,Paramètres!$A$1:$I$89,3,0)*0.475*44/12</f>
        <v>2.4442183925022533E-16</v>
      </c>
      <c r="AX143" s="23">
        <f t="shared" si="114"/>
        <v>0.32747115007622002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-1.7053025658242404E-13</v>
      </c>
      <c r="BE143" s="14">
        <f>BD143*VLOOKUP('Données projet'!$B$11,Paramètres!$A$1:$I$89,3,0)*VLOOKUP('Données projet'!$B$11,Paramètres!$A$1:$I$89,5,0)</f>
        <v>-1.4897523215040567E-13</v>
      </c>
      <c r="BF143" s="14" t="e">
        <f t="shared" si="145"/>
        <v>#NUM!</v>
      </c>
      <c r="BG143" s="22" t="e">
        <f t="shared" si="115"/>
        <v>#NUM!</v>
      </c>
      <c r="BH143" s="60" t="e">
        <f t="shared" si="116"/>
        <v>#NUM!</v>
      </c>
      <c r="BI143" s="60">
        <f ca="1">AVERAGE(OFFSET($BH$3,0,0,'Données projet'!$E$11+1,1))-AVERAGE(OFFSET($H$3,0,0,'Données projet'!$E$11+1,1))</f>
        <v>314.62110015707839</v>
      </c>
      <c r="BJ143" s="60">
        <f t="shared" si="146"/>
        <v>285.36905470736582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296</v>
      </c>
      <c r="BW143" s="13">
        <f>VLOOKUP(A143,'Données projet'!$A$113:$I$133,9,0)</f>
        <v>2.7</v>
      </c>
      <c r="BX143" s="13">
        <f t="array" ref="BX143">INDEX(BW:BW,MIN(IF(ISNUMBER(BW143:BW339),ROW(BW143:BW339),"")))</f>
        <v>2.7</v>
      </c>
      <c r="BY143" s="13">
        <f>IF('Données projet'!$A$114&gt;35,BY142+BX143-CG142,IF(A143&lt;'Données projet'!$A$114,$BV$205^A143,IF(A143='Données projet'!$A$114,'Données projet'!$B$114,BY142+BX143-CG142)))</f>
        <v>295.99999999999926</v>
      </c>
      <c r="BZ143" s="14">
        <f>BY143*VLOOKUP('Données projet'!$B$12,Paramètres!$A$1:$I$89,3,0)*VLOOKUP('Données projet'!$B$12,Paramètres!$A$1:$I$89,5,0)</f>
        <v>267.82079999999934</v>
      </c>
      <c r="CA143" s="14">
        <f t="shared" si="147"/>
        <v>64.386570147897245</v>
      </c>
      <c r="CB143" s="22">
        <f t="shared" si="118"/>
        <v>578.59450300758647</v>
      </c>
      <c r="CC143" s="60">
        <f t="shared" si="119"/>
        <v>871.92783634091984</v>
      </c>
      <c r="CD143" s="60">
        <f ca="1">AVERAGE(OFFSET($CC$3,0,0,'Données projet'!$E$12+1,1))-AVERAGE(OFFSET($H$3,0,0,'Données projet'!$E$12+1,1))</f>
        <v>303.73499739059076</v>
      </c>
      <c r="CE143" s="60">
        <f t="shared" si="148"/>
        <v>172.32171001882188</v>
      </c>
      <c r="CF143" s="16">
        <f>IF(ISNA(VLOOKUP(A143,'Données projet'!$A$113:$I$133,3,0)),0,VLOOKUP(A143,'Données projet'!$A$113:$I$133,3,0))</f>
        <v>12</v>
      </c>
      <c r="CG143" s="16">
        <f>IF(ISNA(VLOOKUP(A143,'Données projet'!$A$113:$I$133,4,0)),0,VLOOKUP(A143,'Données projet'!$A$113:$I$133,4,0))</f>
        <v>27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>
        <f>VLOOKUP(A143,'Données projet'!$A$139:$I$159,2,0)</f>
        <v>296</v>
      </c>
      <c r="CR143" s="13">
        <f>VLOOKUP(A143,'Données projet'!$A$139:$I$159,9,0)</f>
        <v>2.7</v>
      </c>
      <c r="CS143" s="13">
        <f t="array" ref="CS143">INDEX(CR:CR,MIN(IF(ISNUMBER(CR143:CR339),ROW(CR143:CR339),"")))</f>
        <v>2.7</v>
      </c>
      <c r="CT143" s="13">
        <f>IF('Données projet'!$A$140&gt;35,CT142+CS143-DB142,IF(A143&lt;'Données projet'!$A$140,$CQ$205^A143,IF(A143='Données projet'!$A$140,'Données projet'!$B$140,CT142+CS143-DB142)))</f>
        <v>295.99999999999926</v>
      </c>
      <c r="CU143" s="18">
        <f>CT143*VLOOKUP('Données projet'!$B$13,Paramètres!$A$1:$I$89,3,0)*VLOOKUP('Données projet'!$B$13,Paramètres!$A$1:$I$89,5,0)</f>
        <v>300.14399999999927</v>
      </c>
      <c r="CV143" s="14">
        <f t="shared" si="149"/>
        <v>71.206650563609728</v>
      </c>
      <c r="CW143" s="22">
        <f t="shared" si="121"/>
        <v>646.76904973161891</v>
      </c>
      <c r="CX143" s="60">
        <f t="shared" si="122"/>
        <v>940.10238306495216</v>
      </c>
      <c r="CY143" s="60">
        <f ca="1">AVERAGE(OFFSET($CX$3,0,0,'Données projet'!$E$13+1,1))-AVERAGE(OFFSET($H$3,0,0,'Données projet'!$E$13+1,1))</f>
        <v>350.3652766444938</v>
      </c>
      <c r="CZ143" s="60">
        <f t="shared" si="150"/>
        <v>197.04549436738586</v>
      </c>
      <c r="DA143" s="16">
        <f>IF(ISNA(VLOOKUP(A143,'Données projet'!$A$139:$I$159,3,0)),0,VLOOKUP(A143,'Données projet'!$A$139:$I$159,3,0))</f>
        <v>12</v>
      </c>
      <c r="DB143" s="16">
        <f>IF(ISNA(VLOOKUP(A143,'Données projet'!$A$139:$I$159,4,0)),0,VLOOKUP(A143,'Données projet'!$A$139:$I$159,4,0))</f>
        <v>27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>
        <f>VLOOKUP(A143,'Données projet'!$A$165:$I$185,2,0)</f>
        <v>296</v>
      </c>
      <c r="DM143" s="13">
        <f>VLOOKUP(A143,'Données projet'!$A$165:$I$185,9,0)</f>
        <v>2.7</v>
      </c>
      <c r="DN143" s="13">
        <f t="array" ref="DN143">INDEX(DM:DM,MIN(IF(ISNUMBER(DM143:DM339),ROW(DM143:DM339),"")))</f>
        <v>2.7</v>
      </c>
      <c r="DO143" s="13">
        <f>IF('Données projet'!$A$166&gt;35,DO142+DN143-DW142,IF(A143&lt;'Données projet'!$A$166,$DL$205^A143,IF(A143='Données projet'!$A$166,'Données projet'!$B$166,DO142+DN143-DW142)))</f>
        <v>295.99999999999926</v>
      </c>
      <c r="DP143" s="18">
        <f>DO143*VLOOKUP('Données projet'!$B$14,Paramètres!$A$1:$I$89,3,0)*VLOOKUP('Données projet'!$B$14,Paramètres!$A$1:$I$89,5,0)</f>
        <v>318.61439999999919</v>
      </c>
      <c r="DQ143" s="14">
        <f t="shared" si="151"/>
        <v>75.064979865028292</v>
      </c>
      <c r="DR143" s="22">
        <f t="shared" si="124"/>
        <v>685.65825326492302</v>
      </c>
      <c r="DS143" s="60">
        <f t="shared" si="125"/>
        <v>978.99158659825639</v>
      </c>
      <c r="DT143" s="60">
        <f ca="1">AVERAGE(OFFSET($DS$3,0,0,'Données projet'!$E$14+1,1))-AVERAGE(OFFSET($H$3,0,0,'Données projet'!$E$14+1,1))</f>
        <v>376.96388721258387</v>
      </c>
      <c r="DU143" s="60">
        <f t="shared" si="152"/>
        <v>211.14628470344377</v>
      </c>
      <c r="DV143" s="16">
        <f>IF(ISNA(VLOOKUP(A143,'Données projet'!$A$165:$I$185,3,0)),0,VLOOKUP(A143,'Données projet'!$A$165:$I$185,3,0))</f>
        <v>12</v>
      </c>
      <c r="DW143" s="16">
        <f>IF(ISNA(VLOOKUP(A143,'Données projet'!$A$165:$I$185,4,0)),0,VLOOKUP(A143,'Données projet'!$A$165:$I$185,4,0))</f>
        <v>27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>
        <f>VLOOKUP(A143,'Données projet'!$A$191:$I$211,2,0)</f>
        <v>296</v>
      </c>
      <c r="EH143" s="13">
        <f>VLOOKUP(A143,'Données projet'!$A$191:$I$211,9,0)</f>
        <v>2.7</v>
      </c>
      <c r="EI143" s="13">
        <f t="array" ref="EI143">INDEX(EH:EH,MIN(IF(ISNUMBER(EH143:EH339),ROW(EH143:EH339),"")))</f>
        <v>2.7</v>
      </c>
      <c r="EJ143" s="13">
        <f>IF('Données projet'!$A$192&gt;35,EJ142+EI143-ER142,IF(A143&lt;'Données projet'!$A$192,$EG$205^A143,IF(A143='Données projet'!$A$192,'Données projet'!$B$192,EJ142+EI143-ER142)))</f>
        <v>295.99999999999926</v>
      </c>
      <c r="EK143" s="18">
        <f>EJ143*VLOOKUP('Données projet'!$B$15,Paramètres!$A$1:$I$89,3,0)*VLOOKUP('Données projet'!$B$15,Paramètres!$A$1:$I$89,5,0)</f>
        <v>286.29119999999926</v>
      </c>
      <c r="EL143" s="14">
        <f t="shared" si="153"/>
        <v>68.294796094604223</v>
      </c>
      <c r="EM143" s="22">
        <f t="shared" si="127"/>
        <v>617.57060986476779</v>
      </c>
      <c r="EN143" s="60">
        <f t="shared" si="128"/>
        <v>910.90394319810116</v>
      </c>
      <c r="EO143" s="60">
        <f ca="1">AVERAGE(OFFSET($EN$3,0,0,'Données projet'!$E$15+1,1))-AVERAGE(OFFSET($H$3,0,0,'Données projet'!$E$15+1,1))</f>
        <v>330.39429528665841</v>
      </c>
      <c r="EP143" s="60">
        <f t="shared" si="154"/>
        <v>186.45728006007261</v>
      </c>
      <c r="EQ143" s="16">
        <f>IF(ISNA(VLOOKUP(A143,'Données projet'!$A$191:$I$211,3,0)),0,VLOOKUP(A143,'Données projet'!$A$191:$I$211,3,0))</f>
        <v>12</v>
      </c>
      <c r="ER143" s="16">
        <f>IF(ISNA(VLOOKUP(A143,'Données projet'!$A$191:$I$211,4,0)),0,VLOOKUP(A143,'Données projet'!$A$191:$I$211,4,0))</f>
        <v>27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8">
        <f t="shared" si="110"/>
        <v>464.68652293206395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-3.3992364478763198E-14</v>
      </c>
      <c r="P144" s="14" t="e">
        <f t="shared" si="141"/>
        <v>#NUM!</v>
      </c>
      <c r="Q144" s="22" t="e">
        <f t="shared" si="108"/>
        <v>#NUM!</v>
      </c>
      <c r="R144" s="60" t="e">
        <f t="shared" si="109"/>
        <v>#NUM!</v>
      </c>
      <c r="S144" s="60">
        <f ca="1">AVERAGE(OFFSET($R$3,0,0,'Données projet'!$E$9+1,1))-AVERAGE(OFFSET($H$3,0,0,'Données projet'!$E$9+1,1))</f>
        <v>155.11440101086782</v>
      </c>
      <c r="T144" s="60">
        <f t="shared" si="142"/>
        <v>239.53454701506638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1.498031357773735</v>
      </c>
      <c r="AA144" s="23">
        <f>EXP(-LN(2)/25)*AA143+(1-EXP(-LN(2)/25))/(LN(2)/25)*Calculateur!V144*Calculateur!X144*VLOOKUP('Données projet'!$B$9,Paramètres!$A$1:$I$89,3,0)*0.475*44/12</f>
        <v>0.33364723776559352</v>
      </c>
      <c r="AB144" s="23">
        <f>EXP(-LN(2)/2)*AB143+(1-EXP(-LN(2)/2))/(LN(2)/2)*V144*Y144*VLOOKUP('Données projet'!$B$9,Paramètres!$A$1:$I$89,3,0)*0.475*44/12</f>
        <v>5.7876416037886354E-17</v>
      </c>
      <c r="AC144" s="24">
        <f t="shared" si="111"/>
        <v>1.8316785955393284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-3.4106051316484809E-13</v>
      </c>
      <c r="AJ144" s="14">
        <f>AI144*VLOOKUP('Données projet'!$B$10,Paramètres!$A$1:$I$89,3,0)*VLOOKUP('Données projet'!$B$10,Paramètres!$A$1:$I$89,5,0)</f>
        <v>-1.9065282685915009E-13</v>
      </c>
      <c r="AK144" s="14" t="e">
        <f t="shared" si="143"/>
        <v>#NUM!</v>
      </c>
      <c r="AL144" s="22" t="e">
        <f t="shared" si="112"/>
        <v>#NUM!</v>
      </c>
      <c r="AM144" s="60" t="e">
        <f t="shared" si="113"/>
        <v>#NUM!</v>
      </c>
      <c r="AN144" s="60">
        <f ca="1">AVERAGE(OFFSET($AM$3,0,0,'Données projet'!$E$10+1,1))-AVERAGE(OFFSET($H$3,0,0,'Données projet'!$E$10+1,1))</f>
        <v>302.20483575440988</v>
      </c>
      <c r="AO144" s="60">
        <f t="shared" si="144"/>
        <v>275.32862097158687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0.31851643425642623</v>
      </c>
      <c r="AW144" s="23">
        <f>EXP(-LN(2)/2)*AW143+(1-EXP(-LN(2)/2))/(LN(2)/2)*AQ144*AT144*VLOOKUP('Données projet'!$B$10,Paramètres!$A$1:$I$89,3,0)*0.475*44/12</f>
        <v>1.7283234000392257E-16</v>
      </c>
      <c r="AX144" s="23">
        <f t="shared" si="114"/>
        <v>0.3185164342564264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-1.7053025658242404E-13</v>
      </c>
      <c r="BE144" s="14">
        <f>BD144*VLOOKUP('Données projet'!$B$11,Paramètres!$A$1:$I$89,3,0)*VLOOKUP('Données projet'!$B$11,Paramètres!$A$1:$I$89,5,0)</f>
        <v>-1.4897523215040567E-13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314.62110015707839</v>
      </c>
      <c r="BJ144" s="60">
        <f t="shared" si="146"/>
        <v>285.36905470736582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2.4</v>
      </c>
      <c r="BY144" s="13">
        <f>IF('Données projet'!$A$114&gt;35,BY143+BX144-CG143,IF(A144&lt;'Données projet'!$A$114,$BV$205^A144,IF(A144='Données projet'!$A$114,'Données projet'!$B$114,BY143+BX144-CG143)))</f>
        <v>271.39999999999924</v>
      </c>
      <c r="BZ144" s="14">
        <f>BY144*VLOOKUP('Données projet'!$B$12,Paramètres!$A$1:$I$89,3,0)*VLOOKUP('Données projet'!$B$12,Paramètres!$A$1:$I$89,5,0)</f>
        <v>245.5627199999993</v>
      </c>
      <c r="CA144" s="14">
        <f t="shared" si="147"/>
        <v>59.634776048276741</v>
      </c>
      <c r="CB144" s="22">
        <f t="shared" si="118"/>
        <v>531.55230561741405</v>
      </c>
      <c r="CC144" s="60">
        <f t="shared" si="119"/>
        <v>824.88563895074731</v>
      </c>
      <c r="CD144" s="60">
        <f ca="1">AVERAGE(OFFSET($CC$3,0,0,'Données projet'!$E$12+1,1))-AVERAGE(OFFSET($H$3,0,0,'Données projet'!$E$12+1,1))</f>
        <v>303.73499739059076</v>
      </c>
      <c r="CE144" s="60">
        <f t="shared" si="148"/>
        <v>172.32171001882188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2.4</v>
      </c>
      <c r="CT144" s="13">
        <f>IF('Données projet'!$A$140&gt;35,CT143+CS144-DB143,IF(A144&lt;'Données projet'!$A$140,$CQ$205^A144,IF(A144='Données projet'!$A$140,'Données projet'!$B$140,CT143+CS144-DB143)))</f>
        <v>271.39999999999924</v>
      </c>
      <c r="CU144" s="18">
        <f>CT144*VLOOKUP('Données projet'!$B$13,Paramètres!$A$1:$I$89,3,0)*VLOOKUP('Données projet'!$B$13,Paramètres!$A$1:$I$89,5,0)</f>
        <v>275.19959999999924</v>
      </c>
      <c r="CV144" s="14">
        <f t="shared" si="149"/>
        <v>65.951527620662489</v>
      </c>
      <c r="CW144" s="22">
        <f t="shared" si="121"/>
        <v>594.17154727265245</v>
      </c>
      <c r="CX144" s="60">
        <f t="shared" si="122"/>
        <v>887.50488060598582</v>
      </c>
      <c r="CY144" s="60">
        <f ca="1">AVERAGE(OFFSET($CX$3,0,0,'Données projet'!$E$13+1,1))-AVERAGE(OFFSET($H$3,0,0,'Données projet'!$E$13+1,1))</f>
        <v>350.3652766444938</v>
      </c>
      <c r="CZ144" s="60">
        <f t="shared" si="150"/>
        <v>197.04549436738586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2.4</v>
      </c>
      <c r="DO144" s="13">
        <f>IF('Données projet'!$A$166&gt;35,DO143+DN144-DW143,IF(A144&lt;'Données projet'!$A$166,$DL$205^A144,IF(A144='Données projet'!$A$166,'Données projet'!$B$166,DO143+DN144-DW143)))</f>
        <v>271.39999999999924</v>
      </c>
      <c r="DP144" s="18">
        <f>DO144*VLOOKUP('Données projet'!$B$14,Paramètres!$A$1:$I$89,3,0)*VLOOKUP('Données projet'!$B$14,Paramètres!$A$1:$I$89,5,0)</f>
        <v>292.13495999999913</v>
      </c>
      <c r="DQ144" s="14">
        <f t="shared" si="151"/>
        <v>69.525108311202104</v>
      </c>
      <c r="DR144" s="22">
        <f t="shared" si="124"/>
        <v>629.89128564200882</v>
      </c>
      <c r="DS144" s="60">
        <f t="shared" si="125"/>
        <v>923.22461897534208</v>
      </c>
      <c r="DT144" s="60">
        <f ca="1">AVERAGE(OFFSET($DS$3,0,0,'Données projet'!$E$14+1,1))-AVERAGE(OFFSET($H$3,0,0,'Données projet'!$E$14+1,1))</f>
        <v>376.96388721258387</v>
      </c>
      <c r="DU144" s="60">
        <f t="shared" si="152"/>
        <v>211.14628470344377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2.4</v>
      </c>
      <c r="EJ144" s="13">
        <f>IF('Données projet'!$A$192&gt;35,EJ143+EI144-ER143,IF(A144&lt;'Données projet'!$A$192,$EG$205^A144,IF(A144='Données projet'!$A$192,'Données projet'!$B$192,EJ143+EI144-ER143)))</f>
        <v>271.39999999999924</v>
      </c>
      <c r="EK144" s="18">
        <f>EJ144*VLOOKUP('Données projet'!$B$15,Paramètres!$A$1:$I$89,3,0)*VLOOKUP('Données projet'!$B$15,Paramètres!$A$1:$I$89,5,0)</f>
        <v>262.49807999999928</v>
      </c>
      <c r="EL144" s="14">
        <f t="shared" si="153"/>
        <v>63.254570961137979</v>
      </c>
      <c r="EM144" s="22">
        <f t="shared" si="127"/>
        <v>567.35253375731406</v>
      </c>
      <c r="EN144" s="60">
        <f t="shared" si="128"/>
        <v>860.68586709064743</v>
      </c>
      <c r="EO144" s="60">
        <f ca="1">AVERAGE(OFFSET($EN$3,0,0,'Données projet'!$E$15+1,1))-AVERAGE(OFFSET($H$3,0,0,'Données projet'!$E$15+1,1))</f>
        <v>330.39429528665841</v>
      </c>
      <c r="EP144" s="60">
        <f t="shared" si="154"/>
        <v>186.45728006007261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8">
        <f t="shared" si="110"/>
        <v>465.87093068393028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-3.3992364478763198E-14</v>
      </c>
      <c r="P145" s="14" t="e">
        <f t="shared" si="141"/>
        <v>#NUM!</v>
      </c>
      <c r="Q145" s="22" t="e">
        <f t="shared" si="108"/>
        <v>#NUM!</v>
      </c>
      <c r="R145" s="60" t="e">
        <f t="shared" si="109"/>
        <v>#NUM!</v>
      </c>
      <c r="S145" s="60">
        <f ca="1">AVERAGE(OFFSET($R$3,0,0,'Données projet'!$E$9+1,1))-AVERAGE(OFFSET($H$3,0,0,'Données projet'!$E$9+1,1))</f>
        <v>155.11440101086782</v>
      </c>
      <c r="T145" s="60">
        <f t="shared" si="142"/>
        <v>239.53454701506638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1.468655876556699</v>
      </c>
      <c r="AA145" s="23">
        <f>EXP(-LN(2)/25)*AA144+(1-EXP(-LN(2)/25))/(LN(2)/25)*Calculateur!V145*Calculateur!X145*VLOOKUP('Données projet'!$B$9,Paramètres!$A$1:$I$89,3,0)*0.475*44/12</f>
        <v>0.32452363650314769</v>
      </c>
      <c r="AB145" s="23">
        <f>EXP(-LN(2)/2)*AB144+(1-EXP(-LN(2)/2))/(LN(2)/2)*V145*Y145*VLOOKUP('Données projet'!$B$9,Paramètres!$A$1:$I$89,3,0)*0.475*44/12</f>
        <v>4.0924806251163297E-17</v>
      </c>
      <c r="AC145" s="24">
        <f t="shared" si="111"/>
        <v>1.7931795130598467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-3.4106051316484809E-13</v>
      </c>
      <c r="AJ145" s="14">
        <f>AI145*VLOOKUP('Données projet'!$B$10,Paramètres!$A$1:$I$89,3,0)*VLOOKUP('Données projet'!$B$10,Paramètres!$A$1:$I$89,5,0)</f>
        <v>-1.9065282685915009E-13</v>
      </c>
      <c r="AK145" s="14" t="e">
        <f t="shared" si="143"/>
        <v>#NUM!</v>
      </c>
      <c r="AL145" s="22" t="e">
        <f t="shared" si="112"/>
        <v>#NUM!</v>
      </c>
      <c r="AM145" s="60" t="e">
        <f t="shared" si="113"/>
        <v>#NUM!</v>
      </c>
      <c r="AN145" s="60">
        <f ca="1">AVERAGE(OFFSET($AM$3,0,0,'Données projet'!$E$10+1,1))-AVERAGE(OFFSET($H$3,0,0,'Données projet'!$E$10+1,1))</f>
        <v>302.20483575440988</v>
      </c>
      <c r="AO145" s="60">
        <f t="shared" si="144"/>
        <v>275.32862097158687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0.30980658561163293</v>
      </c>
      <c r="AW145" s="23">
        <f>EXP(-LN(2)/2)*AW144+(1-EXP(-LN(2)/2))/(LN(2)/2)*AQ145*AT145*VLOOKUP('Données projet'!$B$10,Paramètres!$A$1:$I$89,3,0)*0.475*44/12</f>
        <v>1.2221091962511266E-16</v>
      </c>
      <c r="AX145" s="23">
        <f t="shared" si="114"/>
        <v>0.30980658561163305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-1.7053025658242404E-13</v>
      </c>
      <c r="BE145" s="14">
        <f>BD145*VLOOKUP('Données projet'!$B$11,Paramètres!$A$1:$I$89,3,0)*VLOOKUP('Données projet'!$B$11,Paramètres!$A$1:$I$89,5,0)</f>
        <v>-1.4897523215040567E-13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314.62110015707839</v>
      </c>
      <c r="BJ145" s="60">
        <f t="shared" si="146"/>
        <v>285.36905470736582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2.4</v>
      </c>
      <c r="BY145" s="13">
        <f>IF('Données projet'!$A$114&gt;35,BY144+BX145-CG144,IF(A145&lt;'Données projet'!$A$114,$BV$205^A145,IF(A145='Données projet'!$A$114,'Données projet'!$B$114,BY144+BX145-CG144)))</f>
        <v>273.79999999999922</v>
      </c>
      <c r="BZ145" s="14">
        <f>BY145*VLOOKUP('Données projet'!$B$12,Paramètres!$A$1:$I$89,3,0)*VLOOKUP('Données projet'!$B$12,Paramètres!$A$1:$I$89,5,0)</f>
        <v>247.73423999999929</v>
      </c>
      <c r="CA145" s="14">
        <f t="shared" si="147"/>
        <v>60.100505665694953</v>
      </c>
      <c r="CB145" s="22">
        <f t="shared" si="118"/>
        <v>536.14551536775082</v>
      </c>
      <c r="CC145" s="60">
        <f t="shared" si="119"/>
        <v>829.47884870108419</v>
      </c>
      <c r="CD145" s="60">
        <f ca="1">AVERAGE(OFFSET($CC$3,0,0,'Données projet'!$E$12+1,1))-AVERAGE(OFFSET($H$3,0,0,'Données projet'!$E$12+1,1))</f>
        <v>303.73499739059076</v>
      </c>
      <c r="CE145" s="60">
        <f t="shared" si="148"/>
        <v>172.32171001882188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2.4</v>
      </c>
      <c r="CT145" s="13">
        <f>IF('Données projet'!$A$140&gt;35,CT144+CS145-DB144,IF(A145&lt;'Données projet'!$A$140,$CQ$205^A145,IF(A145='Données projet'!$A$140,'Données projet'!$B$140,CT144+CS145-DB144)))</f>
        <v>273.79999999999922</v>
      </c>
      <c r="CU145" s="18">
        <f>CT145*VLOOKUP('Données projet'!$B$13,Paramètres!$A$1:$I$89,3,0)*VLOOKUP('Données projet'!$B$13,Paramètres!$A$1:$I$89,5,0)</f>
        <v>277.63319999999919</v>
      </c>
      <c r="CV145" s="14">
        <f t="shared" si="149"/>
        <v>66.466589162975524</v>
      </c>
      <c r="CW145" s="22">
        <f t="shared" si="121"/>
        <v>599.30713279218094</v>
      </c>
      <c r="CX145" s="60">
        <f t="shared" si="122"/>
        <v>892.64046612551419</v>
      </c>
      <c r="CY145" s="60">
        <f ca="1">AVERAGE(OFFSET($CX$3,0,0,'Données projet'!$E$13+1,1))-AVERAGE(OFFSET($H$3,0,0,'Données projet'!$E$13+1,1))</f>
        <v>350.3652766444938</v>
      </c>
      <c r="CZ145" s="60">
        <f t="shared" si="150"/>
        <v>197.04549436738586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2.4</v>
      </c>
      <c r="DO145" s="13">
        <f>IF('Données projet'!$A$166&gt;35,DO144+DN145-DW144,IF(A145&lt;'Données projet'!$A$166,$DL$205^A145,IF(A145='Données projet'!$A$166,'Données projet'!$B$166,DO144+DN145-DW144)))</f>
        <v>273.79999999999922</v>
      </c>
      <c r="DP145" s="18">
        <f>DO145*VLOOKUP('Données projet'!$B$14,Paramètres!$A$1:$I$89,3,0)*VLOOKUP('Données projet'!$B$14,Paramètres!$A$1:$I$89,5,0)</f>
        <v>294.71831999999915</v>
      </c>
      <c r="DQ145" s="14">
        <f t="shared" si="151"/>
        <v>70.068078441055917</v>
      </c>
      <c r="DR145" s="22">
        <f t="shared" si="124"/>
        <v>635.33631061817096</v>
      </c>
      <c r="DS145" s="60">
        <f t="shared" si="125"/>
        <v>928.66964395150421</v>
      </c>
      <c r="DT145" s="60">
        <f ca="1">AVERAGE(OFFSET($DS$3,0,0,'Données projet'!$E$14+1,1))-AVERAGE(OFFSET($H$3,0,0,'Données projet'!$E$14+1,1))</f>
        <v>376.96388721258387</v>
      </c>
      <c r="DU145" s="60">
        <f t="shared" si="152"/>
        <v>211.14628470344377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2.4</v>
      </c>
      <c r="EJ145" s="13">
        <f>IF('Données projet'!$A$192&gt;35,EJ144+EI145-ER144,IF(A145&lt;'Données projet'!$A$192,$EG$205^A145,IF(A145='Données projet'!$A$192,'Données projet'!$B$192,EJ144+EI145-ER144)))</f>
        <v>273.79999999999922</v>
      </c>
      <c r="EK145" s="18">
        <f>EJ145*VLOOKUP('Données projet'!$B$15,Paramètres!$A$1:$I$89,3,0)*VLOOKUP('Données projet'!$B$15,Paramètres!$A$1:$I$89,5,0)</f>
        <v>264.81935999999928</v>
      </c>
      <c r="EL145" s="14">
        <f t="shared" si="153"/>
        <v>63.748570085236892</v>
      </c>
      <c r="EM145" s="22">
        <f t="shared" si="127"/>
        <v>572.25581156511964</v>
      </c>
      <c r="EN145" s="60">
        <f t="shared" si="128"/>
        <v>865.58914489845301</v>
      </c>
      <c r="EO145" s="60">
        <f ca="1">AVERAGE(OFFSET($EN$3,0,0,'Données projet'!$E$15+1,1))-AVERAGE(OFFSET($H$3,0,0,'Données projet'!$E$15+1,1))</f>
        <v>330.39429528665841</v>
      </c>
      <c r="EP145" s="60">
        <f t="shared" si="154"/>
        <v>186.45728006007261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8">
        <f t="shared" si="110"/>
        <v>467.0551471429435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-3.3992364478763198E-14</v>
      </c>
      <c r="P146" s="14" t="e">
        <f t="shared" si="141"/>
        <v>#NUM!</v>
      </c>
      <c r="Q146" s="22" t="e">
        <f t="shared" si="108"/>
        <v>#NUM!</v>
      </c>
      <c r="R146" s="60" t="e">
        <f t="shared" si="109"/>
        <v>#NUM!</v>
      </c>
      <c r="S146" s="60">
        <f ca="1">AVERAGE(OFFSET($R$3,0,0,'Données projet'!$E$9+1,1))-AVERAGE(OFFSET($H$3,0,0,'Données projet'!$E$9+1,1))</f>
        <v>155.11440101086782</v>
      </c>
      <c r="T146" s="60">
        <f t="shared" si="142"/>
        <v>239.53454701506638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1.4398564306090549</v>
      </c>
      <c r="AA146" s="23">
        <f>EXP(-LN(2)/25)*AA145+(1-EXP(-LN(2)/25))/(LN(2)/25)*Calculateur!V146*Calculateur!X146*VLOOKUP('Données projet'!$B$9,Paramètres!$A$1:$I$89,3,0)*0.475*44/12</f>
        <v>0.31564952059701279</v>
      </c>
      <c r="AB146" s="23">
        <f>EXP(-LN(2)/2)*AB145+(1-EXP(-LN(2)/2))/(LN(2)/2)*V146*Y146*VLOOKUP('Données projet'!$B$9,Paramètres!$A$1:$I$89,3,0)*0.475*44/12</f>
        <v>2.8938208018943177E-17</v>
      </c>
      <c r="AC146" s="24">
        <f t="shared" si="111"/>
        <v>1.7555059512060676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-3.4106051316484809E-13</v>
      </c>
      <c r="AJ146" s="14">
        <f>AI146*VLOOKUP('Données projet'!$B$10,Paramètres!$A$1:$I$89,3,0)*VLOOKUP('Données projet'!$B$10,Paramètres!$A$1:$I$89,5,0)</f>
        <v>-1.9065282685915009E-13</v>
      </c>
      <c r="AK146" s="14" t="e">
        <f t="shared" si="143"/>
        <v>#NUM!</v>
      </c>
      <c r="AL146" s="22" t="e">
        <f t="shared" si="112"/>
        <v>#NUM!</v>
      </c>
      <c r="AM146" s="60" t="e">
        <f t="shared" si="113"/>
        <v>#NUM!</v>
      </c>
      <c r="AN146" s="60">
        <f ca="1">AVERAGE(OFFSET($AM$3,0,0,'Données projet'!$E$10+1,1))-AVERAGE(OFFSET($H$3,0,0,'Données projet'!$E$10+1,1))</f>
        <v>302.20483575440988</v>
      </c>
      <c r="AO146" s="60">
        <f t="shared" si="144"/>
        <v>275.32862097158687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0.30133490823606257</v>
      </c>
      <c r="AW146" s="23">
        <f>EXP(-LN(2)/2)*AW145+(1-EXP(-LN(2)/2))/(LN(2)/2)*AQ146*AT146*VLOOKUP('Données projet'!$B$10,Paramètres!$A$1:$I$89,3,0)*0.475*44/12</f>
        <v>8.6416170001961287E-17</v>
      </c>
      <c r="AX146" s="23">
        <f t="shared" si="114"/>
        <v>0.30133490823606268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-1.7053025658242404E-13</v>
      </c>
      <c r="BE146" s="14">
        <f>BD146*VLOOKUP('Données projet'!$B$11,Paramètres!$A$1:$I$89,3,0)*VLOOKUP('Données projet'!$B$11,Paramètres!$A$1:$I$89,5,0)</f>
        <v>-1.4897523215040567E-13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314.62110015707839</v>
      </c>
      <c r="BJ146" s="60">
        <f t="shared" si="146"/>
        <v>285.36905470736582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2.4</v>
      </c>
      <c r="BY146" s="13">
        <f>IF('Données projet'!$A$114&gt;35,BY145+BX146-CG145,IF(A146&lt;'Données projet'!$A$114,$BV$205^A146,IF(A146='Données projet'!$A$114,'Données projet'!$B$114,BY145+BX146-CG145)))</f>
        <v>276.19999999999919</v>
      </c>
      <c r="BZ146" s="14">
        <f>BY146*VLOOKUP('Données projet'!$B$12,Paramètres!$A$1:$I$89,3,0)*VLOOKUP('Données projet'!$B$12,Paramètres!$A$1:$I$89,5,0)</f>
        <v>249.90575999999925</v>
      </c>
      <c r="CA146" s="14">
        <f t="shared" si="147"/>
        <v>60.565760331923727</v>
      </c>
      <c r="CB146" s="22">
        <f t="shared" si="118"/>
        <v>540.73789791143247</v>
      </c>
      <c r="CC146" s="60">
        <f t="shared" si="119"/>
        <v>834.07123124476584</v>
      </c>
      <c r="CD146" s="60">
        <f ca="1">AVERAGE(OFFSET($CC$3,0,0,'Données projet'!$E$12+1,1))-AVERAGE(OFFSET($H$3,0,0,'Données projet'!$E$12+1,1))</f>
        <v>303.73499739059076</v>
      </c>
      <c r="CE146" s="60">
        <f t="shared" si="148"/>
        <v>172.32171001882188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2.4</v>
      </c>
      <c r="CT146" s="13">
        <f>IF('Données projet'!$A$140&gt;35,CT145+CS146-DB145,IF(A146&lt;'Données projet'!$A$140,$CQ$205^A146,IF(A146='Données projet'!$A$140,'Données projet'!$B$140,CT145+CS146-DB145)))</f>
        <v>276.19999999999919</v>
      </c>
      <c r="CU146" s="18">
        <f>CT146*VLOOKUP('Données projet'!$B$13,Paramètres!$A$1:$I$89,3,0)*VLOOKUP('Données projet'!$B$13,Paramètres!$A$1:$I$89,5,0)</f>
        <v>280.0667999999992</v>
      </c>
      <c r="CV146" s="14">
        <f t="shared" si="149"/>
        <v>66.981125445388756</v>
      </c>
      <c r="CW146" s="22">
        <f t="shared" si="121"/>
        <v>604.44180348405064</v>
      </c>
      <c r="CX146" s="60">
        <f t="shared" si="122"/>
        <v>897.77513681738401</v>
      </c>
      <c r="CY146" s="60">
        <f ca="1">AVERAGE(OFFSET($CX$3,0,0,'Données projet'!$E$13+1,1))-AVERAGE(OFFSET($H$3,0,0,'Données projet'!$E$13+1,1))</f>
        <v>350.3652766444938</v>
      </c>
      <c r="CZ146" s="60">
        <f t="shared" si="150"/>
        <v>197.04549436738586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2.4</v>
      </c>
      <c r="DO146" s="13">
        <f>IF('Données projet'!$A$166&gt;35,DO145+DN146-DW145,IF(A146&lt;'Données projet'!$A$166,$DL$205^A146,IF(A146='Données projet'!$A$166,'Données projet'!$B$166,DO145+DN146-DW145)))</f>
        <v>276.19999999999919</v>
      </c>
      <c r="DP146" s="18">
        <f>DO146*VLOOKUP('Données projet'!$B$14,Paramètres!$A$1:$I$89,3,0)*VLOOKUP('Données projet'!$B$14,Paramètres!$A$1:$I$89,5,0)</f>
        <v>297.30167999999912</v>
      </c>
      <c r="DQ146" s="14">
        <f t="shared" si="151"/>
        <v>70.610494849824818</v>
      </c>
      <c r="DR146" s="22">
        <f t="shared" si="124"/>
        <v>640.78037119677663</v>
      </c>
      <c r="DS146" s="60">
        <f t="shared" si="125"/>
        <v>934.11370453011</v>
      </c>
      <c r="DT146" s="60">
        <f ca="1">AVERAGE(OFFSET($DS$3,0,0,'Données projet'!$E$14+1,1))-AVERAGE(OFFSET($H$3,0,0,'Données projet'!$E$14+1,1))</f>
        <v>376.96388721258387</v>
      </c>
      <c r="DU146" s="60">
        <f t="shared" si="152"/>
        <v>211.14628470344377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2.4</v>
      </c>
      <c r="EJ146" s="13">
        <f>IF('Données projet'!$A$192&gt;35,EJ145+EI146-ER145,IF(A146&lt;'Données projet'!$A$192,$EG$205^A146,IF(A146='Données projet'!$A$192,'Données projet'!$B$192,EJ145+EI146-ER145)))</f>
        <v>276.19999999999919</v>
      </c>
      <c r="EK146" s="18">
        <f>EJ146*VLOOKUP('Données projet'!$B$15,Paramètres!$A$1:$I$89,3,0)*VLOOKUP('Données projet'!$B$15,Paramètres!$A$1:$I$89,5,0)</f>
        <v>267.14063999999922</v>
      </c>
      <c r="EL146" s="14">
        <f t="shared" si="153"/>
        <v>64.242065428895785</v>
      </c>
      <c r="EM146" s="22">
        <f t="shared" si="127"/>
        <v>577.15821195532533</v>
      </c>
      <c r="EN146" s="60">
        <f t="shared" si="128"/>
        <v>870.4915452886587</v>
      </c>
      <c r="EO146" s="60">
        <f ca="1">AVERAGE(OFFSET($EN$3,0,0,'Données projet'!$E$15+1,1))-AVERAGE(OFFSET($H$3,0,0,'Données projet'!$E$15+1,1))</f>
        <v>330.39429528665841</v>
      </c>
      <c r="EP146" s="60">
        <f t="shared" si="154"/>
        <v>186.45728006007261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8">
        <f t="shared" si="110"/>
        <v>468.23917380194229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-3.3992364478763198E-14</v>
      </c>
      <c r="P147" s="14" t="e">
        <f t="shared" si="141"/>
        <v>#NUM!</v>
      </c>
      <c r="Q147" s="22" t="e">
        <f t="shared" si="108"/>
        <v>#NUM!</v>
      </c>
      <c r="R147" s="60" t="e">
        <f t="shared" si="109"/>
        <v>#NUM!</v>
      </c>
      <c r="S147" s="60">
        <f ca="1">AVERAGE(OFFSET($R$3,0,0,'Données projet'!$E$9+1,1))-AVERAGE(OFFSET($H$3,0,0,'Données projet'!$E$9+1,1))</f>
        <v>155.11440101086782</v>
      </c>
      <c r="T147" s="60">
        <f t="shared" si="142"/>
        <v>239.53454701506638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1.4116217242305165</v>
      </c>
      <c r="AA147" s="23">
        <f>EXP(-LN(2)/25)*AA146+(1-EXP(-LN(2)/25))/(LN(2)/25)*Calculateur!V147*Calculateur!X147*VLOOKUP('Données projet'!$B$9,Paramètres!$A$1:$I$89,3,0)*0.475*44/12</f>
        <v>0.30701806785700059</v>
      </c>
      <c r="AB147" s="23">
        <f>EXP(-LN(2)/2)*AB146+(1-EXP(-LN(2)/2))/(LN(2)/2)*V147*Y147*VLOOKUP('Données projet'!$B$9,Paramètres!$A$1:$I$89,3,0)*0.475*44/12</f>
        <v>2.0462403125581649E-17</v>
      </c>
      <c r="AC147" s="24">
        <f t="shared" si="111"/>
        <v>1.7186397920875169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-3.4106051316484809E-13</v>
      </c>
      <c r="AJ147" s="14">
        <f>AI147*VLOOKUP('Données projet'!$B$10,Paramètres!$A$1:$I$89,3,0)*VLOOKUP('Données projet'!$B$10,Paramètres!$A$1:$I$89,5,0)</f>
        <v>-1.9065282685915009E-13</v>
      </c>
      <c r="AK147" s="14" t="e">
        <f t="shared" si="143"/>
        <v>#NUM!</v>
      </c>
      <c r="AL147" s="22" t="e">
        <f t="shared" si="112"/>
        <v>#NUM!</v>
      </c>
      <c r="AM147" s="60" t="e">
        <f t="shared" si="113"/>
        <v>#NUM!</v>
      </c>
      <c r="AN147" s="60">
        <f ca="1">AVERAGE(OFFSET($AM$3,0,0,'Données projet'!$E$10+1,1))-AVERAGE(OFFSET($H$3,0,0,'Données projet'!$E$10+1,1))</f>
        <v>302.20483575440988</v>
      </c>
      <c r="AO147" s="60">
        <f t="shared" si="144"/>
        <v>275.32862097158687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0.29309488932383332</v>
      </c>
      <c r="AW147" s="23">
        <f>EXP(-LN(2)/2)*AW146+(1-EXP(-LN(2)/2))/(LN(2)/2)*AQ147*AT147*VLOOKUP('Données projet'!$B$10,Paramètres!$A$1:$I$89,3,0)*0.475*44/12</f>
        <v>6.1105459812556332E-17</v>
      </c>
      <c r="AX147" s="23">
        <f t="shared" si="114"/>
        <v>0.29309488932383337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-1.7053025658242404E-13</v>
      </c>
      <c r="BE147" s="14">
        <f>BD147*VLOOKUP('Données projet'!$B$11,Paramètres!$A$1:$I$89,3,0)*VLOOKUP('Données projet'!$B$11,Paramètres!$A$1:$I$89,5,0)</f>
        <v>-1.4897523215040567E-13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314.62110015707839</v>
      </c>
      <c r="BJ147" s="60">
        <f t="shared" si="146"/>
        <v>285.36905470736582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2.4</v>
      </c>
      <c r="BY147" s="13">
        <f>IF('Données projet'!$A$114&gt;35,BY146+BX147-CG146,IF(A147&lt;'Données projet'!$A$114,$BV$205^A147,IF(A147='Données projet'!$A$114,'Données projet'!$B$114,BY146+BX147-CG146)))</f>
        <v>278.59999999999917</v>
      </c>
      <c r="BZ147" s="14">
        <f>BY147*VLOOKUP('Données projet'!$B$12,Paramètres!$A$1:$I$89,3,0)*VLOOKUP('Données projet'!$B$12,Paramètres!$A$1:$I$89,5,0)</f>
        <v>252.07727999999923</v>
      </c>
      <c r="CA147" s="14">
        <f t="shared" si="147"/>
        <v>61.030544652154823</v>
      </c>
      <c r="CB147" s="22">
        <f t="shared" si="118"/>
        <v>545.32946126916829</v>
      </c>
      <c r="CC147" s="60">
        <f t="shared" si="119"/>
        <v>838.66279460250166</v>
      </c>
      <c r="CD147" s="60">
        <f ca="1">AVERAGE(OFFSET($CC$3,0,0,'Données projet'!$E$12+1,1))-AVERAGE(OFFSET($H$3,0,0,'Données projet'!$E$12+1,1))</f>
        <v>303.73499739059076</v>
      </c>
      <c r="CE147" s="60">
        <f t="shared" si="148"/>
        <v>172.32171001882188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2.4</v>
      </c>
      <c r="CT147" s="13">
        <f>IF('Données projet'!$A$140&gt;35,CT146+CS147-DB146,IF(A147&lt;'Données projet'!$A$140,$CQ$205^A147,IF(A147='Données projet'!$A$140,'Données projet'!$B$140,CT146+CS147-DB146)))</f>
        <v>278.59999999999917</v>
      </c>
      <c r="CU147" s="18">
        <f>CT147*VLOOKUP('Données projet'!$B$13,Paramètres!$A$1:$I$89,3,0)*VLOOKUP('Données projet'!$B$13,Paramètres!$A$1:$I$89,5,0)</f>
        <v>282.50039999999916</v>
      </c>
      <c r="CV147" s="14">
        <f t="shared" si="149"/>
        <v>67.495141560894254</v>
      </c>
      <c r="CW147" s="22">
        <f t="shared" si="121"/>
        <v>609.57556821855599</v>
      </c>
      <c r="CX147" s="60">
        <f t="shared" si="122"/>
        <v>902.90890155188936</v>
      </c>
      <c r="CY147" s="60">
        <f ca="1">AVERAGE(OFFSET($CX$3,0,0,'Données projet'!$E$13+1,1))-AVERAGE(OFFSET($H$3,0,0,'Données projet'!$E$13+1,1))</f>
        <v>350.3652766444938</v>
      </c>
      <c r="CZ147" s="60">
        <f t="shared" si="150"/>
        <v>197.04549436738586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2.4</v>
      </c>
      <c r="DO147" s="13">
        <f>IF('Données projet'!$A$166&gt;35,DO146+DN147-DW146,IF(A147&lt;'Données projet'!$A$166,$DL$205^A147,IF(A147='Données projet'!$A$166,'Données projet'!$B$166,DO146+DN147-DW146)))</f>
        <v>278.59999999999917</v>
      </c>
      <c r="DP147" s="18">
        <f>DO147*VLOOKUP('Données projet'!$B$14,Paramètres!$A$1:$I$89,3,0)*VLOOKUP('Données projet'!$B$14,Paramètres!$A$1:$I$89,5,0)</f>
        <v>299.88503999999909</v>
      </c>
      <c r="DQ147" s="14">
        <f t="shared" si="151"/>
        <v>71.152362906464447</v>
      </c>
      <c r="DR147" s="22">
        <f t="shared" si="124"/>
        <v>646.2234767287573</v>
      </c>
      <c r="DS147" s="60">
        <f t="shared" si="125"/>
        <v>939.55681006209056</v>
      </c>
      <c r="DT147" s="60">
        <f ca="1">AVERAGE(OFFSET($DS$3,0,0,'Données projet'!$E$14+1,1))-AVERAGE(OFFSET($H$3,0,0,'Données projet'!$E$14+1,1))</f>
        <v>376.96388721258387</v>
      </c>
      <c r="DU147" s="60">
        <f t="shared" si="152"/>
        <v>211.14628470344377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2.4</v>
      </c>
      <c r="EJ147" s="13">
        <f>IF('Données projet'!$A$192&gt;35,EJ146+EI147-ER146,IF(A147&lt;'Données projet'!$A$192,$EG$205^A147,IF(A147='Données projet'!$A$192,'Données projet'!$B$192,EJ146+EI147-ER146)))</f>
        <v>278.59999999999917</v>
      </c>
      <c r="EK147" s="18">
        <f>EJ147*VLOOKUP('Données projet'!$B$15,Paramètres!$A$1:$I$89,3,0)*VLOOKUP('Données projet'!$B$15,Paramètres!$A$1:$I$89,5,0)</f>
        <v>269.46191999999922</v>
      </c>
      <c r="EL147" s="14">
        <f t="shared" si="153"/>
        <v>64.735061876838927</v>
      </c>
      <c r="EM147" s="22">
        <f t="shared" si="127"/>
        <v>582.05974343549315</v>
      </c>
      <c r="EN147" s="60">
        <f t="shared" si="128"/>
        <v>875.3930767688264</v>
      </c>
      <c r="EO147" s="60">
        <f ca="1">AVERAGE(OFFSET($EN$3,0,0,'Données projet'!$E$15+1,1))-AVERAGE(OFFSET($H$3,0,0,'Données projet'!$E$15+1,1))</f>
        <v>330.39429528665841</v>
      </c>
      <c r="EP147" s="60">
        <f t="shared" si="154"/>
        <v>186.45728006007261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8">
        <f t="shared" si="110"/>
        <v>469.42301213183316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-3.3992364478763198E-14</v>
      </c>
      <c r="P148" s="14" t="e">
        <f t="shared" si="141"/>
        <v>#NUM!</v>
      </c>
      <c r="Q148" s="22" t="e">
        <f t="shared" si="108"/>
        <v>#NUM!</v>
      </c>
      <c r="R148" s="60" t="e">
        <f t="shared" si="109"/>
        <v>#NUM!</v>
      </c>
      <c r="S148" s="60">
        <f ca="1">AVERAGE(OFFSET($R$3,0,0,'Données projet'!$E$9+1,1))-AVERAGE(OFFSET($H$3,0,0,'Données projet'!$E$9+1,1))</f>
        <v>155.11440101086782</v>
      </c>
      <c r="T148" s="60">
        <f t="shared" si="142"/>
        <v>239.53454701506638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1.3839406832225907</v>
      </c>
      <c r="AA148" s="23">
        <f>EXP(-LN(2)/25)*AA147+(1-EXP(-LN(2)/25))/(LN(2)/25)*Calculateur!V148*Calculateur!X148*VLOOKUP('Données projet'!$B$9,Paramètres!$A$1:$I$89,3,0)*0.475*44/12</f>
        <v>0.29862264264607241</v>
      </c>
      <c r="AB148" s="23">
        <f>EXP(-LN(2)/2)*AB147+(1-EXP(-LN(2)/2))/(LN(2)/2)*V148*Y148*VLOOKUP('Données projet'!$B$9,Paramètres!$A$1:$I$89,3,0)*0.475*44/12</f>
        <v>1.4469104009471589E-17</v>
      </c>
      <c r="AC148" s="24">
        <f t="shared" si="111"/>
        <v>1.6825633258686632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-3.4106051316484809E-13</v>
      </c>
      <c r="AJ148" s="14">
        <f>AI148*VLOOKUP('Données projet'!$B$10,Paramètres!$A$1:$I$89,3,0)*VLOOKUP('Données projet'!$B$10,Paramètres!$A$1:$I$89,5,0)</f>
        <v>-1.9065282685915009E-13</v>
      </c>
      <c r="AK148" s="14" t="e">
        <f t="shared" si="143"/>
        <v>#NUM!</v>
      </c>
      <c r="AL148" s="22" t="e">
        <f t="shared" si="112"/>
        <v>#NUM!</v>
      </c>
      <c r="AM148" s="60" t="e">
        <f t="shared" si="113"/>
        <v>#NUM!</v>
      </c>
      <c r="AN148" s="60">
        <f ca="1">AVERAGE(OFFSET($AM$3,0,0,'Données projet'!$E$10+1,1))-AVERAGE(OFFSET($H$3,0,0,'Données projet'!$E$10+1,1))</f>
        <v>302.20483575440988</v>
      </c>
      <c r="AO148" s="60">
        <f t="shared" si="144"/>
        <v>275.32862097158687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0.28508019416208275</v>
      </c>
      <c r="AW148" s="23">
        <f>EXP(-LN(2)/2)*AW147+(1-EXP(-LN(2)/2))/(LN(2)/2)*AQ148*AT148*VLOOKUP('Données projet'!$B$10,Paramètres!$A$1:$I$89,3,0)*0.475*44/12</f>
        <v>4.3208085000980644E-17</v>
      </c>
      <c r="AX148" s="23">
        <f t="shared" si="114"/>
        <v>0.2850801941620828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-1.7053025658242404E-13</v>
      </c>
      <c r="BE148" s="14">
        <f>BD148*VLOOKUP('Données projet'!$B$11,Paramètres!$A$1:$I$89,3,0)*VLOOKUP('Données projet'!$B$11,Paramètres!$A$1:$I$89,5,0)</f>
        <v>-1.4897523215040567E-13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314.62110015707839</v>
      </c>
      <c r="BJ148" s="60">
        <f t="shared" si="146"/>
        <v>285.36905470736582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2.4</v>
      </c>
      <c r="BY148" s="13">
        <f>IF('Données projet'!$A$114&gt;35,BY147+BX148-CG147,IF(A148&lt;'Données projet'!$A$114,$BV$205^A148,IF(A148='Données projet'!$A$114,'Données projet'!$B$114,BY147+BX148-CG147)))</f>
        <v>280.99999999999915</v>
      </c>
      <c r="BZ148" s="14">
        <f>BY148*VLOOKUP('Données projet'!$B$12,Paramètres!$A$1:$I$89,3,0)*VLOOKUP('Données projet'!$B$12,Paramètres!$A$1:$I$89,5,0)</f>
        <v>254.24879999999925</v>
      </c>
      <c r="CA148" s="14">
        <f t="shared" si="147"/>
        <v>61.494863147658698</v>
      </c>
      <c r="CB148" s="22">
        <f t="shared" si="118"/>
        <v>549.92021331550427</v>
      </c>
      <c r="CC148" s="60">
        <f t="shared" si="119"/>
        <v>843.25354664883753</v>
      </c>
      <c r="CD148" s="60">
        <f ca="1">AVERAGE(OFFSET($CC$3,0,0,'Données projet'!$E$12+1,1))-AVERAGE(OFFSET($H$3,0,0,'Données projet'!$E$12+1,1))</f>
        <v>303.73499739059076</v>
      </c>
      <c r="CE148" s="60">
        <f t="shared" si="148"/>
        <v>172.32171001882188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2.4</v>
      </c>
      <c r="CT148" s="13">
        <f>IF('Données projet'!$A$140&gt;35,CT147+CS148-DB147,IF(A148&lt;'Données projet'!$A$140,$CQ$205^A148,IF(A148='Données projet'!$A$140,'Données projet'!$B$140,CT147+CS148-DB147)))</f>
        <v>280.99999999999915</v>
      </c>
      <c r="CU148" s="18">
        <f>CT148*VLOOKUP('Données projet'!$B$13,Paramètres!$A$1:$I$89,3,0)*VLOOKUP('Données projet'!$B$13,Paramètres!$A$1:$I$89,5,0)</f>
        <v>284.93399999999917</v>
      </c>
      <c r="CV148" s="14">
        <f t="shared" si="149"/>
        <v>68.008642509673109</v>
      </c>
      <c r="CW148" s="22">
        <f t="shared" si="121"/>
        <v>614.7084357043459</v>
      </c>
      <c r="CX148" s="60">
        <f t="shared" si="122"/>
        <v>908.04176903767916</v>
      </c>
      <c r="CY148" s="60">
        <f ca="1">AVERAGE(OFFSET($CX$3,0,0,'Données projet'!$E$13+1,1))-AVERAGE(OFFSET($H$3,0,0,'Données projet'!$E$13+1,1))</f>
        <v>350.3652766444938</v>
      </c>
      <c r="CZ148" s="60">
        <f t="shared" si="150"/>
        <v>197.04549436738586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2.4</v>
      </c>
      <c r="DO148" s="13">
        <f>IF('Données projet'!$A$166&gt;35,DO147+DN148-DW147,IF(A148&lt;'Données projet'!$A$166,$DL$205^A148,IF(A148='Données projet'!$A$166,'Données projet'!$B$166,DO147+DN148-DW147)))</f>
        <v>280.99999999999915</v>
      </c>
      <c r="DP148" s="18">
        <f>DO148*VLOOKUP('Données projet'!$B$14,Paramètres!$A$1:$I$89,3,0)*VLOOKUP('Données projet'!$B$14,Paramètres!$A$1:$I$89,5,0)</f>
        <v>302.46839999999906</v>
      </c>
      <c r="DQ148" s="14">
        <f t="shared" si="151"/>
        <v>71.693687882090543</v>
      </c>
      <c r="DR148" s="22">
        <f t="shared" si="124"/>
        <v>651.66563639463936</v>
      </c>
      <c r="DS148" s="60">
        <f t="shared" si="125"/>
        <v>944.99896972797274</v>
      </c>
      <c r="DT148" s="60">
        <f ca="1">AVERAGE(OFFSET($DS$3,0,0,'Données projet'!$E$14+1,1))-AVERAGE(OFFSET($H$3,0,0,'Données projet'!$E$14+1,1))</f>
        <v>376.96388721258387</v>
      </c>
      <c r="DU148" s="60">
        <f t="shared" si="152"/>
        <v>211.14628470344377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2.4</v>
      </c>
      <c r="EJ148" s="13">
        <f>IF('Données projet'!$A$192&gt;35,EJ147+EI148-ER147,IF(A148&lt;'Données projet'!$A$192,$EG$205^A148,IF(A148='Données projet'!$A$192,'Données projet'!$B$192,EJ147+EI148-ER147)))</f>
        <v>280.99999999999915</v>
      </c>
      <c r="EK148" s="18">
        <f>EJ148*VLOOKUP('Données projet'!$B$15,Paramètres!$A$1:$I$89,3,0)*VLOOKUP('Données projet'!$B$15,Paramètres!$A$1:$I$89,5,0)</f>
        <v>271.78319999999917</v>
      </c>
      <c r="EL148" s="14">
        <f t="shared" si="153"/>
        <v>65.227564224775008</v>
      </c>
      <c r="EM148" s="22">
        <f t="shared" si="127"/>
        <v>586.96041435814834</v>
      </c>
      <c r="EN148" s="60">
        <f t="shared" si="128"/>
        <v>880.29374769148171</v>
      </c>
      <c r="EO148" s="60">
        <f ca="1">AVERAGE(OFFSET($EN$3,0,0,'Données projet'!$E$15+1,1))-AVERAGE(OFFSET($H$3,0,0,'Données projet'!$E$15+1,1))</f>
        <v>330.39429528665841</v>
      </c>
      <c r="EP148" s="60">
        <f t="shared" si="154"/>
        <v>186.45728006007261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8">
        <f t="shared" si="110"/>
        <v>470.60666358206163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-3.3992364478763198E-14</v>
      </c>
      <c r="P149" s="14" t="e">
        <f t="shared" si="141"/>
        <v>#NUM!</v>
      </c>
      <c r="Q149" s="22" t="e">
        <f t="shared" si="108"/>
        <v>#NUM!</v>
      </c>
      <c r="R149" s="60" t="e">
        <f t="shared" si="109"/>
        <v>#NUM!</v>
      </c>
      <c r="S149" s="60">
        <f ca="1">AVERAGE(OFFSET($R$3,0,0,'Données projet'!$E$9+1,1))-AVERAGE(OFFSET($H$3,0,0,'Données projet'!$E$9+1,1))</f>
        <v>155.11440101086782</v>
      </c>
      <c r="T149" s="60">
        <f t="shared" si="142"/>
        <v>239.53454701506638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1.3568024505450624</v>
      </c>
      <c r="AA149" s="23">
        <f>EXP(-LN(2)/25)*AA148+(1-EXP(-LN(2)/25))/(LN(2)/25)*Calculateur!V149*Calculateur!X149*VLOOKUP('Données projet'!$B$9,Paramètres!$A$1:$I$89,3,0)*0.475*44/12</f>
        <v>0.2904567907790333</v>
      </c>
      <c r="AB149" s="23">
        <f>EXP(-LN(2)/2)*AB148+(1-EXP(-LN(2)/2))/(LN(2)/2)*V149*Y149*VLOOKUP('Données projet'!$B$9,Paramètres!$A$1:$I$89,3,0)*0.475*44/12</f>
        <v>1.0231201562790824E-17</v>
      </c>
      <c r="AC149" s="24">
        <f t="shared" si="111"/>
        <v>1.6472592413240958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-3.4106051316484809E-13</v>
      </c>
      <c r="AJ149" s="14">
        <f>AI149*VLOOKUP('Données projet'!$B$10,Paramètres!$A$1:$I$89,3,0)*VLOOKUP('Données projet'!$B$10,Paramètres!$A$1:$I$89,5,0)</f>
        <v>-1.9065282685915009E-13</v>
      </c>
      <c r="AK149" s="14" t="e">
        <f t="shared" si="143"/>
        <v>#NUM!</v>
      </c>
      <c r="AL149" s="22" t="e">
        <f t="shared" si="112"/>
        <v>#NUM!</v>
      </c>
      <c r="AM149" s="60" t="e">
        <f t="shared" si="113"/>
        <v>#NUM!</v>
      </c>
      <c r="AN149" s="60">
        <f ca="1">AVERAGE(OFFSET($AM$3,0,0,'Données projet'!$E$10+1,1))-AVERAGE(OFFSET($H$3,0,0,'Données projet'!$E$10+1,1))</f>
        <v>302.20483575440988</v>
      </c>
      <c r="AO149" s="60">
        <f t="shared" si="144"/>
        <v>275.32862097158687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0.27728466126100476</v>
      </c>
      <c r="AW149" s="23">
        <f>EXP(-LN(2)/2)*AW148+(1-EXP(-LN(2)/2))/(LN(2)/2)*AQ149*AT149*VLOOKUP('Données projet'!$B$10,Paramètres!$A$1:$I$89,3,0)*0.475*44/12</f>
        <v>3.0552729906278166E-17</v>
      </c>
      <c r="AX149" s="23">
        <f t="shared" si="114"/>
        <v>0.27728466126100482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-1.7053025658242404E-13</v>
      </c>
      <c r="BE149" s="14">
        <f>BD149*VLOOKUP('Données projet'!$B$11,Paramètres!$A$1:$I$89,3,0)*VLOOKUP('Données projet'!$B$11,Paramètres!$A$1:$I$89,5,0)</f>
        <v>-1.4897523215040567E-13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314.62110015707839</v>
      </c>
      <c r="BJ149" s="60">
        <f t="shared" si="146"/>
        <v>285.36905470736582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2.4</v>
      </c>
      <c r="BY149" s="13">
        <f>IF('Données projet'!$A$114&gt;35,BY148+BX149-CG148,IF(A149&lt;'Données projet'!$A$114,$BV$205^A149,IF(A149='Données projet'!$A$114,'Données projet'!$B$114,BY148+BX149-CG148)))</f>
        <v>283.39999999999912</v>
      </c>
      <c r="BZ149" s="14">
        <f>BY149*VLOOKUP('Données projet'!$B$12,Paramètres!$A$1:$I$89,3,0)*VLOOKUP('Données projet'!$B$12,Paramètres!$A$1:$I$89,5,0)</f>
        <v>256.42031999999921</v>
      </c>
      <c r="CA149" s="14">
        <f t="shared" si="147"/>
        <v>61.958720258016747</v>
      </c>
      <c r="CB149" s="22">
        <f t="shared" si="118"/>
        <v>554.51016178271107</v>
      </c>
      <c r="CC149" s="60">
        <f t="shared" si="119"/>
        <v>847.84349511604432</v>
      </c>
      <c r="CD149" s="60">
        <f ca="1">AVERAGE(OFFSET($CC$3,0,0,'Données projet'!$E$12+1,1))-AVERAGE(OFFSET($H$3,0,0,'Données projet'!$E$12+1,1))</f>
        <v>303.73499739059076</v>
      </c>
      <c r="CE149" s="60">
        <f t="shared" si="148"/>
        <v>172.32171001882188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2.4</v>
      </c>
      <c r="CT149" s="13">
        <f>IF('Données projet'!$A$140&gt;35,CT148+CS149-DB148,IF(A149&lt;'Données projet'!$A$140,$CQ$205^A149,IF(A149='Données projet'!$A$140,'Données projet'!$B$140,CT148+CS149-DB148)))</f>
        <v>283.39999999999912</v>
      </c>
      <c r="CU149" s="18">
        <f>CT149*VLOOKUP('Données projet'!$B$13,Paramètres!$A$1:$I$89,3,0)*VLOOKUP('Données projet'!$B$13,Paramètres!$A$1:$I$89,5,0)</f>
        <v>287.36759999999913</v>
      </c>
      <c r="CV149" s="14">
        <f t="shared" si="149"/>
        <v>68.521633201564995</v>
      </c>
      <c r="CW149" s="22">
        <f t="shared" si="121"/>
        <v>619.84041449272411</v>
      </c>
      <c r="CX149" s="60">
        <f t="shared" si="122"/>
        <v>913.17374782605748</v>
      </c>
      <c r="CY149" s="60">
        <f ca="1">AVERAGE(OFFSET($CX$3,0,0,'Données projet'!$E$13+1,1))-AVERAGE(OFFSET($H$3,0,0,'Données projet'!$E$13+1,1))</f>
        <v>350.3652766444938</v>
      </c>
      <c r="CZ149" s="60">
        <f t="shared" si="150"/>
        <v>197.04549436738586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2.4</v>
      </c>
      <c r="DO149" s="13">
        <f>IF('Données projet'!$A$166&gt;35,DO148+DN149-DW148,IF(A149&lt;'Données projet'!$A$166,$DL$205^A149,IF(A149='Données projet'!$A$166,'Données projet'!$B$166,DO148+DN149-DW148)))</f>
        <v>283.39999999999912</v>
      </c>
      <c r="DP149" s="18">
        <f>DO149*VLOOKUP('Données projet'!$B$14,Paramètres!$A$1:$I$89,3,0)*VLOOKUP('Données projet'!$B$14,Paramètres!$A$1:$I$89,5,0)</f>
        <v>305.05175999999904</v>
      </c>
      <c r="DQ149" s="14">
        <f t="shared" si="151"/>
        <v>72.234474952581991</v>
      </c>
      <c r="DR149" s="22">
        <f t="shared" si="124"/>
        <v>657.10685920907861</v>
      </c>
      <c r="DS149" s="60">
        <f t="shared" si="125"/>
        <v>950.44019254241198</v>
      </c>
      <c r="DT149" s="60">
        <f ca="1">AVERAGE(OFFSET($DS$3,0,0,'Données projet'!$E$14+1,1))-AVERAGE(OFFSET($H$3,0,0,'Données projet'!$E$14+1,1))</f>
        <v>376.96388721258387</v>
      </c>
      <c r="DU149" s="60">
        <f t="shared" si="152"/>
        <v>211.14628470344377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2.4</v>
      </c>
      <c r="EJ149" s="13">
        <f>IF('Données projet'!$A$192&gt;35,EJ148+EI149-ER148,IF(A149&lt;'Données projet'!$A$192,$EG$205^A149,IF(A149='Données projet'!$A$192,'Données projet'!$B$192,EJ148+EI149-ER148)))</f>
        <v>283.39999999999912</v>
      </c>
      <c r="EK149" s="18">
        <f>EJ149*VLOOKUP('Données projet'!$B$15,Paramètres!$A$1:$I$89,3,0)*VLOOKUP('Données projet'!$B$15,Paramètres!$A$1:$I$89,5,0)</f>
        <v>274.10447999999917</v>
      </c>
      <c r="EL149" s="14">
        <f t="shared" si="153"/>
        <v>65.719577181765331</v>
      </c>
      <c r="EM149" s="22">
        <f t="shared" si="127"/>
        <v>591.86023292490643</v>
      </c>
      <c r="EN149" s="60">
        <f t="shared" si="128"/>
        <v>885.1935662582398</v>
      </c>
      <c r="EO149" s="60">
        <f ca="1">AVERAGE(OFFSET($EN$3,0,0,'Données projet'!$E$15+1,1))-AVERAGE(OFFSET($H$3,0,0,'Données projet'!$E$15+1,1))</f>
        <v>330.39429528665841</v>
      </c>
      <c r="EP149" s="60">
        <f t="shared" si="154"/>
        <v>186.45728006007261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8">
        <f t="shared" si="110"/>
        <v>471.79012958106995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-3.3992364478763198E-14</v>
      </c>
      <c r="P150" s="14" t="e">
        <f t="shared" si="141"/>
        <v>#NUM!</v>
      </c>
      <c r="Q150" s="22" t="e">
        <f t="shared" si="108"/>
        <v>#NUM!</v>
      </c>
      <c r="R150" s="60" t="e">
        <f t="shared" si="109"/>
        <v>#NUM!</v>
      </c>
      <c r="S150" s="60">
        <f ca="1">AVERAGE(OFFSET($R$3,0,0,'Données projet'!$E$9+1,1))-AVERAGE(OFFSET($H$3,0,0,'Données projet'!$E$9+1,1))</f>
        <v>155.11440101086782</v>
      </c>
      <c r="T150" s="60">
        <f t="shared" si="142"/>
        <v>239.53454701506638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1.330196382057653</v>
      </c>
      <c r="AA150" s="23">
        <f>EXP(-LN(2)/25)*AA149+(1-EXP(-LN(2)/25))/(LN(2)/25)*Calculateur!V150*Calculateur!X150*VLOOKUP('Données projet'!$B$9,Paramètres!$A$1:$I$89,3,0)*0.475*44/12</f>
        <v>0.28251423456072183</v>
      </c>
      <c r="AB150" s="23">
        <f>EXP(-LN(2)/2)*AB149+(1-EXP(-LN(2)/2))/(LN(2)/2)*V150*Y150*VLOOKUP('Données projet'!$B$9,Paramètres!$A$1:$I$89,3,0)*0.475*44/12</f>
        <v>7.2345520047357943E-18</v>
      </c>
      <c r="AC150" s="24">
        <f t="shared" si="111"/>
        <v>1.6127106166183749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-3.4106051316484809E-13</v>
      </c>
      <c r="AJ150" s="14">
        <f>AI150*VLOOKUP('Données projet'!$B$10,Paramètres!$A$1:$I$89,3,0)*VLOOKUP('Données projet'!$B$10,Paramètres!$A$1:$I$89,5,0)</f>
        <v>-1.9065282685915009E-13</v>
      </c>
      <c r="AK150" s="14" t="e">
        <f t="shared" si="143"/>
        <v>#NUM!</v>
      </c>
      <c r="AL150" s="22" t="e">
        <f t="shared" si="112"/>
        <v>#NUM!</v>
      </c>
      <c r="AM150" s="60" t="e">
        <f t="shared" si="113"/>
        <v>#NUM!</v>
      </c>
      <c r="AN150" s="60">
        <f ca="1">AVERAGE(OFFSET($AM$3,0,0,'Données projet'!$E$10+1,1))-AVERAGE(OFFSET($H$3,0,0,'Données projet'!$E$10+1,1))</f>
        <v>302.20483575440988</v>
      </c>
      <c r="AO150" s="60">
        <f t="shared" si="144"/>
        <v>275.32862097158687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0.269702297617056</v>
      </c>
      <c r="AW150" s="23">
        <f>EXP(-LN(2)/2)*AW149+(1-EXP(-LN(2)/2))/(LN(2)/2)*AQ150*AT150*VLOOKUP('Données projet'!$B$10,Paramètres!$A$1:$I$89,3,0)*0.475*44/12</f>
        <v>2.1604042500490322E-17</v>
      </c>
      <c r="AX150" s="23">
        <f t="shared" si="114"/>
        <v>0.269702297617056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-1.7053025658242404E-13</v>
      </c>
      <c r="BE150" s="14">
        <f>BD150*VLOOKUP('Données projet'!$B$11,Paramètres!$A$1:$I$89,3,0)*VLOOKUP('Données projet'!$B$11,Paramètres!$A$1:$I$89,5,0)</f>
        <v>-1.4897523215040567E-13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314.62110015707839</v>
      </c>
      <c r="BJ150" s="60">
        <f t="shared" si="146"/>
        <v>285.36905470736582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2.4</v>
      </c>
      <c r="BY150" s="13">
        <f>IF('Données projet'!$A$114&gt;35,BY149+BX150-CG149,IF(A150&lt;'Données projet'!$A$114,$BV$205^A150,IF(A150='Données projet'!$A$114,'Données projet'!$B$114,BY149+BX150-CG149)))</f>
        <v>285.7999999999991</v>
      </c>
      <c r="BZ150" s="14">
        <f>BY150*VLOOKUP('Données projet'!$B$12,Paramètres!$A$1:$I$89,3,0)*VLOOKUP('Données projet'!$B$12,Paramètres!$A$1:$I$89,5,0)</f>
        <v>258.59183999999919</v>
      </c>
      <c r="CA150" s="14">
        <f t="shared" si="147"/>
        <v>62.422120343276475</v>
      </c>
      <c r="CB150" s="22">
        <f t="shared" si="118"/>
        <v>559.09931426453841</v>
      </c>
      <c r="CC150" s="60">
        <f t="shared" si="119"/>
        <v>852.43264759787166</v>
      </c>
      <c r="CD150" s="60">
        <f ca="1">AVERAGE(OFFSET($CC$3,0,0,'Données projet'!$E$12+1,1))-AVERAGE(OFFSET($H$3,0,0,'Données projet'!$E$12+1,1))</f>
        <v>303.73499739059076</v>
      </c>
      <c r="CE150" s="60">
        <f t="shared" si="148"/>
        <v>172.32171001882188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2.4</v>
      </c>
      <c r="CT150" s="13">
        <f>IF('Données projet'!$A$140&gt;35,CT149+CS150-DB149,IF(A150&lt;'Données projet'!$A$140,$CQ$205^A150,IF(A150='Données projet'!$A$140,'Données projet'!$B$140,CT149+CS150-DB149)))</f>
        <v>285.7999999999991</v>
      </c>
      <c r="CU150" s="18">
        <f>CT150*VLOOKUP('Données projet'!$B$13,Paramètres!$A$1:$I$89,3,0)*VLOOKUP('Données projet'!$B$13,Paramètres!$A$1:$I$89,5,0)</f>
        <v>289.80119999999908</v>
      </c>
      <c r="CV150" s="14">
        <f t="shared" si="149"/>
        <v>69.034118458450664</v>
      </c>
      <c r="CW150" s="22">
        <f t="shared" si="121"/>
        <v>624.97151298179995</v>
      </c>
      <c r="CX150" s="60">
        <f t="shared" si="122"/>
        <v>918.30484631513332</v>
      </c>
      <c r="CY150" s="60">
        <f ca="1">AVERAGE(OFFSET($CX$3,0,0,'Données projet'!$E$13+1,1))-AVERAGE(OFFSET($H$3,0,0,'Données projet'!$E$13+1,1))</f>
        <v>350.3652766444938</v>
      </c>
      <c r="CZ150" s="60">
        <f t="shared" si="150"/>
        <v>197.04549436738586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2.4</v>
      </c>
      <c r="DO150" s="13">
        <f>IF('Données projet'!$A$166&gt;35,DO149+DN150-DW149,IF(A150&lt;'Données projet'!$A$166,$DL$205^A150,IF(A150='Données projet'!$A$166,'Données projet'!$B$166,DO149+DN150-DW149)))</f>
        <v>285.7999999999991</v>
      </c>
      <c r="DP150" s="18">
        <f>DO150*VLOOKUP('Données projet'!$B$14,Paramètres!$A$1:$I$89,3,0)*VLOOKUP('Données projet'!$B$14,Paramètres!$A$1:$I$89,5,0)</f>
        <v>307.63511999999901</v>
      </c>
      <c r="DQ150" s="14">
        <f t="shared" si="151"/>
        <v>72.774729201093322</v>
      </c>
      <c r="DR150" s="22">
        <f t="shared" si="124"/>
        <v>662.54715402523584</v>
      </c>
      <c r="DS150" s="60">
        <f t="shared" si="125"/>
        <v>955.8804873585691</v>
      </c>
      <c r="DT150" s="60">
        <f ca="1">AVERAGE(OFFSET($DS$3,0,0,'Données projet'!$E$14+1,1))-AVERAGE(OFFSET($H$3,0,0,'Données projet'!$E$14+1,1))</f>
        <v>376.96388721258387</v>
      </c>
      <c r="DU150" s="60">
        <f t="shared" si="152"/>
        <v>211.14628470344377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2.4</v>
      </c>
      <c r="EJ150" s="13">
        <f>IF('Données projet'!$A$192&gt;35,EJ149+EI150-ER149,IF(A150&lt;'Données projet'!$A$192,$EG$205^A150,IF(A150='Données projet'!$A$192,'Données projet'!$B$192,EJ149+EI150-ER149)))</f>
        <v>285.7999999999991</v>
      </c>
      <c r="EK150" s="18">
        <f>EJ150*VLOOKUP('Données projet'!$B$15,Paramètres!$A$1:$I$89,3,0)*VLOOKUP('Données projet'!$B$15,Paramètres!$A$1:$I$89,5,0)</f>
        <v>276.42575999999912</v>
      </c>
      <c r="EL150" s="14">
        <f t="shared" si="153"/>
        <v>66.211105372509707</v>
      </c>
      <c r="EM150" s="22">
        <f t="shared" si="127"/>
        <v>596.75920719045291</v>
      </c>
      <c r="EN150" s="60">
        <f t="shared" si="128"/>
        <v>890.09254052378628</v>
      </c>
      <c r="EO150" s="60">
        <f ca="1">AVERAGE(OFFSET($EN$3,0,0,'Données projet'!$E$15+1,1))-AVERAGE(OFFSET($H$3,0,0,'Données projet'!$E$15+1,1))</f>
        <v>330.39429528665841</v>
      </c>
      <c r="EP150" s="60">
        <f t="shared" si="154"/>
        <v>186.45728006007261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8">
        <f t="shared" si="110"/>
        <v>472.9734115367425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-3.3992364478763198E-14</v>
      </c>
      <c r="P151" s="14" t="e">
        <f t="shared" si="141"/>
        <v>#NUM!</v>
      </c>
      <c r="Q151" s="22" t="e">
        <f t="shared" si="108"/>
        <v>#NUM!</v>
      </c>
      <c r="R151" s="60" t="e">
        <f t="shared" si="109"/>
        <v>#NUM!</v>
      </c>
      <c r="S151" s="60">
        <f ca="1">AVERAGE(OFFSET($R$3,0,0,'Données projet'!$E$9+1,1))-AVERAGE(OFFSET($H$3,0,0,'Données projet'!$E$9+1,1))</f>
        <v>155.11440101086782</v>
      </c>
      <c r="T151" s="60">
        <f t="shared" si="142"/>
        <v>239.53454701506638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1.3041120423451824</v>
      </c>
      <c r="AA151" s="23">
        <f>EXP(-LN(2)/25)*AA150+(1-EXP(-LN(2)/25))/(LN(2)/25)*Calculateur!V151*Calculateur!X151*VLOOKUP('Données projet'!$B$9,Paramètres!$A$1:$I$89,3,0)*0.475*44/12</f>
        <v>0.274788867959881</v>
      </c>
      <c r="AB151" s="23">
        <f>EXP(-LN(2)/2)*AB150+(1-EXP(-LN(2)/2))/(LN(2)/2)*V151*Y151*VLOOKUP('Données projet'!$B$9,Paramètres!$A$1:$I$89,3,0)*0.475*44/12</f>
        <v>5.1156007813954122E-18</v>
      </c>
      <c r="AC151" s="24">
        <f t="shared" si="111"/>
        <v>1.5789009103050633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-3.4106051316484809E-13</v>
      </c>
      <c r="AJ151" s="14">
        <f>AI151*VLOOKUP('Données projet'!$B$10,Paramètres!$A$1:$I$89,3,0)*VLOOKUP('Données projet'!$B$10,Paramètres!$A$1:$I$89,5,0)</f>
        <v>-1.9065282685915009E-13</v>
      </c>
      <c r="AK151" s="14" t="e">
        <f t="shared" si="143"/>
        <v>#NUM!</v>
      </c>
      <c r="AL151" s="22" t="e">
        <f t="shared" si="112"/>
        <v>#NUM!</v>
      </c>
      <c r="AM151" s="60" t="e">
        <f t="shared" si="113"/>
        <v>#NUM!</v>
      </c>
      <c r="AN151" s="60">
        <f ca="1">AVERAGE(OFFSET($AM$3,0,0,'Données projet'!$E$10+1,1))-AVERAGE(OFFSET($H$3,0,0,'Données projet'!$E$10+1,1))</f>
        <v>302.20483575440988</v>
      </c>
      <c r="AO151" s="60">
        <f t="shared" si="144"/>
        <v>275.32862097158687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0.26232727410569018</v>
      </c>
      <c r="AW151" s="23">
        <f>EXP(-LN(2)/2)*AW150+(1-EXP(-LN(2)/2))/(LN(2)/2)*AQ151*AT151*VLOOKUP('Données projet'!$B$10,Paramètres!$A$1:$I$89,3,0)*0.475*44/12</f>
        <v>1.5276364953139083E-17</v>
      </c>
      <c r="AX151" s="23">
        <f t="shared" si="114"/>
        <v>0.26232727410569018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-1.7053025658242404E-13</v>
      </c>
      <c r="BE151" s="14">
        <f>BD151*VLOOKUP('Données projet'!$B$11,Paramètres!$A$1:$I$89,3,0)*VLOOKUP('Données projet'!$B$11,Paramètres!$A$1:$I$89,5,0)</f>
        <v>-1.4897523215040567E-13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314.62110015707839</v>
      </c>
      <c r="BJ151" s="60">
        <f t="shared" si="146"/>
        <v>285.36905470736582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2.4</v>
      </c>
      <c r="BY151" s="13">
        <f>IF('Données projet'!$A$114&gt;35,BY150+BX151-CG150,IF(A151&lt;'Données projet'!$A$114,$BV$205^A151,IF(A151='Données projet'!$A$114,'Données projet'!$B$114,BY150+BX151-CG150)))</f>
        <v>288.19999999999908</v>
      </c>
      <c r="BZ151" s="14">
        <f>BY151*VLOOKUP('Données projet'!$B$12,Paramètres!$A$1:$I$89,3,0)*VLOOKUP('Données projet'!$B$12,Paramètres!$A$1:$I$89,5,0)</f>
        <v>260.76335999999918</v>
      </c>
      <c r="CA151" s="14">
        <f t="shared" si="147"/>
        <v>62.885067686031789</v>
      </c>
      <c r="CB151" s="22">
        <f t="shared" si="118"/>
        <v>563.68767821983727</v>
      </c>
      <c r="CC151" s="60">
        <f t="shared" si="119"/>
        <v>857.02101155317064</v>
      </c>
      <c r="CD151" s="60">
        <f ca="1">AVERAGE(OFFSET($CC$3,0,0,'Données projet'!$E$12+1,1))-AVERAGE(OFFSET($H$3,0,0,'Données projet'!$E$12+1,1))</f>
        <v>303.73499739059076</v>
      </c>
      <c r="CE151" s="60">
        <f t="shared" si="148"/>
        <v>172.32171001882188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2.4</v>
      </c>
      <c r="CT151" s="13">
        <f>IF('Données projet'!$A$140&gt;35,CT150+CS151-DB150,IF(A151&lt;'Données projet'!$A$140,$CQ$205^A151,IF(A151='Données projet'!$A$140,'Données projet'!$B$140,CT150+CS151-DB150)))</f>
        <v>288.19999999999908</v>
      </c>
      <c r="CU151" s="18">
        <f>CT151*VLOOKUP('Données projet'!$B$13,Paramètres!$A$1:$I$89,3,0)*VLOOKUP('Données projet'!$B$13,Paramètres!$A$1:$I$89,5,0)</f>
        <v>292.2347999999991</v>
      </c>
      <c r="CV151" s="14">
        <f t="shared" si="149"/>
        <v>69.546103016553573</v>
      </c>
      <c r="CW151" s="22">
        <f t="shared" si="121"/>
        <v>630.10173942049585</v>
      </c>
      <c r="CX151" s="60">
        <f t="shared" si="122"/>
        <v>923.43507275382922</v>
      </c>
      <c r="CY151" s="60">
        <f ca="1">AVERAGE(OFFSET($CX$3,0,0,'Données projet'!$E$13+1,1))-AVERAGE(OFFSET($H$3,0,0,'Données projet'!$E$13+1,1))</f>
        <v>350.3652766444938</v>
      </c>
      <c r="CZ151" s="60">
        <f t="shared" si="150"/>
        <v>197.04549436738586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2.4</v>
      </c>
      <c r="DO151" s="13">
        <f>IF('Données projet'!$A$166&gt;35,DO150+DN151-DW150,IF(A151&lt;'Données projet'!$A$166,$DL$205^A151,IF(A151='Données projet'!$A$166,'Données projet'!$B$166,DO150+DN151-DW150)))</f>
        <v>288.19999999999908</v>
      </c>
      <c r="DP151" s="18">
        <f>DO151*VLOOKUP('Données projet'!$B$14,Paramètres!$A$1:$I$89,3,0)*VLOOKUP('Données projet'!$B$14,Paramètres!$A$1:$I$89,5,0)</f>
        <v>310.21847999999898</v>
      </c>
      <c r="DQ151" s="14">
        <f t="shared" si="151"/>
        <v>73.314455620479777</v>
      </c>
      <c r="DR151" s="22">
        <f t="shared" si="124"/>
        <v>667.98652953900034</v>
      </c>
      <c r="DS151" s="60">
        <f t="shared" si="125"/>
        <v>961.31986287233372</v>
      </c>
      <c r="DT151" s="60">
        <f ca="1">AVERAGE(OFFSET($DS$3,0,0,'Données projet'!$E$14+1,1))-AVERAGE(OFFSET($H$3,0,0,'Données projet'!$E$14+1,1))</f>
        <v>376.96388721258387</v>
      </c>
      <c r="DU151" s="60">
        <f t="shared" si="152"/>
        <v>211.14628470344377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2.4</v>
      </c>
      <c r="EJ151" s="13">
        <f>IF('Données projet'!$A$192&gt;35,EJ150+EI151-ER150,IF(A151&lt;'Données projet'!$A$192,$EG$205^A151,IF(A151='Données projet'!$A$192,'Données projet'!$B$192,EJ150+EI151-ER150)))</f>
        <v>288.19999999999908</v>
      </c>
      <c r="EK151" s="18">
        <f>EJ151*VLOOKUP('Données projet'!$B$15,Paramètres!$A$1:$I$89,3,0)*VLOOKUP('Données projet'!$B$15,Paramètres!$A$1:$I$89,5,0)</f>
        <v>278.74703999999912</v>
      </c>
      <c r="EL151" s="14">
        <f t="shared" si="153"/>
        <v>66.702153339553078</v>
      </c>
      <c r="EM151" s="22">
        <f t="shared" si="127"/>
        <v>601.65734506638671</v>
      </c>
      <c r="EN151" s="60">
        <f t="shared" si="128"/>
        <v>894.99067839972008</v>
      </c>
      <c r="EO151" s="60">
        <f ca="1">AVERAGE(OFFSET($EN$3,0,0,'Données projet'!$E$15+1,1))-AVERAGE(OFFSET($H$3,0,0,'Données projet'!$E$15+1,1))</f>
        <v>330.39429528665841</v>
      </c>
      <c r="EP151" s="60">
        <f t="shared" si="154"/>
        <v>186.45728006007261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8">
        <f t="shared" si="110"/>
        <v>474.15651083683827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-3.3992364478763198E-14</v>
      </c>
      <c r="P152" s="14" t="e">
        <f t="shared" si="141"/>
        <v>#NUM!</v>
      </c>
      <c r="Q152" s="22" t="e">
        <f t="shared" si="108"/>
        <v>#NUM!</v>
      </c>
      <c r="R152" s="60" t="e">
        <f t="shared" si="109"/>
        <v>#NUM!</v>
      </c>
      <c r="S152" s="60">
        <f ca="1">AVERAGE(OFFSET($R$3,0,0,'Données projet'!$E$9+1,1))-AVERAGE(OFFSET($H$3,0,0,'Données projet'!$E$9+1,1))</f>
        <v>155.11440101086782</v>
      </c>
      <c r="T152" s="60">
        <f t="shared" si="142"/>
        <v>239.53454701506638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1.278539200624597</v>
      </c>
      <c r="AA152" s="23">
        <f>EXP(-LN(2)/25)*AA151+(1-EXP(-LN(2)/25))/(LN(2)/25)*Calculateur!V152*Calculateur!X152*VLOOKUP('Données projet'!$B$9,Paramètres!$A$1:$I$89,3,0)*0.475*44/12</f>
        <v>0.26727475191499955</v>
      </c>
      <c r="AB152" s="23">
        <f>EXP(-LN(2)/2)*AB151+(1-EXP(-LN(2)/2))/(LN(2)/2)*V152*Y152*VLOOKUP('Données projet'!$B$9,Paramètres!$A$1:$I$89,3,0)*0.475*44/12</f>
        <v>3.6172760023678971E-18</v>
      </c>
      <c r="AC152" s="24">
        <f t="shared" si="111"/>
        <v>1.5458139525395966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-3.4106051316484809E-13</v>
      </c>
      <c r="AJ152" s="14">
        <f>AI152*VLOOKUP('Données projet'!$B$10,Paramètres!$A$1:$I$89,3,0)*VLOOKUP('Données projet'!$B$10,Paramètres!$A$1:$I$89,5,0)</f>
        <v>-1.9065282685915009E-13</v>
      </c>
      <c r="AK152" s="14" t="e">
        <f t="shared" si="143"/>
        <v>#NUM!</v>
      </c>
      <c r="AL152" s="22" t="e">
        <f t="shared" si="112"/>
        <v>#NUM!</v>
      </c>
      <c r="AM152" s="60" t="e">
        <f t="shared" si="113"/>
        <v>#NUM!</v>
      </c>
      <c r="AN152" s="60">
        <f ca="1">AVERAGE(OFFSET($AM$3,0,0,'Données projet'!$E$10+1,1))-AVERAGE(OFFSET($H$3,0,0,'Données projet'!$E$10+1,1))</f>
        <v>302.20483575440988</v>
      </c>
      <c r="AO152" s="60">
        <f t="shared" si="144"/>
        <v>275.32862097158687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0.25515392100007828</v>
      </c>
      <c r="AW152" s="23">
        <f>EXP(-LN(2)/2)*AW151+(1-EXP(-LN(2)/2))/(LN(2)/2)*AQ152*AT152*VLOOKUP('Données projet'!$B$10,Paramètres!$A$1:$I$89,3,0)*0.475*44/12</f>
        <v>1.0802021250245161E-17</v>
      </c>
      <c r="AX152" s="23">
        <f t="shared" si="114"/>
        <v>0.25515392100007828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-1.7053025658242404E-13</v>
      </c>
      <c r="BE152" s="14">
        <f>BD152*VLOOKUP('Données projet'!$B$11,Paramètres!$A$1:$I$89,3,0)*VLOOKUP('Données projet'!$B$11,Paramètres!$A$1:$I$89,5,0)</f>
        <v>-1.4897523215040567E-13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314.62110015707839</v>
      </c>
      <c r="BJ152" s="60">
        <f t="shared" si="146"/>
        <v>285.36905470736582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2.4</v>
      </c>
      <c r="BY152" s="13">
        <f>IF('Données projet'!$A$114&gt;35,BY151+BX152-CG151,IF(A152&lt;'Données projet'!$A$114,$BV$205^A152,IF(A152='Données projet'!$A$114,'Données projet'!$B$114,BY151+BX152-CG151)))</f>
        <v>290.59999999999906</v>
      </c>
      <c r="BZ152" s="14">
        <f>BY152*VLOOKUP('Données projet'!$B$12,Paramètres!$A$1:$I$89,3,0)*VLOOKUP('Données projet'!$B$12,Paramètres!$A$1:$I$89,5,0)</f>
        <v>262.93487999999911</v>
      </c>
      <c r="CA152" s="14">
        <f t="shared" si="147"/>
        <v>63.347566493432595</v>
      </c>
      <c r="CB152" s="22">
        <f t="shared" si="118"/>
        <v>568.27526097606028</v>
      </c>
      <c r="CC152" s="60">
        <f t="shared" si="119"/>
        <v>861.60859430939354</v>
      </c>
      <c r="CD152" s="60">
        <f ca="1">AVERAGE(OFFSET($CC$3,0,0,'Données projet'!$E$12+1,1))-AVERAGE(OFFSET($H$3,0,0,'Données projet'!$E$12+1,1))</f>
        <v>303.73499739059076</v>
      </c>
      <c r="CE152" s="60">
        <f t="shared" si="148"/>
        <v>172.32171001882188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2.4</v>
      </c>
      <c r="CT152" s="13">
        <f>IF('Données projet'!$A$140&gt;35,CT151+CS152-DB151,IF(A152&lt;'Données projet'!$A$140,$CQ$205^A152,IF(A152='Données projet'!$A$140,'Données projet'!$B$140,CT151+CS152-DB151)))</f>
        <v>290.59999999999906</v>
      </c>
      <c r="CU152" s="18">
        <f>CT152*VLOOKUP('Données projet'!$B$13,Paramètres!$A$1:$I$89,3,0)*VLOOKUP('Données projet'!$B$13,Paramètres!$A$1:$I$89,5,0)</f>
        <v>294.66839999999905</v>
      </c>
      <c r="CV152" s="14">
        <f t="shared" si="149"/>
        <v>70.057591528661362</v>
      </c>
      <c r="CW152" s="22">
        <f t="shared" si="121"/>
        <v>635.23110191241688</v>
      </c>
      <c r="CX152" s="60">
        <f t="shared" si="122"/>
        <v>928.56443524575025</v>
      </c>
      <c r="CY152" s="60">
        <f ca="1">AVERAGE(OFFSET($CX$3,0,0,'Données projet'!$E$13+1,1))-AVERAGE(OFFSET($H$3,0,0,'Données projet'!$E$13+1,1))</f>
        <v>350.3652766444938</v>
      </c>
      <c r="CZ152" s="60">
        <f t="shared" si="150"/>
        <v>197.04549436738586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2.4</v>
      </c>
      <c r="DO152" s="13">
        <f>IF('Données projet'!$A$166&gt;35,DO151+DN152-DW151,IF(A152&lt;'Données projet'!$A$166,$DL$205^A152,IF(A152='Données projet'!$A$166,'Données projet'!$B$166,DO151+DN152-DW151)))</f>
        <v>290.59999999999906</v>
      </c>
      <c r="DP152" s="18">
        <f>DO152*VLOOKUP('Données projet'!$B$14,Paramètres!$A$1:$I$89,3,0)*VLOOKUP('Données projet'!$B$14,Paramètres!$A$1:$I$89,5,0)</f>
        <v>312.80183999999895</v>
      </c>
      <c r="DQ152" s="14">
        <f t="shared" si="151"/>
        <v>73.853659115640198</v>
      </c>
      <c r="DR152" s="22">
        <f t="shared" si="124"/>
        <v>673.42499429307145</v>
      </c>
      <c r="DS152" s="60">
        <f t="shared" si="125"/>
        <v>966.75832762640471</v>
      </c>
      <c r="DT152" s="60">
        <f ca="1">AVERAGE(OFFSET($DS$3,0,0,'Données projet'!$E$14+1,1))-AVERAGE(OFFSET($H$3,0,0,'Données projet'!$E$14+1,1))</f>
        <v>376.96388721258387</v>
      </c>
      <c r="DU152" s="60">
        <f t="shared" si="152"/>
        <v>211.14628470344377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2.4</v>
      </c>
      <c r="EJ152" s="13">
        <f>IF('Données projet'!$A$192&gt;35,EJ151+EI152-ER151,IF(A152&lt;'Données projet'!$A$192,$EG$205^A152,IF(A152='Données projet'!$A$192,'Données projet'!$B$192,EJ151+EI152-ER151)))</f>
        <v>290.59999999999906</v>
      </c>
      <c r="EK152" s="18">
        <f>EJ152*VLOOKUP('Données projet'!$B$15,Paramètres!$A$1:$I$89,3,0)*VLOOKUP('Données projet'!$B$15,Paramètres!$A$1:$I$89,5,0)</f>
        <v>281.06831999999906</v>
      </c>
      <c r="EL152" s="14">
        <f t="shared" si="153"/>
        <v>67.192725545416479</v>
      </c>
      <c r="EM152" s="22">
        <f t="shared" si="127"/>
        <v>606.55465432493213</v>
      </c>
      <c r="EN152" s="60">
        <f t="shared" si="128"/>
        <v>899.8879876582655</v>
      </c>
      <c r="EO152" s="60">
        <f ca="1">AVERAGE(OFFSET($EN$3,0,0,'Données projet'!$E$15+1,1))-AVERAGE(OFFSET($H$3,0,0,'Données projet'!$E$15+1,1))</f>
        <v>330.39429528665841</v>
      </c>
      <c r="EP152" s="60">
        <f t="shared" si="154"/>
        <v>186.45728006007261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8">
        <f t="shared" si="110"/>
        <v>475.33942884941183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-3.3992364478763198E-14</v>
      </c>
      <c r="P153" s="14" t="e">
        <f t="shared" si="141"/>
        <v>#NUM!</v>
      </c>
      <c r="Q153" s="22" t="e">
        <f t="shared" si="108"/>
        <v>#NUM!</v>
      </c>
      <c r="R153" s="60" t="e">
        <f t="shared" si="109"/>
        <v>#NUM!</v>
      </c>
      <c r="S153" s="60">
        <f ca="1">AVERAGE(OFFSET($R$3,0,0,'Données projet'!$E$9+1,1))-AVERAGE(OFFSET($H$3,0,0,'Données projet'!$E$9+1,1))</f>
        <v>155.11440101086782</v>
      </c>
      <c r="T153" s="60">
        <f t="shared" si="142"/>
        <v>239.53454701506638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1.253467826732259</v>
      </c>
      <c r="AA153" s="23">
        <f>EXP(-LN(2)/25)*AA152+(1-EXP(-LN(2)/25))/(LN(2)/25)*Calculateur!V153*Calculateur!X153*VLOOKUP('Données projet'!$B$9,Paramètres!$A$1:$I$89,3,0)*0.475*44/12</f>
        <v>0.25996610976851553</v>
      </c>
      <c r="AB153" s="23">
        <f>EXP(-LN(2)/2)*AB152+(1-EXP(-LN(2)/2))/(LN(2)/2)*V153*Y153*VLOOKUP('Données projet'!$B$9,Paramètres!$A$1:$I$89,3,0)*0.475*44/12</f>
        <v>2.5578003906977061E-18</v>
      </c>
      <c r="AC153" s="24">
        <f t="shared" si="111"/>
        <v>1.5134339365007745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-3.4106051316484809E-13</v>
      </c>
      <c r="AJ153" s="14">
        <f>AI153*VLOOKUP('Données projet'!$B$10,Paramètres!$A$1:$I$89,3,0)*VLOOKUP('Données projet'!$B$10,Paramètres!$A$1:$I$89,5,0)</f>
        <v>-1.9065282685915009E-13</v>
      </c>
      <c r="AK153" s="14" t="e">
        <f t="shared" si="143"/>
        <v>#NUM!</v>
      </c>
      <c r="AL153" s="22" t="e">
        <f t="shared" si="112"/>
        <v>#NUM!</v>
      </c>
      <c r="AM153" s="60" t="e">
        <f t="shared" si="113"/>
        <v>#NUM!</v>
      </c>
      <c r="AN153" s="60">
        <f ca="1">AVERAGE(OFFSET($AM$3,0,0,'Données projet'!$E$10+1,1))-AVERAGE(OFFSET($H$3,0,0,'Données projet'!$E$10+1,1))</f>
        <v>302.20483575440988</v>
      </c>
      <c r="AO153" s="60">
        <f t="shared" si="144"/>
        <v>275.32862097158687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0.24817672361236959</v>
      </c>
      <c r="AW153" s="23">
        <f>EXP(-LN(2)/2)*AW152+(1-EXP(-LN(2)/2))/(LN(2)/2)*AQ153*AT153*VLOOKUP('Données projet'!$B$10,Paramètres!$A$1:$I$89,3,0)*0.475*44/12</f>
        <v>7.6381824765695415E-18</v>
      </c>
      <c r="AX153" s="23">
        <f t="shared" si="114"/>
        <v>0.24817672361236959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-1.7053025658242404E-13</v>
      </c>
      <c r="BE153" s="14">
        <f>BD153*VLOOKUP('Données projet'!$B$11,Paramètres!$A$1:$I$89,3,0)*VLOOKUP('Données projet'!$B$11,Paramètres!$A$1:$I$89,5,0)</f>
        <v>-1.4897523215040567E-13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314.62110015707839</v>
      </c>
      <c r="BJ153" s="60">
        <f t="shared" si="146"/>
        <v>285.36905470736582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293</v>
      </c>
      <c r="BW153" s="13">
        <f>VLOOKUP(A153,'Données projet'!$A$113:$I$133,9,0)</f>
        <v>2.4</v>
      </c>
      <c r="BX153" s="13">
        <f t="array" ref="BX153">INDEX(BW:BW,MIN(IF(ISNUMBER(BW153:BW349),ROW(BW153:BW349),"")))</f>
        <v>2.4</v>
      </c>
      <c r="BY153" s="13">
        <f>IF('Données projet'!$A$114&gt;35,BY152+BX153-CG152,IF(A153&lt;'Données projet'!$A$114,$BV$205^A153,IF(A153='Données projet'!$A$114,'Données projet'!$B$114,BY152+BX153-CG152)))</f>
        <v>292.99999999999903</v>
      </c>
      <c r="BZ153" s="14">
        <f>BY153*VLOOKUP('Données projet'!$B$12,Paramètres!$A$1:$I$89,3,0)*VLOOKUP('Données projet'!$B$12,Paramètres!$A$1:$I$89,5,0)</f>
        <v>265.1063999999991</v>
      </c>
      <c r="CA153" s="14">
        <f t="shared" si="147"/>
        <v>63.809620899125136</v>
      </c>
      <c r="CB153" s="22">
        <f t="shared" si="118"/>
        <v>572.86206973264132</v>
      </c>
      <c r="CC153" s="60">
        <f t="shared" si="119"/>
        <v>866.19540306597469</v>
      </c>
      <c r="CD153" s="60">
        <f ca="1">AVERAGE(OFFSET($CC$3,0,0,'Données projet'!$E$12+1,1))-AVERAGE(OFFSET($H$3,0,0,'Données projet'!$E$12+1,1))</f>
        <v>303.73499739059076</v>
      </c>
      <c r="CE153" s="60">
        <f t="shared" si="148"/>
        <v>172.32171001882188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293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293</v>
      </c>
      <c r="CR153" s="13">
        <f>VLOOKUP(A153,'Données projet'!$A$139:$I$159,9,0)</f>
        <v>2.4</v>
      </c>
      <c r="CS153" s="13">
        <f t="array" ref="CS153">INDEX(CR:CR,MIN(IF(ISNUMBER(CR153:CR349),ROW(CR153:CR349),"")))</f>
        <v>2.4</v>
      </c>
      <c r="CT153" s="13">
        <f>IF('Données projet'!$A$140&gt;35,CT152+CS153-DB152,IF(A153&lt;'Données projet'!$A$140,$CQ$205^A153,IF(A153='Données projet'!$A$140,'Données projet'!$B$140,CT152+CS153-DB152)))</f>
        <v>292.99999999999903</v>
      </c>
      <c r="CU153" s="18">
        <f>CT153*VLOOKUP('Données projet'!$B$13,Paramètres!$A$1:$I$89,3,0)*VLOOKUP('Données projet'!$B$13,Paramètres!$A$1:$I$89,5,0)</f>
        <v>297.10199999999907</v>
      </c>
      <c r="CV153" s="14">
        <f t="shared" si="149"/>
        <v>70.568588566272624</v>
      </c>
      <c r="CW153" s="22">
        <f t="shared" si="121"/>
        <v>640.3596084195899</v>
      </c>
      <c r="CX153" s="60">
        <f t="shared" si="122"/>
        <v>933.69294175292316</v>
      </c>
      <c r="CY153" s="60">
        <f ca="1">AVERAGE(OFFSET($CX$3,0,0,'Données projet'!$E$13+1,1))-AVERAGE(OFFSET($H$3,0,0,'Données projet'!$E$13+1,1))</f>
        <v>350.3652766444938</v>
      </c>
      <c r="CZ153" s="60">
        <f t="shared" si="150"/>
        <v>197.04549436738586</v>
      </c>
      <c r="DA153" s="16">
        <f>IF(ISNA(VLOOKUP(A153,'Données projet'!$A$139:$I$159,3,0)),0,VLOOKUP(A153,'Données projet'!$A$139:$I$159,3,0))</f>
        <v>13</v>
      </c>
      <c r="DB153" s="16">
        <f>IF(ISNA(VLOOKUP(A153,'Données projet'!$A$139:$I$159,4,0)),0,VLOOKUP(A153,'Données projet'!$A$139:$I$159,4,0))</f>
        <v>293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293</v>
      </c>
      <c r="DM153" s="13">
        <f>VLOOKUP(A153,'Données projet'!$A$165:$I$185,9,0)</f>
        <v>2.4</v>
      </c>
      <c r="DN153" s="13">
        <f t="array" ref="DN153">INDEX(DM:DM,MIN(IF(ISNUMBER(DM153:DM349),ROW(DM153:DM349),"")))</f>
        <v>2.4</v>
      </c>
      <c r="DO153" s="13">
        <f>IF('Données projet'!$A$166&gt;35,DO152+DN153-DW152,IF(A153&lt;'Données projet'!$A$166,$DL$205^A153,IF(A153='Données projet'!$A$166,'Données projet'!$B$166,DO152+DN153-DW152)))</f>
        <v>292.99999999999903</v>
      </c>
      <c r="DP153" s="18">
        <f>DO153*VLOOKUP('Données projet'!$B$14,Paramètres!$A$1:$I$89,3,0)*VLOOKUP('Données projet'!$B$14,Paramètres!$A$1:$I$89,5,0)</f>
        <v>315.38519999999892</v>
      </c>
      <c r="DQ153" s="14">
        <f t="shared" si="151"/>
        <v>74.392344505779604</v>
      </c>
      <c r="DR153" s="22">
        <f t="shared" si="124"/>
        <v>678.86255668089746</v>
      </c>
      <c r="DS153" s="60">
        <f t="shared" si="125"/>
        <v>972.19589001423083</v>
      </c>
      <c r="DT153" s="60">
        <f ca="1">AVERAGE(OFFSET($DS$3,0,0,'Données projet'!$E$14+1,1))-AVERAGE(OFFSET($H$3,0,0,'Données projet'!$E$14+1,1))</f>
        <v>376.96388721258387</v>
      </c>
      <c r="DU153" s="60">
        <f t="shared" si="152"/>
        <v>211.14628470344377</v>
      </c>
      <c r="DV153" s="16">
        <f>IF(ISNA(VLOOKUP(A153,'Données projet'!$A$165:$I$185,3,0)),0,VLOOKUP(A153,'Données projet'!$A$165:$I$185,3,0))</f>
        <v>13</v>
      </c>
      <c r="DW153" s="16">
        <f>IF(ISNA(VLOOKUP(A153,'Données projet'!$A$165:$I$185,4,0)),0,VLOOKUP(A153,'Données projet'!$A$165:$I$185,4,0))</f>
        <v>293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>
        <f>VLOOKUP(A153,'Données projet'!$A$191:$I$211,2,0)</f>
        <v>293</v>
      </c>
      <c r="EH153" s="13">
        <f>VLOOKUP(A153,'Données projet'!$A$191:$I$211,9,0)</f>
        <v>2.4</v>
      </c>
      <c r="EI153" s="13">
        <f t="array" ref="EI153">INDEX(EH:EH,MIN(IF(ISNUMBER(EH153:EH349),ROW(EH153:EH349),"")))</f>
        <v>2.4</v>
      </c>
      <c r="EJ153" s="13">
        <f>IF('Données projet'!$A$192&gt;35,EJ152+EI153-ER152,IF(A153&lt;'Données projet'!$A$192,$EG$205^A153,IF(A153='Données projet'!$A$192,'Données projet'!$B$192,EJ152+EI153-ER152)))</f>
        <v>292.99999999999903</v>
      </c>
      <c r="EK153" s="18">
        <f>EJ153*VLOOKUP('Données projet'!$B$15,Paramètres!$A$1:$I$89,3,0)*VLOOKUP('Données projet'!$B$15,Paramètres!$A$1:$I$89,5,0)</f>
        <v>283.38959999999906</v>
      </c>
      <c r="EL153" s="14">
        <f t="shared" si="153"/>
        <v>67.682826374656187</v>
      </c>
      <c r="EM153" s="22">
        <f t="shared" si="127"/>
        <v>611.45114260252456</v>
      </c>
      <c r="EN153" s="60">
        <f t="shared" si="128"/>
        <v>904.78447593585793</v>
      </c>
      <c r="EO153" s="60">
        <f ca="1">AVERAGE(OFFSET($EN$3,0,0,'Données projet'!$E$15+1,1))-AVERAGE(OFFSET($H$3,0,0,'Données projet'!$E$15+1,1))</f>
        <v>330.39429528665841</v>
      </c>
      <c r="EP153" s="60">
        <f t="shared" si="154"/>
        <v>186.45728006007261</v>
      </c>
      <c r="EQ153" s="16">
        <f>IF(ISNA(VLOOKUP(A153,'Données projet'!$A$191:$I$211,3,0)),0,VLOOKUP(A153,'Données projet'!$A$191:$I$211,3,0))</f>
        <v>13</v>
      </c>
      <c r="ER153" s="16">
        <f>IF(ISNA(VLOOKUP(A153,'Données projet'!$A$191:$I$211,4,0)),0,VLOOKUP(A153,'Données projet'!$A$191:$I$211,4,0))</f>
        <v>293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8">
        <f t="shared" si="110"/>
        <v>476.52216692322241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-3.3992364478763198E-14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155.11440101086782</v>
      </c>
      <c r="T154" s="60">
        <f t="shared" si="142"/>
        <v>239.53454701506638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1.2288880871899217</v>
      </c>
      <c r="AA154" s="23">
        <f>EXP(-LN(2)/25)*AA153+(1-EXP(-LN(2)/25))/(LN(2)/25)*Calculateur!V154*Calculateur!X154*VLOOKUP('Données projet'!$B$9,Paramètres!$A$1:$I$89,3,0)*0.475*44/12</f>
        <v>0.25285732282587192</v>
      </c>
      <c r="AB154" s="23">
        <f>EXP(-LN(2)/2)*AB153+(1-EXP(-LN(2)/2))/(LN(2)/2)*V154*Y154*VLOOKUP('Données projet'!$B$9,Paramètres!$A$1:$I$89,3,0)*0.475*44/12</f>
        <v>1.8086380011839486E-18</v>
      </c>
      <c r="AC154" s="24">
        <f t="shared" ref="AC154:AC203" si="163">SUM(Z154:AB154)</f>
        <v>1.4817454100157936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-3.4106051316484809E-13</v>
      </c>
      <c r="AJ154" s="14">
        <f>AI154*VLOOKUP('Données projet'!$B$10,Paramètres!$A$1:$I$89,3,0)*VLOOKUP('Données projet'!$B$10,Paramètres!$A$1:$I$89,5,0)</f>
        <v>-1.9065282685915009E-13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302.20483575440988</v>
      </c>
      <c r="AO154" s="60">
        <f t="shared" si="144"/>
        <v>275.32862097158687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0.24139031805414266</v>
      </c>
      <c r="AW154" s="23">
        <f>EXP(-LN(2)/2)*AW153+(1-EXP(-LN(2)/2))/(LN(2)/2)*AQ154*AT154*VLOOKUP('Données projet'!$B$10,Paramètres!$A$1:$I$89,3,0)*0.475*44/12</f>
        <v>5.4010106251225804E-18</v>
      </c>
      <c r="AX154" s="23">
        <f t="shared" ref="AX154:AX203" si="166">SUM(AU154:AW154)</f>
        <v>0.24139031805414266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-1.7053025658242404E-13</v>
      </c>
      <c r="BE154" s="14">
        <f>BD154*VLOOKUP('Données projet'!$B$11,Paramètres!$A$1:$I$89,3,0)*VLOOKUP('Données projet'!$B$11,Paramètres!$A$1:$I$89,5,0)</f>
        <v>-1.4897523215040567E-13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314.62110015707839</v>
      </c>
      <c r="BJ154" s="60">
        <f t="shared" si="146"/>
        <v>285.36905470736582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-9.6633812063373625E-13</v>
      </c>
      <c r="BZ154" s="14">
        <f>BY154*VLOOKUP('Données projet'!$B$12,Paramètres!$A$1:$I$89,3,0)*VLOOKUP('Données projet'!$B$12,Paramètres!$A$1:$I$89,5,0)</f>
        <v>-8.7434273154940449E-13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303.73499739059076</v>
      </c>
      <c r="CE154" s="60">
        <f t="shared" si="148"/>
        <v>172.32171001882188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-9.6633812063373625E-13</v>
      </c>
      <c r="CU154" s="18">
        <f>CT154*VLOOKUP('Données projet'!$B$13,Paramètres!$A$1:$I$89,3,0)*VLOOKUP('Données projet'!$B$13,Paramètres!$A$1:$I$89,5,0)</f>
        <v>-9.7986685432260874E-13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350.3652766444938</v>
      </c>
      <c r="CZ154" s="60">
        <f t="shared" si="150"/>
        <v>197.04549436738586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-9.6633812063373625E-13</v>
      </c>
      <c r="DP154" s="18">
        <f>DO154*VLOOKUP('Données projet'!$B$14,Paramètres!$A$1:$I$89,3,0)*VLOOKUP('Données projet'!$B$14,Paramètres!$A$1:$I$89,5,0)</f>
        <v>-1.0401663530501537E-12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376.96388721258387</v>
      </c>
      <c r="DU154" s="60">
        <f t="shared" si="152"/>
        <v>211.14628470344377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-9.6633812063373625E-13</v>
      </c>
      <c r="EK154" s="18">
        <f>EJ154*VLOOKUP('Données projet'!$B$15,Paramètres!$A$1:$I$89,3,0)*VLOOKUP('Données projet'!$B$15,Paramètres!$A$1:$I$89,5,0)</f>
        <v>-9.3464223027694966E-13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0" t="e">
        <f t="shared" si="128"/>
        <v>#NUM!</v>
      </c>
      <c r="EO154" s="60">
        <f ca="1">AVERAGE(OFFSET($EN$3,0,0,'Données projet'!$E$15+1,1))-AVERAGE(OFFSET($H$3,0,0,'Données projet'!$E$15+1,1))</f>
        <v>330.39429528665841</v>
      </c>
      <c r="EP154" s="60">
        <f t="shared" si="154"/>
        <v>186.45728006007261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8">
        <f t="shared" si="110"/>
        <v>477.70472638813214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-3.3992364478763198E-14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155.11440101086782</v>
      </c>
      <c r="T155" s="60">
        <f t="shared" si="142"/>
        <v>239.53454701506638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1.2047903413478489</v>
      </c>
      <c r="AA155" s="23">
        <f>EXP(-LN(2)/25)*AA154+(1-EXP(-LN(2)/25))/(LN(2)/25)*Calculateur!V155*Calculateur!X155*VLOOKUP('Données projet'!$B$9,Paramètres!$A$1:$I$89,3,0)*0.475*44/12</f>
        <v>0.24594292603600976</v>
      </c>
      <c r="AB155" s="23">
        <f>EXP(-LN(2)/2)*AB154+(1-EXP(-LN(2)/2))/(LN(2)/2)*V155*Y155*VLOOKUP('Données projet'!$B$9,Paramètres!$A$1:$I$89,3,0)*0.475*44/12</f>
        <v>1.278900195348853E-18</v>
      </c>
      <c r="AC155" s="24">
        <f t="shared" si="163"/>
        <v>1.4507332673838587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-3.4106051316484809E-13</v>
      </c>
      <c r="AJ155" s="14">
        <f>AI155*VLOOKUP('Données projet'!$B$10,Paramètres!$A$1:$I$89,3,0)*VLOOKUP('Données projet'!$B$10,Paramètres!$A$1:$I$89,5,0)</f>
        <v>-1.9065282685915009E-13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302.20483575440988</v>
      </c>
      <c r="AO155" s="60">
        <f t="shared" si="144"/>
        <v>275.32862097158687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0.23478948711278699</v>
      </c>
      <c r="AW155" s="23">
        <f>EXP(-LN(2)/2)*AW154+(1-EXP(-LN(2)/2))/(LN(2)/2)*AQ155*AT155*VLOOKUP('Données projet'!$B$10,Paramètres!$A$1:$I$89,3,0)*0.475*44/12</f>
        <v>3.8190912382847708E-18</v>
      </c>
      <c r="AX155" s="23">
        <f t="shared" si="166"/>
        <v>0.23478948711278699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-1.7053025658242404E-13</v>
      </c>
      <c r="BE155" s="14">
        <f>BD155*VLOOKUP('Données projet'!$B$11,Paramètres!$A$1:$I$89,3,0)*VLOOKUP('Données projet'!$B$11,Paramètres!$A$1:$I$89,5,0)</f>
        <v>-1.4897523215040567E-13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314.62110015707839</v>
      </c>
      <c r="BJ155" s="60">
        <f t="shared" si="146"/>
        <v>285.36905470736582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-9.6633812063373625E-13</v>
      </c>
      <c r="BZ155" s="14">
        <f>BY155*VLOOKUP('Données projet'!$B$12,Paramètres!$A$1:$I$89,3,0)*VLOOKUP('Données projet'!$B$12,Paramètres!$A$1:$I$89,5,0)</f>
        <v>-8.7434273154940449E-13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303.73499739059076</v>
      </c>
      <c r="CE155" s="60">
        <f t="shared" si="148"/>
        <v>172.32171001882188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-9.6633812063373625E-13</v>
      </c>
      <c r="CU155" s="18">
        <f>CT155*VLOOKUP('Données projet'!$B$13,Paramètres!$A$1:$I$89,3,0)*VLOOKUP('Données projet'!$B$13,Paramètres!$A$1:$I$89,5,0)</f>
        <v>-9.7986685432260874E-13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350.3652766444938</v>
      </c>
      <c r="CZ155" s="60">
        <f t="shared" si="150"/>
        <v>197.04549436738586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-9.6633812063373625E-13</v>
      </c>
      <c r="DP155" s="18">
        <f>DO155*VLOOKUP('Données projet'!$B$14,Paramètres!$A$1:$I$89,3,0)*VLOOKUP('Données projet'!$B$14,Paramètres!$A$1:$I$89,5,0)</f>
        <v>-1.0401663530501537E-12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376.96388721258387</v>
      </c>
      <c r="DU155" s="60">
        <f t="shared" si="152"/>
        <v>211.14628470344377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-9.6633812063373625E-13</v>
      </c>
      <c r="EK155" s="18">
        <f>EJ155*VLOOKUP('Données projet'!$B$15,Paramètres!$A$1:$I$89,3,0)*VLOOKUP('Données projet'!$B$15,Paramètres!$A$1:$I$89,5,0)</f>
        <v>-9.3464223027694966E-13</v>
      </c>
      <c r="EL155" s="14" t="e">
        <f t="shared" si="179"/>
        <v>#NUM!</v>
      </c>
      <c r="EM155" s="22" t="e">
        <f t="shared" si="180"/>
        <v>#NUM!</v>
      </c>
      <c r="EN155" s="60" t="e">
        <f t="shared" si="128"/>
        <v>#NUM!</v>
      </c>
      <c r="EO155" s="60">
        <f ca="1">AVERAGE(OFFSET($EN$3,0,0,'Données projet'!$E$15+1,1))-AVERAGE(OFFSET($H$3,0,0,'Données projet'!$E$15+1,1))</f>
        <v>330.39429528665841</v>
      </c>
      <c r="EP155" s="60">
        <f t="shared" si="154"/>
        <v>186.45728006007261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8">
        <f t="shared" si="110"/>
        <v>478.88710855549317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-3.3992364478763198E-14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155.11440101086782</v>
      </c>
      <c r="T156" s="60">
        <f t="shared" si="142"/>
        <v>239.53454701506638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1.1811651376035655</v>
      </c>
      <c r="AA156" s="23">
        <f>EXP(-LN(2)/25)*AA155+(1-EXP(-LN(2)/25))/(LN(2)/25)*Calculateur!V156*Calculateur!X156*VLOOKUP('Données projet'!$B$9,Paramètres!$A$1:$I$89,3,0)*0.475*44/12</f>
        <v>0.23921760378997869</v>
      </c>
      <c r="AB156" s="23">
        <f>EXP(-LN(2)/2)*AB155+(1-EXP(-LN(2)/2))/(LN(2)/2)*V156*Y156*VLOOKUP('Données projet'!$B$9,Paramètres!$A$1:$I$89,3,0)*0.475*44/12</f>
        <v>9.0431900059197428E-19</v>
      </c>
      <c r="AC156" s="24">
        <f t="shared" si="163"/>
        <v>1.4203827413935441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-3.4106051316484809E-13</v>
      </c>
      <c r="AJ156" s="14">
        <f>AI156*VLOOKUP('Données projet'!$B$10,Paramètres!$A$1:$I$89,3,0)*VLOOKUP('Données projet'!$B$10,Paramètres!$A$1:$I$89,5,0)</f>
        <v>-1.9065282685915009E-13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302.20483575440988</v>
      </c>
      <c r="AO156" s="60">
        <f t="shared" si="144"/>
        <v>275.32862097158687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0.22836915624064533</v>
      </c>
      <c r="AW156" s="23">
        <f>EXP(-LN(2)/2)*AW155+(1-EXP(-LN(2)/2))/(LN(2)/2)*AQ156*AT156*VLOOKUP('Données projet'!$B$10,Paramètres!$A$1:$I$89,3,0)*0.475*44/12</f>
        <v>2.7005053125612902E-18</v>
      </c>
      <c r="AX156" s="23">
        <f t="shared" si="166"/>
        <v>0.22836915624064533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-1.7053025658242404E-13</v>
      </c>
      <c r="BE156" s="14">
        <f>BD156*VLOOKUP('Données projet'!$B$11,Paramètres!$A$1:$I$89,3,0)*VLOOKUP('Données projet'!$B$11,Paramètres!$A$1:$I$89,5,0)</f>
        <v>-1.4897523215040567E-13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314.62110015707839</v>
      </c>
      <c r="BJ156" s="60">
        <f t="shared" si="146"/>
        <v>285.36905470736582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-9.6633812063373625E-13</v>
      </c>
      <c r="BZ156" s="14">
        <f>BY156*VLOOKUP('Données projet'!$B$12,Paramètres!$A$1:$I$89,3,0)*VLOOKUP('Données projet'!$B$12,Paramètres!$A$1:$I$89,5,0)</f>
        <v>-8.7434273154940449E-13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303.73499739059076</v>
      </c>
      <c r="CE156" s="60">
        <f t="shared" si="148"/>
        <v>172.32171001882188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-9.6633812063373625E-13</v>
      </c>
      <c r="CU156" s="18">
        <f>CT156*VLOOKUP('Données projet'!$B$13,Paramètres!$A$1:$I$89,3,0)*VLOOKUP('Données projet'!$B$13,Paramètres!$A$1:$I$89,5,0)</f>
        <v>-9.7986685432260874E-13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350.3652766444938</v>
      </c>
      <c r="CZ156" s="60">
        <f t="shared" si="150"/>
        <v>197.04549436738586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-9.6633812063373625E-13</v>
      </c>
      <c r="DP156" s="18">
        <f>DO156*VLOOKUP('Données projet'!$B$14,Paramètres!$A$1:$I$89,3,0)*VLOOKUP('Données projet'!$B$14,Paramètres!$A$1:$I$89,5,0)</f>
        <v>-1.0401663530501537E-12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376.96388721258387</v>
      </c>
      <c r="DU156" s="60">
        <f t="shared" si="152"/>
        <v>211.14628470344377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-9.6633812063373625E-13</v>
      </c>
      <c r="EK156" s="18">
        <f>EJ156*VLOOKUP('Données projet'!$B$15,Paramètres!$A$1:$I$89,3,0)*VLOOKUP('Données projet'!$B$15,Paramètres!$A$1:$I$89,5,0)</f>
        <v>-9.3464223027694966E-13</v>
      </c>
      <c r="EL156" s="14" t="e">
        <f t="shared" si="179"/>
        <v>#NUM!</v>
      </c>
      <c r="EM156" s="22" t="e">
        <f t="shared" si="180"/>
        <v>#NUM!</v>
      </c>
      <c r="EN156" s="60" t="e">
        <f t="shared" si="128"/>
        <v>#NUM!</v>
      </c>
      <c r="EO156" s="60">
        <f ca="1">AVERAGE(OFFSET($EN$3,0,0,'Données projet'!$E$15+1,1))-AVERAGE(OFFSET($H$3,0,0,'Données projet'!$E$15+1,1))</f>
        <v>330.39429528665841</v>
      </c>
      <c r="EP156" s="60">
        <f t="shared" si="154"/>
        <v>186.45728006007261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8">
        <f t="shared" si="110"/>
        <v>480.06931471852465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-3.3992364478763198E-14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155.11440101086782</v>
      </c>
      <c r="T157" s="60">
        <f t="shared" si="142"/>
        <v>239.53454701506638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1.1580032096947559</v>
      </c>
      <c r="AA157" s="23">
        <f>EXP(-LN(2)/25)*AA156+(1-EXP(-LN(2)/25))/(LN(2)/25)*Calculateur!V157*Calculateur!X157*VLOOKUP('Données projet'!$B$9,Paramètres!$A$1:$I$89,3,0)*0.475*44/12</f>
        <v>0.2326761858344347</v>
      </c>
      <c r="AB157" s="23">
        <f>EXP(-LN(2)/2)*AB156+(1-EXP(-LN(2)/2))/(LN(2)/2)*V157*Y157*VLOOKUP('Données projet'!$B$9,Paramètres!$A$1:$I$89,3,0)*0.475*44/12</f>
        <v>6.3945009767442652E-19</v>
      </c>
      <c r="AC157" s="24">
        <f t="shared" si="163"/>
        <v>1.3906793955291905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-3.4106051316484809E-13</v>
      </c>
      <c r="AJ157" s="14">
        <f>AI157*VLOOKUP('Données projet'!$B$10,Paramètres!$A$1:$I$89,3,0)*VLOOKUP('Données projet'!$B$10,Paramètres!$A$1:$I$89,5,0)</f>
        <v>-1.9065282685915009E-13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302.20483575440988</v>
      </c>
      <c r="AO157" s="60">
        <f t="shared" si="144"/>
        <v>275.32862097158687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0.22212438965383291</v>
      </c>
      <c r="AW157" s="23">
        <f>EXP(-LN(2)/2)*AW156+(1-EXP(-LN(2)/2))/(LN(2)/2)*AQ157*AT157*VLOOKUP('Données projet'!$B$10,Paramètres!$A$1:$I$89,3,0)*0.475*44/12</f>
        <v>1.9095456191423854E-18</v>
      </c>
      <c r="AX157" s="23">
        <f t="shared" si="166"/>
        <v>0.22212438965383291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-1.7053025658242404E-13</v>
      </c>
      <c r="BE157" s="14">
        <f>BD157*VLOOKUP('Données projet'!$B$11,Paramètres!$A$1:$I$89,3,0)*VLOOKUP('Données projet'!$B$11,Paramètres!$A$1:$I$89,5,0)</f>
        <v>-1.4897523215040567E-13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314.62110015707839</v>
      </c>
      <c r="BJ157" s="60">
        <f t="shared" si="146"/>
        <v>285.36905470736582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-9.6633812063373625E-13</v>
      </c>
      <c r="BZ157" s="14">
        <f>BY157*VLOOKUP('Données projet'!$B$12,Paramètres!$A$1:$I$89,3,0)*VLOOKUP('Données projet'!$B$12,Paramètres!$A$1:$I$89,5,0)</f>
        <v>-8.7434273154940449E-13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303.73499739059076</v>
      </c>
      <c r="CE157" s="60">
        <f t="shared" si="148"/>
        <v>172.32171001882188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-9.6633812063373625E-13</v>
      </c>
      <c r="CU157" s="18">
        <f>CT157*VLOOKUP('Données projet'!$B$13,Paramètres!$A$1:$I$89,3,0)*VLOOKUP('Données projet'!$B$13,Paramètres!$A$1:$I$89,5,0)</f>
        <v>-9.7986685432260874E-13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350.3652766444938</v>
      </c>
      <c r="CZ157" s="60">
        <f t="shared" si="150"/>
        <v>197.04549436738586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-9.6633812063373625E-13</v>
      </c>
      <c r="DP157" s="18">
        <f>DO157*VLOOKUP('Données projet'!$B$14,Paramètres!$A$1:$I$89,3,0)*VLOOKUP('Données projet'!$B$14,Paramètres!$A$1:$I$89,5,0)</f>
        <v>-1.0401663530501537E-12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376.96388721258387</v>
      </c>
      <c r="DU157" s="60">
        <f t="shared" si="152"/>
        <v>211.14628470344377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-9.6633812063373625E-13</v>
      </c>
      <c r="EK157" s="18">
        <f>EJ157*VLOOKUP('Données projet'!$B$15,Paramètres!$A$1:$I$89,3,0)*VLOOKUP('Données projet'!$B$15,Paramètres!$A$1:$I$89,5,0)</f>
        <v>-9.3464223027694966E-13</v>
      </c>
      <c r="EL157" s="14" t="e">
        <f t="shared" si="179"/>
        <v>#NUM!</v>
      </c>
      <c r="EM157" s="22" t="e">
        <f t="shared" si="180"/>
        <v>#NUM!</v>
      </c>
      <c r="EN157" s="60" t="e">
        <f t="shared" si="128"/>
        <v>#NUM!</v>
      </c>
      <c r="EO157" s="60">
        <f ca="1">AVERAGE(OFFSET($EN$3,0,0,'Données projet'!$E$15+1,1))-AVERAGE(OFFSET($H$3,0,0,'Données projet'!$E$15+1,1))</f>
        <v>330.39429528665841</v>
      </c>
      <c r="EP157" s="60">
        <f t="shared" si="154"/>
        <v>186.45728006007261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8">
        <f t="shared" si="110"/>
        <v>481.25134615267967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-3.3992364478763198E-14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155.11440101086782</v>
      </c>
      <c r="T158" s="60">
        <f t="shared" si="142"/>
        <v>239.53454701506638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1.135295473064857</v>
      </c>
      <c r="AA158" s="23">
        <f>EXP(-LN(2)/25)*AA157+(1-EXP(-LN(2)/25))/(LN(2)/25)*Calculateur!V158*Calculateur!X158*VLOOKUP('Données projet'!$B$9,Paramètres!$A$1:$I$89,3,0)*0.475*44/12</f>
        <v>0.22631364329688325</v>
      </c>
      <c r="AB158" s="23">
        <f>EXP(-LN(2)/2)*AB157+(1-EXP(-LN(2)/2))/(LN(2)/2)*V158*Y158*VLOOKUP('Données projet'!$B$9,Paramètres!$A$1:$I$89,3,0)*0.475*44/12</f>
        <v>4.5215950029598714E-19</v>
      </c>
      <c r="AC158" s="24">
        <f t="shared" si="163"/>
        <v>1.3616091163617403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-3.4106051316484809E-13</v>
      </c>
      <c r="AJ158" s="14">
        <f>AI158*VLOOKUP('Données projet'!$B$10,Paramètres!$A$1:$I$89,3,0)*VLOOKUP('Données projet'!$B$10,Paramètres!$A$1:$I$89,5,0)</f>
        <v>-1.9065282685915009E-13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302.20483575440988</v>
      </c>
      <c r="AO158" s="60">
        <f t="shared" si="144"/>
        <v>275.32862097158687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0.21605038653773487</v>
      </c>
      <c r="AW158" s="23">
        <f>EXP(-LN(2)/2)*AW157+(1-EXP(-LN(2)/2))/(LN(2)/2)*AQ158*AT158*VLOOKUP('Données projet'!$B$10,Paramètres!$A$1:$I$89,3,0)*0.475*44/12</f>
        <v>1.3502526562806451E-18</v>
      </c>
      <c r="AX158" s="23">
        <f t="shared" si="166"/>
        <v>0.21605038653773487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-1.7053025658242404E-13</v>
      </c>
      <c r="BE158" s="14">
        <f>BD158*VLOOKUP('Données projet'!$B$11,Paramètres!$A$1:$I$89,3,0)*VLOOKUP('Données projet'!$B$11,Paramètres!$A$1:$I$89,5,0)</f>
        <v>-1.4897523215040567E-13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314.62110015707839</v>
      </c>
      <c r="BJ158" s="60">
        <f t="shared" si="146"/>
        <v>285.36905470736582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-9.6633812063373625E-13</v>
      </c>
      <c r="BZ158" s="14">
        <f>BY158*VLOOKUP('Données projet'!$B$12,Paramètres!$A$1:$I$89,3,0)*VLOOKUP('Données projet'!$B$12,Paramètres!$A$1:$I$89,5,0)</f>
        <v>-8.7434273154940449E-13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303.73499739059076</v>
      </c>
      <c r="CE158" s="60">
        <f t="shared" si="148"/>
        <v>172.32171001882188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-9.6633812063373625E-13</v>
      </c>
      <c r="CU158" s="18">
        <f>CT158*VLOOKUP('Données projet'!$B$13,Paramètres!$A$1:$I$89,3,0)*VLOOKUP('Données projet'!$B$13,Paramètres!$A$1:$I$89,5,0)</f>
        <v>-9.7986685432260874E-13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350.3652766444938</v>
      </c>
      <c r="CZ158" s="60">
        <f t="shared" si="150"/>
        <v>197.04549436738586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-9.6633812063373625E-13</v>
      </c>
      <c r="DP158" s="18">
        <f>DO158*VLOOKUP('Données projet'!$B$14,Paramètres!$A$1:$I$89,3,0)*VLOOKUP('Données projet'!$B$14,Paramètres!$A$1:$I$89,5,0)</f>
        <v>-1.0401663530501537E-12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376.96388721258387</v>
      </c>
      <c r="DU158" s="60">
        <f t="shared" si="152"/>
        <v>211.14628470344377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-9.6633812063373625E-13</v>
      </c>
      <c r="EK158" s="18">
        <f>EJ158*VLOOKUP('Données projet'!$B$15,Paramètres!$A$1:$I$89,3,0)*VLOOKUP('Données projet'!$B$15,Paramètres!$A$1:$I$89,5,0)</f>
        <v>-9.3464223027694966E-13</v>
      </c>
      <c r="EL158" s="14" t="e">
        <f t="shared" si="179"/>
        <v>#NUM!</v>
      </c>
      <c r="EM158" s="22" t="e">
        <f t="shared" si="180"/>
        <v>#NUM!</v>
      </c>
      <c r="EN158" s="60" t="e">
        <f t="shared" si="128"/>
        <v>#NUM!</v>
      </c>
      <c r="EO158" s="60">
        <f ca="1">AVERAGE(OFFSET($EN$3,0,0,'Données projet'!$E$15+1,1))-AVERAGE(OFFSET($H$3,0,0,'Données projet'!$E$15+1,1))</f>
        <v>330.39429528665841</v>
      </c>
      <c r="EP158" s="60">
        <f t="shared" si="154"/>
        <v>186.45728006007261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8">
        <f t="shared" si="110"/>
        <v>482.433204116002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-3.3992364478763198E-14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155.11440101086782</v>
      </c>
      <c r="T159" s="60">
        <f t="shared" si="142"/>
        <v>239.53454701506638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1.1130330212999189</v>
      </c>
      <c r="AA159" s="23">
        <f>EXP(-LN(2)/25)*AA158+(1-EXP(-LN(2)/25))/(LN(2)/25)*Calculateur!V159*Calculateur!X159*VLOOKUP('Données projet'!$B$9,Paramètres!$A$1:$I$89,3,0)*0.475*44/12</f>
        <v>0.22012508481961271</v>
      </c>
      <c r="AB159" s="23">
        <f>EXP(-LN(2)/2)*AB158+(1-EXP(-LN(2)/2))/(LN(2)/2)*V159*Y159*VLOOKUP('Données projet'!$B$9,Paramètres!$A$1:$I$89,3,0)*0.475*44/12</f>
        <v>3.1972504883721326E-19</v>
      </c>
      <c r="AC159" s="24">
        <f t="shared" si="163"/>
        <v>1.3331581061195317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-3.4106051316484809E-13</v>
      </c>
      <c r="AJ159" s="14">
        <f>AI159*VLOOKUP('Données projet'!$B$10,Paramètres!$A$1:$I$89,3,0)*VLOOKUP('Données projet'!$B$10,Paramètres!$A$1:$I$89,5,0)</f>
        <v>-1.9065282685915009E-13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302.20483575440988</v>
      </c>
      <c r="AO159" s="60">
        <f t="shared" si="144"/>
        <v>275.32862097158687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0.21014247735626446</v>
      </c>
      <c r="AW159" s="23">
        <f>EXP(-LN(2)/2)*AW158+(1-EXP(-LN(2)/2))/(LN(2)/2)*AQ159*AT159*VLOOKUP('Données projet'!$B$10,Paramètres!$A$1:$I$89,3,0)*0.475*44/12</f>
        <v>9.5477280957119269E-19</v>
      </c>
      <c r="AX159" s="23">
        <f t="shared" si="166"/>
        <v>0.21014247735626446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-1.7053025658242404E-13</v>
      </c>
      <c r="BE159" s="14">
        <f>BD159*VLOOKUP('Données projet'!$B$11,Paramètres!$A$1:$I$89,3,0)*VLOOKUP('Données projet'!$B$11,Paramètres!$A$1:$I$89,5,0)</f>
        <v>-1.4897523215040567E-13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314.62110015707839</v>
      </c>
      <c r="BJ159" s="60">
        <f t="shared" si="146"/>
        <v>285.36905470736582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-9.6633812063373625E-13</v>
      </c>
      <c r="BZ159" s="14">
        <f>BY159*VLOOKUP('Données projet'!$B$12,Paramètres!$A$1:$I$89,3,0)*VLOOKUP('Données projet'!$B$12,Paramètres!$A$1:$I$89,5,0)</f>
        <v>-8.7434273154940449E-13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303.73499739059076</v>
      </c>
      <c r="CE159" s="60">
        <f t="shared" si="148"/>
        <v>172.32171001882188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-9.6633812063373625E-13</v>
      </c>
      <c r="CU159" s="18">
        <f>CT159*VLOOKUP('Données projet'!$B$13,Paramètres!$A$1:$I$89,3,0)*VLOOKUP('Données projet'!$B$13,Paramètres!$A$1:$I$89,5,0)</f>
        <v>-9.7986685432260874E-13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350.3652766444938</v>
      </c>
      <c r="CZ159" s="60">
        <f t="shared" si="150"/>
        <v>197.04549436738586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-9.6633812063373625E-13</v>
      </c>
      <c r="DP159" s="18">
        <f>DO159*VLOOKUP('Données projet'!$B$14,Paramètres!$A$1:$I$89,3,0)*VLOOKUP('Données projet'!$B$14,Paramètres!$A$1:$I$89,5,0)</f>
        <v>-1.0401663530501537E-12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376.96388721258387</v>
      </c>
      <c r="DU159" s="60">
        <f t="shared" si="152"/>
        <v>211.14628470344377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-9.6633812063373625E-13</v>
      </c>
      <c r="EK159" s="18">
        <f>EJ159*VLOOKUP('Données projet'!$B$15,Paramètres!$A$1:$I$89,3,0)*VLOOKUP('Données projet'!$B$15,Paramètres!$A$1:$I$89,5,0)</f>
        <v>-9.3464223027694966E-13</v>
      </c>
      <c r="EL159" s="14" t="e">
        <f t="shared" si="179"/>
        <v>#NUM!</v>
      </c>
      <c r="EM159" s="22" t="e">
        <f t="shared" si="180"/>
        <v>#NUM!</v>
      </c>
      <c r="EN159" s="60" t="e">
        <f t="shared" si="128"/>
        <v>#NUM!</v>
      </c>
      <c r="EO159" s="60">
        <f ca="1">AVERAGE(OFFSET($EN$3,0,0,'Données projet'!$E$15+1,1))-AVERAGE(OFFSET($H$3,0,0,'Données projet'!$E$15+1,1))</f>
        <v>330.39429528665841</v>
      </c>
      <c r="EP159" s="60">
        <f t="shared" si="154"/>
        <v>186.45728006007261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8">
        <f t="shared" si="110"/>
        <v>483.61488984947425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-3.3992364478763198E-14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155.11440101086782</v>
      </c>
      <c r="T160" s="60">
        <f t="shared" si="142"/>
        <v>239.53454701506638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1.0912071226353364</v>
      </c>
      <c r="AA160" s="23">
        <f>EXP(-LN(2)/25)*AA159+(1-EXP(-LN(2)/25))/(LN(2)/25)*Calculateur!V160*Calculateur!X160*VLOOKUP('Données projet'!$B$9,Paramètres!$A$1:$I$89,3,0)*0.475*44/12</f>
        <v>0.21410575279934529</v>
      </c>
      <c r="AB160" s="23">
        <f>EXP(-LN(2)/2)*AB159+(1-EXP(-LN(2)/2))/(LN(2)/2)*V160*Y160*VLOOKUP('Données projet'!$B$9,Paramètres!$A$1:$I$89,3,0)*0.475*44/12</f>
        <v>2.2607975014799357E-19</v>
      </c>
      <c r="AC160" s="24">
        <f t="shared" si="163"/>
        <v>1.3053128754346817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-3.4106051316484809E-13</v>
      </c>
      <c r="AJ160" s="14">
        <f>AI160*VLOOKUP('Données projet'!$B$10,Paramètres!$A$1:$I$89,3,0)*VLOOKUP('Données projet'!$B$10,Paramètres!$A$1:$I$89,5,0)</f>
        <v>-1.9065282685915009E-13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302.20483575440988</v>
      </c>
      <c r="AO160" s="60">
        <f t="shared" si="144"/>
        <v>275.32862097158687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0.20439612026204482</v>
      </c>
      <c r="AW160" s="23">
        <f>EXP(-LN(2)/2)*AW159+(1-EXP(-LN(2)/2))/(LN(2)/2)*AQ160*AT160*VLOOKUP('Données projet'!$B$10,Paramètres!$A$1:$I$89,3,0)*0.475*44/12</f>
        <v>6.7512632814032256E-19</v>
      </c>
      <c r="AX160" s="23">
        <f t="shared" si="166"/>
        <v>0.20439612026204482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-1.7053025658242404E-13</v>
      </c>
      <c r="BE160" s="14">
        <f>BD160*VLOOKUP('Données projet'!$B$11,Paramètres!$A$1:$I$89,3,0)*VLOOKUP('Données projet'!$B$11,Paramètres!$A$1:$I$89,5,0)</f>
        <v>-1.4897523215040567E-13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314.62110015707839</v>
      </c>
      <c r="BJ160" s="60">
        <f t="shared" si="146"/>
        <v>285.36905470736582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-9.6633812063373625E-13</v>
      </c>
      <c r="BZ160" s="14">
        <f>BY160*VLOOKUP('Données projet'!$B$12,Paramètres!$A$1:$I$89,3,0)*VLOOKUP('Données projet'!$B$12,Paramètres!$A$1:$I$89,5,0)</f>
        <v>-8.7434273154940449E-13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303.73499739059076</v>
      </c>
      <c r="CE160" s="60">
        <f t="shared" si="148"/>
        <v>172.32171001882188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-9.6633812063373625E-13</v>
      </c>
      <c r="CU160" s="18">
        <f>CT160*VLOOKUP('Données projet'!$B$13,Paramètres!$A$1:$I$89,3,0)*VLOOKUP('Données projet'!$B$13,Paramètres!$A$1:$I$89,5,0)</f>
        <v>-9.7986685432260874E-13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350.3652766444938</v>
      </c>
      <c r="CZ160" s="60">
        <f t="shared" si="150"/>
        <v>197.04549436738586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-9.6633812063373625E-13</v>
      </c>
      <c r="DP160" s="18">
        <f>DO160*VLOOKUP('Données projet'!$B$14,Paramètres!$A$1:$I$89,3,0)*VLOOKUP('Données projet'!$B$14,Paramètres!$A$1:$I$89,5,0)</f>
        <v>-1.0401663530501537E-12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376.96388721258387</v>
      </c>
      <c r="DU160" s="60">
        <f t="shared" si="152"/>
        <v>211.14628470344377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-9.6633812063373625E-13</v>
      </c>
      <c r="EK160" s="18">
        <f>EJ160*VLOOKUP('Données projet'!$B$15,Paramètres!$A$1:$I$89,3,0)*VLOOKUP('Données projet'!$B$15,Paramètres!$A$1:$I$89,5,0)</f>
        <v>-9.3464223027694966E-13</v>
      </c>
      <c r="EL160" s="14" t="e">
        <f t="shared" si="179"/>
        <v>#NUM!</v>
      </c>
      <c r="EM160" s="22" t="e">
        <f t="shared" si="180"/>
        <v>#NUM!</v>
      </c>
      <c r="EN160" s="60" t="e">
        <f t="shared" si="128"/>
        <v>#NUM!</v>
      </c>
      <c r="EO160" s="60">
        <f ca="1">AVERAGE(OFFSET($EN$3,0,0,'Données projet'!$E$15+1,1))-AVERAGE(OFFSET($H$3,0,0,'Données projet'!$E$15+1,1))</f>
        <v>330.39429528665841</v>
      </c>
      <c r="EP160" s="60">
        <f t="shared" si="154"/>
        <v>186.45728006007261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8">
        <f t="shared" si="110"/>
        <v>484.79640457735582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-3.3992364478763198E-14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155.11440101086782</v>
      </c>
      <c r="T161" s="60">
        <f t="shared" si="142"/>
        <v>239.53454701506638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1.0698092165310826</v>
      </c>
      <c r="AA161" s="23">
        <f>EXP(-LN(2)/25)*AA160+(1-EXP(-LN(2)/25))/(LN(2)/25)*Calculateur!V161*Calculateur!X161*VLOOKUP('Données projet'!$B$9,Paramètres!$A$1:$I$89,3,0)*0.475*44/12</f>
        <v>0.20825101972971499</v>
      </c>
      <c r="AB161" s="23">
        <f>EXP(-LN(2)/2)*AB160+(1-EXP(-LN(2)/2))/(LN(2)/2)*V161*Y161*VLOOKUP('Données projet'!$B$9,Paramètres!$A$1:$I$89,3,0)*0.475*44/12</f>
        <v>1.5986252441860663E-19</v>
      </c>
      <c r="AC161" s="24">
        <f t="shared" si="163"/>
        <v>1.2780602362607976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-3.4106051316484809E-13</v>
      </c>
      <c r="AJ161" s="14">
        <f>AI161*VLOOKUP('Données projet'!$B$10,Paramètres!$A$1:$I$89,3,0)*VLOOKUP('Données projet'!$B$10,Paramètres!$A$1:$I$89,5,0)</f>
        <v>-1.9065282685915009E-13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302.20483575440988</v>
      </c>
      <c r="AO161" s="60">
        <f t="shared" si="144"/>
        <v>275.32862097158687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0.1988068976047544</v>
      </c>
      <c r="AW161" s="23">
        <f>EXP(-LN(2)/2)*AW160+(1-EXP(-LN(2)/2))/(LN(2)/2)*AQ161*AT161*VLOOKUP('Données projet'!$B$10,Paramètres!$A$1:$I$89,3,0)*0.475*44/12</f>
        <v>4.7738640478559634E-19</v>
      </c>
      <c r="AX161" s="23">
        <f t="shared" si="166"/>
        <v>0.1988068976047544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-1.7053025658242404E-13</v>
      </c>
      <c r="BE161" s="14">
        <f>BD161*VLOOKUP('Données projet'!$B$11,Paramètres!$A$1:$I$89,3,0)*VLOOKUP('Données projet'!$B$11,Paramètres!$A$1:$I$89,5,0)</f>
        <v>-1.4897523215040567E-13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314.62110015707839</v>
      </c>
      <c r="BJ161" s="60">
        <f t="shared" si="146"/>
        <v>285.36905470736582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-9.6633812063373625E-13</v>
      </c>
      <c r="BZ161" s="14">
        <f>BY161*VLOOKUP('Données projet'!$B$12,Paramètres!$A$1:$I$89,3,0)*VLOOKUP('Données projet'!$B$12,Paramètres!$A$1:$I$89,5,0)</f>
        <v>-8.7434273154940449E-13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303.73499739059076</v>
      </c>
      <c r="CE161" s="60">
        <f t="shared" si="148"/>
        <v>172.32171001882188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-9.6633812063373625E-13</v>
      </c>
      <c r="CU161" s="18">
        <f>CT161*VLOOKUP('Données projet'!$B$13,Paramètres!$A$1:$I$89,3,0)*VLOOKUP('Données projet'!$B$13,Paramètres!$A$1:$I$89,5,0)</f>
        <v>-9.7986685432260874E-13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350.3652766444938</v>
      </c>
      <c r="CZ161" s="60">
        <f t="shared" si="150"/>
        <v>197.04549436738586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-9.6633812063373625E-13</v>
      </c>
      <c r="DP161" s="18">
        <f>DO161*VLOOKUP('Données projet'!$B$14,Paramètres!$A$1:$I$89,3,0)*VLOOKUP('Données projet'!$B$14,Paramètres!$A$1:$I$89,5,0)</f>
        <v>-1.0401663530501537E-12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376.96388721258387</v>
      </c>
      <c r="DU161" s="60">
        <f t="shared" si="152"/>
        <v>211.14628470344377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-9.6633812063373625E-13</v>
      </c>
      <c r="EK161" s="18">
        <f>EJ161*VLOOKUP('Données projet'!$B$15,Paramètres!$A$1:$I$89,3,0)*VLOOKUP('Données projet'!$B$15,Paramètres!$A$1:$I$89,5,0)</f>
        <v>-9.3464223027694966E-13</v>
      </c>
      <c r="EL161" s="14" t="e">
        <f t="shared" si="179"/>
        <v>#NUM!</v>
      </c>
      <c r="EM161" s="22" t="e">
        <f t="shared" si="180"/>
        <v>#NUM!</v>
      </c>
      <c r="EN161" s="60" t="e">
        <f t="shared" si="128"/>
        <v>#NUM!</v>
      </c>
      <c r="EO161" s="60">
        <f ca="1">AVERAGE(OFFSET($EN$3,0,0,'Données projet'!$E$15+1,1))-AVERAGE(OFFSET($H$3,0,0,'Données projet'!$E$15+1,1))</f>
        <v>330.39429528665841</v>
      </c>
      <c r="EP161" s="60">
        <f t="shared" si="154"/>
        <v>186.45728006007261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8">
        <f t="shared" si="110"/>
        <v>485.97774950751329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-3.3992364478763198E-14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155.11440101086782</v>
      </c>
      <c r="T162" s="60">
        <f t="shared" si="142"/>
        <v>239.53454701506638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1.0488309103140994</v>
      </c>
      <c r="AA162" s="23">
        <f>EXP(-LN(2)/25)*AA161+(1-EXP(-LN(2)/25))/(LN(2)/25)*Calculateur!V162*Calculateur!X162*VLOOKUP('Données projet'!$B$9,Paramètres!$A$1:$I$89,3,0)*0.475*44/12</f>
        <v>0.20255638464376077</v>
      </c>
      <c r="AB162" s="23">
        <f>EXP(-LN(2)/2)*AB161+(1-EXP(-LN(2)/2))/(LN(2)/2)*V162*Y162*VLOOKUP('Données projet'!$B$9,Paramètres!$A$1:$I$89,3,0)*0.475*44/12</f>
        <v>1.1303987507399679E-19</v>
      </c>
      <c r="AC162" s="24">
        <f t="shared" si="163"/>
        <v>1.2513872949578602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-3.4106051316484809E-13</v>
      </c>
      <c r="AJ162" s="14">
        <f>AI162*VLOOKUP('Données projet'!$B$10,Paramètres!$A$1:$I$89,3,0)*VLOOKUP('Données projet'!$B$10,Paramètres!$A$1:$I$89,5,0)</f>
        <v>-1.9065282685915009E-13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302.20483575440988</v>
      </c>
      <c r="AO162" s="60">
        <f t="shared" si="144"/>
        <v>275.32862097158687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0.19337051253495202</v>
      </c>
      <c r="AW162" s="23">
        <f>EXP(-LN(2)/2)*AW161+(1-EXP(-LN(2)/2))/(LN(2)/2)*AQ162*AT162*VLOOKUP('Données projet'!$B$10,Paramètres!$A$1:$I$89,3,0)*0.475*44/12</f>
        <v>3.3756316407016128E-19</v>
      </c>
      <c r="AX162" s="23">
        <f t="shared" si="166"/>
        <v>0.19337051253495202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-1.7053025658242404E-13</v>
      </c>
      <c r="BE162" s="14">
        <f>BD162*VLOOKUP('Données projet'!$B$11,Paramètres!$A$1:$I$89,3,0)*VLOOKUP('Données projet'!$B$11,Paramètres!$A$1:$I$89,5,0)</f>
        <v>-1.4897523215040567E-13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314.62110015707839</v>
      </c>
      <c r="BJ162" s="60">
        <f t="shared" si="146"/>
        <v>285.36905470736582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-9.6633812063373625E-13</v>
      </c>
      <c r="BZ162" s="14">
        <f>BY162*VLOOKUP('Données projet'!$B$12,Paramètres!$A$1:$I$89,3,0)*VLOOKUP('Données projet'!$B$12,Paramètres!$A$1:$I$89,5,0)</f>
        <v>-8.7434273154940449E-13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303.73499739059076</v>
      </c>
      <c r="CE162" s="60">
        <f t="shared" si="148"/>
        <v>172.32171001882188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-9.6633812063373625E-13</v>
      </c>
      <c r="CU162" s="18">
        <f>CT162*VLOOKUP('Données projet'!$B$13,Paramètres!$A$1:$I$89,3,0)*VLOOKUP('Données projet'!$B$13,Paramètres!$A$1:$I$89,5,0)</f>
        <v>-9.7986685432260874E-13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350.3652766444938</v>
      </c>
      <c r="CZ162" s="60">
        <f t="shared" si="150"/>
        <v>197.04549436738586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-9.6633812063373625E-13</v>
      </c>
      <c r="DP162" s="18">
        <f>DO162*VLOOKUP('Données projet'!$B$14,Paramètres!$A$1:$I$89,3,0)*VLOOKUP('Données projet'!$B$14,Paramètres!$A$1:$I$89,5,0)</f>
        <v>-1.0401663530501537E-12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376.96388721258387</v>
      </c>
      <c r="DU162" s="60">
        <f t="shared" si="152"/>
        <v>211.14628470344377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-9.6633812063373625E-13</v>
      </c>
      <c r="EK162" s="18">
        <f>EJ162*VLOOKUP('Données projet'!$B$15,Paramètres!$A$1:$I$89,3,0)*VLOOKUP('Données projet'!$B$15,Paramètres!$A$1:$I$89,5,0)</f>
        <v>-9.3464223027694966E-13</v>
      </c>
      <c r="EL162" s="14" t="e">
        <f t="shared" si="179"/>
        <v>#NUM!</v>
      </c>
      <c r="EM162" s="22" t="e">
        <f t="shared" si="180"/>
        <v>#NUM!</v>
      </c>
      <c r="EN162" s="60" t="e">
        <f t="shared" si="128"/>
        <v>#NUM!</v>
      </c>
      <c r="EO162" s="60">
        <f ca="1">AVERAGE(OFFSET($EN$3,0,0,'Données projet'!$E$15+1,1))-AVERAGE(OFFSET($H$3,0,0,'Données projet'!$E$15+1,1))</f>
        <v>330.39429528665841</v>
      </c>
      <c r="EP162" s="60">
        <f t="shared" si="154"/>
        <v>186.45728006007261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8">
        <f t="shared" si="110"/>
        <v>487.15892583174093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-3.3992364478763198E-14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155.11440101086782</v>
      </c>
      <c r="T163" s="60">
        <f t="shared" si="142"/>
        <v>239.53454701506638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1.0282639758865277</v>
      </c>
      <c r="AA163" s="23">
        <f>EXP(-LN(2)/25)*AA162+(1-EXP(-LN(2)/25))/(LN(2)/25)*Calculateur!V163*Calculateur!X163*VLOOKUP('Données projet'!$B$9,Paramètres!$A$1:$I$89,3,0)*0.475*44/12</f>
        <v>0.19701746965369982</v>
      </c>
      <c r="AB163" s="23">
        <f>EXP(-LN(2)/2)*AB162+(1-EXP(-LN(2)/2))/(LN(2)/2)*V163*Y163*VLOOKUP('Données projet'!$B$9,Paramètres!$A$1:$I$89,3,0)*0.475*44/12</f>
        <v>7.9931262209303315E-20</v>
      </c>
      <c r="AC163" s="24">
        <f t="shared" si="163"/>
        <v>1.2252814455402277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-3.4106051316484809E-13</v>
      </c>
      <c r="AJ163" s="14">
        <f>AI163*VLOOKUP('Données projet'!$B$10,Paramètres!$A$1:$I$89,3,0)*VLOOKUP('Données projet'!$B$10,Paramètres!$A$1:$I$89,5,0)</f>
        <v>-1.9065282685915009E-13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302.20483575440988</v>
      </c>
      <c r="AO163" s="60">
        <f t="shared" si="144"/>
        <v>275.32862097158687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0.18808278570077047</v>
      </c>
      <c r="AW163" s="23">
        <f>EXP(-LN(2)/2)*AW162+(1-EXP(-LN(2)/2))/(LN(2)/2)*AQ163*AT163*VLOOKUP('Données projet'!$B$10,Paramètres!$A$1:$I$89,3,0)*0.475*44/12</f>
        <v>2.3869320239279817E-19</v>
      </c>
      <c r="AX163" s="23">
        <f t="shared" si="166"/>
        <v>0.18808278570077047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-1.7053025658242404E-13</v>
      </c>
      <c r="BE163" s="14">
        <f>BD163*VLOOKUP('Données projet'!$B$11,Paramètres!$A$1:$I$89,3,0)*VLOOKUP('Données projet'!$B$11,Paramètres!$A$1:$I$89,5,0)</f>
        <v>-1.4897523215040567E-13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314.62110015707839</v>
      </c>
      <c r="BJ163" s="60">
        <f t="shared" si="146"/>
        <v>285.36905470736582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-9.6633812063373625E-13</v>
      </c>
      <c r="BZ163" s="14">
        <f>BY163*VLOOKUP('Données projet'!$B$12,Paramètres!$A$1:$I$89,3,0)*VLOOKUP('Données projet'!$B$12,Paramètres!$A$1:$I$89,5,0)</f>
        <v>-8.7434273154940449E-13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303.73499739059076</v>
      </c>
      <c r="CE163" s="60">
        <f t="shared" si="148"/>
        <v>172.32171001882188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-9.6633812063373625E-13</v>
      </c>
      <c r="CU163" s="18">
        <f>CT163*VLOOKUP('Données projet'!$B$13,Paramètres!$A$1:$I$89,3,0)*VLOOKUP('Données projet'!$B$13,Paramètres!$A$1:$I$89,5,0)</f>
        <v>-9.7986685432260874E-13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350.3652766444938</v>
      </c>
      <c r="CZ163" s="60">
        <f t="shared" si="150"/>
        <v>197.04549436738586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-9.6633812063373625E-13</v>
      </c>
      <c r="DP163" s="18">
        <f>DO163*VLOOKUP('Données projet'!$B$14,Paramètres!$A$1:$I$89,3,0)*VLOOKUP('Données projet'!$B$14,Paramètres!$A$1:$I$89,5,0)</f>
        <v>-1.0401663530501537E-12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376.96388721258387</v>
      </c>
      <c r="DU163" s="60">
        <f t="shared" si="152"/>
        <v>211.14628470344377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-9.6633812063373625E-13</v>
      </c>
      <c r="EK163" s="18">
        <f>EJ163*VLOOKUP('Données projet'!$B$15,Paramètres!$A$1:$I$89,3,0)*VLOOKUP('Données projet'!$B$15,Paramètres!$A$1:$I$89,5,0)</f>
        <v>-9.3464223027694966E-13</v>
      </c>
      <c r="EL163" s="14" t="e">
        <f t="shared" si="179"/>
        <v>#NUM!</v>
      </c>
      <c r="EM163" s="22" t="e">
        <f t="shared" si="180"/>
        <v>#NUM!</v>
      </c>
      <c r="EN163" s="60" t="e">
        <f t="shared" si="128"/>
        <v>#NUM!</v>
      </c>
      <c r="EO163" s="60">
        <f ca="1">AVERAGE(OFFSET($EN$3,0,0,'Données projet'!$E$15+1,1))-AVERAGE(OFFSET($H$3,0,0,'Données projet'!$E$15+1,1))</f>
        <v>330.39429528665841</v>
      </c>
      <c r="EP163" s="60">
        <f t="shared" si="154"/>
        <v>186.45728006007261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8">
        <f t="shared" si="110"/>
        <v>488.33993472607426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-3.3992364478763198E-14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155.11440101086782</v>
      </c>
      <c r="T164" s="60">
        <f t="shared" si="142"/>
        <v>239.53454701506638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1.0081003464984895</v>
      </c>
      <c r="AA164" s="23">
        <f>EXP(-LN(2)/25)*AA163+(1-EXP(-LN(2)/25))/(LN(2)/25)*Calculateur!V164*Calculateur!X164*VLOOKUP('Données projet'!$B$9,Paramètres!$A$1:$I$89,3,0)*0.475*44/12</f>
        <v>0.19163001658532094</v>
      </c>
      <c r="AB164" s="23">
        <f>EXP(-LN(2)/2)*AB163+(1-EXP(-LN(2)/2))/(LN(2)/2)*V164*Y164*VLOOKUP('Données projet'!$B$9,Paramètres!$A$1:$I$89,3,0)*0.475*44/12</f>
        <v>5.6519937536998393E-20</v>
      </c>
      <c r="AC164" s="24">
        <f t="shared" si="163"/>
        <v>1.1997303630838103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-3.4106051316484809E-13</v>
      </c>
      <c r="AJ164" s="14">
        <f>AI164*VLOOKUP('Données projet'!$B$10,Paramètres!$A$1:$I$89,3,0)*VLOOKUP('Données projet'!$B$10,Paramètres!$A$1:$I$89,5,0)</f>
        <v>-1.9065282685915009E-13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302.20483575440988</v>
      </c>
      <c r="AO164" s="60">
        <f t="shared" si="144"/>
        <v>275.32862097158687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0.18293965203493906</v>
      </c>
      <c r="AW164" s="23">
        <f>EXP(-LN(2)/2)*AW163+(1-EXP(-LN(2)/2))/(LN(2)/2)*AQ164*AT164*VLOOKUP('Données projet'!$B$10,Paramètres!$A$1:$I$89,3,0)*0.475*44/12</f>
        <v>1.6878158203508064E-19</v>
      </c>
      <c r="AX164" s="23">
        <f t="shared" si="166"/>
        <v>0.18293965203493906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-1.7053025658242404E-13</v>
      </c>
      <c r="BE164" s="14">
        <f>BD164*VLOOKUP('Données projet'!$B$11,Paramètres!$A$1:$I$89,3,0)*VLOOKUP('Données projet'!$B$11,Paramètres!$A$1:$I$89,5,0)</f>
        <v>-1.4897523215040567E-13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314.62110015707839</v>
      </c>
      <c r="BJ164" s="60">
        <f t="shared" si="146"/>
        <v>285.36905470736582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-9.6633812063373625E-13</v>
      </c>
      <c r="BZ164" s="14">
        <f>BY164*VLOOKUP('Données projet'!$B$12,Paramètres!$A$1:$I$89,3,0)*VLOOKUP('Données projet'!$B$12,Paramètres!$A$1:$I$89,5,0)</f>
        <v>-8.7434273154940449E-13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303.73499739059076</v>
      </c>
      <c r="CE164" s="60">
        <f t="shared" si="148"/>
        <v>172.32171001882188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-9.6633812063373625E-13</v>
      </c>
      <c r="CU164" s="18">
        <f>CT164*VLOOKUP('Données projet'!$B$13,Paramètres!$A$1:$I$89,3,0)*VLOOKUP('Données projet'!$B$13,Paramètres!$A$1:$I$89,5,0)</f>
        <v>-9.7986685432260874E-13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350.3652766444938</v>
      </c>
      <c r="CZ164" s="60">
        <f t="shared" si="150"/>
        <v>197.04549436738586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-9.6633812063373625E-13</v>
      </c>
      <c r="DP164" s="18">
        <f>DO164*VLOOKUP('Données projet'!$B$14,Paramètres!$A$1:$I$89,3,0)*VLOOKUP('Données projet'!$B$14,Paramètres!$A$1:$I$89,5,0)</f>
        <v>-1.0401663530501537E-12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376.96388721258387</v>
      </c>
      <c r="DU164" s="60">
        <f t="shared" si="152"/>
        <v>211.14628470344377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-9.6633812063373625E-13</v>
      </c>
      <c r="EK164" s="18">
        <f>EJ164*VLOOKUP('Données projet'!$B$15,Paramètres!$A$1:$I$89,3,0)*VLOOKUP('Données projet'!$B$15,Paramètres!$A$1:$I$89,5,0)</f>
        <v>-9.3464223027694966E-13</v>
      </c>
      <c r="EL164" s="14" t="e">
        <f t="shared" si="179"/>
        <v>#NUM!</v>
      </c>
      <c r="EM164" s="22" t="e">
        <f t="shared" si="180"/>
        <v>#NUM!</v>
      </c>
      <c r="EN164" s="60" t="e">
        <f t="shared" si="128"/>
        <v>#NUM!</v>
      </c>
      <c r="EO164" s="60">
        <f ca="1">AVERAGE(OFFSET($EN$3,0,0,'Données projet'!$E$15+1,1))-AVERAGE(OFFSET($H$3,0,0,'Données projet'!$E$15+1,1))</f>
        <v>330.39429528665841</v>
      </c>
      <c r="EP164" s="60">
        <f t="shared" si="154"/>
        <v>186.45728006007261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8">
        <f t="shared" si="110"/>
        <v>489.52077735109452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-3.3992364478763198E-14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155.11440101086782</v>
      </c>
      <c r="T165" s="60">
        <f t="shared" si="142"/>
        <v>239.53454701506638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0.98833211358415107</v>
      </c>
      <c r="AA165" s="23">
        <f>EXP(-LN(2)/25)*AA164+(1-EXP(-LN(2)/25))/(LN(2)/25)*Calculateur!V165*Calculateur!X165*VLOOKUP('Données projet'!$B$9,Paramètres!$A$1:$I$89,3,0)*0.475*44/12</f>
        <v>0.18638988370441076</v>
      </c>
      <c r="AB165" s="23">
        <f>EXP(-LN(2)/2)*AB164+(1-EXP(-LN(2)/2))/(LN(2)/2)*V165*Y165*VLOOKUP('Données projet'!$B$9,Paramètres!$A$1:$I$89,3,0)*0.475*44/12</f>
        <v>3.9965631104651657E-20</v>
      </c>
      <c r="AC165" s="24">
        <f t="shared" si="163"/>
        <v>1.1747219972885619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-3.4106051316484809E-13</v>
      </c>
      <c r="AJ165" s="14">
        <f>AI165*VLOOKUP('Données projet'!$B$10,Paramètres!$A$1:$I$89,3,0)*VLOOKUP('Données projet'!$B$10,Paramètres!$A$1:$I$89,5,0)</f>
        <v>-1.9065282685915009E-13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302.20483575440988</v>
      </c>
      <c r="AO165" s="60">
        <f t="shared" si="144"/>
        <v>275.32862097158687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0.17793715762966547</v>
      </c>
      <c r="AW165" s="23">
        <f>EXP(-LN(2)/2)*AW164+(1-EXP(-LN(2)/2))/(LN(2)/2)*AQ165*AT165*VLOOKUP('Données projet'!$B$10,Paramètres!$A$1:$I$89,3,0)*0.475*44/12</f>
        <v>1.1934660119639909E-19</v>
      </c>
      <c r="AX165" s="23">
        <f t="shared" si="166"/>
        <v>0.17793715762966547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-1.7053025658242404E-13</v>
      </c>
      <c r="BE165" s="14">
        <f>BD165*VLOOKUP('Données projet'!$B$11,Paramètres!$A$1:$I$89,3,0)*VLOOKUP('Données projet'!$B$11,Paramètres!$A$1:$I$89,5,0)</f>
        <v>-1.4897523215040567E-13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314.62110015707839</v>
      </c>
      <c r="BJ165" s="60">
        <f t="shared" si="146"/>
        <v>285.36905470736582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-9.6633812063373625E-13</v>
      </c>
      <c r="BZ165" s="14">
        <f>BY165*VLOOKUP('Données projet'!$B$12,Paramètres!$A$1:$I$89,3,0)*VLOOKUP('Données projet'!$B$12,Paramètres!$A$1:$I$89,5,0)</f>
        <v>-8.7434273154940449E-13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303.73499739059076</v>
      </c>
      <c r="CE165" s="60">
        <f t="shared" si="148"/>
        <v>172.32171001882188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-9.6633812063373625E-13</v>
      </c>
      <c r="CU165" s="18">
        <f>CT165*VLOOKUP('Données projet'!$B$13,Paramètres!$A$1:$I$89,3,0)*VLOOKUP('Données projet'!$B$13,Paramètres!$A$1:$I$89,5,0)</f>
        <v>-9.7986685432260874E-13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350.3652766444938</v>
      </c>
      <c r="CZ165" s="60">
        <f t="shared" si="150"/>
        <v>197.04549436738586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-9.6633812063373625E-13</v>
      </c>
      <c r="DP165" s="18">
        <f>DO165*VLOOKUP('Données projet'!$B$14,Paramètres!$A$1:$I$89,3,0)*VLOOKUP('Données projet'!$B$14,Paramètres!$A$1:$I$89,5,0)</f>
        <v>-1.0401663530501537E-12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376.96388721258387</v>
      </c>
      <c r="DU165" s="60">
        <f t="shared" si="152"/>
        <v>211.14628470344377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-9.6633812063373625E-13</v>
      </c>
      <c r="EK165" s="18">
        <f>EJ165*VLOOKUP('Données projet'!$B$15,Paramètres!$A$1:$I$89,3,0)*VLOOKUP('Données projet'!$B$15,Paramètres!$A$1:$I$89,5,0)</f>
        <v>-9.3464223027694966E-13</v>
      </c>
      <c r="EL165" s="14" t="e">
        <f t="shared" si="179"/>
        <v>#NUM!</v>
      </c>
      <c r="EM165" s="22" t="e">
        <f t="shared" si="180"/>
        <v>#NUM!</v>
      </c>
      <c r="EN165" s="60" t="e">
        <f t="shared" si="128"/>
        <v>#NUM!</v>
      </c>
      <c r="EO165" s="60">
        <f ca="1">AVERAGE(OFFSET($EN$3,0,0,'Données projet'!$E$15+1,1))-AVERAGE(OFFSET($H$3,0,0,'Données projet'!$E$15+1,1))</f>
        <v>330.39429528665841</v>
      </c>
      <c r="EP165" s="60">
        <f t="shared" si="154"/>
        <v>186.45728006007261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8">
        <f t="shared" si="110"/>
        <v>490.70145485222611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-3.3992364478763198E-14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155.11440101086782</v>
      </c>
      <c r="T166" s="60">
        <f t="shared" si="142"/>
        <v>239.53454701506638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0.96895152365983128</v>
      </c>
      <c r="AA166" s="23">
        <f>EXP(-LN(2)/25)*AA165+(1-EXP(-LN(2)/25))/(LN(2)/25)*Calculateur!V166*Calculateur!X166*VLOOKUP('Données projet'!$B$9,Paramètres!$A$1:$I$89,3,0)*0.475*44/12</f>
        <v>0.18129304253269565</v>
      </c>
      <c r="AB166" s="23">
        <f>EXP(-LN(2)/2)*AB165+(1-EXP(-LN(2)/2))/(LN(2)/2)*V166*Y166*VLOOKUP('Données projet'!$B$9,Paramètres!$A$1:$I$89,3,0)*0.475*44/12</f>
        <v>2.8259968768499196E-20</v>
      </c>
      <c r="AC166" s="24">
        <f t="shared" si="163"/>
        <v>1.1502445661925269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-3.4106051316484809E-13</v>
      </c>
      <c r="AJ166" s="14">
        <f>AI166*VLOOKUP('Données projet'!$B$10,Paramètres!$A$1:$I$89,3,0)*VLOOKUP('Données projet'!$B$10,Paramètres!$A$1:$I$89,5,0)</f>
        <v>-1.9065282685915009E-13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302.20483575440988</v>
      </c>
      <c r="AO166" s="60">
        <f t="shared" si="144"/>
        <v>275.32862097158687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0.17307145669697382</v>
      </c>
      <c r="AW166" s="23">
        <f>EXP(-LN(2)/2)*AW165+(1-EXP(-LN(2)/2))/(LN(2)/2)*AQ166*AT166*VLOOKUP('Données projet'!$B$10,Paramètres!$A$1:$I$89,3,0)*0.475*44/12</f>
        <v>8.4390791017540319E-20</v>
      </c>
      <c r="AX166" s="23">
        <f t="shared" si="166"/>
        <v>0.17307145669697382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-1.7053025658242404E-13</v>
      </c>
      <c r="BE166" s="14">
        <f>BD166*VLOOKUP('Données projet'!$B$11,Paramètres!$A$1:$I$89,3,0)*VLOOKUP('Données projet'!$B$11,Paramètres!$A$1:$I$89,5,0)</f>
        <v>-1.4897523215040567E-13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314.62110015707839</v>
      </c>
      <c r="BJ166" s="60">
        <f t="shared" si="146"/>
        <v>285.36905470736582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-9.6633812063373625E-13</v>
      </c>
      <c r="BZ166" s="14">
        <f>BY166*VLOOKUP('Données projet'!$B$12,Paramètres!$A$1:$I$89,3,0)*VLOOKUP('Données projet'!$B$12,Paramètres!$A$1:$I$89,5,0)</f>
        <v>-8.7434273154940449E-13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303.73499739059076</v>
      </c>
      <c r="CE166" s="60">
        <f t="shared" si="148"/>
        <v>172.32171001882188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-9.6633812063373625E-13</v>
      </c>
      <c r="CU166" s="18">
        <f>CT166*VLOOKUP('Données projet'!$B$13,Paramètres!$A$1:$I$89,3,0)*VLOOKUP('Données projet'!$B$13,Paramètres!$A$1:$I$89,5,0)</f>
        <v>-9.7986685432260874E-13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350.3652766444938</v>
      </c>
      <c r="CZ166" s="60">
        <f t="shared" si="150"/>
        <v>197.04549436738586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-9.6633812063373625E-13</v>
      </c>
      <c r="DP166" s="18">
        <f>DO166*VLOOKUP('Données projet'!$B$14,Paramètres!$A$1:$I$89,3,0)*VLOOKUP('Données projet'!$B$14,Paramètres!$A$1:$I$89,5,0)</f>
        <v>-1.0401663530501537E-12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376.96388721258387</v>
      </c>
      <c r="DU166" s="60">
        <f t="shared" si="152"/>
        <v>211.14628470344377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-9.6633812063373625E-13</v>
      </c>
      <c r="EK166" s="18">
        <f>EJ166*VLOOKUP('Données projet'!$B$15,Paramètres!$A$1:$I$89,3,0)*VLOOKUP('Données projet'!$B$15,Paramètres!$A$1:$I$89,5,0)</f>
        <v>-9.3464223027694966E-13</v>
      </c>
      <c r="EL166" s="14" t="e">
        <f t="shared" si="179"/>
        <v>#NUM!</v>
      </c>
      <c r="EM166" s="22" t="e">
        <f t="shared" si="180"/>
        <v>#NUM!</v>
      </c>
      <c r="EN166" s="60" t="e">
        <f t="shared" si="128"/>
        <v>#NUM!</v>
      </c>
      <c r="EO166" s="60">
        <f ca="1">AVERAGE(OFFSET($EN$3,0,0,'Données projet'!$E$15+1,1))-AVERAGE(OFFSET($H$3,0,0,'Données projet'!$E$15+1,1))</f>
        <v>330.39429528665841</v>
      </c>
      <c r="EP166" s="60">
        <f t="shared" si="154"/>
        <v>186.45728006007261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8">
        <f t="shared" si="110"/>
        <v>491.88196836002629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-3.3992364478763198E-14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155.11440101086782</v>
      </c>
      <c r="T167" s="60">
        <f t="shared" si="142"/>
        <v>239.53454701506638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0.94995097528293482</v>
      </c>
      <c r="AA167" s="23">
        <f>EXP(-LN(2)/25)*AA166+(1-EXP(-LN(2)/25))/(LN(2)/25)*Calculateur!V167*Calculateur!X167*VLOOKUP('Données projet'!$B$9,Paramètres!$A$1:$I$89,3,0)*0.475*44/12</f>
        <v>0.17633557475085235</v>
      </c>
      <c r="AB167" s="23">
        <f>EXP(-LN(2)/2)*AB166+(1-EXP(-LN(2)/2))/(LN(2)/2)*V167*Y167*VLOOKUP('Données projet'!$B$9,Paramètres!$A$1:$I$89,3,0)*0.475*44/12</f>
        <v>1.9982815552325829E-20</v>
      </c>
      <c r="AC167" s="24">
        <f t="shared" si="163"/>
        <v>1.1262865500337871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-3.4106051316484809E-13</v>
      </c>
      <c r="AJ167" s="14">
        <f>AI167*VLOOKUP('Données projet'!$B$10,Paramètres!$A$1:$I$89,3,0)*VLOOKUP('Données projet'!$B$10,Paramètres!$A$1:$I$89,5,0)</f>
        <v>-1.9065282685915009E-13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302.20483575440988</v>
      </c>
      <c r="AO167" s="60">
        <f t="shared" si="144"/>
        <v>275.32862097158687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0.16833880861216272</v>
      </c>
      <c r="AW167" s="23">
        <f>EXP(-LN(2)/2)*AW166+(1-EXP(-LN(2)/2))/(LN(2)/2)*AQ167*AT167*VLOOKUP('Données projet'!$B$10,Paramètres!$A$1:$I$89,3,0)*0.475*44/12</f>
        <v>5.9673300598199543E-20</v>
      </c>
      <c r="AX167" s="23">
        <f t="shared" si="166"/>
        <v>0.16833880861216272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-1.7053025658242404E-13</v>
      </c>
      <c r="BE167" s="14">
        <f>BD167*VLOOKUP('Données projet'!$B$11,Paramètres!$A$1:$I$89,3,0)*VLOOKUP('Données projet'!$B$11,Paramètres!$A$1:$I$89,5,0)</f>
        <v>-1.4897523215040567E-13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314.62110015707839</v>
      </c>
      <c r="BJ167" s="60">
        <f t="shared" si="146"/>
        <v>285.36905470736582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-9.6633812063373625E-13</v>
      </c>
      <c r="BZ167" s="14">
        <f>BY167*VLOOKUP('Données projet'!$B$12,Paramètres!$A$1:$I$89,3,0)*VLOOKUP('Données projet'!$B$12,Paramètres!$A$1:$I$89,5,0)</f>
        <v>-8.7434273154940449E-13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303.73499739059076</v>
      </c>
      <c r="CE167" s="60">
        <f t="shared" si="148"/>
        <v>172.32171001882188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-9.6633812063373625E-13</v>
      </c>
      <c r="CU167" s="18">
        <f>CT167*VLOOKUP('Données projet'!$B$13,Paramètres!$A$1:$I$89,3,0)*VLOOKUP('Données projet'!$B$13,Paramètres!$A$1:$I$89,5,0)</f>
        <v>-9.7986685432260874E-13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350.3652766444938</v>
      </c>
      <c r="CZ167" s="60">
        <f t="shared" si="150"/>
        <v>197.04549436738586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-9.6633812063373625E-13</v>
      </c>
      <c r="DP167" s="18">
        <f>DO167*VLOOKUP('Données projet'!$B$14,Paramètres!$A$1:$I$89,3,0)*VLOOKUP('Données projet'!$B$14,Paramètres!$A$1:$I$89,5,0)</f>
        <v>-1.0401663530501537E-12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376.96388721258387</v>
      </c>
      <c r="DU167" s="60">
        <f t="shared" si="152"/>
        <v>211.14628470344377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-9.6633812063373625E-13</v>
      </c>
      <c r="EK167" s="18">
        <f>EJ167*VLOOKUP('Données projet'!$B$15,Paramètres!$A$1:$I$89,3,0)*VLOOKUP('Données projet'!$B$15,Paramètres!$A$1:$I$89,5,0)</f>
        <v>-9.3464223027694966E-13</v>
      </c>
      <c r="EL167" s="14" t="e">
        <f t="shared" si="179"/>
        <v>#NUM!</v>
      </c>
      <c r="EM167" s="22" t="e">
        <f t="shared" si="180"/>
        <v>#NUM!</v>
      </c>
      <c r="EN167" s="60" t="e">
        <f t="shared" si="128"/>
        <v>#NUM!</v>
      </c>
      <c r="EO167" s="60">
        <f ca="1">AVERAGE(OFFSET($EN$3,0,0,'Données projet'!$E$15+1,1))-AVERAGE(OFFSET($H$3,0,0,'Données projet'!$E$15+1,1))</f>
        <v>330.39429528665841</v>
      </c>
      <c r="EP167" s="60">
        <f t="shared" si="154"/>
        <v>186.45728006007261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8">
        <f t="shared" si="110"/>
        <v>493.06231899046742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-3.3992364478763198E-14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155.11440101086782</v>
      </c>
      <c r="T168" s="60">
        <f t="shared" si="142"/>
        <v>239.53454701506638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0.93132301607051915</v>
      </c>
      <c r="AA168" s="23">
        <f>EXP(-LN(2)/25)*AA167+(1-EXP(-LN(2)/25))/(LN(2)/25)*Calculateur!V168*Calculateur!X168*VLOOKUP('Données projet'!$B$9,Paramètres!$A$1:$I$89,3,0)*0.475*44/12</f>
        <v>0.17151366918620545</v>
      </c>
      <c r="AB168" s="23">
        <f>EXP(-LN(2)/2)*AB167+(1-EXP(-LN(2)/2))/(LN(2)/2)*V168*Y168*VLOOKUP('Données projet'!$B$9,Paramètres!$A$1:$I$89,3,0)*0.475*44/12</f>
        <v>1.4129984384249598E-20</v>
      </c>
      <c r="AC168" s="24">
        <f t="shared" si="163"/>
        <v>1.1028366852567246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-3.4106051316484809E-13</v>
      </c>
      <c r="AJ168" s="14">
        <f>AI168*VLOOKUP('Données projet'!$B$10,Paramètres!$A$1:$I$89,3,0)*VLOOKUP('Données projet'!$B$10,Paramètres!$A$1:$I$89,5,0)</f>
        <v>-1.9065282685915009E-13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302.20483575440988</v>
      </c>
      <c r="AO168" s="60">
        <f t="shared" si="144"/>
        <v>275.32862097158687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0.16373557503810993</v>
      </c>
      <c r="AW168" s="23">
        <f>EXP(-LN(2)/2)*AW167+(1-EXP(-LN(2)/2))/(LN(2)/2)*AQ168*AT168*VLOOKUP('Données projet'!$B$10,Paramètres!$A$1:$I$89,3,0)*0.475*44/12</f>
        <v>4.219539550877016E-20</v>
      </c>
      <c r="AX168" s="23">
        <f t="shared" si="166"/>
        <v>0.16373557503810993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-1.7053025658242404E-13</v>
      </c>
      <c r="BE168" s="14">
        <f>BD168*VLOOKUP('Données projet'!$B$11,Paramètres!$A$1:$I$89,3,0)*VLOOKUP('Données projet'!$B$11,Paramètres!$A$1:$I$89,5,0)</f>
        <v>-1.4897523215040567E-13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314.62110015707839</v>
      </c>
      <c r="BJ168" s="60">
        <f t="shared" si="146"/>
        <v>285.36905470736582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-9.6633812063373625E-13</v>
      </c>
      <c r="BZ168" s="14">
        <f>BY168*VLOOKUP('Données projet'!$B$12,Paramètres!$A$1:$I$89,3,0)*VLOOKUP('Données projet'!$B$12,Paramètres!$A$1:$I$89,5,0)</f>
        <v>-8.7434273154940449E-13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303.73499739059076</v>
      </c>
      <c r="CE168" s="60">
        <f t="shared" si="148"/>
        <v>172.32171001882188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-9.6633812063373625E-13</v>
      </c>
      <c r="CU168" s="18">
        <f>CT168*VLOOKUP('Données projet'!$B$13,Paramètres!$A$1:$I$89,3,0)*VLOOKUP('Données projet'!$B$13,Paramètres!$A$1:$I$89,5,0)</f>
        <v>-9.7986685432260874E-13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350.3652766444938</v>
      </c>
      <c r="CZ168" s="60">
        <f t="shared" si="150"/>
        <v>197.04549436738586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-9.6633812063373625E-13</v>
      </c>
      <c r="DP168" s="18">
        <f>DO168*VLOOKUP('Données projet'!$B$14,Paramètres!$A$1:$I$89,3,0)*VLOOKUP('Données projet'!$B$14,Paramètres!$A$1:$I$89,5,0)</f>
        <v>-1.0401663530501537E-12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376.96388721258387</v>
      </c>
      <c r="DU168" s="60">
        <f t="shared" si="152"/>
        <v>211.14628470344377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-9.6633812063373625E-13</v>
      </c>
      <c r="EK168" s="18">
        <f>EJ168*VLOOKUP('Données projet'!$B$15,Paramètres!$A$1:$I$89,3,0)*VLOOKUP('Données projet'!$B$15,Paramètres!$A$1:$I$89,5,0)</f>
        <v>-9.3464223027694966E-13</v>
      </c>
      <c r="EL168" s="14" t="e">
        <f t="shared" si="179"/>
        <v>#NUM!</v>
      </c>
      <c r="EM168" s="22" t="e">
        <f t="shared" si="180"/>
        <v>#NUM!</v>
      </c>
      <c r="EN168" s="60" t="e">
        <f t="shared" si="128"/>
        <v>#NUM!</v>
      </c>
      <c r="EO168" s="60">
        <f ca="1">AVERAGE(OFFSET($EN$3,0,0,'Données projet'!$E$15+1,1))-AVERAGE(OFFSET($H$3,0,0,'Données projet'!$E$15+1,1))</f>
        <v>330.39429528665841</v>
      </c>
      <c r="EP168" s="60">
        <f t="shared" si="154"/>
        <v>186.45728006007261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8">
        <f t="shared" si="110"/>
        <v>494.24250784521246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-3.3992364478763198E-14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155.11440101086782</v>
      </c>
      <c r="T169" s="60">
        <f t="shared" si="142"/>
        <v>239.53454701506638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0.91306033977632572</v>
      </c>
      <c r="AA169" s="23">
        <f>EXP(-LN(2)/25)*AA168+(1-EXP(-LN(2)/25))/(LN(2)/25)*Calculateur!V169*Calculateur!X169*VLOOKUP('Données projet'!$B$9,Paramètres!$A$1:$I$89,3,0)*0.475*44/12</f>
        <v>0.16682361888279679</v>
      </c>
      <c r="AB169" s="23">
        <f>EXP(-LN(2)/2)*AB168+(1-EXP(-LN(2)/2))/(LN(2)/2)*V169*Y169*VLOOKUP('Données projet'!$B$9,Paramètres!$A$1:$I$89,3,0)*0.475*44/12</f>
        <v>9.9914077761629144E-21</v>
      </c>
      <c r="AC169" s="24">
        <f t="shared" si="163"/>
        <v>1.0798839586591225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-3.4106051316484809E-13</v>
      </c>
      <c r="AJ169" s="14">
        <f>AI169*VLOOKUP('Données projet'!$B$10,Paramètres!$A$1:$I$89,3,0)*VLOOKUP('Données projet'!$B$10,Paramètres!$A$1:$I$89,5,0)</f>
        <v>-1.9065282685915009E-13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302.20483575440988</v>
      </c>
      <c r="AO169" s="60">
        <f t="shared" si="144"/>
        <v>275.32862097158687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0.15925821712821314</v>
      </c>
      <c r="AW169" s="23">
        <f>EXP(-LN(2)/2)*AW168+(1-EXP(-LN(2)/2))/(LN(2)/2)*AQ169*AT169*VLOOKUP('Données projet'!$B$10,Paramètres!$A$1:$I$89,3,0)*0.475*44/12</f>
        <v>2.9836650299099772E-20</v>
      </c>
      <c r="AX169" s="23">
        <f t="shared" si="166"/>
        <v>0.15925821712821314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-1.7053025658242404E-13</v>
      </c>
      <c r="BE169" s="14">
        <f>BD169*VLOOKUP('Données projet'!$B$11,Paramètres!$A$1:$I$89,3,0)*VLOOKUP('Données projet'!$B$11,Paramètres!$A$1:$I$89,5,0)</f>
        <v>-1.4897523215040567E-13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314.62110015707839</v>
      </c>
      <c r="BJ169" s="60">
        <f t="shared" si="146"/>
        <v>285.36905470736582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-9.6633812063373625E-13</v>
      </c>
      <c r="BZ169" s="14">
        <f>BY169*VLOOKUP('Données projet'!$B$12,Paramètres!$A$1:$I$89,3,0)*VLOOKUP('Données projet'!$B$12,Paramètres!$A$1:$I$89,5,0)</f>
        <v>-8.7434273154940449E-13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303.73499739059076</v>
      </c>
      <c r="CE169" s="60">
        <f t="shared" si="148"/>
        <v>172.32171001882188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-9.6633812063373625E-13</v>
      </c>
      <c r="CU169" s="18">
        <f>CT169*VLOOKUP('Données projet'!$B$13,Paramètres!$A$1:$I$89,3,0)*VLOOKUP('Données projet'!$B$13,Paramètres!$A$1:$I$89,5,0)</f>
        <v>-9.7986685432260874E-13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350.3652766444938</v>
      </c>
      <c r="CZ169" s="60">
        <f t="shared" si="150"/>
        <v>197.04549436738586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-9.6633812063373625E-13</v>
      </c>
      <c r="DP169" s="18">
        <f>DO169*VLOOKUP('Données projet'!$B$14,Paramètres!$A$1:$I$89,3,0)*VLOOKUP('Données projet'!$B$14,Paramètres!$A$1:$I$89,5,0)</f>
        <v>-1.0401663530501537E-12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376.96388721258387</v>
      </c>
      <c r="DU169" s="60">
        <f t="shared" si="152"/>
        <v>211.14628470344377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-9.6633812063373625E-13</v>
      </c>
      <c r="EK169" s="18">
        <f>EJ169*VLOOKUP('Données projet'!$B$15,Paramètres!$A$1:$I$89,3,0)*VLOOKUP('Données projet'!$B$15,Paramètres!$A$1:$I$89,5,0)</f>
        <v>-9.3464223027694966E-13</v>
      </c>
      <c r="EL169" s="14" t="e">
        <f t="shared" si="179"/>
        <v>#NUM!</v>
      </c>
      <c r="EM169" s="22" t="e">
        <f t="shared" si="180"/>
        <v>#NUM!</v>
      </c>
      <c r="EN169" s="60" t="e">
        <f t="shared" si="128"/>
        <v>#NUM!</v>
      </c>
      <c r="EO169" s="60">
        <f ca="1">AVERAGE(OFFSET($EN$3,0,0,'Données projet'!$E$15+1,1))-AVERAGE(OFFSET($H$3,0,0,'Données projet'!$E$15+1,1))</f>
        <v>330.39429528665841</v>
      </c>
      <c r="EP169" s="60">
        <f t="shared" si="154"/>
        <v>186.45728006007261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8">
        <f t="shared" si="110"/>
        <v>495.42253601188349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-3.3992364478763198E-14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155.11440101086782</v>
      </c>
      <c r="T170" s="60">
        <f t="shared" si="142"/>
        <v>239.53454701506638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0.8951557834251288</v>
      </c>
      <c r="AA170" s="23">
        <f>EXP(-LN(2)/25)*AA169+(1-EXP(-LN(2)/25))/(LN(2)/25)*Calculateur!V170*Calculateur!X170*VLOOKUP('Données projet'!$B$9,Paramètres!$A$1:$I$89,3,0)*0.475*44/12</f>
        <v>0.16226181825157387</v>
      </c>
      <c r="AB170" s="23">
        <f>EXP(-LN(2)/2)*AB169+(1-EXP(-LN(2)/2))/(LN(2)/2)*V170*Y170*VLOOKUP('Données projet'!$B$9,Paramètres!$A$1:$I$89,3,0)*0.475*44/12</f>
        <v>7.0649921921247991E-21</v>
      </c>
      <c r="AC170" s="24">
        <f t="shared" si="163"/>
        <v>1.0574176016767027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-3.4106051316484809E-13</v>
      </c>
      <c r="AJ170" s="14">
        <f>AI170*VLOOKUP('Données projet'!$B$10,Paramètres!$A$1:$I$89,3,0)*VLOOKUP('Données projet'!$B$10,Paramètres!$A$1:$I$89,5,0)</f>
        <v>-1.9065282685915009E-13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302.20483575440988</v>
      </c>
      <c r="AO170" s="60">
        <f t="shared" si="144"/>
        <v>275.32862097158687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0.15490329280581649</v>
      </c>
      <c r="AW170" s="23">
        <f>EXP(-LN(2)/2)*AW169+(1-EXP(-LN(2)/2))/(LN(2)/2)*AQ170*AT170*VLOOKUP('Données projet'!$B$10,Paramètres!$A$1:$I$89,3,0)*0.475*44/12</f>
        <v>2.109769775438508E-20</v>
      </c>
      <c r="AX170" s="23">
        <f t="shared" si="166"/>
        <v>0.15490329280581649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-1.7053025658242404E-13</v>
      </c>
      <c r="BE170" s="14">
        <f>BD170*VLOOKUP('Données projet'!$B$11,Paramètres!$A$1:$I$89,3,0)*VLOOKUP('Données projet'!$B$11,Paramètres!$A$1:$I$89,5,0)</f>
        <v>-1.4897523215040567E-13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314.62110015707839</v>
      </c>
      <c r="BJ170" s="60">
        <f t="shared" si="146"/>
        <v>285.36905470736582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-9.6633812063373625E-13</v>
      </c>
      <c r="BZ170" s="14">
        <f>BY170*VLOOKUP('Données projet'!$B$12,Paramètres!$A$1:$I$89,3,0)*VLOOKUP('Données projet'!$B$12,Paramètres!$A$1:$I$89,5,0)</f>
        <v>-8.7434273154940449E-13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303.73499739059076</v>
      </c>
      <c r="CE170" s="60">
        <f t="shared" si="148"/>
        <v>172.32171001882188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-9.6633812063373625E-13</v>
      </c>
      <c r="CU170" s="18">
        <f>CT170*VLOOKUP('Données projet'!$B$13,Paramètres!$A$1:$I$89,3,0)*VLOOKUP('Données projet'!$B$13,Paramètres!$A$1:$I$89,5,0)</f>
        <v>-9.7986685432260874E-13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350.3652766444938</v>
      </c>
      <c r="CZ170" s="60">
        <f t="shared" si="150"/>
        <v>197.04549436738586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-9.6633812063373625E-13</v>
      </c>
      <c r="DP170" s="18">
        <f>DO170*VLOOKUP('Données projet'!$B$14,Paramètres!$A$1:$I$89,3,0)*VLOOKUP('Données projet'!$B$14,Paramètres!$A$1:$I$89,5,0)</f>
        <v>-1.0401663530501537E-12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376.96388721258387</v>
      </c>
      <c r="DU170" s="60">
        <f t="shared" si="152"/>
        <v>211.14628470344377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-9.6633812063373625E-13</v>
      </c>
      <c r="EK170" s="18">
        <f>EJ170*VLOOKUP('Données projet'!$B$15,Paramètres!$A$1:$I$89,3,0)*VLOOKUP('Données projet'!$B$15,Paramètres!$A$1:$I$89,5,0)</f>
        <v>-9.3464223027694966E-13</v>
      </c>
      <c r="EL170" s="14" t="e">
        <f t="shared" si="179"/>
        <v>#NUM!</v>
      </c>
      <c r="EM170" s="22" t="e">
        <f t="shared" si="180"/>
        <v>#NUM!</v>
      </c>
      <c r="EN170" s="60" t="e">
        <f t="shared" si="128"/>
        <v>#NUM!</v>
      </c>
      <c r="EO170" s="60">
        <f ca="1">AVERAGE(OFFSET($EN$3,0,0,'Données projet'!$E$15+1,1))-AVERAGE(OFFSET($H$3,0,0,'Données projet'!$E$15+1,1))</f>
        <v>330.39429528665841</v>
      </c>
      <c r="EP170" s="60">
        <f t="shared" si="154"/>
        <v>186.45728006007261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8">
        <f t="shared" si="110"/>
        <v>496.60240456432382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-3.3992364478763198E-14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155.11440101086782</v>
      </c>
      <c r="T171" s="60">
        <f t="shared" si="142"/>
        <v>239.53454701506638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0.8776023245032778</v>
      </c>
      <c r="AA171" s="23">
        <f>EXP(-LN(2)/25)*AA170+(1-EXP(-LN(2)/25))/(LN(2)/25)*Calculateur!V171*Calculateur!X171*VLOOKUP('Données projet'!$B$9,Paramètres!$A$1:$I$89,3,0)*0.475*44/12</f>
        <v>0.15782476029850642</v>
      </c>
      <c r="AB171" s="23">
        <f>EXP(-LN(2)/2)*AB170+(1-EXP(-LN(2)/2))/(LN(2)/2)*V171*Y171*VLOOKUP('Données projet'!$B$9,Paramètres!$A$1:$I$89,3,0)*0.475*44/12</f>
        <v>4.9957038880814572E-21</v>
      </c>
      <c r="AC171" s="24">
        <f t="shared" si="163"/>
        <v>1.0354270848017841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-3.4106051316484809E-13</v>
      </c>
      <c r="AJ171" s="14">
        <f>AI171*VLOOKUP('Données projet'!$B$10,Paramètres!$A$1:$I$89,3,0)*VLOOKUP('Données projet'!$B$10,Paramètres!$A$1:$I$89,5,0)</f>
        <v>-1.9065282685915009E-13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302.20483575440988</v>
      </c>
      <c r="AO171" s="60">
        <f t="shared" si="144"/>
        <v>275.32862097158687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0.15066745411803131</v>
      </c>
      <c r="AW171" s="23">
        <f>EXP(-LN(2)/2)*AW170+(1-EXP(-LN(2)/2))/(LN(2)/2)*AQ171*AT171*VLOOKUP('Données projet'!$B$10,Paramètres!$A$1:$I$89,3,0)*0.475*44/12</f>
        <v>1.4918325149549886E-20</v>
      </c>
      <c r="AX171" s="23">
        <f t="shared" si="166"/>
        <v>0.15066745411803131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-1.7053025658242404E-13</v>
      </c>
      <c r="BE171" s="14">
        <f>BD171*VLOOKUP('Données projet'!$B$11,Paramètres!$A$1:$I$89,3,0)*VLOOKUP('Données projet'!$B$11,Paramètres!$A$1:$I$89,5,0)</f>
        <v>-1.4897523215040567E-13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314.62110015707839</v>
      </c>
      <c r="BJ171" s="60">
        <f t="shared" si="146"/>
        <v>285.36905470736582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-9.6633812063373625E-13</v>
      </c>
      <c r="BZ171" s="14">
        <f>BY171*VLOOKUP('Données projet'!$B$12,Paramètres!$A$1:$I$89,3,0)*VLOOKUP('Données projet'!$B$12,Paramètres!$A$1:$I$89,5,0)</f>
        <v>-8.7434273154940449E-13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303.73499739059076</v>
      </c>
      <c r="CE171" s="60">
        <f t="shared" si="148"/>
        <v>172.32171001882188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-9.6633812063373625E-13</v>
      </c>
      <c r="CU171" s="18">
        <f>CT171*VLOOKUP('Données projet'!$B$13,Paramètres!$A$1:$I$89,3,0)*VLOOKUP('Données projet'!$B$13,Paramètres!$A$1:$I$89,5,0)</f>
        <v>-9.7986685432260874E-13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350.3652766444938</v>
      </c>
      <c r="CZ171" s="60">
        <f t="shared" si="150"/>
        <v>197.04549436738586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-9.6633812063373625E-13</v>
      </c>
      <c r="DP171" s="18">
        <f>DO171*VLOOKUP('Données projet'!$B$14,Paramètres!$A$1:$I$89,3,0)*VLOOKUP('Données projet'!$B$14,Paramètres!$A$1:$I$89,5,0)</f>
        <v>-1.0401663530501537E-12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376.96388721258387</v>
      </c>
      <c r="DU171" s="60">
        <f t="shared" si="152"/>
        <v>211.14628470344377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-9.6633812063373625E-13</v>
      </c>
      <c r="EK171" s="18">
        <f>EJ171*VLOOKUP('Données projet'!$B$15,Paramètres!$A$1:$I$89,3,0)*VLOOKUP('Données projet'!$B$15,Paramètres!$A$1:$I$89,5,0)</f>
        <v>-9.3464223027694966E-13</v>
      </c>
      <c r="EL171" s="14" t="e">
        <f t="shared" si="179"/>
        <v>#NUM!</v>
      </c>
      <c r="EM171" s="22" t="e">
        <f t="shared" si="180"/>
        <v>#NUM!</v>
      </c>
      <c r="EN171" s="60" t="e">
        <f t="shared" si="128"/>
        <v>#NUM!</v>
      </c>
      <c r="EO171" s="60">
        <f ca="1">AVERAGE(OFFSET($EN$3,0,0,'Données projet'!$E$15+1,1))-AVERAGE(OFFSET($H$3,0,0,'Données projet'!$E$15+1,1))</f>
        <v>330.39429528665841</v>
      </c>
      <c r="EP171" s="60">
        <f t="shared" si="154"/>
        <v>186.45728006007261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8">
        <f t="shared" si="110"/>
        <v>497.78211456285305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-3.3992364478763198E-14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155.11440101086782</v>
      </c>
      <c r="T172" s="60">
        <f t="shared" si="142"/>
        <v>239.53454701506638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0.86039307820433153</v>
      </c>
      <c r="AA172" s="23">
        <f>EXP(-LN(2)/25)*AA171+(1-EXP(-LN(2)/25))/(LN(2)/25)*Calculateur!V172*Calculateur!X172*VLOOKUP('Données projet'!$B$9,Paramètres!$A$1:$I$89,3,0)*0.475*44/12</f>
        <v>0.15350903392850032</v>
      </c>
      <c r="AB172" s="23">
        <f>EXP(-LN(2)/2)*AB171+(1-EXP(-LN(2)/2))/(LN(2)/2)*V172*Y172*VLOOKUP('Données projet'!$B$9,Paramètres!$A$1:$I$89,3,0)*0.475*44/12</f>
        <v>3.5324960960623995E-21</v>
      </c>
      <c r="AC172" s="24">
        <f t="shared" si="163"/>
        <v>1.0139021121328318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-3.4106051316484809E-13</v>
      </c>
      <c r="AJ172" s="14">
        <f>AI172*VLOOKUP('Données projet'!$B$10,Paramètres!$A$1:$I$89,3,0)*VLOOKUP('Données projet'!$B$10,Paramètres!$A$1:$I$89,5,0)</f>
        <v>-1.9065282685915009E-13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302.20483575440988</v>
      </c>
      <c r="AO172" s="60">
        <f t="shared" si="144"/>
        <v>275.32862097158687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0.14654744466191669</v>
      </c>
      <c r="AW172" s="23">
        <f>EXP(-LN(2)/2)*AW171+(1-EXP(-LN(2)/2))/(LN(2)/2)*AQ172*AT172*VLOOKUP('Données projet'!$B$10,Paramètres!$A$1:$I$89,3,0)*0.475*44/12</f>
        <v>1.054884887719254E-20</v>
      </c>
      <c r="AX172" s="23">
        <f t="shared" si="166"/>
        <v>0.14654744466191669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-1.7053025658242404E-13</v>
      </c>
      <c r="BE172" s="14">
        <f>BD172*VLOOKUP('Données projet'!$B$11,Paramètres!$A$1:$I$89,3,0)*VLOOKUP('Données projet'!$B$11,Paramètres!$A$1:$I$89,5,0)</f>
        <v>-1.4897523215040567E-13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314.62110015707839</v>
      </c>
      <c r="BJ172" s="60">
        <f t="shared" si="146"/>
        <v>285.36905470736582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-9.6633812063373625E-13</v>
      </c>
      <c r="BZ172" s="14">
        <f>BY172*VLOOKUP('Données projet'!$B$12,Paramètres!$A$1:$I$89,3,0)*VLOOKUP('Données projet'!$B$12,Paramètres!$A$1:$I$89,5,0)</f>
        <v>-8.7434273154940449E-13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303.73499739059076</v>
      </c>
      <c r="CE172" s="60">
        <f t="shared" si="148"/>
        <v>172.32171001882188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-9.6633812063373625E-13</v>
      </c>
      <c r="CU172" s="18">
        <f>CT172*VLOOKUP('Données projet'!$B$13,Paramètres!$A$1:$I$89,3,0)*VLOOKUP('Données projet'!$B$13,Paramètres!$A$1:$I$89,5,0)</f>
        <v>-9.7986685432260874E-13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350.3652766444938</v>
      </c>
      <c r="CZ172" s="60">
        <f t="shared" si="150"/>
        <v>197.04549436738586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-9.6633812063373625E-13</v>
      </c>
      <c r="DP172" s="18">
        <f>DO172*VLOOKUP('Données projet'!$B$14,Paramètres!$A$1:$I$89,3,0)*VLOOKUP('Données projet'!$B$14,Paramètres!$A$1:$I$89,5,0)</f>
        <v>-1.0401663530501537E-12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376.96388721258387</v>
      </c>
      <c r="DU172" s="60">
        <f t="shared" si="152"/>
        <v>211.14628470344377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-9.6633812063373625E-13</v>
      </c>
      <c r="EK172" s="18">
        <f>EJ172*VLOOKUP('Données projet'!$B$15,Paramètres!$A$1:$I$89,3,0)*VLOOKUP('Données projet'!$B$15,Paramètres!$A$1:$I$89,5,0)</f>
        <v>-9.3464223027694966E-13</v>
      </c>
      <c r="EL172" s="14" t="e">
        <f t="shared" si="179"/>
        <v>#NUM!</v>
      </c>
      <c r="EM172" s="22" t="e">
        <f t="shared" si="180"/>
        <v>#NUM!</v>
      </c>
      <c r="EN172" s="60" t="e">
        <f t="shared" si="128"/>
        <v>#NUM!</v>
      </c>
      <c r="EO172" s="60">
        <f ca="1">AVERAGE(OFFSET($EN$3,0,0,'Données projet'!$E$15+1,1))-AVERAGE(OFFSET($H$3,0,0,'Données projet'!$E$15+1,1))</f>
        <v>330.39429528665841</v>
      </c>
      <c r="EP172" s="60">
        <f t="shared" si="154"/>
        <v>186.45728006007261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8">
        <f t="shared" si="110"/>
        <v>498.96166705451697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-3.3992364478763198E-14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155.11440101086782</v>
      </c>
      <c r="T173" s="60">
        <f t="shared" si="142"/>
        <v>239.53454701506638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0.84352129472870374</v>
      </c>
      <c r="AA173" s="23">
        <f>EXP(-LN(2)/25)*AA172+(1-EXP(-LN(2)/25))/(LN(2)/25)*Calculateur!V173*Calculateur!X173*VLOOKUP('Données projet'!$B$9,Paramètres!$A$1:$I$89,3,0)*0.475*44/12</f>
        <v>0.14931132132303623</v>
      </c>
      <c r="AB173" s="23">
        <f>EXP(-LN(2)/2)*AB172+(1-EXP(-LN(2)/2))/(LN(2)/2)*V173*Y173*VLOOKUP('Données projet'!$B$9,Paramètres!$A$1:$I$89,3,0)*0.475*44/12</f>
        <v>2.4978519440407286E-21</v>
      </c>
      <c r="AC173" s="24">
        <f t="shared" si="163"/>
        <v>0.99283261605174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-3.4106051316484809E-13</v>
      </c>
      <c r="AJ173" s="14">
        <f>AI173*VLOOKUP('Données projet'!$B$10,Paramètres!$A$1:$I$89,3,0)*VLOOKUP('Données projet'!$B$10,Paramètres!$A$1:$I$89,5,0)</f>
        <v>-1.9065282685915009E-13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302.20483575440988</v>
      </c>
      <c r="AO173" s="60">
        <f t="shared" si="144"/>
        <v>275.32862097158687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0.1425400970810414</v>
      </c>
      <c r="AW173" s="23">
        <f>EXP(-LN(2)/2)*AW172+(1-EXP(-LN(2)/2))/(LN(2)/2)*AQ173*AT173*VLOOKUP('Données projet'!$B$10,Paramètres!$A$1:$I$89,3,0)*0.475*44/12</f>
        <v>7.4591625747749429E-21</v>
      </c>
      <c r="AX173" s="23">
        <f t="shared" si="166"/>
        <v>0.1425400970810414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-1.7053025658242404E-13</v>
      </c>
      <c r="BE173" s="14">
        <f>BD173*VLOOKUP('Données projet'!$B$11,Paramètres!$A$1:$I$89,3,0)*VLOOKUP('Données projet'!$B$11,Paramètres!$A$1:$I$89,5,0)</f>
        <v>-1.4897523215040567E-13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314.62110015707839</v>
      </c>
      <c r="BJ173" s="60">
        <f t="shared" si="146"/>
        <v>285.36905470736582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-9.6633812063373625E-13</v>
      </c>
      <c r="BZ173" s="14">
        <f>BY173*VLOOKUP('Données projet'!$B$12,Paramètres!$A$1:$I$89,3,0)*VLOOKUP('Données projet'!$B$12,Paramètres!$A$1:$I$89,5,0)</f>
        <v>-8.7434273154940449E-13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303.73499739059076</v>
      </c>
      <c r="CE173" s="60">
        <f t="shared" si="148"/>
        <v>172.32171001882188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-9.6633812063373625E-13</v>
      </c>
      <c r="CU173" s="18">
        <f>CT173*VLOOKUP('Données projet'!$B$13,Paramètres!$A$1:$I$89,3,0)*VLOOKUP('Données projet'!$B$13,Paramètres!$A$1:$I$89,5,0)</f>
        <v>-9.7986685432260874E-13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350.3652766444938</v>
      </c>
      <c r="CZ173" s="60">
        <f t="shared" si="150"/>
        <v>197.04549436738586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-9.6633812063373625E-13</v>
      </c>
      <c r="DP173" s="18">
        <f>DO173*VLOOKUP('Données projet'!$B$14,Paramètres!$A$1:$I$89,3,0)*VLOOKUP('Données projet'!$B$14,Paramètres!$A$1:$I$89,5,0)</f>
        <v>-1.0401663530501537E-12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376.96388721258387</v>
      </c>
      <c r="DU173" s="60">
        <f t="shared" si="152"/>
        <v>211.14628470344377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-9.6633812063373625E-13</v>
      </c>
      <c r="EK173" s="18">
        <f>EJ173*VLOOKUP('Données projet'!$B$15,Paramètres!$A$1:$I$89,3,0)*VLOOKUP('Données projet'!$B$15,Paramètres!$A$1:$I$89,5,0)</f>
        <v>-9.3464223027694966E-13</v>
      </c>
      <c r="EL173" s="14" t="e">
        <f t="shared" si="179"/>
        <v>#NUM!</v>
      </c>
      <c r="EM173" s="22" t="e">
        <f t="shared" si="180"/>
        <v>#NUM!</v>
      </c>
      <c r="EN173" s="60" t="e">
        <f t="shared" si="128"/>
        <v>#NUM!</v>
      </c>
      <c r="EO173" s="60">
        <f ca="1">AVERAGE(OFFSET($EN$3,0,0,'Données projet'!$E$15+1,1))-AVERAGE(OFFSET($H$3,0,0,'Données projet'!$E$15+1,1))</f>
        <v>330.39429528665841</v>
      </c>
      <c r="EP173" s="60">
        <f t="shared" si="154"/>
        <v>186.45728006007261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8">
        <f t="shared" si="110"/>
        <v>500.1410630733302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-3.3992364478763198E-14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155.11440101086782</v>
      </c>
      <c r="T174" s="60">
        <f t="shared" si="142"/>
        <v>239.53454701506638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0.82698035663626124</v>
      </c>
      <c r="AA174" s="23">
        <f>EXP(-LN(2)/25)*AA173+(1-EXP(-LN(2)/25))/(LN(2)/25)*Calculateur!V174*Calculateur!X174*VLOOKUP('Données projet'!$B$9,Paramètres!$A$1:$I$89,3,0)*0.475*44/12</f>
        <v>0.14522839538951668</v>
      </c>
      <c r="AB174" s="23">
        <f>EXP(-LN(2)/2)*AB173+(1-EXP(-LN(2)/2))/(LN(2)/2)*V174*Y174*VLOOKUP('Données projet'!$B$9,Paramètres!$A$1:$I$89,3,0)*0.475*44/12</f>
        <v>1.7662480480311998E-21</v>
      </c>
      <c r="AC174" s="24">
        <f t="shared" si="163"/>
        <v>0.97220875202577794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-3.4106051316484809E-13</v>
      </c>
      <c r="AJ174" s="14">
        <f>AI174*VLOOKUP('Données projet'!$B$10,Paramètres!$A$1:$I$89,3,0)*VLOOKUP('Données projet'!$B$10,Paramètres!$A$1:$I$89,5,0)</f>
        <v>-1.9065282685915009E-13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302.20483575440988</v>
      </c>
      <c r="AO174" s="60">
        <f t="shared" si="144"/>
        <v>275.32862097158687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0.13864233063050241</v>
      </c>
      <c r="AW174" s="23">
        <f>EXP(-LN(2)/2)*AW173+(1-EXP(-LN(2)/2))/(LN(2)/2)*AQ174*AT174*VLOOKUP('Données projet'!$B$10,Paramètres!$A$1:$I$89,3,0)*0.475*44/12</f>
        <v>5.27442443859627E-21</v>
      </c>
      <c r="AX174" s="23">
        <f t="shared" si="166"/>
        <v>0.13864233063050241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-1.7053025658242404E-13</v>
      </c>
      <c r="BE174" s="14">
        <f>BD174*VLOOKUP('Données projet'!$B$11,Paramètres!$A$1:$I$89,3,0)*VLOOKUP('Données projet'!$B$11,Paramètres!$A$1:$I$89,5,0)</f>
        <v>-1.4897523215040567E-13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314.62110015707839</v>
      </c>
      <c r="BJ174" s="60">
        <f t="shared" si="146"/>
        <v>285.36905470736582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-9.6633812063373625E-13</v>
      </c>
      <c r="BZ174" s="14">
        <f>BY174*VLOOKUP('Données projet'!$B$12,Paramètres!$A$1:$I$89,3,0)*VLOOKUP('Données projet'!$B$12,Paramètres!$A$1:$I$89,5,0)</f>
        <v>-8.7434273154940449E-13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303.73499739059076</v>
      </c>
      <c r="CE174" s="60">
        <f t="shared" si="148"/>
        <v>172.32171001882188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-9.6633812063373625E-13</v>
      </c>
      <c r="CU174" s="18">
        <f>CT174*VLOOKUP('Données projet'!$B$13,Paramètres!$A$1:$I$89,3,0)*VLOOKUP('Données projet'!$B$13,Paramètres!$A$1:$I$89,5,0)</f>
        <v>-9.7986685432260874E-13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350.3652766444938</v>
      </c>
      <c r="CZ174" s="60">
        <f t="shared" si="150"/>
        <v>197.04549436738586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-9.6633812063373625E-13</v>
      </c>
      <c r="DP174" s="18">
        <f>DO174*VLOOKUP('Données projet'!$B$14,Paramètres!$A$1:$I$89,3,0)*VLOOKUP('Données projet'!$B$14,Paramètres!$A$1:$I$89,5,0)</f>
        <v>-1.0401663530501537E-12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376.96388721258387</v>
      </c>
      <c r="DU174" s="60">
        <f t="shared" si="152"/>
        <v>211.14628470344377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-9.6633812063373625E-13</v>
      </c>
      <c r="EK174" s="18">
        <f>EJ174*VLOOKUP('Données projet'!$B$15,Paramètres!$A$1:$I$89,3,0)*VLOOKUP('Données projet'!$B$15,Paramètres!$A$1:$I$89,5,0)</f>
        <v>-9.3464223027694966E-13</v>
      </c>
      <c r="EL174" s="14" t="e">
        <f t="shared" si="179"/>
        <v>#NUM!</v>
      </c>
      <c r="EM174" s="22" t="e">
        <f t="shared" si="180"/>
        <v>#NUM!</v>
      </c>
      <c r="EN174" s="60" t="e">
        <f t="shared" si="128"/>
        <v>#NUM!</v>
      </c>
      <c r="EO174" s="60">
        <f ca="1">AVERAGE(OFFSET($EN$3,0,0,'Données projet'!$E$15+1,1))-AVERAGE(OFFSET($H$3,0,0,'Données projet'!$E$15+1,1))</f>
        <v>330.39429528665841</v>
      </c>
      <c r="EP174" s="60">
        <f t="shared" si="154"/>
        <v>186.45728006007261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8">
        <f t="shared" si="110"/>
        <v>501.32030364051411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-3.3992364478763198E-14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155.11440101086782</v>
      </c>
      <c r="T175" s="60">
        <f t="shared" si="142"/>
        <v>239.53454701506638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0.81076377625083551</v>
      </c>
      <c r="AA175" s="23">
        <f>EXP(-LN(2)/25)*AA174+(1-EXP(-LN(2)/25))/(LN(2)/25)*Calculateur!V175*Calculateur!X175*VLOOKUP('Données projet'!$B$9,Paramètres!$A$1:$I$89,3,0)*0.475*44/12</f>
        <v>0.14125711728036094</v>
      </c>
      <c r="AB175" s="23">
        <f>EXP(-LN(2)/2)*AB174+(1-EXP(-LN(2)/2))/(LN(2)/2)*V175*Y175*VLOOKUP('Données projet'!$B$9,Paramètres!$A$1:$I$89,3,0)*0.475*44/12</f>
        <v>1.2489259720203643E-21</v>
      </c>
      <c r="AC175" s="24">
        <f t="shared" si="163"/>
        <v>0.95202089353119645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-3.4106051316484809E-13</v>
      </c>
      <c r="AJ175" s="14">
        <f>AI175*VLOOKUP('Données projet'!$B$10,Paramètres!$A$1:$I$89,3,0)*VLOOKUP('Données projet'!$B$10,Paramètres!$A$1:$I$89,5,0)</f>
        <v>-1.9065282685915009E-13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302.20483575440988</v>
      </c>
      <c r="AO175" s="60">
        <f t="shared" si="144"/>
        <v>275.32862097158687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0.13485114880852803</v>
      </c>
      <c r="AW175" s="23">
        <f>EXP(-LN(2)/2)*AW174+(1-EXP(-LN(2)/2))/(LN(2)/2)*AQ175*AT175*VLOOKUP('Données projet'!$B$10,Paramètres!$A$1:$I$89,3,0)*0.475*44/12</f>
        <v>3.7295812873874714E-21</v>
      </c>
      <c r="AX175" s="23">
        <f t="shared" si="166"/>
        <v>0.13485114880852803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-1.7053025658242404E-13</v>
      </c>
      <c r="BE175" s="14">
        <f>BD175*VLOOKUP('Données projet'!$B$11,Paramètres!$A$1:$I$89,3,0)*VLOOKUP('Données projet'!$B$11,Paramètres!$A$1:$I$89,5,0)</f>
        <v>-1.4897523215040567E-13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314.62110015707839</v>
      </c>
      <c r="BJ175" s="60">
        <f t="shared" si="146"/>
        <v>285.36905470736582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-9.6633812063373625E-13</v>
      </c>
      <c r="BZ175" s="14">
        <f>BY175*VLOOKUP('Données projet'!$B$12,Paramètres!$A$1:$I$89,3,0)*VLOOKUP('Données projet'!$B$12,Paramètres!$A$1:$I$89,5,0)</f>
        <v>-8.7434273154940449E-13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303.73499739059076</v>
      </c>
      <c r="CE175" s="60">
        <f t="shared" si="148"/>
        <v>172.32171001882188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-9.6633812063373625E-13</v>
      </c>
      <c r="CU175" s="18">
        <f>CT175*VLOOKUP('Données projet'!$B$13,Paramètres!$A$1:$I$89,3,0)*VLOOKUP('Données projet'!$B$13,Paramètres!$A$1:$I$89,5,0)</f>
        <v>-9.7986685432260874E-13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350.3652766444938</v>
      </c>
      <c r="CZ175" s="60">
        <f t="shared" si="150"/>
        <v>197.04549436738586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-9.6633812063373625E-13</v>
      </c>
      <c r="DP175" s="18">
        <f>DO175*VLOOKUP('Données projet'!$B$14,Paramètres!$A$1:$I$89,3,0)*VLOOKUP('Données projet'!$B$14,Paramètres!$A$1:$I$89,5,0)</f>
        <v>-1.0401663530501537E-12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376.96388721258387</v>
      </c>
      <c r="DU175" s="60">
        <f t="shared" si="152"/>
        <v>211.14628470344377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-9.6633812063373625E-13</v>
      </c>
      <c r="EK175" s="18">
        <f>EJ175*VLOOKUP('Données projet'!$B$15,Paramètres!$A$1:$I$89,3,0)*VLOOKUP('Données projet'!$B$15,Paramètres!$A$1:$I$89,5,0)</f>
        <v>-9.3464223027694966E-13</v>
      </c>
      <c r="EL175" s="14" t="e">
        <f t="shared" si="179"/>
        <v>#NUM!</v>
      </c>
      <c r="EM175" s="22" t="e">
        <f t="shared" si="180"/>
        <v>#NUM!</v>
      </c>
      <c r="EN175" s="60" t="e">
        <f t="shared" si="128"/>
        <v>#NUM!</v>
      </c>
      <c r="EO175" s="60">
        <f ca="1">AVERAGE(OFFSET($EN$3,0,0,'Données projet'!$E$15+1,1))-AVERAGE(OFFSET($H$3,0,0,'Données projet'!$E$15+1,1))</f>
        <v>330.39429528665841</v>
      </c>
      <c r="EP175" s="60">
        <f t="shared" si="154"/>
        <v>186.45728006007261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8">
        <f t="shared" si="110"/>
        <v>502.49938976472833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-3.3992364478763198E-14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155.11440101086782</v>
      </c>
      <c r="T176" s="60">
        <f t="shared" si="142"/>
        <v>239.53454701506638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0.79486519311563064</v>
      </c>
      <c r="AA176" s="23">
        <f>EXP(-LN(2)/25)*AA175+(1-EXP(-LN(2)/25))/(LN(2)/25)*Calculateur!V176*Calculateur!X176*VLOOKUP('Données projet'!$B$9,Paramètres!$A$1:$I$89,3,0)*0.475*44/12</f>
        <v>0.13739443397994053</v>
      </c>
      <c r="AB176" s="23">
        <f>EXP(-LN(2)/2)*AB175+(1-EXP(-LN(2)/2))/(LN(2)/2)*V176*Y176*VLOOKUP('Données projet'!$B$9,Paramètres!$A$1:$I$89,3,0)*0.475*44/12</f>
        <v>8.8312402401559989E-22</v>
      </c>
      <c r="AC176" s="24">
        <f t="shared" si="163"/>
        <v>0.9322596270955712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-3.4106051316484809E-13</v>
      </c>
      <c r="AJ176" s="14">
        <f>AI176*VLOOKUP('Données projet'!$B$10,Paramètres!$A$1:$I$89,3,0)*VLOOKUP('Données projet'!$B$10,Paramètres!$A$1:$I$89,5,0)</f>
        <v>-1.9065282685915009E-13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302.20483575440988</v>
      </c>
      <c r="AO176" s="60">
        <f t="shared" si="144"/>
        <v>275.32862097158687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0.13116363705284512</v>
      </c>
      <c r="AW176" s="23">
        <f>EXP(-LN(2)/2)*AW175+(1-EXP(-LN(2)/2))/(LN(2)/2)*AQ176*AT176*VLOOKUP('Données projet'!$B$10,Paramètres!$A$1:$I$89,3,0)*0.475*44/12</f>
        <v>2.637212219298135E-21</v>
      </c>
      <c r="AX176" s="23">
        <f t="shared" si="166"/>
        <v>0.13116363705284512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-1.7053025658242404E-13</v>
      </c>
      <c r="BE176" s="14">
        <f>BD176*VLOOKUP('Données projet'!$B$11,Paramètres!$A$1:$I$89,3,0)*VLOOKUP('Données projet'!$B$11,Paramètres!$A$1:$I$89,5,0)</f>
        <v>-1.4897523215040567E-13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314.62110015707839</v>
      </c>
      <c r="BJ176" s="60">
        <f t="shared" si="146"/>
        <v>285.36905470736582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-9.6633812063373625E-13</v>
      </c>
      <c r="BZ176" s="14">
        <f>BY176*VLOOKUP('Données projet'!$B$12,Paramètres!$A$1:$I$89,3,0)*VLOOKUP('Données projet'!$B$12,Paramètres!$A$1:$I$89,5,0)</f>
        <v>-8.7434273154940449E-13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303.73499739059076</v>
      </c>
      <c r="CE176" s="60">
        <f t="shared" si="148"/>
        <v>172.32171001882188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-9.6633812063373625E-13</v>
      </c>
      <c r="CU176" s="18">
        <f>CT176*VLOOKUP('Données projet'!$B$13,Paramètres!$A$1:$I$89,3,0)*VLOOKUP('Données projet'!$B$13,Paramètres!$A$1:$I$89,5,0)</f>
        <v>-9.7986685432260874E-13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350.3652766444938</v>
      </c>
      <c r="CZ176" s="60">
        <f t="shared" si="150"/>
        <v>197.04549436738586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-9.6633812063373625E-13</v>
      </c>
      <c r="DP176" s="18">
        <f>DO176*VLOOKUP('Données projet'!$B$14,Paramètres!$A$1:$I$89,3,0)*VLOOKUP('Données projet'!$B$14,Paramètres!$A$1:$I$89,5,0)</f>
        <v>-1.0401663530501537E-12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376.96388721258387</v>
      </c>
      <c r="DU176" s="60">
        <f t="shared" si="152"/>
        <v>211.14628470344377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-9.6633812063373625E-13</v>
      </c>
      <c r="EK176" s="18">
        <f>EJ176*VLOOKUP('Données projet'!$B$15,Paramètres!$A$1:$I$89,3,0)*VLOOKUP('Données projet'!$B$15,Paramètres!$A$1:$I$89,5,0)</f>
        <v>-9.3464223027694966E-13</v>
      </c>
      <c r="EL176" s="14" t="e">
        <f t="shared" si="179"/>
        <v>#NUM!</v>
      </c>
      <c r="EM176" s="22" t="e">
        <f t="shared" si="180"/>
        <v>#NUM!</v>
      </c>
      <c r="EN176" s="60" t="e">
        <f t="shared" si="128"/>
        <v>#NUM!</v>
      </c>
      <c r="EO176" s="60">
        <f ca="1">AVERAGE(OFFSET($EN$3,0,0,'Données projet'!$E$15+1,1))-AVERAGE(OFFSET($H$3,0,0,'Données projet'!$E$15+1,1))</f>
        <v>330.39429528665841</v>
      </c>
      <c r="EP176" s="60">
        <f t="shared" si="154"/>
        <v>186.45728006007261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8">
        <f t="shared" si="110"/>
        <v>503.67832244229692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-3.3992364478763198E-14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155.11440101086782</v>
      </c>
      <c r="T177" s="60">
        <f t="shared" si="142"/>
        <v>239.53454701506638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0.77927837149852897</v>
      </c>
      <c r="AA177" s="23">
        <f>EXP(-LN(2)/25)*AA176+(1-EXP(-LN(2)/25))/(LN(2)/25)*Calculateur!V177*Calculateur!X177*VLOOKUP('Données projet'!$B$9,Paramètres!$A$1:$I$89,3,0)*0.475*44/12</f>
        <v>0.13363737595749978</v>
      </c>
      <c r="AB177" s="23">
        <f>EXP(-LN(2)/2)*AB176+(1-EXP(-LN(2)/2))/(LN(2)/2)*V177*Y177*VLOOKUP('Données projet'!$B$9,Paramètres!$A$1:$I$89,3,0)*0.475*44/12</f>
        <v>6.2446298601018215E-22</v>
      </c>
      <c r="AC177" s="24">
        <f t="shared" si="163"/>
        <v>0.91291574745602877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-3.4106051316484809E-13</v>
      </c>
      <c r="AJ177" s="14">
        <f>AI177*VLOOKUP('Données projet'!$B$10,Paramètres!$A$1:$I$89,3,0)*VLOOKUP('Données projet'!$B$10,Paramètres!$A$1:$I$89,5,0)</f>
        <v>-1.9065282685915009E-13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302.20483575440988</v>
      </c>
      <c r="AO177" s="60">
        <f t="shared" si="144"/>
        <v>275.32862097158687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0.12757696050003917</v>
      </c>
      <c r="AW177" s="23">
        <f>EXP(-LN(2)/2)*AW176+(1-EXP(-LN(2)/2))/(LN(2)/2)*AQ177*AT177*VLOOKUP('Données projet'!$B$10,Paramètres!$A$1:$I$89,3,0)*0.475*44/12</f>
        <v>1.8647906436937357E-21</v>
      </c>
      <c r="AX177" s="23">
        <f t="shared" si="166"/>
        <v>0.12757696050003917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-1.7053025658242404E-13</v>
      </c>
      <c r="BE177" s="14">
        <f>BD177*VLOOKUP('Données projet'!$B$11,Paramètres!$A$1:$I$89,3,0)*VLOOKUP('Données projet'!$B$11,Paramètres!$A$1:$I$89,5,0)</f>
        <v>-1.4897523215040567E-13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314.62110015707839</v>
      </c>
      <c r="BJ177" s="60">
        <f t="shared" si="146"/>
        <v>285.36905470736582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-9.6633812063373625E-13</v>
      </c>
      <c r="BZ177" s="14">
        <f>BY177*VLOOKUP('Données projet'!$B$12,Paramètres!$A$1:$I$89,3,0)*VLOOKUP('Données projet'!$B$12,Paramètres!$A$1:$I$89,5,0)</f>
        <v>-8.7434273154940449E-13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303.73499739059076</v>
      </c>
      <c r="CE177" s="60">
        <f t="shared" si="148"/>
        <v>172.32171001882188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-9.6633812063373625E-13</v>
      </c>
      <c r="CU177" s="18">
        <f>CT177*VLOOKUP('Données projet'!$B$13,Paramètres!$A$1:$I$89,3,0)*VLOOKUP('Données projet'!$B$13,Paramètres!$A$1:$I$89,5,0)</f>
        <v>-9.7986685432260874E-13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350.3652766444938</v>
      </c>
      <c r="CZ177" s="60">
        <f t="shared" si="150"/>
        <v>197.04549436738586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-9.6633812063373625E-13</v>
      </c>
      <c r="DP177" s="18">
        <f>DO177*VLOOKUP('Données projet'!$B$14,Paramètres!$A$1:$I$89,3,0)*VLOOKUP('Données projet'!$B$14,Paramètres!$A$1:$I$89,5,0)</f>
        <v>-1.0401663530501537E-12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376.96388721258387</v>
      </c>
      <c r="DU177" s="60">
        <f t="shared" si="152"/>
        <v>211.14628470344377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-9.6633812063373625E-13</v>
      </c>
      <c r="EK177" s="18">
        <f>EJ177*VLOOKUP('Données projet'!$B$15,Paramètres!$A$1:$I$89,3,0)*VLOOKUP('Données projet'!$B$15,Paramètres!$A$1:$I$89,5,0)</f>
        <v>-9.3464223027694966E-13</v>
      </c>
      <c r="EL177" s="14" t="e">
        <f t="shared" si="179"/>
        <v>#NUM!</v>
      </c>
      <c r="EM177" s="22" t="e">
        <f t="shared" si="180"/>
        <v>#NUM!</v>
      </c>
      <c r="EN177" s="60" t="e">
        <f t="shared" si="128"/>
        <v>#NUM!</v>
      </c>
      <c r="EO177" s="60">
        <f ca="1">AVERAGE(OFFSET($EN$3,0,0,'Données projet'!$E$15+1,1))-AVERAGE(OFFSET($H$3,0,0,'Données projet'!$E$15+1,1))</f>
        <v>330.39429528665841</v>
      </c>
      <c r="EP177" s="60">
        <f t="shared" si="154"/>
        <v>186.45728006007261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8">
        <f t="shared" si="110"/>
        <v>504.85710265742932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-3.3992364478763198E-14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155.11440101086782</v>
      </c>
      <c r="T178" s="60">
        <f t="shared" si="142"/>
        <v>239.53454701506638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0.76399719794631615</v>
      </c>
      <c r="AA178" s="23">
        <f>EXP(-LN(2)/25)*AA177+(1-EXP(-LN(2)/25))/(LN(2)/25)*Calculateur!V178*Calculateur!X178*VLOOKUP('Données projet'!$B$9,Paramètres!$A$1:$I$89,3,0)*0.475*44/12</f>
        <v>0.12998305488425776</v>
      </c>
      <c r="AB178" s="23">
        <f>EXP(-LN(2)/2)*AB177+(1-EXP(-LN(2)/2))/(LN(2)/2)*V178*Y178*VLOOKUP('Données projet'!$B$9,Paramètres!$A$1:$I$89,3,0)*0.475*44/12</f>
        <v>4.4156201200779994E-22</v>
      </c>
      <c r="AC178" s="24">
        <f t="shared" si="163"/>
        <v>0.89398025283057392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-3.4106051316484809E-13</v>
      </c>
      <c r="AJ178" s="14">
        <f>AI178*VLOOKUP('Données projet'!$B$10,Paramètres!$A$1:$I$89,3,0)*VLOOKUP('Données projet'!$B$10,Paramètres!$A$1:$I$89,5,0)</f>
        <v>-1.9065282685915009E-13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302.20483575440988</v>
      </c>
      <c r="AO178" s="60">
        <f t="shared" si="144"/>
        <v>275.32862097158687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0.12408836180618482</v>
      </c>
      <c r="AW178" s="23">
        <f>EXP(-LN(2)/2)*AW177+(1-EXP(-LN(2)/2))/(LN(2)/2)*AQ178*AT178*VLOOKUP('Données projet'!$B$10,Paramètres!$A$1:$I$89,3,0)*0.475*44/12</f>
        <v>1.3186061096490675E-21</v>
      </c>
      <c r="AX178" s="23">
        <f t="shared" si="166"/>
        <v>0.12408836180618482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-1.7053025658242404E-13</v>
      </c>
      <c r="BE178" s="14">
        <f>BD178*VLOOKUP('Données projet'!$B$11,Paramètres!$A$1:$I$89,3,0)*VLOOKUP('Données projet'!$B$11,Paramètres!$A$1:$I$89,5,0)</f>
        <v>-1.4897523215040567E-13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314.62110015707839</v>
      </c>
      <c r="BJ178" s="60">
        <f t="shared" si="146"/>
        <v>285.36905470736582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-9.6633812063373625E-13</v>
      </c>
      <c r="BZ178" s="14">
        <f>BY178*VLOOKUP('Données projet'!$B$12,Paramètres!$A$1:$I$89,3,0)*VLOOKUP('Données projet'!$B$12,Paramètres!$A$1:$I$89,5,0)</f>
        <v>-8.7434273154940449E-13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303.73499739059076</v>
      </c>
      <c r="CE178" s="60">
        <f t="shared" si="148"/>
        <v>172.32171001882188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-9.6633812063373625E-13</v>
      </c>
      <c r="CU178" s="18">
        <f>CT178*VLOOKUP('Données projet'!$B$13,Paramètres!$A$1:$I$89,3,0)*VLOOKUP('Données projet'!$B$13,Paramètres!$A$1:$I$89,5,0)</f>
        <v>-9.7986685432260874E-13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350.3652766444938</v>
      </c>
      <c r="CZ178" s="60">
        <f t="shared" si="150"/>
        <v>197.04549436738586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-9.6633812063373625E-13</v>
      </c>
      <c r="DP178" s="18">
        <f>DO178*VLOOKUP('Données projet'!$B$14,Paramètres!$A$1:$I$89,3,0)*VLOOKUP('Données projet'!$B$14,Paramètres!$A$1:$I$89,5,0)</f>
        <v>-1.0401663530501537E-12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376.96388721258387</v>
      </c>
      <c r="DU178" s="60">
        <f t="shared" si="152"/>
        <v>211.14628470344377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-9.6633812063373625E-13</v>
      </c>
      <c r="EK178" s="18">
        <f>EJ178*VLOOKUP('Données projet'!$B$15,Paramètres!$A$1:$I$89,3,0)*VLOOKUP('Données projet'!$B$15,Paramètres!$A$1:$I$89,5,0)</f>
        <v>-9.3464223027694966E-13</v>
      </c>
      <c r="EL178" s="14" t="e">
        <f t="shared" si="179"/>
        <v>#NUM!</v>
      </c>
      <c r="EM178" s="22" t="e">
        <f t="shared" si="180"/>
        <v>#NUM!</v>
      </c>
      <c r="EN178" s="60" t="e">
        <f t="shared" si="128"/>
        <v>#NUM!</v>
      </c>
      <c r="EO178" s="60">
        <f ca="1">AVERAGE(OFFSET($EN$3,0,0,'Données projet'!$E$15+1,1))-AVERAGE(OFFSET($H$3,0,0,'Données projet'!$E$15+1,1))</f>
        <v>330.39429528665841</v>
      </c>
      <c r="EP178" s="60">
        <f t="shared" si="154"/>
        <v>186.45728006007261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8">
        <f t="shared" si="110"/>
        <v>506.03573138243593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-3.3992364478763198E-14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155.11440101086782</v>
      </c>
      <c r="T179" s="60">
        <f t="shared" si="142"/>
        <v>239.53454701506638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0.74901567888686671</v>
      </c>
      <c r="AA179" s="23">
        <f>EXP(-LN(2)/25)*AA178+(1-EXP(-LN(2)/25))/(LN(2)/25)*Calculateur!V179*Calculateur!X179*VLOOKUP('Données projet'!$B$9,Paramètres!$A$1:$I$89,3,0)*0.475*44/12</f>
        <v>0.12642866141293596</v>
      </c>
      <c r="AB179" s="23">
        <f>EXP(-LN(2)/2)*AB178+(1-EXP(-LN(2)/2))/(LN(2)/2)*V179*Y179*VLOOKUP('Données projet'!$B$9,Paramètres!$A$1:$I$89,3,0)*0.475*44/12</f>
        <v>3.1223149300509107E-22</v>
      </c>
      <c r="AC179" s="24">
        <f t="shared" si="163"/>
        <v>0.87544434029980267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-3.4106051316484809E-13</v>
      </c>
      <c r="AJ179" s="14">
        <f>AI179*VLOOKUP('Données projet'!$B$10,Paramètres!$A$1:$I$89,3,0)*VLOOKUP('Données projet'!$B$10,Paramètres!$A$1:$I$89,5,0)</f>
        <v>-1.9065282685915009E-13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302.20483575440988</v>
      </c>
      <c r="AO179" s="60">
        <f t="shared" si="144"/>
        <v>275.32862097158687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0.12069515902707136</v>
      </c>
      <c r="AW179" s="23">
        <f>EXP(-LN(2)/2)*AW178+(1-EXP(-LN(2)/2))/(LN(2)/2)*AQ179*AT179*VLOOKUP('Données projet'!$B$10,Paramètres!$A$1:$I$89,3,0)*0.475*44/12</f>
        <v>9.3239532184686786E-22</v>
      </c>
      <c r="AX179" s="23">
        <f t="shared" si="166"/>
        <v>0.12069515902707136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-1.7053025658242404E-13</v>
      </c>
      <c r="BE179" s="14">
        <f>BD179*VLOOKUP('Données projet'!$B$11,Paramètres!$A$1:$I$89,3,0)*VLOOKUP('Données projet'!$B$11,Paramètres!$A$1:$I$89,5,0)</f>
        <v>-1.4897523215040567E-13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314.62110015707839</v>
      </c>
      <c r="BJ179" s="60">
        <f t="shared" si="146"/>
        <v>285.36905470736582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-9.6633812063373625E-13</v>
      </c>
      <c r="BZ179" s="14">
        <f>BY179*VLOOKUP('Données projet'!$B$12,Paramètres!$A$1:$I$89,3,0)*VLOOKUP('Données projet'!$B$12,Paramètres!$A$1:$I$89,5,0)</f>
        <v>-8.7434273154940449E-13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303.73499739059076</v>
      </c>
      <c r="CE179" s="60">
        <f t="shared" si="148"/>
        <v>172.32171001882188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-9.6633812063373625E-13</v>
      </c>
      <c r="CU179" s="18">
        <f>CT179*VLOOKUP('Données projet'!$B$13,Paramètres!$A$1:$I$89,3,0)*VLOOKUP('Données projet'!$B$13,Paramètres!$A$1:$I$89,5,0)</f>
        <v>-9.7986685432260874E-13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350.3652766444938</v>
      </c>
      <c r="CZ179" s="60">
        <f t="shared" si="150"/>
        <v>197.04549436738586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-9.6633812063373625E-13</v>
      </c>
      <c r="DP179" s="18">
        <f>DO179*VLOOKUP('Données projet'!$B$14,Paramètres!$A$1:$I$89,3,0)*VLOOKUP('Données projet'!$B$14,Paramètres!$A$1:$I$89,5,0)</f>
        <v>-1.0401663530501537E-12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376.96388721258387</v>
      </c>
      <c r="DU179" s="60">
        <f t="shared" si="152"/>
        <v>211.14628470344377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-9.6633812063373625E-13</v>
      </c>
      <c r="EK179" s="18">
        <f>EJ179*VLOOKUP('Données projet'!$B$15,Paramètres!$A$1:$I$89,3,0)*VLOOKUP('Données projet'!$B$15,Paramètres!$A$1:$I$89,5,0)</f>
        <v>-9.3464223027694966E-13</v>
      </c>
      <c r="EL179" s="14" t="e">
        <f t="shared" si="179"/>
        <v>#NUM!</v>
      </c>
      <c r="EM179" s="22" t="e">
        <f t="shared" si="180"/>
        <v>#NUM!</v>
      </c>
      <c r="EN179" s="60" t="e">
        <f t="shared" si="128"/>
        <v>#NUM!</v>
      </c>
      <c r="EO179" s="60">
        <f ca="1">AVERAGE(OFFSET($EN$3,0,0,'Données projet'!$E$15+1,1))-AVERAGE(OFFSET($H$3,0,0,'Données projet'!$E$15+1,1))</f>
        <v>330.39429528665841</v>
      </c>
      <c r="EP179" s="60">
        <f t="shared" si="154"/>
        <v>186.45728006007261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8">
        <f t="shared" si="110"/>
        <v>507.21420957793879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-3.3992364478763198E-14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155.11440101086782</v>
      </c>
      <c r="T180" s="60">
        <f t="shared" si="142"/>
        <v>239.53454701506638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0.73432793827834875</v>
      </c>
      <c r="AA180" s="23">
        <f>EXP(-LN(2)/25)*AA179+(1-EXP(-LN(2)/25))/(LN(2)/25)*Calculateur!V180*Calculateur!X180*VLOOKUP('Données projet'!$B$9,Paramètres!$A$1:$I$89,3,0)*0.475*44/12</f>
        <v>0.12297146301800488</v>
      </c>
      <c r="AB180" s="23">
        <f>EXP(-LN(2)/2)*AB179+(1-EXP(-LN(2)/2))/(LN(2)/2)*V180*Y180*VLOOKUP('Données projet'!$B$9,Paramètres!$A$1:$I$89,3,0)*0.475*44/12</f>
        <v>2.2078100600389997E-22</v>
      </c>
      <c r="AC180" s="24">
        <f t="shared" si="163"/>
        <v>0.85729940129635362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-3.4106051316484809E-13</v>
      </c>
      <c r="AJ180" s="14">
        <f>AI180*VLOOKUP('Données projet'!$B$10,Paramètres!$A$1:$I$89,3,0)*VLOOKUP('Données projet'!$B$10,Paramètres!$A$1:$I$89,5,0)</f>
        <v>-1.9065282685915009E-13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302.20483575440988</v>
      </c>
      <c r="AO180" s="60">
        <f t="shared" si="144"/>
        <v>275.32862097158687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0.11739474355639352</v>
      </c>
      <c r="AW180" s="23">
        <f>EXP(-LN(2)/2)*AW179+(1-EXP(-LN(2)/2))/(LN(2)/2)*AQ180*AT180*VLOOKUP('Données projet'!$B$10,Paramètres!$A$1:$I$89,3,0)*0.475*44/12</f>
        <v>6.5930305482453375E-22</v>
      </c>
      <c r="AX180" s="23">
        <f t="shared" si="166"/>
        <v>0.11739474355639352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-1.7053025658242404E-13</v>
      </c>
      <c r="BE180" s="14">
        <f>BD180*VLOOKUP('Données projet'!$B$11,Paramètres!$A$1:$I$89,3,0)*VLOOKUP('Données projet'!$B$11,Paramètres!$A$1:$I$89,5,0)</f>
        <v>-1.4897523215040567E-13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314.62110015707839</v>
      </c>
      <c r="BJ180" s="60">
        <f t="shared" si="146"/>
        <v>285.36905470736582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-9.6633812063373625E-13</v>
      </c>
      <c r="BZ180" s="14">
        <f>BY180*VLOOKUP('Données projet'!$B$12,Paramètres!$A$1:$I$89,3,0)*VLOOKUP('Données projet'!$B$12,Paramètres!$A$1:$I$89,5,0)</f>
        <v>-8.7434273154940449E-13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303.73499739059076</v>
      </c>
      <c r="CE180" s="60">
        <f t="shared" si="148"/>
        <v>172.32171001882188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-9.6633812063373625E-13</v>
      </c>
      <c r="CU180" s="18">
        <f>CT180*VLOOKUP('Données projet'!$B$13,Paramètres!$A$1:$I$89,3,0)*VLOOKUP('Données projet'!$B$13,Paramètres!$A$1:$I$89,5,0)</f>
        <v>-9.7986685432260874E-13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350.3652766444938</v>
      </c>
      <c r="CZ180" s="60">
        <f t="shared" si="150"/>
        <v>197.04549436738586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-9.6633812063373625E-13</v>
      </c>
      <c r="DP180" s="18">
        <f>DO180*VLOOKUP('Données projet'!$B$14,Paramètres!$A$1:$I$89,3,0)*VLOOKUP('Données projet'!$B$14,Paramètres!$A$1:$I$89,5,0)</f>
        <v>-1.0401663530501537E-12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376.96388721258387</v>
      </c>
      <c r="DU180" s="60">
        <f t="shared" si="152"/>
        <v>211.14628470344377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-9.6633812063373625E-13</v>
      </c>
      <c r="EK180" s="18">
        <f>EJ180*VLOOKUP('Données projet'!$B$15,Paramètres!$A$1:$I$89,3,0)*VLOOKUP('Données projet'!$B$15,Paramètres!$A$1:$I$89,5,0)</f>
        <v>-9.3464223027694966E-13</v>
      </c>
      <c r="EL180" s="14" t="e">
        <f t="shared" si="179"/>
        <v>#NUM!</v>
      </c>
      <c r="EM180" s="22" t="e">
        <f t="shared" si="180"/>
        <v>#NUM!</v>
      </c>
      <c r="EN180" s="60" t="e">
        <f t="shared" si="128"/>
        <v>#NUM!</v>
      </c>
      <c r="EO180" s="60">
        <f ca="1">AVERAGE(OFFSET($EN$3,0,0,'Données projet'!$E$15+1,1))-AVERAGE(OFFSET($H$3,0,0,'Données projet'!$E$15+1,1))</f>
        <v>330.39429528665841</v>
      </c>
      <c r="EP180" s="60">
        <f t="shared" si="154"/>
        <v>186.45728006007261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8">
        <f t="shared" si="110"/>
        <v>508.39253819307743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-3.3992364478763198E-14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155.11440101086782</v>
      </c>
      <c r="T181" s="60">
        <f t="shared" si="142"/>
        <v>239.53454701506638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0.71992821530452666</v>
      </c>
      <c r="AA181" s="23">
        <f>EXP(-LN(2)/25)*AA180+(1-EXP(-LN(2)/25))/(LN(2)/25)*Calculateur!V181*Calculateur!X181*VLOOKUP('Données projet'!$B$9,Paramètres!$A$1:$I$89,3,0)*0.475*44/12</f>
        <v>0.11960880189498935</v>
      </c>
      <c r="AB181" s="23">
        <f>EXP(-LN(2)/2)*AB180+(1-EXP(-LN(2)/2))/(LN(2)/2)*V181*Y181*VLOOKUP('Données projet'!$B$9,Paramètres!$A$1:$I$89,3,0)*0.475*44/12</f>
        <v>1.5611574650254554E-22</v>
      </c>
      <c r="AC181" s="24">
        <f t="shared" si="163"/>
        <v>0.83953701719951601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-3.4106051316484809E-13</v>
      </c>
      <c r="AJ181" s="14">
        <f>AI181*VLOOKUP('Données projet'!$B$10,Paramètres!$A$1:$I$89,3,0)*VLOOKUP('Données projet'!$B$10,Paramètres!$A$1:$I$89,5,0)</f>
        <v>-1.9065282685915009E-13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302.20483575440988</v>
      </c>
      <c r="AO181" s="60">
        <f t="shared" si="144"/>
        <v>275.32862097158687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0.11418457812032269</v>
      </c>
      <c r="AW181" s="23">
        <f>EXP(-LN(2)/2)*AW180+(1-EXP(-LN(2)/2))/(LN(2)/2)*AQ181*AT181*VLOOKUP('Données projet'!$B$10,Paramètres!$A$1:$I$89,3,0)*0.475*44/12</f>
        <v>4.6619766092343393E-22</v>
      </c>
      <c r="AX181" s="23">
        <f t="shared" si="166"/>
        <v>0.11418457812032269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-1.7053025658242404E-13</v>
      </c>
      <c r="BE181" s="14">
        <f>BD181*VLOOKUP('Données projet'!$B$11,Paramètres!$A$1:$I$89,3,0)*VLOOKUP('Données projet'!$B$11,Paramètres!$A$1:$I$89,5,0)</f>
        <v>-1.4897523215040567E-13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314.62110015707839</v>
      </c>
      <c r="BJ181" s="60">
        <f t="shared" si="146"/>
        <v>285.36905470736582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-9.6633812063373625E-13</v>
      </c>
      <c r="BZ181" s="14">
        <f>BY181*VLOOKUP('Données projet'!$B$12,Paramètres!$A$1:$I$89,3,0)*VLOOKUP('Données projet'!$B$12,Paramètres!$A$1:$I$89,5,0)</f>
        <v>-8.7434273154940449E-13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303.73499739059076</v>
      </c>
      <c r="CE181" s="60">
        <f t="shared" si="148"/>
        <v>172.32171001882188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-9.6633812063373625E-13</v>
      </c>
      <c r="CU181" s="18">
        <f>CT181*VLOOKUP('Données projet'!$B$13,Paramètres!$A$1:$I$89,3,0)*VLOOKUP('Données projet'!$B$13,Paramètres!$A$1:$I$89,5,0)</f>
        <v>-9.7986685432260874E-13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350.3652766444938</v>
      </c>
      <c r="CZ181" s="60">
        <f t="shared" si="150"/>
        <v>197.04549436738586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-9.6633812063373625E-13</v>
      </c>
      <c r="DP181" s="18">
        <f>DO181*VLOOKUP('Données projet'!$B$14,Paramètres!$A$1:$I$89,3,0)*VLOOKUP('Données projet'!$B$14,Paramètres!$A$1:$I$89,5,0)</f>
        <v>-1.0401663530501537E-12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376.96388721258387</v>
      </c>
      <c r="DU181" s="60">
        <f t="shared" si="152"/>
        <v>211.14628470344377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-9.6633812063373625E-13</v>
      </c>
      <c r="EK181" s="18">
        <f>EJ181*VLOOKUP('Données projet'!$B$15,Paramètres!$A$1:$I$89,3,0)*VLOOKUP('Données projet'!$B$15,Paramètres!$A$1:$I$89,5,0)</f>
        <v>-9.3464223027694966E-13</v>
      </c>
      <c r="EL181" s="14" t="e">
        <f t="shared" si="179"/>
        <v>#NUM!</v>
      </c>
      <c r="EM181" s="22" t="e">
        <f t="shared" si="180"/>
        <v>#NUM!</v>
      </c>
      <c r="EN181" s="60" t="e">
        <f t="shared" si="128"/>
        <v>#NUM!</v>
      </c>
      <c r="EO181" s="60">
        <f ca="1">AVERAGE(OFFSET($EN$3,0,0,'Données projet'!$E$15+1,1))-AVERAGE(OFFSET($H$3,0,0,'Données projet'!$E$15+1,1))</f>
        <v>330.39429528665841</v>
      </c>
      <c r="EP181" s="60">
        <f t="shared" si="154"/>
        <v>186.45728006007261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8">
        <f t="shared" si="110"/>
        <v>509.57071816570965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-3.3992364478763198E-14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155.11440101086782</v>
      </c>
      <c r="T182" s="60">
        <f t="shared" si="142"/>
        <v>239.53454701506638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0.70581086211525745</v>
      </c>
      <c r="AA182" s="23">
        <f>EXP(-LN(2)/25)*AA181+(1-EXP(-LN(2)/25))/(LN(2)/25)*Calculateur!V182*Calculateur!X182*VLOOKUP('Données projet'!$B$9,Paramètres!$A$1:$I$89,3,0)*0.475*44/12</f>
        <v>0.11633809291721735</v>
      </c>
      <c r="AB182" s="23">
        <f>EXP(-LN(2)/2)*AB181+(1-EXP(-LN(2)/2))/(LN(2)/2)*V182*Y182*VLOOKUP('Données projet'!$B$9,Paramètres!$A$1:$I$89,3,0)*0.475*44/12</f>
        <v>1.1039050300194999E-22</v>
      </c>
      <c r="AC182" s="24">
        <f t="shared" si="163"/>
        <v>0.82214895503247476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-3.4106051316484809E-13</v>
      </c>
      <c r="AJ182" s="14">
        <f>AI182*VLOOKUP('Données projet'!$B$10,Paramètres!$A$1:$I$89,3,0)*VLOOKUP('Données projet'!$B$10,Paramètres!$A$1:$I$89,5,0)</f>
        <v>-1.9065282685915009E-13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302.20483575440988</v>
      </c>
      <c r="AO182" s="60">
        <f t="shared" si="144"/>
        <v>275.32862097158687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0.11106219482691648</v>
      </c>
      <c r="AW182" s="23">
        <f>EXP(-LN(2)/2)*AW181+(1-EXP(-LN(2)/2))/(LN(2)/2)*AQ182*AT182*VLOOKUP('Données projet'!$B$10,Paramètres!$A$1:$I$89,3,0)*0.475*44/12</f>
        <v>3.2965152741226687E-22</v>
      </c>
      <c r="AX182" s="23">
        <f t="shared" si="166"/>
        <v>0.11106219482691648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-1.7053025658242404E-13</v>
      </c>
      <c r="BE182" s="14">
        <f>BD182*VLOOKUP('Données projet'!$B$11,Paramètres!$A$1:$I$89,3,0)*VLOOKUP('Données projet'!$B$11,Paramètres!$A$1:$I$89,5,0)</f>
        <v>-1.4897523215040567E-13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314.62110015707839</v>
      </c>
      <c r="BJ182" s="60">
        <f t="shared" si="146"/>
        <v>285.36905470736582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-9.6633812063373625E-13</v>
      </c>
      <c r="BZ182" s="14">
        <f>BY182*VLOOKUP('Données projet'!$B$12,Paramètres!$A$1:$I$89,3,0)*VLOOKUP('Données projet'!$B$12,Paramètres!$A$1:$I$89,5,0)</f>
        <v>-8.7434273154940449E-13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303.73499739059076</v>
      </c>
      <c r="CE182" s="60">
        <f t="shared" si="148"/>
        <v>172.32171001882188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-9.6633812063373625E-13</v>
      </c>
      <c r="CU182" s="18">
        <f>CT182*VLOOKUP('Données projet'!$B$13,Paramètres!$A$1:$I$89,3,0)*VLOOKUP('Données projet'!$B$13,Paramètres!$A$1:$I$89,5,0)</f>
        <v>-9.7986685432260874E-13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350.3652766444938</v>
      </c>
      <c r="CZ182" s="60">
        <f t="shared" si="150"/>
        <v>197.04549436738586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-9.6633812063373625E-13</v>
      </c>
      <c r="DP182" s="18">
        <f>DO182*VLOOKUP('Données projet'!$B$14,Paramètres!$A$1:$I$89,3,0)*VLOOKUP('Données projet'!$B$14,Paramètres!$A$1:$I$89,5,0)</f>
        <v>-1.0401663530501537E-12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376.96388721258387</v>
      </c>
      <c r="DU182" s="60">
        <f t="shared" si="152"/>
        <v>211.14628470344377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-9.6633812063373625E-13</v>
      </c>
      <c r="EK182" s="18">
        <f>EJ182*VLOOKUP('Données projet'!$B$15,Paramètres!$A$1:$I$89,3,0)*VLOOKUP('Données projet'!$B$15,Paramètres!$A$1:$I$89,5,0)</f>
        <v>-9.3464223027694966E-13</v>
      </c>
      <c r="EL182" s="14" t="e">
        <f t="shared" si="179"/>
        <v>#NUM!</v>
      </c>
      <c r="EM182" s="22" t="e">
        <f t="shared" si="180"/>
        <v>#NUM!</v>
      </c>
      <c r="EN182" s="60" t="e">
        <f t="shared" si="128"/>
        <v>#NUM!</v>
      </c>
      <c r="EO182" s="60">
        <f ca="1">AVERAGE(OFFSET($EN$3,0,0,'Données projet'!$E$15+1,1))-AVERAGE(OFFSET($H$3,0,0,'Données projet'!$E$15+1,1))</f>
        <v>330.39429528665841</v>
      </c>
      <c r="EP182" s="60">
        <f t="shared" si="154"/>
        <v>186.45728006007261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8">
        <f t="shared" si="110"/>
        <v>510.74875042260788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-3.3992364478763198E-14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155.11440101086782</v>
      </c>
      <c r="T183" s="60">
        <f t="shared" si="142"/>
        <v>239.53454701506638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0.69197034161129456</v>
      </c>
      <c r="AA183" s="23">
        <f>EXP(-LN(2)/25)*AA182+(1-EXP(-LN(2)/25))/(LN(2)/25)*Calculateur!V183*Calculateur!X183*VLOOKUP('Données projet'!$B$9,Paramètres!$A$1:$I$89,3,0)*0.475*44/12</f>
        <v>0.11315682164844162</v>
      </c>
      <c r="AB183" s="23">
        <f>EXP(-LN(2)/2)*AB182+(1-EXP(-LN(2)/2))/(LN(2)/2)*V183*Y183*VLOOKUP('Données projet'!$B$9,Paramètres!$A$1:$I$89,3,0)*0.475*44/12</f>
        <v>7.8057873251272768E-23</v>
      </c>
      <c r="AC183" s="24">
        <f t="shared" si="163"/>
        <v>0.80512716325973621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-3.4106051316484809E-13</v>
      </c>
      <c r="AJ183" s="14">
        <f>AI183*VLOOKUP('Données projet'!$B$10,Paramètres!$A$1:$I$89,3,0)*VLOOKUP('Données projet'!$B$10,Paramètres!$A$1:$I$89,5,0)</f>
        <v>-1.9065282685915009E-13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302.20483575440988</v>
      </c>
      <c r="AO183" s="60">
        <f t="shared" si="144"/>
        <v>275.32862097158687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0.10802519326886746</v>
      </c>
      <c r="AW183" s="23">
        <f>EXP(-LN(2)/2)*AW182+(1-EXP(-LN(2)/2))/(LN(2)/2)*AQ183*AT183*VLOOKUP('Données projet'!$B$10,Paramètres!$A$1:$I$89,3,0)*0.475*44/12</f>
        <v>2.3309883046171696E-22</v>
      </c>
      <c r="AX183" s="23">
        <f t="shared" si="166"/>
        <v>0.10802519326886746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-1.7053025658242404E-13</v>
      </c>
      <c r="BE183" s="14">
        <f>BD183*VLOOKUP('Données projet'!$B$11,Paramètres!$A$1:$I$89,3,0)*VLOOKUP('Données projet'!$B$11,Paramètres!$A$1:$I$89,5,0)</f>
        <v>-1.4897523215040567E-13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314.62110015707839</v>
      </c>
      <c r="BJ183" s="60">
        <f t="shared" si="146"/>
        <v>285.36905470736582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-9.6633812063373625E-13</v>
      </c>
      <c r="BZ183" s="14">
        <f>BY183*VLOOKUP('Données projet'!$B$12,Paramètres!$A$1:$I$89,3,0)*VLOOKUP('Données projet'!$B$12,Paramètres!$A$1:$I$89,5,0)</f>
        <v>-8.7434273154940449E-13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303.73499739059076</v>
      </c>
      <c r="CE183" s="60">
        <f t="shared" si="148"/>
        <v>172.32171001882188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-9.6633812063373625E-13</v>
      </c>
      <c r="CU183" s="18">
        <f>CT183*VLOOKUP('Données projet'!$B$13,Paramètres!$A$1:$I$89,3,0)*VLOOKUP('Données projet'!$B$13,Paramètres!$A$1:$I$89,5,0)</f>
        <v>-9.7986685432260874E-13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350.3652766444938</v>
      </c>
      <c r="CZ183" s="60">
        <f t="shared" si="150"/>
        <v>197.04549436738586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-9.6633812063373625E-13</v>
      </c>
      <c r="DP183" s="18">
        <f>DO183*VLOOKUP('Données projet'!$B$14,Paramètres!$A$1:$I$89,3,0)*VLOOKUP('Données projet'!$B$14,Paramètres!$A$1:$I$89,5,0)</f>
        <v>-1.0401663530501537E-12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376.96388721258387</v>
      </c>
      <c r="DU183" s="60">
        <f t="shared" si="152"/>
        <v>211.14628470344377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-9.6633812063373625E-13</v>
      </c>
      <c r="EK183" s="18">
        <f>EJ183*VLOOKUP('Données projet'!$B$15,Paramètres!$A$1:$I$89,3,0)*VLOOKUP('Données projet'!$B$15,Paramètres!$A$1:$I$89,5,0)</f>
        <v>-9.3464223027694966E-13</v>
      </c>
      <c r="EL183" s="14" t="e">
        <f t="shared" si="179"/>
        <v>#NUM!</v>
      </c>
      <c r="EM183" s="22" t="e">
        <f t="shared" si="180"/>
        <v>#NUM!</v>
      </c>
      <c r="EN183" s="60" t="e">
        <f t="shared" si="128"/>
        <v>#NUM!</v>
      </c>
      <c r="EO183" s="60">
        <f ca="1">AVERAGE(OFFSET($EN$3,0,0,'Données projet'!$E$15+1,1))-AVERAGE(OFFSET($H$3,0,0,'Données projet'!$E$15+1,1))</f>
        <v>330.39429528665841</v>
      </c>
      <c r="EP183" s="60">
        <f t="shared" si="154"/>
        <v>186.45728006007261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8">
        <f t="shared" si="110"/>
        <v>511.92663587965137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-3.3992364478763198E-14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155.11440101086782</v>
      </c>
      <c r="T184" s="60">
        <f t="shared" si="142"/>
        <v>239.53454701506638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0.67840122527253044</v>
      </c>
      <c r="AA184" s="23">
        <f>EXP(-LN(2)/25)*AA183+(1-EXP(-LN(2)/25))/(LN(2)/25)*Calculateur!V184*Calculateur!X184*VLOOKUP('Données projet'!$B$9,Paramètres!$A$1:$I$89,3,0)*0.475*44/12</f>
        <v>0.11006254240980635</v>
      </c>
      <c r="AB184" s="23">
        <f>EXP(-LN(2)/2)*AB183+(1-EXP(-LN(2)/2))/(LN(2)/2)*V184*Y184*VLOOKUP('Données projet'!$B$9,Paramètres!$A$1:$I$89,3,0)*0.475*44/12</f>
        <v>5.5195251500974993E-23</v>
      </c>
      <c r="AC184" s="24">
        <f t="shared" si="163"/>
        <v>0.78846376768233684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-3.4106051316484809E-13</v>
      </c>
      <c r="AJ184" s="14">
        <f>AI184*VLOOKUP('Données projet'!$B$10,Paramètres!$A$1:$I$89,3,0)*VLOOKUP('Données projet'!$B$10,Paramètres!$A$1:$I$89,5,0)</f>
        <v>-1.9065282685915009E-13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302.20483575440988</v>
      </c>
      <c r="AO184" s="60">
        <f t="shared" si="144"/>
        <v>275.32862097158687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0.10507123867813226</v>
      </c>
      <c r="AW184" s="23">
        <f>EXP(-LN(2)/2)*AW183+(1-EXP(-LN(2)/2))/(LN(2)/2)*AQ184*AT184*VLOOKUP('Données projet'!$B$10,Paramètres!$A$1:$I$89,3,0)*0.475*44/12</f>
        <v>1.6482576370613344E-22</v>
      </c>
      <c r="AX184" s="23">
        <f t="shared" si="166"/>
        <v>0.10507123867813226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-1.7053025658242404E-13</v>
      </c>
      <c r="BE184" s="14">
        <f>BD184*VLOOKUP('Données projet'!$B$11,Paramètres!$A$1:$I$89,3,0)*VLOOKUP('Données projet'!$B$11,Paramètres!$A$1:$I$89,5,0)</f>
        <v>-1.4897523215040567E-13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314.62110015707839</v>
      </c>
      <c r="BJ184" s="60">
        <f t="shared" si="146"/>
        <v>285.36905470736582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-9.6633812063373625E-13</v>
      </c>
      <c r="BZ184" s="14">
        <f>BY184*VLOOKUP('Données projet'!$B$12,Paramètres!$A$1:$I$89,3,0)*VLOOKUP('Données projet'!$B$12,Paramètres!$A$1:$I$89,5,0)</f>
        <v>-8.7434273154940449E-13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303.73499739059076</v>
      </c>
      <c r="CE184" s="60">
        <f t="shared" si="148"/>
        <v>172.32171001882188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-9.6633812063373625E-13</v>
      </c>
      <c r="CU184" s="18">
        <f>CT184*VLOOKUP('Données projet'!$B$13,Paramètres!$A$1:$I$89,3,0)*VLOOKUP('Données projet'!$B$13,Paramètres!$A$1:$I$89,5,0)</f>
        <v>-9.7986685432260874E-13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350.3652766444938</v>
      </c>
      <c r="CZ184" s="60">
        <f t="shared" si="150"/>
        <v>197.04549436738586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-9.6633812063373625E-13</v>
      </c>
      <c r="DP184" s="18">
        <f>DO184*VLOOKUP('Données projet'!$B$14,Paramètres!$A$1:$I$89,3,0)*VLOOKUP('Données projet'!$B$14,Paramètres!$A$1:$I$89,5,0)</f>
        <v>-1.0401663530501537E-12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376.96388721258387</v>
      </c>
      <c r="DU184" s="60">
        <f t="shared" si="152"/>
        <v>211.14628470344377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-9.6633812063373625E-13</v>
      </c>
      <c r="EK184" s="18">
        <f>EJ184*VLOOKUP('Données projet'!$B$15,Paramètres!$A$1:$I$89,3,0)*VLOOKUP('Données projet'!$B$15,Paramètres!$A$1:$I$89,5,0)</f>
        <v>-9.3464223027694966E-13</v>
      </c>
      <c r="EL184" s="14" t="e">
        <f t="shared" si="179"/>
        <v>#NUM!</v>
      </c>
      <c r="EM184" s="22" t="e">
        <f t="shared" si="180"/>
        <v>#NUM!</v>
      </c>
      <c r="EN184" s="60" t="e">
        <f t="shared" si="128"/>
        <v>#NUM!</v>
      </c>
      <c r="EO184" s="60">
        <f ca="1">AVERAGE(OFFSET($EN$3,0,0,'Données projet'!$E$15+1,1))-AVERAGE(OFFSET($H$3,0,0,'Données projet'!$E$15+1,1))</f>
        <v>330.39429528665841</v>
      </c>
      <c r="EP184" s="60">
        <f t="shared" si="154"/>
        <v>186.45728006007261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8">
        <f t="shared" si="110"/>
        <v>513.10437544201318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-3.3992364478763198E-14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155.11440101086782</v>
      </c>
      <c r="T185" s="60">
        <f t="shared" si="142"/>
        <v>239.53454701506638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0.66509819102882572</v>
      </c>
      <c r="AA185" s="23">
        <f>EXP(-LN(2)/25)*AA184+(1-EXP(-LN(2)/25))/(LN(2)/25)*Calculateur!V185*Calculateur!X185*VLOOKUP('Données projet'!$B$9,Paramètres!$A$1:$I$89,3,0)*0.475*44/12</f>
        <v>0.10705287639967265</v>
      </c>
      <c r="AB185" s="23">
        <f>EXP(-LN(2)/2)*AB184+(1-EXP(-LN(2)/2))/(LN(2)/2)*V185*Y185*VLOOKUP('Données projet'!$B$9,Paramètres!$A$1:$I$89,3,0)*0.475*44/12</f>
        <v>3.9028936625636384E-23</v>
      </c>
      <c r="AC185" s="24">
        <f t="shared" si="163"/>
        <v>0.77215106742849837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-3.4106051316484809E-13</v>
      </c>
      <c r="AJ185" s="14">
        <f>AI185*VLOOKUP('Données projet'!$B$10,Paramètres!$A$1:$I$89,3,0)*VLOOKUP('Données projet'!$B$10,Paramètres!$A$1:$I$89,5,0)</f>
        <v>-1.9065282685915009E-13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302.20483575440988</v>
      </c>
      <c r="AO185" s="60">
        <f t="shared" si="144"/>
        <v>275.32862097158687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0.10219806013102244</v>
      </c>
      <c r="AW185" s="23">
        <f>EXP(-LN(2)/2)*AW184+(1-EXP(-LN(2)/2))/(LN(2)/2)*AQ185*AT185*VLOOKUP('Données projet'!$B$10,Paramètres!$A$1:$I$89,3,0)*0.475*44/12</f>
        <v>1.1654941523085848E-22</v>
      </c>
      <c r="AX185" s="23">
        <f t="shared" si="166"/>
        <v>0.10219806013102244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-1.7053025658242404E-13</v>
      </c>
      <c r="BE185" s="14">
        <f>BD185*VLOOKUP('Données projet'!$B$11,Paramètres!$A$1:$I$89,3,0)*VLOOKUP('Données projet'!$B$11,Paramètres!$A$1:$I$89,5,0)</f>
        <v>-1.4897523215040567E-13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314.62110015707839</v>
      </c>
      <c r="BJ185" s="60">
        <f t="shared" si="146"/>
        <v>285.36905470736582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-9.6633812063373625E-13</v>
      </c>
      <c r="BZ185" s="14">
        <f>BY185*VLOOKUP('Données projet'!$B$12,Paramètres!$A$1:$I$89,3,0)*VLOOKUP('Données projet'!$B$12,Paramètres!$A$1:$I$89,5,0)</f>
        <v>-8.7434273154940449E-13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303.73499739059076</v>
      </c>
      <c r="CE185" s="60">
        <f t="shared" si="148"/>
        <v>172.32171001882188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-9.6633812063373625E-13</v>
      </c>
      <c r="CU185" s="18">
        <f>CT185*VLOOKUP('Données projet'!$B$13,Paramètres!$A$1:$I$89,3,0)*VLOOKUP('Données projet'!$B$13,Paramètres!$A$1:$I$89,5,0)</f>
        <v>-9.7986685432260874E-13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350.3652766444938</v>
      </c>
      <c r="CZ185" s="60">
        <f t="shared" si="150"/>
        <v>197.04549436738586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-9.6633812063373625E-13</v>
      </c>
      <c r="DP185" s="18">
        <f>DO185*VLOOKUP('Données projet'!$B$14,Paramètres!$A$1:$I$89,3,0)*VLOOKUP('Données projet'!$B$14,Paramètres!$A$1:$I$89,5,0)</f>
        <v>-1.0401663530501537E-12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376.96388721258387</v>
      </c>
      <c r="DU185" s="60">
        <f t="shared" si="152"/>
        <v>211.14628470344377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-9.6633812063373625E-13</v>
      </c>
      <c r="EK185" s="18">
        <f>EJ185*VLOOKUP('Données projet'!$B$15,Paramètres!$A$1:$I$89,3,0)*VLOOKUP('Données projet'!$B$15,Paramètres!$A$1:$I$89,5,0)</f>
        <v>-9.3464223027694966E-13</v>
      </c>
      <c r="EL185" s="14" t="e">
        <f t="shared" si="179"/>
        <v>#NUM!</v>
      </c>
      <c r="EM185" s="22" t="e">
        <f t="shared" si="180"/>
        <v>#NUM!</v>
      </c>
      <c r="EN185" s="60" t="e">
        <f t="shared" si="128"/>
        <v>#NUM!</v>
      </c>
      <c r="EO185" s="60">
        <f ca="1">AVERAGE(OFFSET($EN$3,0,0,'Données projet'!$E$15+1,1))-AVERAGE(OFFSET($H$3,0,0,'Données projet'!$E$15+1,1))</f>
        <v>330.39429528665841</v>
      </c>
      <c r="EP185" s="60">
        <f t="shared" si="154"/>
        <v>186.45728006007261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8">
        <f t="shared" si="110"/>
        <v>514.28197000434375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-3.3992364478763198E-14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155.11440101086782</v>
      </c>
      <c r="T186" s="60">
        <f t="shared" si="142"/>
        <v>239.53454701506638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0.65205602117259043</v>
      </c>
      <c r="AA186" s="23">
        <f>EXP(-LN(2)/25)*AA185+(1-EXP(-LN(2)/25))/(LN(2)/25)*Calculateur!V186*Calculateur!X186*VLOOKUP('Données projet'!$B$9,Paramètres!$A$1:$I$89,3,0)*0.475*44/12</f>
        <v>0.1041255098648575</v>
      </c>
      <c r="AB186" s="23">
        <f>EXP(-LN(2)/2)*AB185+(1-EXP(-LN(2)/2))/(LN(2)/2)*V186*Y186*VLOOKUP('Données projet'!$B$9,Paramètres!$A$1:$I$89,3,0)*0.475*44/12</f>
        <v>2.7597625750487496E-23</v>
      </c>
      <c r="AC186" s="24">
        <f t="shared" si="163"/>
        <v>0.7561815310374479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-3.4106051316484809E-13</v>
      </c>
      <c r="AJ186" s="14">
        <f>AI186*VLOOKUP('Données projet'!$B$10,Paramètres!$A$1:$I$89,3,0)*VLOOKUP('Données projet'!$B$10,Paramètres!$A$1:$I$89,5,0)</f>
        <v>-1.9065282685915009E-13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302.20483575440988</v>
      </c>
      <c r="AO186" s="60">
        <f t="shared" si="144"/>
        <v>275.32862097158687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9.9403448802377226E-2</v>
      </c>
      <c r="AW186" s="23">
        <f>EXP(-LN(2)/2)*AW185+(1-EXP(-LN(2)/2))/(LN(2)/2)*AQ186*AT186*VLOOKUP('Données projet'!$B$10,Paramètres!$A$1:$I$89,3,0)*0.475*44/12</f>
        <v>8.2412881853066718E-23</v>
      </c>
      <c r="AX186" s="23">
        <f t="shared" si="166"/>
        <v>9.9403448802377226E-2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-1.7053025658242404E-13</v>
      </c>
      <c r="BE186" s="14">
        <f>BD186*VLOOKUP('Données projet'!$B$11,Paramètres!$A$1:$I$89,3,0)*VLOOKUP('Données projet'!$B$11,Paramètres!$A$1:$I$89,5,0)</f>
        <v>-1.4897523215040567E-13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314.62110015707839</v>
      </c>
      <c r="BJ186" s="60">
        <f t="shared" si="146"/>
        <v>285.36905470736582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-9.6633812063373625E-13</v>
      </c>
      <c r="BZ186" s="14">
        <f>BY186*VLOOKUP('Données projet'!$B$12,Paramètres!$A$1:$I$89,3,0)*VLOOKUP('Données projet'!$B$12,Paramètres!$A$1:$I$89,5,0)</f>
        <v>-8.7434273154940449E-13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303.73499739059076</v>
      </c>
      <c r="CE186" s="60">
        <f t="shared" si="148"/>
        <v>172.32171001882188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-9.6633812063373625E-13</v>
      </c>
      <c r="CU186" s="18">
        <f>CT186*VLOOKUP('Données projet'!$B$13,Paramètres!$A$1:$I$89,3,0)*VLOOKUP('Données projet'!$B$13,Paramètres!$A$1:$I$89,5,0)</f>
        <v>-9.7986685432260874E-13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350.3652766444938</v>
      </c>
      <c r="CZ186" s="60">
        <f t="shared" si="150"/>
        <v>197.04549436738586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-9.6633812063373625E-13</v>
      </c>
      <c r="DP186" s="18">
        <f>DO186*VLOOKUP('Données projet'!$B$14,Paramètres!$A$1:$I$89,3,0)*VLOOKUP('Données projet'!$B$14,Paramètres!$A$1:$I$89,5,0)</f>
        <v>-1.0401663530501537E-12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376.96388721258387</v>
      </c>
      <c r="DU186" s="60">
        <f t="shared" si="152"/>
        <v>211.14628470344377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-9.6633812063373625E-13</v>
      </c>
      <c r="EK186" s="18">
        <f>EJ186*VLOOKUP('Données projet'!$B$15,Paramètres!$A$1:$I$89,3,0)*VLOOKUP('Données projet'!$B$15,Paramètres!$A$1:$I$89,5,0)</f>
        <v>-9.3464223027694966E-13</v>
      </c>
      <c r="EL186" s="14" t="e">
        <f t="shared" si="179"/>
        <v>#NUM!</v>
      </c>
      <c r="EM186" s="22" t="e">
        <f t="shared" si="180"/>
        <v>#NUM!</v>
      </c>
      <c r="EN186" s="60" t="e">
        <f t="shared" si="128"/>
        <v>#NUM!</v>
      </c>
      <c r="EO186" s="60">
        <f ca="1">AVERAGE(OFFSET($EN$3,0,0,'Données projet'!$E$15+1,1))-AVERAGE(OFFSET($H$3,0,0,'Données projet'!$E$15+1,1))</f>
        <v>330.39429528665841</v>
      </c>
      <c r="EP186" s="60">
        <f t="shared" si="154"/>
        <v>186.45728006007261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8">
        <f t="shared" si="110"/>
        <v>515.45942045095035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-3.3992364478763198E-14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155.11440101086782</v>
      </c>
      <c r="T187" s="60">
        <f t="shared" si="142"/>
        <v>239.53454701506638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0.63926960031229774</v>
      </c>
      <c r="AA187" s="23">
        <f>EXP(-LN(2)/25)*AA186+(1-EXP(-LN(2)/25))/(LN(2)/25)*Calculateur!V187*Calculateur!X187*VLOOKUP('Données projet'!$B$9,Paramètres!$A$1:$I$89,3,0)*0.475*44/12</f>
        <v>0.10127819232188039</v>
      </c>
      <c r="AB187" s="23">
        <f>EXP(-LN(2)/2)*AB186+(1-EXP(-LN(2)/2))/(LN(2)/2)*V187*Y187*VLOOKUP('Données projet'!$B$9,Paramètres!$A$1:$I$89,3,0)*0.475*44/12</f>
        <v>1.9514468312818192E-23</v>
      </c>
      <c r="AC187" s="24">
        <f t="shared" si="163"/>
        <v>0.74054779263417814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-3.4106051316484809E-13</v>
      </c>
      <c r="AJ187" s="14">
        <f>AI187*VLOOKUP('Données projet'!$B$10,Paramètres!$A$1:$I$89,3,0)*VLOOKUP('Données projet'!$B$10,Paramètres!$A$1:$I$89,5,0)</f>
        <v>-1.9065282685915009E-13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302.20483575440988</v>
      </c>
      <c r="AO187" s="60">
        <f t="shared" si="144"/>
        <v>275.32862097158687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9.6685256267476039E-2</v>
      </c>
      <c r="AW187" s="23">
        <f>EXP(-LN(2)/2)*AW186+(1-EXP(-LN(2)/2))/(LN(2)/2)*AQ187*AT187*VLOOKUP('Données projet'!$B$10,Paramètres!$A$1:$I$89,3,0)*0.475*44/12</f>
        <v>5.8274707615429241E-23</v>
      </c>
      <c r="AX187" s="23">
        <f t="shared" si="166"/>
        <v>9.6685256267476039E-2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-1.7053025658242404E-13</v>
      </c>
      <c r="BE187" s="14">
        <f>BD187*VLOOKUP('Données projet'!$B$11,Paramètres!$A$1:$I$89,3,0)*VLOOKUP('Données projet'!$B$11,Paramètres!$A$1:$I$89,5,0)</f>
        <v>-1.4897523215040567E-13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314.62110015707839</v>
      </c>
      <c r="BJ187" s="60">
        <f t="shared" si="146"/>
        <v>285.36905470736582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-9.6633812063373625E-13</v>
      </c>
      <c r="BZ187" s="14">
        <f>BY187*VLOOKUP('Données projet'!$B$12,Paramètres!$A$1:$I$89,3,0)*VLOOKUP('Données projet'!$B$12,Paramètres!$A$1:$I$89,5,0)</f>
        <v>-8.7434273154940449E-13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303.73499739059076</v>
      </c>
      <c r="CE187" s="60">
        <f t="shared" si="148"/>
        <v>172.32171001882188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-9.6633812063373625E-13</v>
      </c>
      <c r="CU187" s="18">
        <f>CT187*VLOOKUP('Données projet'!$B$13,Paramètres!$A$1:$I$89,3,0)*VLOOKUP('Données projet'!$B$13,Paramètres!$A$1:$I$89,5,0)</f>
        <v>-9.7986685432260874E-13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350.3652766444938</v>
      </c>
      <c r="CZ187" s="60">
        <f t="shared" si="150"/>
        <v>197.04549436738586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-9.6633812063373625E-13</v>
      </c>
      <c r="DP187" s="18">
        <f>DO187*VLOOKUP('Données projet'!$B$14,Paramètres!$A$1:$I$89,3,0)*VLOOKUP('Données projet'!$B$14,Paramètres!$A$1:$I$89,5,0)</f>
        <v>-1.0401663530501537E-12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376.96388721258387</v>
      </c>
      <c r="DU187" s="60">
        <f t="shared" si="152"/>
        <v>211.14628470344377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-9.6633812063373625E-13</v>
      </c>
      <c r="EK187" s="18">
        <f>EJ187*VLOOKUP('Données projet'!$B$15,Paramètres!$A$1:$I$89,3,0)*VLOOKUP('Données projet'!$B$15,Paramètres!$A$1:$I$89,5,0)</f>
        <v>-9.3464223027694966E-13</v>
      </c>
      <c r="EL187" s="14" t="e">
        <f t="shared" si="179"/>
        <v>#NUM!</v>
      </c>
      <c r="EM187" s="22" t="e">
        <f t="shared" si="180"/>
        <v>#NUM!</v>
      </c>
      <c r="EN187" s="60" t="e">
        <f t="shared" si="128"/>
        <v>#NUM!</v>
      </c>
      <c r="EO187" s="60">
        <f ca="1">AVERAGE(OFFSET($EN$3,0,0,'Données projet'!$E$15+1,1))-AVERAGE(OFFSET($H$3,0,0,'Données projet'!$E$15+1,1))</f>
        <v>330.39429528665841</v>
      </c>
      <c r="EP187" s="60">
        <f t="shared" si="154"/>
        <v>186.45728006007261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8">
        <f t="shared" si="110"/>
        <v>516.63672765597119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-3.3992364478763198E-14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155.11440101086782</v>
      </c>
      <c r="T188" s="60">
        <f t="shared" si="142"/>
        <v>239.53454701506638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0.62673391336612871</v>
      </c>
      <c r="AA188" s="23">
        <f>EXP(-LN(2)/25)*AA187+(1-EXP(-LN(2)/25))/(LN(2)/25)*Calculateur!V188*Calculateur!X188*VLOOKUP('Données projet'!$B$9,Paramètres!$A$1:$I$89,3,0)*0.475*44/12</f>
        <v>9.8508734826849909E-2</v>
      </c>
      <c r="AB188" s="23">
        <f>EXP(-LN(2)/2)*AB187+(1-EXP(-LN(2)/2))/(LN(2)/2)*V188*Y188*VLOOKUP('Données projet'!$B$9,Paramètres!$A$1:$I$89,3,0)*0.475*44/12</f>
        <v>1.3798812875243748E-23</v>
      </c>
      <c r="AC188" s="24">
        <f t="shared" si="163"/>
        <v>0.72524264819297857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-3.4106051316484809E-13</v>
      </c>
      <c r="AJ188" s="14">
        <f>AI188*VLOOKUP('Données projet'!$B$10,Paramètres!$A$1:$I$89,3,0)*VLOOKUP('Données projet'!$B$10,Paramètres!$A$1:$I$89,5,0)</f>
        <v>-1.9065282685915009E-13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302.20483575440988</v>
      </c>
      <c r="AO188" s="60">
        <f t="shared" si="144"/>
        <v>275.32862097158687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9.404139285038525E-2</v>
      </c>
      <c r="AW188" s="23">
        <f>EXP(-LN(2)/2)*AW187+(1-EXP(-LN(2)/2))/(LN(2)/2)*AQ188*AT188*VLOOKUP('Données projet'!$B$10,Paramètres!$A$1:$I$89,3,0)*0.475*44/12</f>
        <v>4.1206440926533359E-23</v>
      </c>
      <c r="AX188" s="23">
        <f t="shared" si="166"/>
        <v>9.404139285038525E-2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-1.7053025658242404E-13</v>
      </c>
      <c r="BE188" s="14">
        <f>BD188*VLOOKUP('Données projet'!$B$11,Paramètres!$A$1:$I$89,3,0)*VLOOKUP('Données projet'!$B$11,Paramètres!$A$1:$I$89,5,0)</f>
        <v>-1.4897523215040567E-13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314.62110015707839</v>
      </c>
      <c r="BJ188" s="60">
        <f t="shared" si="146"/>
        <v>285.36905470736582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-9.6633812063373625E-13</v>
      </c>
      <c r="BZ188" s="14">
        <f>BY188*VLOOKUP('Données projet'!$B$12,Paramètres!$A$1:$I$89,3,0)*VLOOKUP('Données projet'!$B$12,Paramètres!$A$1:$I$89,5,0)</f>
        <v>-8.7434273154940449E-13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303.73499739059076</v>
      </c>
      <c r="CE188" s="60">
        <f t="shared" si="148"/>
        <v>172.32171001882188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-9.6633812063373625E-13</v>
      </c>
      <c r="CU188" s="18">
        <f>CT188*VLOOKUP('Données projet'!$B$13,Paramètres!$A$1:$I$89,3,0)*VLOOKUP('Données projet'!$B$13,Paramètres!$A$1:$I$89,5,0)</f>
        <v>-9.7986685432260874E-13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350.3652766444938</v>
      </c>
      <c r="CZ188" s="60">
        <f t="shared" si="150"/>
        <v>197.04549436738586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-9.6633812063373625E-13</v>
      </c>
      <c r="DP188" s="18">
        <f>DO188*VLOOKUP('Données projet'!$B$14,Paramètres!$A$1:$I$89,3,0)*VLOOKUP('Données projet'!$B$14,Paramètres!$A$1:$I$89,5,0)</f>
        <v>-1.0401663530501537E-12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376.96388721258387</v>
      </c>
      <c r="DU188" s="60">
        <f t="shared" si="152"/>
        <v>211.14628470344377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-9.6633812063373625E-13</v>
      </c>
      <c r="EK188" s="18">
        <f>EJ188*VLOOKUP('Données projet'!$B$15,Paramètres!$A$1:$I$89,3,0)*VLOOKUP('Données projet'!$B$15,Paramètres!$A$1:$I$89,5,0)</f>
        <v>-9.3464223027694966E-13</v>
      </c>
      <c r="EL188" s="14" t="e">
        <f t="shared" si="179"/>
        <v>#NUM!</v>
      </c>
      <c r="EM188" s="22" t="e">
        <f t="shared" si="180"/>
        <v>#NUM!</v>
      </c>
      <c r="EN188" s="60" t="e">
        <f t="shared" si="128"/>
        <v>#NUM!</v>
      </c>
      <c r="EO188" s="60">
        <f ca="1">AVERAGE(OFFSET($EN$3,0,0,'Données projet'!$E$15+1,1))-AVERAGE(OFFSET($H$3,0,0,'Données projet'!$E$15+1,1))</f>
        <v>330.39429528665841</v>
      </c>
      <c r="EP188" s="60">
        <f t="shared" si="154"/>
        <v>186.45728006007261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8">
        <f t="shared" si="110"/>
        <v>517.81389248354799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-3.3992364478763198E-14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155.11440101086782</v>
      </c>
      <c r="T189" s="60">
        <f t="shared" si="142"/>
        <v>239.53454701506638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0.61444404359496008</v>
      </c>
      <c r="AA189" s="23">
        <f>EXP(-LN(2)/25)*AA188+(1-EXP(-LN(2)/25))/(LN(2)/25)*Calculateur!V189*Calculateur!X189*VLOOKUP('Données projet'!$B$9,Paramètres!$A$1:$I$89,3,0)*0.475*44/12</f>
        <v>9.5815008292660472E-2</v>
      </c>
      <c r="AB189" s="23">
        <f>EXP(-LN(2)/2)*AB188+(1-EXP(-LN(2)/2))/(LN(2)/2)*V189*Y189*VLOOKUP('Données projet'!$B$9,Paramètres!$A$1:$I$89,3,0)*0.475*44/12</f>
        <v>9.7572341564090961E-24</v>
      </c>
      <c r="AC189" s="24">
        <f t="shared" si="163"/>
        <v>0.71025905188762051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-3.4106051316484809E-13</v>
      </c>
      <c r="AJ189" s="14">
        <f>AI189*VLOOKUP('Données projet'!$B$10,Paramètres!$A$1:$I$89,3,0)*VLOOKUP('Données projet'!$B$10,Paramètres!$A$1:$I$89,5,0)</f>
        <v>-1.9065282685915009E-13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302.20483575440988</v>
      </c>
      <c r="AO189" s="60">
        <f t="shared" si="144"/>
        <v>275.32862097158687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9.1469826017469544E-2</v>
      </c>
      <c r="AW189" s="23">
        <f>EXP(-LN(2)/2)*AW188+(1-EXP(-LN(2)/2))/(LN(2)/2)*AQ189*AT189*VLOOKUP('Données projet'!$B$10,Paramètres!$A$1:$I$89,3,0)*0.475*44/12</f>
        <v>2.9137353807714621E-23</v>
      </c>
      <c r="AX189" s="23">
        <f t="shared" si="166"/>
        <v>9.1469826017469544E-2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-1.7053025658242404E-13</v>
      </c>
      <c r="BE189" s="14">
        <f>BD189*VLOOKUP('Données projet'!$B$11,Paramètres!$A$1:$I$89,3,0)*VLOOKUP('Données projet'!$B$11,Paramètres!$A$1:$I$89,5,0)</f>
        <v>-1.4897523215040567E-13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314.62110015707839</v>
      </c>
      <c r="BJ189" s="60">
        <f t="shared" si="146"/>
        <v>285.36905470736582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-9.6633812063373625E-13</v>
      </c>
      <c r="BZ189" s="14">
        <f>BY189*VLOOKUP('Données projet'!$B$12,Paramètres!$A$1:$I$89,3,0)*VLOOKUP('Données projet'!$B$12,Paramètres!$A$1:$I$89,5,0)</f>
        <v>-8.7434273154940449E-13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303.73499739059076</v>
      </c>
      <c r="CE189" s="60">
        <f t="shared" si="148"/>
        <v>172.32171001882188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-9.6633812063373625E-13</v>
      </c>
      <c r="CU189" s="18">
        <f>CT189*VLOOKUP('Données projet'!$B$13,Paramètres!$A$1:$I$89,3,0)*VLOOKUP('Données projet'!$B$13,Paramètres!$A$1:$I$89,5,0)</f>
        <v>-9.7986685432260874E-13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350.3652766444938</v>
      </c>
      <c r="CZ189" s="60">
        <f t="shared" si="150"/>
        <v>197.04549436738586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-9.6633812063373625E-13</v>
      </c>
      <c r="DP189" s="18">
        <f>DO189*VLOOKUP('Données projet'!$B$14,Paramètres!$A$1:$I$89,3,0)*VLOOKUP('Données projet'!$B$14,Paramètres!$A$1:$I$89,5,0)</f>
        <v>-1.0401663530501537E-12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376.96388721258387</v>
      </c>
      <c r="DU189" s="60">
        <f t="shared" si="152"/>
        <v>211.14628470344377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-9.6633812063373625E-13</v>
      </c>
      <c r="EK189" s="18">
        <f>EJ189*VLOOKUP('Données projet'!$B$15,Paramètres!$A$1:$I$89,3,0)*VLOOKUP('Données projet'!$B$15,Paramètres!$A$1:$I$89,5,0)</f>
        <v>-9.3464223027694966E-13</v>
      </c>
      <c r="EL189" s="14" t="e">
        <f t="shared" si="179"/>
        <v>#NUM!</v>
      </c>
      <c r="EM189" s="22" t="e">
        <f t="shared" si="180"/>
        <v>#NUM!</v>
      </c>
      <c r="EN189" s="60" t="e">
        <f t="shared" si="128"/>
        <v>#NUM!</v>
      </c>
      <c r="EO189" s="60">
        <f ca="1">AVERAGE(OFFSET($EN$3,0,0,'Données projet'!$E$15+1,1))-AVERAGE(OFFSET($H$3,0,0,'Données projet'!$E$15+1,1))</f>
        <v>330.39429528665841</v>
      </c>
      <c r="EP189" s="60">
        <f t="shared" si="154"/>
        <v>186.45728006007261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8">
        <f t="shared" si="110"/>
        <v>518.99091578799244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-3.3992364478763198E-14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155.11440101086782</v>
      </c>
      <c r="T190" s="60">
        <f t="shared" si="142"/>
        <v>239.53454701506638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0.60239517067392367</v>
      </c>
      <c r="AA190" s="23">
        <f>EXP(-LN(2)/25)*AA189+(1-EXP(-LN(2)/25))/(LN(2)/25)*Calculateur!V190*Calculateur!X190*VLOOKUP('Données projet'!$B$9,Paramètres!$A$1:$I$89,3,0)*0.475*44/12</f>
        <v>9.3194941852205379E-2</v>
      </c>
      <c r="AB190" s="23">
        <f>EXP(-LN(2)/2)*AB189+(1-EXP(-LN(2)/2))/(LN(2)/2)*V190*Y190*VLOOKUP('Données projet'!$B$9,Paramètres!$A$1:$I$89,3,0)*0.475*44/12</f>
        <v>6.8994064376218741E-24</v>
      </c>
      <c r="AC190" s="24">
        <f t="shared" si="163"/>
        <v>0.69559011252612901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-3.4106051316484809E-13</v>
      </c>
      <c r="AJ190" s="14">
        <f>AI190*VLOOKUP('Données projet'!$B$10,Paramètres!$A$1:$I$89,3,0)*VLOOKUP('Données projet'!$B$10,Paramètres!$A$1:$I$89,5,0)</f>
        <v>-1.9065282685915009E-13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302.20483575440988</v>
      </c>
      <c r="AO190" s="60">
        <f t="shared" si="144"/>
        <v>275.32862097158687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8.8968578814832749E-2</v>
      </c>
      <c r="AW190" s="23">
        <f>EXP(-LN(2)/2)*AW189+(1-EXP(-LN(2)/2))/(LN(2)/2)*AQ190*AT190*VLOOKUP('Données projet'!$B$10,Paramètres!$A$1:$I$89,3,0)*0.475*44/12</f>
        <v>2.060322046326668E-23</v>
      </c>
      <c r="AX190" s="23">
        <f t="shared" si="166"/>
        <v>8.8968578814832749E-2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-1.7053025658242404E-13</v>
      </c>
      <c r="BE190" s="14">
        <f>BD190*VLOOKUP('Données projet'!$B$11,Paramètres!$A$1:$I$89,3,0)*VLOOKUP('Données projet'!$B$11,Paramètres!$A$1:$I$89,5,0)</f>
        <v>-1.4897523215040567E-13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314.62110015707839</v>
      </c>
      <c r="BJ190" s="60">
        <f t="shared" si="146"/>
        <v>285.36905470736582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-9.6633812063373625E-13</v>
      </c>
      <c r="BZ190" s="14">
        <f>BY190*VLOOKUP('Données projet'!$B$12,Paramètres!$A$1:$I$89,3,0)*VLOOKUP('Données projet'!$B$12,Paramètres!$A$1:$I$89,5,0)</f>
        <v>-8.7434273154940449E-13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303.73499739059076</v>
      </c>
      <c r="CE190" s="60">
        <f t="shared" si="148"/>
        <v>172.32171001882188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-9.6633812063373625E-13</v>
      </c>
      <c r="CU190" s="18">
        <f>CT190*VLOOKUP('Données projet'!$B$13,Paramètres!$A$1:$I$89,3,0)*VLOOKUP('Données projet'!$B$13,Paramètres!$A$1:$I$89,5,0)</f>
        <v>-9.7986685432260874E-13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350.3652766444938</v>
      </c>
      <c r="CZ190" s="60">
        <f t="shared" si="150"/>
        <v>197.04549436738586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-9.6633812063373625E-13</v>
      </c>
      <c r="DP190" s="18">
        <f>DO190*VLOOKUP('Données projet'!$B$14,Paramètres!$A$1:$I$89,3,0)*VLOOKUP('Données projet'!$B$14,Paramètres!$A$1:$I$89,5,0)</f>
        <v>-1.0401663530501537E-12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376.96388721258387</v>
      </c>
      <c r="DU190" s="60">
        <f t="shared" si="152"/>
        <v>211.14628470344377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-9.6633812063373625E-13</v>
      </c>
      <c r="EK190" s="18">
        <f>EJ190*VLOOKUP('Données projet'!$B$15,Paramètres!$A$1:$I$89,3,0)*VLOOKUP('Données projet'!$B$15,Paramètres!$A$1:$I$89,5,0)</f>
        <v>-9.3464223027694966E-13</v>
      </c>
      <c r="EL190" s="14" t="e">
        <f t="shared" si="179"/>
        <v>#NUM!</v>
      </c>
      <c r="EM190" s="22" t="e">
        <f t="shared" si="180"/>
        <v>#NUM!</v>
      </c>
      <c r="EN190" s="60" t="e">
        <f t="shared" si="128"/>
        <v>#NUM!</v>
      </c>
      <c r="EO190" s="60">
        <f ca="1">AVERAGE(OFFSET($EN$3,0,0,'Données projet'!$E$15+1,1))-AVERAGE(OFFSET($H$3,0,0,'Données projet'!$E$15+1,1))</f>
        <v>330.39429528665841</v>
      </c>
      <c r="EP190" s="60">
        <f t="shared" si="154"/>
        <v>186.45728006007261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8">
        <f t="shared" si="110"/>
        <v>520.16779841395021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-3.3992364478763198E-14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155.11440101086782</v>
      </c>
      <c r="T191" s="60">
        <f t="shared" si="142"/>
        <v>239.53454701506638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0.59058256880178195</v>
      </c>
      <c r="AA191" s="23">
        <f>EXP(-LN(2)/25)*AA190+(1-EXP(-LN(2)/25))/(LN(2)/25)*Calculateur!V191*Calculateur!X191*VLOOKUP('Données projet'!$B$9,Paramètres!$A$1:$I$89,3,0)*0.475*44/12</f>
        <v>9.0646521266347826E-2</v>
      </c>
      <c r="AB191" s="23">
        <f>EXP(-LN(2)/2)*AB190+(1-EXP(-LN(2)/2))/(LN(2)/2)*V191*Y191*VLOOKUP('Données projet'!$B$9,Paramètres!$A$1:$I$89,3,0)*0.475*44/12</f>
        <v>4.878617078204548E-24</v>
      </c>
      <c r="AC191" s="24">
        <f t="shared" si="163"/>
        <v>0.68122909006812982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-3.4106051316484809E-13</v>
      </c>
      <c r="AJ191" s="14">
        <f>AI191*VLOOKUP('Données projet'!$B$10,Paramètres!$A$1:$I$89,3,0)*VLOOKUP('Données projet'!$B$10,Paramètres!$A$1:$I$89,5,0)</f>
        <v>-1.9065282685915009E-13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302.20483575440988</v>
      </c>
      <c r="AO191" s="60">
        <f t="shared" si="144"/>
        <v>275.32862097158687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8.6535728348486926E-2</v>
      </c>
      <c r="AW191" s="23">
        <f>EXP(-LN(2)/2)*AW190+(1-EXP(-LN(2)/2))/(LN(2)/2)*AQ191*AT191*VLOOKUP('Données projet'!$B$10,Paramètres!$A$1:$I$89,3,0)*0.475*44/12</f>
        <v>1.456867690385731E-23</v>
      </c>
      <c r="AX191" s="23">
        <f t="shared" si="166"/>
        <v>8.6535728348486926E-2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-1.7053025658242404E-13</v>
      </c>
      <c r="BE191" s="14">
        <f>BD191*VLOOKUP('Données projet'!$B$11,Paramètres!$A$1:$I$89,3,0)*VLOOKUP('Données projet'!$B$11,Paramètres!$A$1:$I$89,5,0)</f>
        <v>-1.4897523215040567E-13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314.62110015707839</v>
      </c>
      <c r="BJ191" s="60">
        <f t="shared" si="146"/>
        <v>285.36905470736582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-9.6633812063373625E-13</v>
      </c>
      <c r="BZ191" s="14">
        <f>BY191*VLOOKUP('Données projet'!$B$12,Paramètres!$A$1:$I$89,3,0)*VLOOKUP('Données projet'!$B$12,Paramètres!$A$1:$I$89,5,0)</f>
        <v>-8.7434273154940449E-13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303.73499739059076</v>
      </c>
      <c r="CE191" s="60">
        <f t="shared" si="148"/>
        <v>172.32171001882188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-9.6633812063373625E-13</v>
      </c>
      <c r="CU191" s="18">
        <f>CT191*VLOOKUP('Données projet'!$B$13,Paramètres!$A$1:$I$89,3,0)*VLOOKUP('Données projet'!$B$13,Paramètres!$A$1:$I$89,5,0)</f>
        <v>-9.7986685432260874E-13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350.3652766444938</v>
      </c>
      <c r="CZ191" s="60">
        <f t="shared" si="150"/>
        <v>197.04549436738586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-9.6633812063373625E-13</v>
      </c>
      <c r="DP191" s="18">
        <f>DO191*VLOOKUP('Données projet'!$B$14,Paramètres!$A$1:$I$89,3,0)*VLOOKUP('Données projet'!$B$14,Paramètres!$A$1:$I$89,5,0)</f>
        <v>-1.0401663530501537E-12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376.96388721258387</v>
      </c>
      <c r="DU191" s="60">
        <f t="shared" si="152"/>
        <v>211.14628470344377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-9.6633812063373625E-13</v>
      </c>
      <c r="EK191" s="18">
        <f>EJ191*VLOOKUP('Données projet'!$B$15,Paramètres!$A$1:$I$89,3,0)*VLOOKUP('Données projet'!$B$15,Paramètres!$A$1:$I$89,5,0)</f>
        <v>-9.3464223027694966E-13</v>
      </c>
      <c r="EL191" s="14" t="e">
        <f t="shared" si="179"/>
        <v>#NUM!</v>
      </c>
      <c r="EM191" s="22" t="e">
        <f t="shared" si="180"/>
        <v>#NUM!</v>
      </c>
      <c r="EN191" s="60" t="e">
        <f t="shared" si="128"/>
        <v>#NUM!</v>
      </c>
      <c r="EO191" s="60">
        <f ca="1">AVERAGE(OFFSET($EN$3,0,0,'Données projet'!$E$15+1,1))-AVERAGE(OFFSET($H$3,0,0,'Données projet'!$E$15+1,1))</f>
        <v>330.39429528665841</v>
      </c>
      <c r="EP191" s="60">
        <f t="shared" si="154"/>
        <v>186.45728006007261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8">
        <f t="shared" si="110"/>
        <v>521.34454119656175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-3.3992364478763198E-14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155.11440101086782</v>
      </c>
      <c r="T192" s="60">
        <f t="shared" si="142"/>
        <v>239.53454701506638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0.57900160484737717</v>
      </c>
      <c r="AA192" s="23">
        <f>EXP(-LN(2)/25)*AA191+(1-EXP(-LN(2)/25))/(LN(2)/25)*Calculateur!V192*Calculateur!X192*VLOOKUP('Données projet'!$B$9,Paramètres!$A$1:$I$89,3,0)*0.475*44/12</f>
        <v>8.8167787375426174E-2</v>
      </c>
      <c r="AB192" s="23">
        <f>EXP(-LN(2)/2)*AB191+(1-EXP(-LN(2)/2))/(LN(2)/2)*V192*Y192*VLOOKUP('Données projet'!$B$9,Paramètres!$A$1:$I$89,3,0)*0.475*44/12</f>
        <v>3.4497032188109371E-24</v>
      </c>
      <c r="AC192" s="24">
        <f t="shared" si="163"/>
        <v>0.66716939222280336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-3.4106051316484809E-13</v>
      </c>
      <c r="AJ192" s="14">
        <f>AI192*VLOOKUP('Données projet'!$B$10,Paramètres!$A$1:$I$89,3,0)*VLOOKUP('Données projet'!$B$10,Paramètres!$A$1:$I$89,5,0)</f>
        <v>-1.9065282685915009E-13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302.20483575440988</v>
      </c>
      <c r="AO192" s="60">
        <f t="shared" si="144"/>
        <v>275.32862097158687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8.4169404306081372E-2</v>
      </c>
      <c r="AW192" s="23">
        <f>EXP(-LN(2)/2)*AW191+(1-EXP(-LN(2)/2))/(LN(2)/2)*AQ192*AT192*VLOOKUP('Données projet'!$B$10,Paramètres!$A$1:$I$89,3,0)*0.475*44/12</f>
        <v>1.030161023163334E-23</v>
      </c>
      <c r="AX192" s="23">
        <f t="shared" si="166"/>
        <v>8.4169404306081372E-2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-1.7053025658242404E-13</v>
      </c>
      <c r="BE192" s="14">
        <f>BD192*VLOOKUP('Données projet'!$B$11,Paramètres!$A$1:$I$89,3,0)*VLOOKUP('Données projet'!$B$11,Paramètres!$A$1:$I$89,5,0)</f>
        <v>-1.4897523215040567E-13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314.62110015707839</v>
      </c>
      <c r="BJ192" s="60">
        <f t="shared" si="146"/>
        <v>285.36905470736582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-9.6633812063373625E-13</v>
      </c>
      <c r="BZ192" s="14">
        <f>BY192*VLOOKUP('Données projet'!$B$12,Paramètres!$A$1:$I$89,3,0)*VLOOKUP('Données projet'!$B$12,Paramètres!$A$1:$I$89,5,0)</f>
        <v>-8.7434273154940449E-13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303.73499739059076</v>
      </c>
      <c r="CE192" s="60">
        <f t="shared" si="148"/>
        <v>172.32171001882188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-9.6633812063373625E-13</v>
      </c>
      <c r="CU192" s="18">
        <f>CT192*VLOOKUP('Données projet'!$B$13,Paramètres!$A$1:$I$89,3,0)*VLOOKUP('Données projet'!$B$13,Paramètres!$A$1:$I$89,5,0)</f>
        <v>-9.7986685432260874E-13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350.3652766444938</v>
      </c>
      <c r="CZ192" s="60">
        <f t="shared" si="150"/>
        <v>197.04549436738586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-9.6633812063373625E-13</v>
      </c>
      <c r="DP192" s="18">
        <f>DO192*VLOOKUP('Données projet'!$B$14,Paramètres!$A$1:$I$89,3,0)*VLOOKUP('Données projet'!$B$14,Paramètres!$A$1:$I$89,5,0)</f>
        <v>-1.0401663530501537E-12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376.96388721258387</v>
      </c>
      <c r="DU192" s="60">
        <f t="shared" si="152"/>
        <v>211.14628470344377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-9.6633812063373625E-13</v>
      </c>
      <c r="EK192" s="18">
        <f>EJ192*VLOOKUP('Données projet'!$B$15,Paramètres!$A$1:$I$89,3,0)*VLOOKUP('Données projet'!$B$15,Paramètres!$A$1:$I$89,5,0)</f>
        <v>-9.3464223027694966E-13</v>
      </c>
      <c r="EL192" s="14" t="e">
        <f t="shared" si="179"/>
        <v>#NUM!</v>
      </c>
      <c r="EM192" s="22" t="e">
        <f t="shared" si="180"/>
        <v>#NUM!</v>
      </c>
      <c r="EN192" s="60" t="e">
        <f t="shared" si="128"/>
        <v>#NUM!</v>
      </c>
      <c r="EO192" s="60">
        <f ca="1">AVERAGE(OFFSET($EN$3,0,0,'Données projet'!$E$15+1,1))-AVERAGE(OFFSET($H$3,0,0,'Données projet'!$E$15+1,1))</f>
        <v>330.39429528665841</v>
      </c>
      <c r="EP192" s="60">
        <f t="shared" si="154"/>
        <v>186.45728006007261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8">
        <f t="shared" si="110"/>
        <v>522.52114496161767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-3.3992364478763198E-14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155.11440101086782</v>
      </c>
      <c r="T193" s="60">
        <f t="shared" si="142"/>
        <v>239.53454701506638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0.56764773653242784</v>
      </c>
      <c r="AA193" s="23">
        <f>EXP(-LN(2)/25)*AA192+(1-EXP(-LN(2)/25))/(LN(2)/25)*Calculateur!V193*Calculateur!X193*VLOOKUP('Données projet'!$B$9,Paramètres!$A$1:$I$89,3,0)*0.475*44/12</f>
        <v>8.5756834593102724E-2</v>
      </c>
      <c r="AB193" s="23">
        <f>EXP(-LN(2)/2)*AB192+(1-EXP(-LN(2)/2))/(LN(2)/2)*V193*Y193*VLOOKUP('Données projet'!$B$9,Paramètres!$A$1:$I$89,3,0)*0.475*44/12</f>
        <v>2.439308539102274E-24</v>
      </c>
      <c r="AC193" s="24">
        <f t="shared" si="163"/>
        <v>0.65340457112553052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-3.4106051316484809E-13</v>
      </c>
      <c r="AJ193" s="14">
        <f>AI193*VLOOKUP('Données projet'!$B$10,Paramètres!$A$1:$I$89,3,0)*VLOOKUP('Données projet'!$B$10,Paramètres!$A$1:$I$89,5,0)</f>
        <v>-1.9065282685915009E-13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302.20483575440988</v>
      </c>
      <c r="AO193" s="60">
        <f t="shared" si="144"/>
        <v>275.32862097158687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8.1867787519054977E-2</v>
      </c>
      <c r="AW193" s="23">
        <f>EXP(-LN(2)/2)*AW192+(1-EXP(-LN(2)/2))/(LN(2)/2)*AQ193*AT193*VLOOKUP('Données projet'!$B$10,Paramètres!$A$1:$I$89,3,0)*0.475*44/12</f>
        <v>7.2843384519286552E-24</v>
      </c>
      <c r="AX193" s="23">
        <f t="shared" si="166"/>
        <v>8.1867787519054977E-2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-1.7053025658242404E-13</v>
      </c>
      <c r="BE193" s="14">
        <f>BD193*VLOOKUP('Données projet'!$B$11,Paramètres!$A$1:$I$89,3,0)*VLOOKUP('Données projet'!$B$11,Paramètres!$A$1:$I$89,5,0)</f>
        <v>-1.4897523215040567E-13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314.62110015707839</v>
      </c>
      <c r="BJ193" s="60">
        <f t="shared" si="146"/>
        <v>285.36905470736582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-9.6633812063373625E-13</v>
      </c>
      <c r="BZ193" s="14">
        <f>BY193*VLOOKUP('Données projet'!$B$12,Paramètres!$A$1:$I$89,3,0)*VLOOKUP('Données projet'!$B$12,Paramètres!$A$1:$I$89,5,0)</f>
        <v>-8.7434273154940449E-13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303.73499739059076</v>
      </c>
      <c r="CE193" s="60">
        <f t="shared" si="148"/>
        <v>172.32171001882188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-9.6633812063373625E-13</v>
      </c>
      <c r="CU193" s="18">
        <f>CT193*VLOOKUP('Données projet'!$B$13,Paramètres!$A$1:$I$89,3,0)*VLOOKUP('Données projet'!$B$13,Paramètres!$A$1:$I$89,5,0)</f>
        <v>-9.7986685432260874E-13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350.3652766444938</v>
      </c>
      <c r="CZ193" s="60">
        <f t="shared" si="150"/>
        <v>197.04549436738586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-9.6633812063373625E-13</v>
      </c>
      <c r="DP193" s="18">
        <f>DO193*VLOOKUP('Données projet'!$B$14,Paramètres!$A$1:$I$89,3,0)*VLOOKUP('Données projet'!$B$14,Paramètres!$A$1:$I$89,5,0)</f>
        <v>-1.0401663530501537E-12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376.96388721258387</v>
      </c>
      <c r="DU193" s="60">
        <f t="shared" si="152"/>
        <v>211.14628470344377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-9.6633812063373625E-13</v>
      </c>
      <c r="EK193" s="18">
        <f>EJ193*VLOOKUP('Données projet'!$B$15,Paramètres!$A$1:$I$89,3,0)*VLOOKUP('Données projet'!$B$15,Paramètres!$A$1:$I$89,5,0)</f>
        <v>-9.3464223027694966E-13</v>
      </c>
      <c r="EL193" s="14" t="e">
        <f t="shared" si="179"/>
        <v>#NUM!</v>
      </c>
      <c r="EM193" s="22" t="e">
        <f t="shared" si="180"/>
        <v>#NUM!</v>
      </c>
      <c r="EN193" s="60" t="e">
        <f t="shared" si="128"/>
        <v>#NUM!</v>
      </c>
      <c r="EO193" s="60">
        <f ca="1">AVERAGE(OFFSET($EN$3,0,0,'Données projet'!$E$15+1,1))-AVERAGE(OFFSET($H$3,0,0,'Données projet'!$E$15+1,1))</f>
        <v>330.39429528665841</v>
      </c>
      <c r="EP193" s="60">
        <f t="shared" si="154"/>
        <v>186.45728006007261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8">
        <f t="shared" si="110"/>
        <v>523.69761052571369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-3.3992364478763198E-14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155.11440101086782</v>
      </c>
      <c r="T194" s="60">
        <f t="shared" si="142"/>
        <v>239.53454701506638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0.55651651064995877</v>
      </c>
      <c r="AA194" s="23">
        <f>EXP(-LN(2)/25)*AA193+(1-EXP(-LN(2)/25))/(LN(2)/25)*Calculateur!V194*Calculateur!X194*VLOOKUP('Données projet'!$B$9,Paramètres!$A$1:$I$89,3,0)*0.475*44/12</f>
        <v>8.3411809441398393E-2</v>
      </c>
      <c r="AB194" s="23">
        <f>EXP(-LN(2)/2)*AB193+(1-EXP(-LN(2)/2))/(LN(2)/2)*V194*Y194*VLOOKUP('Données projet'!$B$9,Paramètres!$A$1:$I$89,3,0)*0.475*44/12</f>
        <v>1.7248516094054685E-24</v>
      </c>
      <c r="AC194" s="24">
        <f t="shared" si="163"/>
        <v>0.63992832009135714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-3.4106051316484809E-13</v>
      </c>
      <c r="AJ194" s="14">
        <f>AI194*VLOOKUP('Données projet'!$B$10,Paramètres!$A$1:$I$89,3,0)*VLOOKUP('Données projet'!$B$10,Paramètres!$A$1:$I$89,5,0)</f>
        <v>-1.9065282685915009E-13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302.20483575440988</v>
      </c>
      <c r="AO194" s="60">
        <f t="shared" si="144"/>
        <v>275.32862097158687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7.9629108564106585E-2</v>
      </c>
      <c r="AW194" s="23">
        <f>EXP(-LN(2)/2)*AW193+(1-EXP(-LN(2)/2))/(LN(2)/2)*AQ194*AT194*VLOOKUP('Données projet'!$B$10,Paramètres!$A$1:$I$89,3,0)*0.475*44/12</f>
        <v>5.1508051158166699E-24</v>
      </c>
      <c r="AX194" s="23">
        <f t="shared" si="166"/>
        <v>7.9629108564106585E-2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-1.7053025658242404E-13</v>
      </c>
      <c r="BE194" s="14">
        <f>BD194*VLOOKUP('Données projet'!$B$11,Paramètres!$A$1:$I$89,3,0)*VLOOKUP('Données projet'!$B$11,Paramètres!$A$1:$I$89,5,0)</f>
        <v>-1.4897523215040567E-13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314.62110015707839</v>
      </c>
      <c r="BJ194" s="60">
        <f t="shared" si="146"/>
        <v>285.36905470736582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-9.6633812063373625E-13</v>
      </c>
      <c r="BZ194" s="14">
        <f>BY194*VLOOKUP('Données projet'!$B$12,Paramètres!$A$1:$I$89,3,0)*VLOOKUP('Données projet'!$B$12,Paramètres!$A$1:$I$89,5,0)</f>
        <v>-8.7434273154940449E-13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303.73499739059076</v>
      </c>
      <c r="CE194" s="60">
        <f t="shared" si="148"/>
        <v>172.32171001882188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-9.6633812063373625E-13</v>
      </c>
      <c r="CU194" s="18">
        <f>CT194*VLOOKUP('Données projet'!$B$13,Paramètres!$A$1:$I$89,3,0)*VLOOKUP('Données projet'!$B$13,Paramètres!$A$1:$I$89,5,0)</f>
        <v>-9.7986685432260874E-13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350.3652766444938</v>
      </c>
      <c r="CZ194" s="60">
        <f t="shared" si="150"/>
        <v>197.04549436738586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-9.6633812063373625E-13</v>
      </c>
      <c r="DP194" s="18">
        <f>DO194*VLOOKUP('Données projet'!$B$14,Paramètres!$A$1:$I$89,3,0)*VLOOKUP('Données projet'!$B$14,Paramètres!$A$1:$I$89,5,0)</f>
        <v>-1.0401663530501537E-12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376.96388721258387</v>
      </c>
      <c r="DU194" s="60">
        <f t="shared" si="152"/>
        <v>211.14628470344377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-9.6633812063373625E-13</v>
      </c>
      <c r="EK194" s="18">
        <f>EJ194*VLOOKUP('Données projet'!$B$15,Paramètres!$A$1:$I$89,3,0)*VLOOKUP('Données projet'!$B$15,Paramètres!$A$1:$I$89,5,0)</f>
        <v>-9.3464223027694966E-13</v>
      </c>
      <c r="EL194" s="14" t="e">
        <f t="shared" si="179"/>
        <v>#NUM!</v>
      </c>
      <c r="EM194" s="22" t="e">
        <f t="shared" si="180"/>
        <v>#NUM!</v>
      </c>
      <c r="EN194" s="60" t="e">
        <f t="shared" si="128"/>
        <v>#NUM!</v>
      </c>
      <c r="EO194" s="60">
        <f ca="1">AVERAGE(OFFSET($EN$3,0,0,'Données projet'!$E$15+1,1))-AVERAGE(OFFSET($H$3,0,0,'Données projet'!$E$15+1,1))</f>
        <v>330.39429528665841</v>
      </c>
      <c r="EP194" s="60">
        <f t="shared" si="154"/>
        <v>186.45728006007261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8">
        <f t="shared" si="110"/>
        <v>524.87393869639902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-3.3992364478763198E-14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155.11440101086782</v>
      </c>
      <c r="T195" s="60">
        <f t="shared" si="142"/>
        <v>239.53454701506638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0.54560356131766752</v>
      </c>
      <c r="AA195" s="23">
        <f>EXP(-LN(2)/25)*AA194+(1-EXP(-LN(2)/25))/(LN(2)/25)*Calculateur!V195*Calculateur!X195*VLOOKUP('Données projet'!$B$9,Paramètres!$A$1:$I$89,3,0)*0.475*44/12</f>
        <v>8.1130909125786937E-2</v>
      </c>
      <c r="AB195" s="23">
        <f>EXP(-LN(2)/2)*AB194+(1-EXP(-LN(2)/2))/(LN(2)/2)*V195*Y195*VLOOKUP('Données projet'!$B$9,Paramètres!$A$1:$I$89,3,0)*0.475*44/12</f>
        <v>1.219654269551137E-24</v>
      </c>
      <c r="AC195" s="24">
        <f t="shared" si="163"/>
        <v>0.62673447044345443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-3.4106051316484809E-13</v>
      </c>
      <c r="AJ195" s="14">
        <f>AI195*VLOOKUP('Données projet'!$B$10,Paramètres!$A$1:$I$89,3,0)*VLOOKUP('Données projet'!$B$10,Paramètres!$A$1:$I$89,5,0)</f>
        <v>-1.9065282685915009E-13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302.20483575440988</v>
      </c>
      <c r="AO195" s="60">
        <f t="shared" si="144"/>
        <v>275.32862097158687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7.7451646402908261E-2</v>
      </c>
      <c r="AW195" s="23">
        <f>EXP(-LN(2)/2)*AW194+(1-EXP(-LN(2)/2))/(LN(2)/2)*AQ195*AT195*VLOOKUP('Données projet'!$B$10,Paramètres!$A$1:$I$89,3,0)*0.475*44/12</f>
        <v>3.6421692259643276E-24</v>
      </c>
      <c r="AX195" s="23">
        <f t="shared" si="166"/>
        <v>7.7451646402908261E-2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-1.7053025658242404E-13</v>
      </c>
      <c r="BE195" s="14">
        <f>BD195*VLOOKUP('Données projet'!$B$11,Paramètres!$A$1:$I$89,3,0)*VLOOKUP('Données projet'!$B$11,Paramètres!$A$1:$I$89,5,0)</f>
        <v>-1.4897523215040567E-13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314.62110015707839</v>
      </c>
      <c r="BJ195" s="60">
        <f t="shared" si="146"/>
        <v>285.36905470736582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-9.6633812063373625E-13</v>
      </c>
      <c r="BZ195" s="14">
        <f>BY195*VLOOKUP('Données projet'!$B$12,Paramètres!$A$1:$I$89,3,0)*VLOOKUP('Données projet'!$B$12,Paramètres!$A$1:$I$89,5,0)</f>
        <v>-8.7434273154940449E-13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303.73499739059076</v>
      </c>
      <c r="CE195" s="60">
        <f t="shared" si="148"/>
        <v>172.32171001882188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-9.6633812063373625E-13</v>
      </c>
      <c r="CU195" s="18">
        <f>CT195*VLOOKUP('Données projet'!$B$13,Paramètres!$A$1:$I$89,3,0)*VLOOKUP('Données projet'!$B$13,Paramètres!$A$1:$I$89,5,0)</f>
        <v>-9.7986685432260874E-13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350.3652766444938</v>
      </c>
      <c r="CZ195" s="60">
        <f t="shared" si="150"/>
        <v>197.04549436738586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-9.6633812063373625E-13</v>
      </c>
      <c r="DP195" s="18">
        <f>DO195*VLOOKUP('Données projet'!$B$14,Paramètres!$A$1:$I$89,3,0)*VLOOKUP('Données projet'!$B$14,Paramètres!$A$1:$I$89,5,0)</f>
        <v>-1.0401663530501537E-12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376.96388721258387</v>
      </c>
      <c r="DU195" s="60">
        <f t="shared" si="152"/>
        <v>211.14628470344377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-9.6633812063373625E-13</v>
      </c>
      <c r="EK195" s="18">
        <f>EJ195*VLOOKUP('Données projet'!$B$15,Paramètres!$A$1:$I$89,3,0)*VLOOKUP('Données projet'!$B$15,Paramètres!$A$1:$I$89,5,0)</f>
        <v>-9.3464223027694966E-13</v>
      </c>
      <c r="EL195" s="14" t="e">
        <f t="shared" si="179"/>
        <v>#NUM!</v>
      </c>
      <c r="EM195" s="22" t="e">
        <f t="shared" si="180"/>
        <v>#NUM!</v>
      </c>
      <c r="EN195" s="60" t="e">
        <f t="shared" si="128"/>
        <v>#NUM!</v>
      </c>
      <c r="EO195" s="60">
        <f ca="1">AVERAGE(OFFSET($EN$3,0,0,'Données projet'!$E$15+1,1))-AVERAGE(OFFSET($H$3,0,0,'Données projet'!$E$15+1,1))</f>
        <v>330.39429528665841</v>
      </c>
      <c r="EP195" s="60">
        <f t="shared" si="154"/>
        <v>186.45728006007261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8">
        <f t="shared" ref="H196:H203" si="192">(B196+E196+F196)*44/12+(C196+D196)*0.475*44/12</f>
        <v>526.0501302723244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-3.3992364478763198E-14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155.11440101086782</v>
      </c>
      <c r="T196" s="60">
        <f t="shared" si="142"/>
        <v>239.53454701506638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0.53490460826554065</v>
      </c>
      <c r="AA196" s="23">
        <f>EXP(-LN(2)/25)*AA195+(1-EXP(-LN(2)/25))/(LN(2)/25)*Calculateur!V196*Calculateur!X196*VLOOKUP('Données projet'!$B$9,Paramètres!$A$1:$I$89,3,0)*0.475*44/12</f>
        <v>7.8912380149253211E-2</v>
      </c>
      <c r="AB196" s="23">
        <f>EXP(-LN(2)/2)*AB195+(1-EXP(-LN(2)/2))/(LN(2)/2)*V196*Y196*VLOOKUP('Données projet'!$B$9,Paramètres!$A$1:$I$89,3,0)*0.475*44/12</f>
        <v>8.6242580470273426E-25</v>
      </c>
      <c r="AC196" s="24">
        <f t="shared" si="163"/>
        <v>0.61381698841479382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-3.4106051316484809E-13</v>
      </c>
      <c r="AJ196" s="14">
        <f>AI196*VLOOKUP('Données projet'!$B$10,Paramètres!$A$1:$I$89,3,0)*VLOOKUP('Données projet'!$B$10,Paramètres!$A$1:$I$89,5,0)</f>
        <v>-1.9065282685915009E-13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302.20483575440988</v>
      </c>
      <c r="AO196" s="60">
        <f t="shared" si="144"/>
        <v>275.32862097158687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7.533372705901567E-2</v>
      </c>
      <c r="AW196" s="23">
        <f>EXP(-LN(2)/2)*AW195+(1-EXP(-LN(2)/2))/(LN(2)/2)*AQ196*AT196*VLOOKUP('Données projet'!$B$10,Paramètres!$A$1:$I$89,3,0)*0.475*44/12</f>
        <v>2.5754025579083349E-24</v>
      </c>
      <c r="AX196" s="23">
        <f t="shared" si="166"/>
        <v>7.533372705901567E-2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-1.7053025658242404E-13</v>
      </c>
      <c r="BE196" s="14">
        <f>BD196*VLOOKUP('Données projet'!$B$11,Paramètres!$A$1:$I$89,3,0)*VLOOKUP('Données projet'!$B$11,Paramètres!$A$1:$I$89,5,0)</f>
        <v>-1.4897523215040567E-13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314.62110015707839</v>
      </c>
      <c r="BJ196" s="60">
        <f t="shared" si="146"/>
        <v>285.36905470736582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-9.6633812063373625E-13</v>
      </c>
      <c r="BZ196" s="14">
        <f>BY196*VLOOKUP('Données projet'!$B$12,Paramètres!$A$1:$I$89,3,0)*VLOOKUP('Données projet'!$B$12,Paramètres!$A$1:$I$89,5,0)</f>
        <v>-8.7434273154940449E-13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303.73499739059076</v>
      </c>
      <c r="CE196" s="60">
        <f t="shared" si="148"/>
        <v>172.32171001882188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-9.6633812063373625E-13</v>
      </c>
      <c r="CU196" s="18">
        <f>CT196*VLOOKUP('Données projet'!$B$13,Paramètres!$A$1:$I$89,3,0)*VLOOKUP('Données projet'!$B$13,Paramètres!$A$1:$I$89,5,0)</f>
        <v>-9.7986685432260874E-13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350.3652766444938</v>
      </c>
      <c r="CZ196" s="60">
        <f t="shared" si="150"/>
        <v>197.04549436738586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-9.6633812063373625E-13</v>
      </c>
      <c r="DP196" s="18">
        <f>DO196*VLOOKUP('Données projet'!$B$14,Paramètres!$A$1:$I$89,3,0)*VLOOKUP('Données projet'!$B$14,Paramètres!$A$1:$I$89,5,0)</f>
        <v>-1.0401663530501537E-12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376.96388721258387</v>
      </c>
      <c r="DU196" s="60">
        <f t="shared" si="152"/>
        <v>211.14628470344377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-9.6633812063373625E-13</v>
      </c>
      <c r="EK196" s="18">
        <f>EJ196*VLOOKUP('Données projet'!$B$15,Paramètres!$A$1:$I$89,3,0)*VLOOKUP('Données projet'!$B$15,Paramètres!$A$1:$I$89,5,0)</f>
        <v>-9.3464223027694966E-13</v>
      </c>
      <c r="EL196" s="14" t="e">
        <f t="shared" si="179"/>
        <v>#NUM!</v>
      </c>
      <c r="EM196" s="22" t="e">
        <f t="shared" si="180"/>
        <v>#NUM!</v>
      </c>
      <c r="EN196" s="60" t="e">
        <f t="shared" ref="EN196:EN203" si="198">EM196+(EE196+EF196)*44/12</f>
        <v>#NUM!</v>
      </c>
      <c r="EO196" s="60">
        <f ca="1">AVERAGE(OFFSET($EN$3,0,0,'Données projet'!$E$15+1,1))-AVERAGE(OFFSET($H$3,0,0,'Données projet'!$E$15+1,1))</f>
        <v>330.39429528665841</v>
      </c>
      <c r="EP196" s="60">
        <f t="shared" si="154"/>
        <v>186.45728006007261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8">
        <f t="shared" si="192"/>
        <v>527.22618604338504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-3.3992364478763198E-14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155.11440101086782</v>
      </c>
      <c r="T197" s="60">
        <f t="shared" ref="T197:T203" si="204">$T$3</f>
        <v>239.53454701506638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0.52441545515704902</v>
      </c>
      <c r="AA197" s="23">
        <f>EXP(-LN(2)/25)*AA196+(1-EXP(-LN(2)/25))/(LN(2)/25)*Calculateur!V197*Calculateur!X197*VLOOKUP('Données projet'!$B$9,Paramètres!$A$1:$I$89,3,0)*0.475*44/12</f>
        <v>7.6754516964250161E-2</v>
      </c>
      <c r="AB197" s="23">
        <f>EXP(-LN(2)/2)*AB196+(1-EXP(-LN(2)/2))/(LN(2)/2)*V197*Y197*VLOOKUP('Données projet'!$B$9,Paramètres!$A$1:$I$89,3,0)*0.475*44/12</f>
        <v>6.098271347755685E-25</v>
      </c>
      <c r="AC197" s="24">
        <f t="shared" si="163"/>
        <v>0.60116997212129919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-3.4106051316484809E-13</v>
      </c>
      <c r="AJ197" s="14">
        <f>AI197*VLOOKUP('Données projet'!$B$10,Paramètres!$A$1:$I$89,3,0)*VLOOKUP('Données projet'!$B$10,Paramètres!$A$1:$I$89,5,0)</f>
        <v>-1.9065282685915009E-13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302.20483575440988</v>
      </c>
      <c r="AO197" s="60">
        <f t="shared" ref="AO197:AO203" si="205">$AO$3</f>
        <v>275.32862097158687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7.3273722330958357E-2</v>
      </c>
      <c r="AW197" s="23">
        <f>EXP(-LN(2)/2)*AW196+(1-EXP(-LN(2)/2))/(LN(2)/2)*AQ197*AT197*VLOOKUP('Données projet'!$B$10,Paramètres!$A$1:$I$89,3,0)*0.475*44/12</f>
        <v>1.8210846129821638E-24</v>
      </c>
      <c r="AX197" s="23">
        <f t="shared" si="166"/>
        <v>7.3273722330958357E-2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-1.7053025658242404E-13</v>
      </c>
      <c r="BE197" s="14">
        <f>BD197*VLOOKUP('Données projet'!$B$11,Paramètres!$A$1:$I$89,3,0)*VLOOKUP('Données projet'!$B$11,Paramètres!$A$1:$I$89,5,0)</f>
        <v>-1.4897523215040567E-13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314.62110015707839</v>
      </c>
      <c r="BJ197" s="60">
        <f t="shared" ref="BJ197:BJ203" si="206">$BJ$3</f>
        <v>285.36905470736582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-9.6633812063373625E-13</v>
      </c>
      <c r="BZ197" s="14">
        <f>BY197*VLOOKUP('Données projet'!$B$12,Paramètres!$A$1:$I$89,3,0)*VLOOKUP('Données projet'!$B$12,Paramètres!$A$1:$I$89,5,0)</f>
        <v>-8.7434273154940449E-13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303.73499739059076</v>
      </c>
      <c r="CE197" s="60">
        <f t="shared" ref="CE197:CE203" si="207">$CE$3</f>
        <v>172.32171001882188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-9.6633812063373625E-13</v>
      </c>
      <c r="CU197" s="18">
        <f>CT197*VLOOKUP('Données projet'!$B$13,Paramètres!$A$1:$I$89,3,0)*VLOOKUP('Données projet'!$B$13,Paramètres!$A$1:$I$89,5,0)</f>
        <v>-9.7986685432260874E-13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350.3652766444938</v>
      </c>
      <c r="CZ197" s="60">
        <f t="shared" ref="CZ197:CZ203" si="208">$CZ$3</f>
        <v>197.04549436738586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-9.6633812063373625E-13</v>
      </c>
      <c r="DP197" s="18">
        <f>DO197*VLOOKUP('Données projet'!$B$14,Paramètres!$A$1:$I$89,3,0)*VLOOKUP('Données projet'!$B$14,Paramètres!$A$1:$I$89,5,0)</f>
        <v>-1.0401663530501537E-12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376.96388721258387</v>
      </c>
      <c r="DU197" s="60">
        <f t="shared" ref="DU197:DU203" si="209">$DU$3</f>
        <v>211.14628470344377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-9.6633812063373625E-13</v>
      </c>
      <c r="EK197" s="18">
        <f>EJ197*VLOOKUP('Données projet'!$B$15,Paramètres!$A$1:$I$89,3,0)*VLOOKUP('Données projet'!$B$15,Paramètres!$A$1:$I$89,5,0)</f>
        <v>-9.3464223027694966E-13</v>
      </c>
      <c r="EL197" s="14" t="e">
        <f t="shared" si="179"/>
        <v>#NUM!</v>
      </c>
      <c r="EM197" s="22" t="e">
        <f t="shared" si="180"/>
        <v>#NUM!</v>
      </c>
      <c r="EN197" s="60" t="e">
        <f t="shared" si="198"/>
        <v>#NUM!</v>
      </c>
      <c r="EO197" s="60">
        <f ca="1">AVERAGE(OFFSET($EN$3,0,0,'Données projet'!$E$15+1,1))-AVERAGE(OFFSET($H$3,0,0,'Données projet'!$E$15+1,1))</f>
        <v>330.39429528665841</v>
      </c>
      <c r="EP197" s="60">
        <f t="shared" ref="EP197:EP203" si="210">$EP$3</f>
        <v>186.45728006007261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8">
        <f t="shared" si="192"/>
        <v>528.40210679086135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-3.3992364478763198E-14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155.11440101086782</v>
      </c>
      <c r="T198" s="60">
        <f t="shared" si="204"/>
        <v>239.53454701506638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0.5141319879432632</v>
      </c>
      <c r="AA198" s="23">
        <f>EXP(-LN(2)/25)*AA197+(1-EXP(-LN(2)/25))/(LN(2)/25)*Calculateur!V198*Calculateur!X198*VLOOKUP('Données projet'!$B$9,Paramètres!$A$1:$I$89,3,0)*0.475*44/12</f>
        <v>7.4655660661518117E-2</v>
      </c>
      <c r="AB198" s="23">
        <f>EXP(-LN(2)/2)*AB197+(1-EXP(-LN(2)/2))/(LN(2)/2)*V198*Y198*VLOOKUP('Données projet'!$B$9,Paramètres!$A$1:$I$89,3,0)*0.475*44/12</f>
        <v>4.3121290235136713E-25</v>
      </c>
      <c r="AC198" s="24">
        <f t="shared" si="163"/>
        <v>0.58878764860478128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-3.4106051316484809E-13</v>
      </c>
      <c r="AJ198" s="14">
        <f>AI198*VLOOKUP('Données projet'!$B$10,Paramètres!$A$1:$I$89,3,0)*VLOOKUP('Données projet'!$B$10,Paramètres!$A$1:$I$89,5,0)</f>
        <v>-1.9065282685915009E-13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302.20483575440988</v>
      </c>
      <c r="AO198" s="60">
        <f t="shared" si="205"/>
        <v>275.32862097158687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7.1270048540520714E-2</v>
      </c>
      <c r="AW198" s="23">
        <f>EXP(-LN(2)/2)*AW197+(1-EXP(-LN(2)/2))/(LN(2)/2)*AQ198*AT198*VLOOKUP('Données projet'!$B$10,Paramètres!$A$1:$I$89,3,0)*0.475*44/12</f>
        <v>1.2877012789541675E-24</v>
      </c>
      <c r="AX198" s="23">
        <f t="shared" si="166"/>
        <v>7.1270048540520714E-2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-1.7053025658242404E-13</v>
      </c>
      <c r="BE198" s="14">
        <f>BD198*VLOOKUP('Données projet'!$B$11,Paramètres!$A$1:$I$89,3,0)*VLOOKUP('Données projet'!$B$11,Paramètres!$A$1:$I$89,5,0)</f>
        <v>-1.4897523215040567E-13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314.62110015707839</v>
      </c>
      <c r="BJ198" s="60">
        <f t="shared" si="206"/>
        <v>285.36905470736582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-9.6633812063373625E-13</v>
      </c>
      <c r="BZ198" s="14">
        <f>BY198*VLOOKUP('Données projet'!$B$12,Paramètres!$A$1:$I$89,3,0)*VLOOKUP('Données projet'!$B$12,Paramètres!$A$1:$I$89,5,0)</f>
        <v>-8.7434273154940449E-13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303.73499739059076</v>
      </c>
      <c r="CE198" s="60">
        <f t="shared" si="207"/>
        <v>172.32171001882188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-9.6633812063373625E-13</v>
      </c>
      <c r="CU198" s="18">
        <f>CT198*VLOOKUP('Données projet'!$B$13,Paramètres!$A$1:$I$89,3,0)*VLOOKUP('Données projet'!$B$13,Paramètres!$A$1:$I$89,5,0)</f>
        <v>-9.7986685432260874E-13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350.3652766444938</v>
      </c>
      <c r="CZ198" s="60">
        <f t="shared" si="208"/>
        <v>197.04549436738586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-9.6633812063373625E-13</v>
      </c>
      <c r="DP198" s="18">
        <f>DO198*VLOOKUP('Données projet'!$B$14,Paramètres!$A$1:$I$89,3,0)*VLOOKUP('Données projet'!$B$14,Paramètres!$A$1:$I$89,5,0)</f>
        <v>-1.0401663530501537E-12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376.96388721258387</v>
      </c>
      <c r="DU198" s="60">
        <f t="shared" si="209"/>
        <v>211.14628470344377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-9.6633812063373625E-13</v>
      </c>
      <c r="EK198" s="18">
        <f>EJ198*VLOOKUP('Données projet'!$B$15,Paramètres!$A$1:$I$89,3,0)*VLOOKUP('Données projet'!$B$15,Paramètres!$A$1:$I$89,5,0)</f>
        <v>-9.3464223027694966E-13</v>
      </c>
      <c r="EL198" s="14" t="e">
        <f t="shared" si="179"/>
        <v>#NUM!</v>
      </c>
      <c r="EM198" s="22" t="e">
        <f t="shared" si="180"/>
        <v>#NUM!</v>
      </c>
      <c r="EN198" s="60" t="e">
        <f t="shared" si="198"/>
        <v>#NUM!</v>
      </c>
      <c r="EO198" s="60">
        <f ca="1">AVERAGE(OFFSET($EN$3,0,0,'Données projet'!$E$15+1,1))-AVERAGE(OFFSET($H$3,0,0,'Données projet'!$E$15+1,1))</f>
        <v>330.39429528665841</v>
      </c>
      <c r="EP198" s="60">
        <f t="shared" si="210"/>
        <v>186.45728006007261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8">
        <f t="shared" si="192"/>
        <v>529.57789328755689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-3.3992364478763198E-14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155.11440101086782</v>
      </c>
      <c r="T199" s="60">
        <f t="shared" si="204"/>
        <v>239.53454701506638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0.50405017324924406</v>
      </c>
      <c r="AA199" s="23">
        <f>EXP(-LN(2)/25)*AA198+(1-EXP(-LN(2)/25))/(LN(2)/25)*Calculateur!V199*Calculateur!X199*VLOOKUP('Données projet'!$B$9,Paramètres!$A$1:$I$89,3,0)*0.475*44/12</f>
        <v>7.261419769475834E-2</v>
      </c>
      <c r="AB199" s="23">
        <f>EXP(-LN(2)/2)*AB198+(1-EXP(-LN(2)/2))/(LN(2)/2)*V199*Y199*VLOOKUP('Données projet'!$B$9,Paramètres!$A$1:$I$89,3,0)*0.475*44/12</f>
        <v>3.0491356738778425E-25</v>
      </c>
      <c r="AC199" s="24">
        <f t="shared" si="163"/>
        <v>0.57666437094400236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-3.4106051316484809E-13</v>
      </c>
      <c r="AJ199" s="14">
        <f>AI199*VLOOKUP('Données projet'!$B$10,Paramètres!$A$1:$I$89,3,0)*VLOOKUP('Données projet'!$B$10,Paramètres!$A$1:$I$89,5,0)</f>
        <v>-1.9065282685915009E-13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302.20483575440988</v>
      </c>
      <c r="AO199" s="60">
        <f t="shared" si="205"/>
        <v>275.32862097158687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6.9321165315251218E-2</v>
      </c>
      <c r="AW199" s="23">
        <f>EXP(-LN(2)/2)*AW198+(1-EXP(-LN(2)/2))/(LN(2)/2)*AQ199*AT199*VLOOKUP('Données projet'!$B$10,Paramètres!$A$1:$I$89,3,0)*0.475*44/12</f>
        <v>9.1054230649108189E-25</v>
      </c>
      <c r="AX199" s="23">
        <f t="shared" si="166"/>
        <v>6.9321165315251218E-2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-1.7053025658242404E-13</v>
      </c>
      <c r="BE199" s="14">
        <f>BD199*VLOOKUP('Données projet'!$B$11,Paramètres!$A$1:$I$89,3,0)*VLOOKUP('Données projet'!$B$11,Paramètres!$A$1:$I$89,5,0)</f>
        <v>-1.4897523215040567E-13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314.62110015707839</v>
      </c>
      <c r="BJ199" s="60">
        <f t="shared" si="206"/>
        <v>285.36905470736582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-9.6633812063373625E-13</v>
      </c>
      <c r="BZ199" s="14">
        <f>BY199*VLOOKUP('Données projet'!$B$12,Paramètres!$A$1:$I$89,3,0)*VLOOKUP('Données projet'!$B$12,Paramètres!$A$1:$I$89,5,0)</f>
        <v>-8.7434273154940449E-13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303.73499739059076</v>
      </c>
      <c r="CE199" s="60">
        <f t="shared" si="207"/>
        <v>172.32171001882188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-9.6633812063373625E-13</v>
      </c>
      <c r="CU199" s="18">
        <f>CT199*VLOOKUP('Données projet'!$B$13,Paramètres!$A$1:$I$89,3,0)*VLOOKUP('Données projet'!$B$13,Paramètres!$A$1:$I$89,5,0)</f>
        <v>-9.7986685432260874E-13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350.3652766444938</v>
      </c>
      <c r="CZ199" s="60">
        <f t="shared" si="208"/>
        <v>197.04549436738586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-9.6633812063373625E-13</v>
      </c>
      <c r="DP199" s="18">
        <f>DO199*VLOOKUP('Données projet'!$B$14,Paramètres!$A$1:$I$89,3,0)*VLOOKUP('Données projet'!$B$14,Paramètres!$A$1:$I$89,5,0)</f>
        <v>-1.0401663530501537E-12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376.96388721258387</v>
      </c>
      <c r="DU199" s="60">
        <f t="shared" si="209"/>
        <v>211.14628470344377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-9.6633812063373625E-13</v>
      </c>
      <c r="EK199" s="18">
        <f>EJ199*VLOOKUP('Données projet'!$B$15,Paramètres!$A$1:$I$89,3,0)*VLOOKUP('Données projet'!$B$15,Paramètres!$A$1:$I$89,5,0)</f>
        <v>-9.3464223027694966E-13</v>
      </c>
      <c r="EL199" s="14" t="e">
        <f t="shared" si="179"/>
        <v>#NUM!</v>
      </c>
      <c r="EM199" s="22" t="e">
        <f t="shared" si="180"/>
        <v>#NUM!</v>
      </c>
      <c r="EN199" s="60" t="e">
        <f t="shared" si="198"/>
        <v>#NUM!</v>
      </c>
      <c r="EO199" s="60">
        <f ca="1">AVERAGE(OFFSET($EN$3,0,0,'Données projet'!$E$15+1,1))-AVERAGE(OFFSET($H$3,0,0,'Données projet'!$E$15+1,1))</f>
        <v>330.39429528665841</v>
      </c>
      <c r="EP199" s="60">
        <f t="shared" si="210"/>
        <v>186.45728006007261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8">
        <f t="shared" si="192"/>
        <v>530.75354629793264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-3.3992364478763198E-14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155.11440101086782</v>
      </c>
      <c r="T200" s="60">
        <f t="shared" si="204"/>
        <v>239.53454701506638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0.49416605679207487</v>
      </c>
      <c r="AA200" s="23">
        <f>EXP(-LN(2)/25)*AA199+(1-EXP(-LN(2)/25))/(LN(2)/25)*Calculateur!V200*Calculateur!X200*VLOOKUP('Données projet'!$B$9,Paramètres!$A$1:$I$89,3,0)*0.475*44/12</f>
        <v>7.0628558640180472E-2</v>
      </c>
      <c r="AB200" s="23">
        <f>EXP(-LN(2)/2)*AB199+(1-EXP(-LN(2)/2))/(LN(2)/2)*V200*Y200*VLOOKUP('Données projet'!$B$9,Paramètres!$A$1:$I$89,3,0)*0.475*44/12</f>
        <v>2.1560645117568357E-25</v>
      </c>
      <c r="AC200" s="24">
        <f t="shared" si="163"/>
        <v>0.5647946154322554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-3.4106051316484809E-13</v>
      </c>
      <c r="AJ200" s="14">
        <f>AI200*VLOOKUP('Données projet'!$B$10,Paramètres!$A$1:$I$89,3,0)*VLOOKUP('Données projet'!$B$10,Paramètres!$A$1:$I$89,5,0)</f>
        <v>-1.9065282685915009E-13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302.20483575440988</v>
      </c>
      <c r="AO200" s="60">
        <f t="shared" si="205"/>
        <v>275.32862097158687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6.7425574404264027E-2</v>
      </c>
      <c r="AW200" s="23">
        <f>EXP(-LN(2)/2)*AW199+(1-EXP(-LN(2)/2))/(LN(2)/2)*AQ200*AT200*VLOOKUP('Données projet'!$B$10,Paramètres!$A$1:$I$89,3,0)*0.475*44/12</f>
        <v>6.4385063947708374E-25</v>
      </c>
      <c r="AX200" s="23">
        <f t="shared" si="166"/>
        <v>6.7425574404264027E-2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-1.7053025658242404E-13</v>
      </c>
      <c r="BE200" s="14">
        <f>BD200*VLOOKUP('Données projet'!$B$11,Paramètres!$A$1:$I$89,3,0)*VLOOKUP('Données projet'!$B$11,Paramètres!$A$1:$I$89,5,0)</f>
        <v>-1.4897523215040567E-13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314.62110015707839</v>
      </c>
      <c r="BJ200" s="60">
        <f t="shared" si="206"/>
        <v>285.36905470736582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-9.6633812063373625E-13</v>
      </c>
      <c r="BZ200" s="14">
        <f>BY200*VLOOKUP('Données projet'!$B$12,Paramètres!$A$1:$I$89,3,0)*VLOOKUP('Données projet'!$B$12,Paramètres!$A$1:$I$89,5,0)</f>
        <v>-8.7434273154940449E-13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303.73499739059076</v>
      </c>
      <c r="CE200" s="60">
        <f t="shared" si="207"/>
        <v>172.32171001882188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-9.6633812063373625E-13</v>
      </c>
      <c r="CU200" s="18">
        <f>CT200*VLOOKUP('Données projet'!$B$13,Paramètres!$A$1:$I$89,3,0)*VLOOKUP('Données projet'!$B$13,Paramètres!$A$1:$I$89,5,0)</f>
        <v>-9.7986685432260874E-13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350.3652766444938</v>
      </c>
      <c r="CZ200" s="60">
        <f t="shared" si="208"/>
        <v>197.04549436738586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-9.6633812063373625E-13</v>
      </c>
      <c r="DP200" s="18">
        <f>DO200*VLOOKUP('Données projet'!$B$14,Paramètres!$A$1:$I$89,3,0)*VLOOKUP('Données projet'!$B$14,Paramètres!$A$1:$I$89,5,0)</f>
        <v>-1.0401663530501537E-12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376.96388721258387</v>
      </c>
      <c r="DU200" s="60">
        <f t="shared" si="209"/>
        <v>211.14628470344377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-9.6633812063373625E-13</v>
      </c>
      <c r="EK200" s="18">
        <f>EJ200*VLOOKUP('Données projet'!$B$15,Paramètres!$A$1:$I$89,3,0)*VLOOKUP('Données projet'!$B$15,Paramètres!$A$1:$I$89,5,0)</f>
        <v>-9.3464223027694966E-13</v>
      </c>
      <c r="EL200" s="14" t="e">
        <f t="shared" si="179"/>
        <v>#NUM!</v>
      </c>
      <c r="EM200" s="22" t="e">
        <f t="shared" si="180"/>
        <v>#NUM!</v>
      </c>
      <c r="EN200" s="60" t="e">
        <f t="shared" si="198"/>
        <v>#NUM!</v>
      </c>
      <c r="EO200" s="60">
        <f ca="1">AVERAGE(OFFSET($EN$3,0,0,'Données projet'!$E$15+1,1))-AVERAGE(OFFSET($H$3,0,0,'Données projet'!$E$15+1,1))</f>
        <v>330.39429528665841</v>
      </c>
      <c r="EP200" s="60">
        <f t="shared" si="210"/>
        <v>186.45728006007261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8">
        <f t="shared" si="192"/>
        <v>531.9290665782396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-3.3992364478763198E-14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155.11440101086782</v>
      </c>
      <c r="T201" s="60">
        <f t="shared" si="204"/>
        <v>239.53454701506638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0.48447576182991503</v>
      </c>
      <c r="AA201" s="23">
        <f>EXP(-LN(2)/25)*AA200+(1-EXP(-LN(2)/25))/(LN(2)/25)*Calculateur!V201*Calculateur!X201*VLOOKUP('Données projet'!$B$9,Paramètres!$A$1:$I$89,3,0)*0.475*44/12</f>
        <v>6.8697216989970264E-2</v>
      </c>
      <c r="AB201" s="23">
        <f>EXP(-LN(2)/2)*AB200+(1-EXP(-LN(2)/2))/(LN(2)/2)*V201*Y201*VLOOKUP('Données projet'!$B$9,Paramètres!$A$1:$I$89,3,0)*0.475*44/12</f>
        <v>1.5245678369389213E-25</v>
      </c>
      <c r="AC201" s="24">
        <f t="shared" si="163"/>
        <v>0.55317297881988525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-3.4106051316484809E-13</v>
      </c>
      <c r="AJ201" s="14">
        <f>AI201*VLOOKUP('Données projet'!$B$10,Paramètres!$A$1:$I$89,3,0)*VLOOKUP('Données projet'!$B$10,Paramètres!$A$1:$I$89,5,0)</f>
        <v>-1.9065282685915009E-13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302.20483575440988</v>
      </c>
      <c r="AO201" s="60">
        <f t="shared" si="205"/>
        <v>275.32862097158687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6.5581818526422572E-2</v>
      </c>
      <c r="AW201" s="23">
        <f>EXP(-LN(2)/2)*AW200+(1-EXP(-LN(2)/2))/(LN(2)/2)*AQ201*AT201*VLOOKUP('Données projet'!$B$10,Paramètres!$A$1:$I$89,3,0)*0.475*44/12</f>
        <v>4.5527115324554095E-25</v>
      </c>
      <c r="AX201" s="23">
        <f t="shared" si="166"/>
        <v>6.5581818526422572E-2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-1.7053025658242404E-13</v>
      </c>
      <c r="BE201" s="14">
        <f>BD201*VLOOKUP('Données projet'!$B$11,Paramètres!$A$1:$I$89,3,0)*VLOOKUP('Données projet'!$B$11,Paramètres!$A$1:$I$89,5,0)</f>
        <v>-1.4897523215040567E-13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314.62110015707839</v>
      </c>
      <c r="BJ201" s="60">
        <f t="shared" si="206"/>
        <v>285.36905470736582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-9.6633812063373625E-13</v>
      </c>
      <c r="BZ201" s="14">
        <f>BY201*VLOOKUP('Données projet'!$B$12,Paramètres!$A$1:$I$89,3,0)*VLOOKUP('Données projet'!$B$12,Paramètres!$A$1:$I$89,5,0)</f>
        <v>-8.7434273154940449E-13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303.73499739059076</v>
      </c>
      <c r="CE201" s="60">
        <f t="shared" si="207"/>
        <v>172.32171001882188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-9.6633812063373625E-13</v>
      </c>
      <c r="CU201" s="18">
        <f>CT201*VLOOKUP('Données projet'!$B$13,Paramètres!$A$1:$I$89,3,0)*VLOOKUP('Données projet'!$B$13,Paramètres!$A$1:$I$89,5,0)</f>
        <v>-9.7986685432260874E-13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350.3652766444938</v>
      </c>
      <c r="CZ201" s="60">
        <f t="shared" si="208"/>
        <v>197.04549436738586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-9.6633812063373625E-13</v>
      </c>
      <c r="DP201" s="18">
        <f>DO201*VLOOKUP('Données projet'!$B$14,Paramètres!$A$1:$I$89,3,0)*VLOOKUP('Données projet'!$B$14,Paramètres!$A$1:$I$89,5,0)</f>
        <v>-1.0401663530501537E-12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376.96388721258387</v>
      </c>
      <c r="DU201" s="60">
        <f t="shared" si="209"/>
        <v>211.14628470344377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-9.6633812063373625E-13</v>
      </c>
      <c r="EK201" s="18">
        <f>EJ201*VLOOKUP('Données projet'!$B$15,Paramètres!$A$1:$I$89,3,0)*VLOOKUP('Données projet'!$B$15,Paramètres!$A$1:$I$89,5,0)</f>
        <v>-9.3464223027694966E-13</v>
      </c>
      <c r="EL201" s="14" t="e">
        <f t="shared" si="179"/>
        <v>#NUM!</v>
      </c>
      <c r="EM201" s="22" t="e">
        <f t="shared" si="180"/>
        <v>#NUM!</v>
      </c>
      <c r="EN201" s="60" t="e">
        <f t="shared" si="198"/>
        <v>#NUM!</v>
      </c>
      <c r="EO201" s="60">
        <f ca="1">AVERAGE(OFFSET($EN$3,0,0,'Données projet'!$E$15+1,1))-AVERAGE(OFFSET($H$3,0,0,'Données projet'!$E$15+1,1))</f>
        <v>330.39429528665841</v>
      </c>
      <c r="EP201" s="60">
        <f t="shared" si="210"/>
        <v>186.45728006007261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8">
        <f t="shared" si="192"/>
        <v>533.10445487664697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-3.3992364478763198E-14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155.11440101086782</v>
      </c>
      <c r="T202" s="60">
        <f t="shared" si="204"/>
        <v>239.53454701506638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0.4749754876414668</v>
      </c>
      <c r="AA202" s="23">
        <f>EXP(-LN(2)/25)*AA201+(1-EXP(-LN(2)/25))/(LN(2)/25)*Calculateur!V202*Calculateur!X202*VLOOKUP('Données projet'!$B$9,Paramètres!$A$1:$I$89,3,0)*0.475*44/12</f>
        <v>6.6818687978749888E-2</v>
      </c>
      <c r="AB202" s="23">
        <f>EXP(-LN(2)/2)*AB201+(1-EXP(-LN(2)/2))/(LN(2)/2)*V202*Y202*VLOOKUP('Données projet'!$B$9,Paramètres!$A$1:$I$89,3,0)*0.475*44/12</f>
        <v>1.0780322558784178E-25</v>
      </c>
      <c r="AC202" s="24">
        <f t="shared" si="163"/>
        <v>0.5417941756202167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-3.4106051316484809E-13</v>
      </c>
      <c r="AJ202" s="14">
        <f>AI202*VLOOKUP('Données projet'!$B$10,Paramètres!$A$1:$I$89,3,0)*VLOOKUP('Données projet'!$B$10,Paramètres!$A$1:$I$89,5,0)</f>
        <v>-1.9065282685915009E-13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302.20483575440988</v>
      </c>
      <c r="AO202" s="60">
        <f t="shared" si="205"/>
        <v>275.32862097158687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6.3788480250019597E-2</v>
      </c>
      <c r="AW202" s="23">
        <f>EXP(-LN(2)/2)*AW201+(1-EXP(-LN(2)/2))/(LN(2)/2)*AQ202*AT202*VLOOKUP('Données projet'!$B$10,Paramètres!$A$1:$I$89,3,0)*0.475*44/12</f>
        <v>3.2192531973854187E-25</v>
      </c>
      <c r="AX202" s="23">
        <f t="shared" si="166"/>
        <v>6.3788480250019597E-2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-1.7053025658242404E-13</v>
      </c>
      <c r="BE202" s="14">
        <f>BD202*VLOOKUP('Données projet'!$B$11,Paramètres!$A$1:$I$89,3,0)*VLOOKUP('Données projet'!$B$11,Paramètres!$A$1:$I$89,5,0)</f>
        <v>-1.4897523215040567E-13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314.62110015707839</v>
      </c>
      <c r="BJ202" s="60">
        <f t="shared" si="206"/>
        <v>285.36905470736582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-9.6633812063373625E-13</v>
      </c>
      <c r="BZ202" s="14">
        <f>BY202*VLOOKUP('Données projet'!$B$12,Paramètres!$A$1:$I$89,3,0)*VLOOKUP('Données projet'!$B$12,Paramètres!$A$1:$I$89,5,0)</f>
        <v>-8.7434273154940449E-13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303.73499739059076</v>
      </c>
      <c r="CE202" s="60">
        <f t="shared" si="207"/>
        <v>172.32171001882188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-9.6633812063373625E-13</v>
      </c>
      <c r="CU202" s="18">
        <f>CT202*VLOOKUP('Données projet'!$B$13,Paramètres!$A$1:$I$89,3,0)*VLOOKUP('Données projet'!$B$13,Paramètres!$A$1:$I$89,5,0)</f>
        <v>-9.7986685432260874E-13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350.3652766444938</v>
      </c>
      <c r="CZ202" s="60">
        <f t="shared" si="208"/>
        <v>197.04549436738586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-9.6633812063373625E-13</v>
      </c>
      <c r="DP202" s="18">
        <f>DO202*VLOOKUP('Données projet'!$B$14,Paramètres!$A$1:$I$89,3,0)*VLOOKUP('Données projet'!$B$14,Paramètres!$A$1:$I$89,5,0)</f>
        <v>-1.0401663530501537E-12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376.96388721258387</v>
      </c>
      <c r="DU202" s="60">
        <f t="shared" si="209"/>
        <v>211.14628470344377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-9.6633812063373625E-13</v>
      </c>
      <c r="EK202" s="18">
        <f>EJ202*VLOOKUP('Données projet'!$B$15,Paramètres!$A$1:$I$89,3,0)*VLOOKUP('Données projet'!$B$15,Paramètres!$A$1:$I$89,5,0)</f>
        <v>-9.3464223027694966E-13</v>
      </c>
      <c r="EL202" s="14" t="e">
        <f t="shared" si="179"/>
        <v>#NUM!</v>
      </c>
      <c r="EM202" s="22" t="e">
        <f t="shared" si="180"/>
        <v>#NUM!</v>
      </c>
      <c r="EN202" s="60" t="e">
        <f t="shared" si="198"/>
        <v>#NUM!</v>
      </c>
      <c r="EO202" s="60">
        <f ca="1">AVERAGE(OFFSET($EN$3,0,0,'Données projet'!$E$15+1,1))-AVERAGE(OFFSET($H$3,0,0,'Données projet'!$E$15+1,1))</f>
        <v>330.39429528665841</v>
      </c>
      <c r="EP202" s="60">
        <f t="shared" si="210"/>
        <v>186.45728006007261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8">
        <f t="shared" si="192"/>
        <v>534.27971193336975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-3.3992364478763198E-14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155.11440101086782</v>
      </c>
      <c r="T203" s="60">
        <f t="shared" si="204"/>
        <v>239.53454701506638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0.46566150803525896</v>
      </c>
      <c r="AA203" s="23">
        <f>EXP(-LN(2)/25)*AA202+(1-EXP(-LN(2)/25))/(LN(2)/25)*Calculateur!V203*Calculateur!X203*VLOOKUP('Données projet'!$B$9,Paramètres!$A$1:$I$89,3,0)*0.475*44/12</f>
        <v>6.4991527442128882E-2</v>
      </c>
      <c r="AB203" s="23">
        <f>EXP(-LN(2)/2)*AB202+(1-EXP(-LN(2)/2))/(LN(2)/2)*V203*Y203*VLOOKUP('Données projet'!$B$9,Paramètres!$A$1:$I$89,3,0)*0.475*44/12</f>
        <v>7.6228391846946063E-26</v>
      </c>
      <c r="AC203" s="24">
        <f t="shared" si="163"/>
        <v>0.53065303547738785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-3.4106051316484809E-13</v>
      </c>
      <c r="AJ203" s="14">
        <f>AI203*VLOOKUP('Données projet'!$B$10,Paramètres!$A$1:$I$89,3,0)*VLOOKUP('Données projet'!$B$10,Paramètres!$A$1:$I$89,5,0)</f>
        <v>-1.9065282685915009E-13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302.20483575440988</v>
      </c>
      <c r="AO203" s="60">
        <f t="shared" si="205"/>
        <v>275.32862097158687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6.2044180903092425E-2</v>
      </c>
      <c r="AW203" s="23">
        <f>EXP(-LN(2)/2)*AW202+(1-EXP(-LN(2)/2))/(LN(2)/2)*AQ203*AT203*VLOOKUP('Données projet'!$B$10,Paramètres!$A$1:$I$89,3,0)*0.475*44/12</f>
        <v>2.2763557662277047E-25</v>
      </c>
      <c r="AX203" s="23">
        <f t="shared" si="166"/>
        <v>6.2044180903092425E-2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-1.7053025658242404E-13</v>
      </c>
      <c r="BE203" s="14">
        <f>BD203*VLOOKUP('Données projet'!$B$11,Paramètres!$A$1:$I$89,3,0)*VLOOKUP('Données projet'!$B$11,Paramètres!$A$1:$I$89,5,0)</f>
        <v>-1.4897523215040567E-13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314.62110015707839</v>
      </c>
      <c r="BJ203" s="60">
        <f t="shared" si="206"/>
        <v>285.36905470736582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-9.6633812063373625E-13</v>
      </c>
      <c r="BZ203" s="14">
        <f>BY203*VLOOKUP('Données projet'!$B$12,Paramètres!$A$1:$I$89,3,0)*VLOOKUP('Données projet'!$B$12,Paramètres!$A$1:$I$89,5,0)</f>
        <v>-8.7434273154940449E-13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303.73499739059076</v>
      </c>
      <c r="CE203" s="60">
        <f t="shared" si="207"/>
        <v>172.32171001882188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-9.6633812063373625E-13</v>
      </c>
      <c r="CU203" s="18">
        <f>CT203*VLOOKUP('Données projet'!$B$13,Paramètres!$A$1:$I$89,3,0)*VLOOKUP('Données projet'!$B$13,Paramètres!$A$1:$I$89,5,0)</f>
        <v>-9.7986685432260874E-13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350.3652766444938</v>
      </c>
      <c r="CZ203" s="60">
        <f t="shared" si="208"/>
        <v>197.04549436738586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-9.6633812063373625E-13</v>
      </c>
      <c r="DP203" s="18">
        <f>DO203*VLOOKUP('Données projet'!$B$14,Paramètres!$A$1:$I$89,3,0)*VLOOKUP('Données projet'!$B$14,Paramètres!$A$1:$I$89,5,0)</f>
        <v>-1.0401663530501537E-12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376.96388721258387</v>
      </c>
      <c r="DU203" s="60">
        <f t="shared" si="209"/>
        <v>211.14628470344377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-9.6633812063373625E-13</v>
      </c>
      <c r="EK203" s="18">
        <f>EJ203*VLOOKUP('Données projet'!$B$15,Paramètres!$A$1:$I$89,3,0)*VLOOKUP('Données projet'!$B$15,Paramètres!$A$1:$I$89,5,0)</f>
        <v>-9.3464223027694966E-13</v>
      </c>
      <c r="EL203" s="14" t="e">
        <f t="shared" si="179"/>
        <v>#NUM!</v>
      </c>
      <c r="EM203" s="22" t="e">
        <f t="shared" si="180"/>
        <v>#NUM!</v>
      </c>
      <c r="EN203" s="60" t="e">
        <f t="shared" si="198"/>
        <v>#NUM!</v>
      </c>
      <c r="EO203" s="60">
        <f ca="1">AVERAGE(OFFSET($EN$3,0,0,'Données projet'!$E$15+1,1))-AVERAGE(OFFSET($H$3,0,0,'Données projet'!$E$15+1,1))</f>
        <v>330.39429528665841</v>
      </c>
      <c r="EP203" s="60">
        <f t="shared" si="210"/>
        <v>186.45728006007261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.75" thickBot="1" x14ac:dyDescent="0.3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1.35673740976754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1.289976715395158</v>
      </c>
      <c r="BA205" s="86">
        <f>EXP(LN('Données projet'!B88)/'Données projet'!A88)</f>
        <v>1.4269435884576509</v>
      </c>
      <c r="BV205" s="86">
        <f>EXP(LN('Données projet'!B114)/'Données projet'!A114)</f>
        <v>1.2054868146447177</v>
      </c>
      <c r="CQ205" s="86">
        <f>EXP(LN('Données projet'!B140)/'Données projet'!A140)</f>
        <v>1.2054868146447177</v>
      </c>
      <c r="DL205" s="86">
        <f>EXP(LN('Données projet'!B166)/'Données projet'!A166)</f>
        <v>1.2054868146447177</v>
      </c>
      <c r="EG205" s="86">
        <f>EXP(LN('Données projet'!B192)/'Données projet'!A192)</f>
        <v>1.2054868146447177</v>
      </c>
      <c r="FB205" s="86" t="e">
        <f>EXP(LN('Données projet'!B218)/'Données projet'!A218)</f>
        <v>#NUM!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E26" zoomScale="149" workbookViewId="0">
      <selection activeCell="I27" sqref="I27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A19" zoomScale="121" zoomScaleNormal="90" workbookViewId="0">
      <selection activeCell="E6" sqref="E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Pin maritime</v>
      </c>
      <c r="B6" s="153">
        <f>'Données projet'!D9</f>
        <v>5.8591499999999996</v>
      </c>
      <c r="C6" s="154">
        <f ca="1">IF(OR('Données projet'!B9="",'Données projet'!C9="",'Données projet'!C9=0%),0,Calculateur!S3)</f>
        <v>155.11440101086782</v>
      </c>
      <c r="D6" s="154">
        <f>IF(OR('Données projet'!B9="",'Données projet'!C9="",'Données projet'!C9=0%),0,Calculateur!T3)</f>
        <v>239.53454701506638</v>
      </c>
      <c r="E6" s="154">
        <f ca="1">MIN(C6,D6)</f>
        <v>155.11440101086782</v>
      </c>
      <c r="F6" s="154">
        <f ca="1">E6*B6</f>
        <v>908.83854268282619</v>
      </c>
      <c r="G6" s="154">
        <f ca="1">F6*(100%-'Données projet'!$C$24)*(100%-'Données projet'!$C$25)*(100%-'Données projet'!$C$26)*(100%-'Données projet'!$C$27)</f>
        <v>817.95468841454363</v>
      </c>
      <c r="H6" s="155">
        <f>IF(OR('Données projet'!B9="",'Données projet'!C9="",'Données projet'!C9=0%),0,AVERAGE(Calculateur!$AC$3:$AC$33)*B6)</f>
        <v>44.746451230166031</v>
      </c>
      <c r="I6" s="156">
        <f>H6*(100%-'Données projet'!$C$24)*(100%-'Données projet'!$C$25)*(100%-'Données projet'!$C$26)*(100%-'Données projet'!$C$27)</f>
        <v>40.27180610714943</v>
      </c>
      <c r="J6" s="157">
        <f>IF(OR('Données projet'!B9="",'Données projet'!C9="",'Données projet'!C9=0%),0,SUM(Calculateur!$V$3:$V$33)*VLOOKUP('Données projet'!$B$9,Paramètres!$A$1:$I$89,9,0)*B6)</f>
        <v>386.82694214999998</v>
      </c>
      <c r="K6" s="158">
        <f>J6*(100%-'Données projet'!$C$24)*(100%-'Données projet'!$C$25)*(100%-'Données projet'!$C$26)*(100%-'Données projet'!$C$27)</f>
        <v>348.14424793500001</v>
      </c>
      <c r="L6" s="159">
        <f ca="1">G6+I6+K6</f>
        <v>1206.3707424566931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Douglas</v>
      </c>
      <c r="B7" s="161">
        <f>'Données projet'!D10</f>
        <v>2.8209249999999999</v>
      </c>
      <c r="C7" s="154">
        <f ca="1">IF(OR('Données projet'!B10="",'Données projet'!C10="",'Données projet'!C10=0%),0,Calculateur!AN3)</f>
        <v>302.20483575440988</v>
      </c>
      <c r="D7" s="154">
        <f>IF(OR('Données projet'!B10="",'Données projet'!C10="",'Données projet'!C10=0%),0,Calculateur!AO3)</f>
        <v>275.32862097158687</v>
      </c>
      <c r="E7" s="154">
        <f t="shared" ref="E7:E15" ca="1" si="0">MIN(C7,D7)</f>
        <v>275.32862097158687</v>
      </c>
      <c r="F7" s="154">
        <f t="shared" ref="F7:F15" ca="1" si="1">E7*B7</f>
        <v>776.68139011427365</v>
      </c>
      <c r="G7" s="154">
        <f ca="1">F7*(100%-'Données projet'!$C$24)*(100%-'Données projet'!$C$25)*(100%-'Données projet'!$C$26)*(100%-'Données projet'!$C$27)</f>
        <v>699.01325110284631</v>
      </c>
      <c r="H7" s="162">
        <f>IF(OR('Données projet'!B10="",'Données projet'!C10="",'Données projet'!C10=0%),0,AVERAGE(Calculateur!$AX$3:$AX$33)*B7)</f>
        <v>11.49798243913308</v>
      </c>
      <c r="I7" s="156">
        <f>H7*(100%-'Données projet'!$C$24)*(100%-'Données projet'!$C$25)*(100%-'Données projet'!$C$26)*(100%-'Données projet'!$C$27)</f>
        <v>10.348184195219773</v>
      </c>
      <c r="J7" s="157">
        <f>IF(OR('Données projet'!B10="",'Données projet'!C10="",'Données projet'!C10=0%),0,SUM(Calculateur!$AQ$3:$AQ$33)*VLOOKUP('Données projet'!$B$10,Paramètres!$A$1:$I$89,9,0)*B7)</f>
        <v>154.05071425</v>
      </c>
      <c r="K7" s="158">
        <f>J7*(100%-'Données projet'!$C$24)*(100%-'Données projet'!$C$25)*(100%-'Données projet'!$C$26)*(100%-'Données projet'!$C$27)</f>
        <v>138.64564282500001</v>
      </c>
      <c r="L7" s="159">
        <f t="shared" ref="L7:L15" ca="1" si="2">G7+I7+K7</f>
        <v>848.00707812306609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Chêne rouge d'Amérique</v>
      </c>
      <c r="B8" s="161">
        <f>'Données projet'!D11</f>
        <v>2.770575</v>
      </c>
      <c r="C8" s="154">
        <f ca="1">IF(OR('Données projet'!B11="",'Données projet'!C11="",'Données projet'!C11=0%),0,Calculateur!BI3)</f>
        <v>314.62110015707839</v>
      </c>
      <c r="D8" s="154">
        <f>IF(OR('Données projet'!B11="",'Données projet'!C11="",'Données projet'!C11=0%),0,Calculateur!BJ3)</f>
        <v>285.36905470736582</v>
      </c>
      <c r="E8" s="154">
        <f t="shared" ca="1" si="0"/>
        <v>285.36905470736582</v>
      </c>
      <c r="F8" s="154">
        <f t="shared" ca="1" si="1"/>
        <v>790.63636874586007</v>
      </c>
      <c r="G8" s="154">
        <f ca="1">F8*(100%-'Données projet'!$C$24)*(100%-'Données projet'!$C$25)*(100%-'Données projet'!$C$26)*(100%-'Données projet'!$C$27)</f>
        <v>711.57273187127407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62.337937500000002</v>
      </c>
      <c r="K8" s="158">
        <f>J8*(100%-'Données projet'!$C$24)*(100%-'Données projet'!$C$25)*(100%-'Données projet'!$C$26)*(100%-'Données projet'!$C$27)</f>
        <v>56.104143750000006</v>
      </c>
      <c r="L8" s="159">
        <f t="shared" ca="1" si="2"/>
        <v>767.67687562127412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>Chêne sessile</v>
      </c>
      <c r="B9" s="161">
        <f>'Données projet'!D12</f>
        <v>1.34355</v>
      </c>
      <c r="C9" s="154">
        <f ca="1">IF(OR('Données projet'!B12="",'Données projet'!C12="",'Données projet'!C12=0%),0,Calculateur!CD3)</f>
        <v>303.73499739059076</v>
      </c>
      <c r="D9" s="154">
        <f>IF(OR('Données projet'!B12="",'Données projet'!C12="",'Données projet'!C12=0%),0,Calculateur!CE3)</f>
        <v>172.32171001882188</v>
      </c>
      <c r="E9" s="154">
        <f t="shared" ca="1" si="0"/>
        <v>172.32171001882188</v>
      </c>
      <c r="F9" s="154">
        <f t="shared" ca="1" si="1"/>
        <v>231.52283349578812</v>
      </c>
      <c r="G9" s="154">
        <f ca="1">F9*(100%-'Données projet'!$C$24)*(100%-'Données projet'!$C$25)*(100%-'Données projet'!$C$26)*(100%-'Données projet'!$C$27)</f>
        <v>208.37055014620933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9.7407374999999998</v>
      </c>
      <c r="K9" s="158">
        <f>J9*(100%-'Données projet'!$C$24)*(100%-'Données projet'!$C$25)*(100%-'Données projet'!$C$26)*(100%-'Données projet'!$C$27)</f>
        <v>8.7666637499999993</v>
      </c>
      <c r="L9" s="159">
        <f t="shared" ca="1" si="2"/>
        <v>217.13721389620932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>Chêne pubescent</v>
      </c>
      <c r="B10" s="161">
        <f>'Données projet'!D13</f>
        <v>0.15237500000000001</v>
      </c>
      <c r="C10" s="154">
        <f ca="1">IF(OR('Données projet'!B13="",'Données projet'!C13="",'Données projet'!C13=0%),0,Calculateur!CY3)</f>
        <v>350.3652766444938</v>
      </c>
      <c r="D10" s="154">
        <f>IF(OR('Données projet'!B13="",'Données projet'!C13="",'Données projet'!C13=0%),0,Calculateur!CZ3)</f>
        <v>197.04549436738586</v>
      </c>
      <c r="E10" s="154">
        <f t="shared" ca="1" si="0"/>
        <v>197.04549436738586</v>
      </c>
      <c r="F10" s="154">
        <f t="shared" ca="1" si="1"/>
        <v>30.024807204230424</v>
      </c>
      <c r="G10" s="154">
        <f ca="1">F10*(100%-'Données projet'!$C$24)*(100%-'Données projet'!$C$25)*(100%-'Données projet'!$C$26)*(100%-'Données projet'!$C$27)</f>
        <v>27.022326483807383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1.10471875</v>
      </c>
      <c r="K10" s="158">
        <f>J10*(100%-'Données projet'!$C$24)*(100%-'Données projet'!$C$25)*(100%-'Données projet'!$C$26)*(100%-'Données projet'!$C$27)</f>
        <v>0.99424687499999997</v>
      </c>
      <c r="L10" s="159">
        <f t="shared" ca="1" si="2"/>
        <v>28.016573358807385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>Cormier</v>
      </c>
      <c r="B11" s="161">
        <f>'Données projet'!D14</f>
        <v>0.15237500000000001</v>
      </c>
      <c r="C11" s="154">
        <f ca="1">IF(OR('Données projet'!B14="",'Données projet'!C14="",'Données projet'!C14=0%),0,Calculateur!DT3)</f>
        <v>376.96388721258387</v>
      </c>
      <c r="D11" s="154">
        <f>IF(OR('Données projet'!B14="",'Données projet'!C14="",'Données projet'!C14=0%),0,Calculateur!DU3)</f>
        <v>211.14628470344377</v>
      </c>
      <c r="E11" s="154">
        <f t="shared" ca="1" si="0"/>
        <v>211.14628470344377</v>
      </c>
      <c r="F11" s="154">
        <f t="shared" ca="1" si="1"/>
        <v>32.17341513168725</v>
      </c>
      <c r="G11" s="154">
        <f ca="1">F11*(100%-'Données projet'!$C$24)*(100%-'Données projet'!$C$25)*(100%-'Données projet'!$C$26)*(100%-'Données projet'!$C$27)</f>
        <v>28.956073618518527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1.10471875</v>
      </c>
      <c r="K11" s="158">
        <f>J11*(100%-'Données projet'!$C$24)*(100%-'Données projet'!$C$25)*(100%-'Données projet'!$C$26)*(100%-'Données projet'!$C$27)</f>
        <v>0.99424687499999997</v>
      </c>
      <c r="L11" s="159">
        <f t="shared" ca="1" si="2"/>
        <v>29.950320493518525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>Alisier torminal</v>
      </c>
      <c r="B12" s="161">
        <f>'Données projet'!D15</f>
        <v>0.15105000000000002</v>
      </c>
      <c r="C12" s="154">
        <f ca="1">IF(OR('Données projet'!B15="",'Données projet'!C15="",'Données projet'!C15=0%),0,Calculateur!EO3)</f>
        <v>330.39429528665841</v>
      </c>
      <c r="D12" s="154">
        <f>IF(OR('Données projet'!B15="",'Données projet'!C15="",'Données projet'!C15=0%),0,Calculateur!EP3)</f>
        <v>186.45728006007261</v>
      </c>
      <c r="E12" s="154">
        <f t="shared" ca="1" si="0"/>
        <v>186.45728006007261</v>
      </c>
      <c r="F12" s="154">
        <f t="shared" ca="1" si="1"/>
        <v>28.16437215307397</v>
      </c>
      <c r="G12" s="154">
        <f ca="1">F12*(100%-'Données projet'!$C$24)*(100%-'Données projet'!$C$25)*(100%-'Données projet'!$C$26)*(100%-'Données projet'!$C$27)</f>
        <v>25.347934937766574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1.0951125000000002</v>
      </c>
      <c r="K12" s="158">
        <f>J12*(100%-'Données projet'!$C$24)*(100%-'Données projet'!$C$25)*(100%-'Données projet'!$C$26)*(100%-'Données projet'!$C$27)</f>
        <v>0.98560125000000021</v>
      </c>
      <c r="L12" s="159">
        <f t="shared" ca="1" si="2"/>
        <v>26.333536187766576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2798.0417295277402</v>
      </c>
      <c r="G16" s="173">
        <f t="shared" ca="1" si="3"/>
        <v>2518.2375565749658</v>
      </c>
      <c r="H16" s="174">
        <f t="shared" si="3"/>
        <v>56.244433669299113</v>
      </c>
      <c r="I16" s="174">
        <f t="shared" si="3"/>
        <v>50.619990302369203</v>
      </c>
      <c r="J16" s="175">
        <f t="shared" si="3"/>
        <v>616.2608813999999</v>
      </c>
      <c r="K16" s="175">
        <f t="shared" si="3"/>
        <v>554.63479326000015</v>
      </c>
      <c r="L16" s="176">
        <f t="shared" ca="1" si="3"/>
        <v>3123.4923401373348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Pin maritime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Douglas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Chêne rouge d'Amérique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>Chêne sessile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>Chêne pubescent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>Cormier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>Alisier torminal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194" zoomScaleNormal="100" workbookViewId="0">
      <selection activeCell="E141" sqref="E14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38" t="s">
        <v>315</v>
      </c>
      <c r="I4" s="338"/>
      <c r="K4" s="335" t="s">
        <v>253</v>
      </c>
      <c r="L4" s="336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7" t="s">
        <v>310</v>
      </c>
      <c r="S7" s="328"/>
      <c r="T7" s="328"/>
      <c r="U7" s="328"/>
      <c r="V7" s="329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Pin maritime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2995.915261274617</v>
      </c>
      <c r="U10" s="188">
        <f>'Données projet'!D9</f>
        <v>5.8591499999999996</v>
      </c>
      <c r="V10" s="187">
        <f>U10*T10</f>
        <v>17553.51690309717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Douglas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4591.2808073008382</v>
      </c>
      <c r="U11" s="188">
        <f>'Données projet'!D10</f>
        <v>2.8209249999999999</v>
      </c>
      <c r="V11" s="187">
        <f t="shared" ref="V11" si="0">U11*T11</f>
        <v>12951.658811335117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Chêne rouge d'Amérique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1129.9436469048144</v>
      </c>
      <c r="U12" s="188">
        <f>'Données projet'!D11</f>
        <v>2.770575</v>
      </c>
      <c r="V12" s="187">
        <f t="shared" ref="V12:V19" si="1">U12*T12</f>
        <v>3130.5936195233062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Chêne sessile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730.58923669376043</v>
      </c>
      <c r="U13" s="188">
        <f>'Données projet'!D12</f>
        <v>1.34355</v>
      </c>
      <c r="V13" s="187">
        <f t="shared" si="1"/>
        <v>981.58316895990185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Pin maritime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Chêne pubescent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730.58923669376043</v>
      </c>
      <c r="U14" s="188">
        <f>'Données projet'!D13</f>
        <v>0.15237500000000001</v>
      </c>
      <c r="V14" s="187">
        <f t="shared" si="1"/>
        <v>111.32353494121175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39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Cormier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730.58923669376043</v>
      </c>
      <c r="U15" s="188">
        <f>'Données projet'!D14</f>
        <v>0.15237500000000001</v>
      </c>
      <c r="V15" s="187">
        <f t="shared" si="1"/>
        <v>111.32353494121175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39"/>
      <c r="H16" s="201"/>
      <c r="I16" s="202"/>
      <c r="J16" s="214"/>
      <c r="K16" s="223"/>
      <c r="L16" s="335" t="s">
        <v>254</v>
      </c>
      <c r="M16" s="336"/>
      <c r="N16" s="2">
        <v>80</v>
      </c>
      <c r="O16" s="25"/>
      <c r="P16" s="25"/>
      <c r="Q16" s="263"/>
      <c r="R16" s="25"/>
      <c r="S16" s="183" t="str">
        <f>B200</f>
        <v>Alisier torminal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730.58923669376043</v>
      </c>
      <c r="U16" s="188">
        <f>'Données projet'!D15</f>
        <v>0.15105000000000002</v>
      </c>
      <c r="V16" s="187">
        <f t="shared" si="1"/>
        <v>110.35550420259253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39"/>
      <c r="J17" s="214"/>
      <c r="K17" s="223"/>
      <c r="L17" s="293" t="s">
        <v>289</v>
      </c>
      <c r="M17" s="295"/>
      <c r="N17" s="185">
        <f>VLOOKUP(N16,Calculateur!$A$2:$H$153,3,0)/VLOOKUP('Scénario référence'!$G$15,Paramètres!A1:I89,3,0)/VLOOKUP('Scénario référence'!$G$15,Paramètres!A1:I89,5,0)</f>
        <v>79.999999999999929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39"/>
      <c r="J18" s="214"/>
      <c r="K18" s="223"/>
      <c r="L18" s="293" t="s">
        <v>255</v>
      </c>
      <c r="M18" s="295"/>
      <c r="N18" s="203">
        <v>30</v>
      </c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39"/>
      <c r="H19" s="230" t="s">
        <v>178</v>
      </c>
      <c r="I19" s="230" t="s">
        <v>287</v>
      </c>
      <c r="J19" s="258"/>
      <c r="K19" s="181"/>
      <c r="L19" s="335" t="s">
        <v>288</v>
      </c>
      <c r="M19" s="336"/>
      <c r="N19" s="189">
        <f>N17*N18</f>
        <v>2399.9999999999977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39"/>
      <c r="H20" s="201">
        <v>0</v>
      </c>
      <c r="I20" s="202">
        <v>8428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12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/>
      <c r="I23" s="202"/>
      <c r="K23" s="223"/>
      <c r="L23" s="337" t="s">
        <v>260</v>
      </c>
      <c r="M23" s="337"/>
      <c r="N23" s="337"/>
      <c r="O23" s="25"/>
      <c r="P23" s="25"/>
      <c r="Q23" s="263"/>
      <c r="R23" s="25"/>
      <c r="S23" s="183" t="s">
        <v>264</v>
      </c>
      <c r="T23" s="33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-76720.644922999491</v>
      </c>
      <c r="U23" s="332"/>
      <c r="V23" s="332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13</v>
      </c>
      <c r="B24" s="191">
        <f>'Données projet'!D37</f>
        <v>0</v>
      </c>
      <c r="C24" s="204"/>
      <c r="D24" s="192">
        <f t="shared" ref="D24:D42" si="2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3">
        <f ca="1">'Scénario référence'!$B$8*$M$30*'Données projet'!$C$5+('Scénario référence'!B9+'Scénario référence'!B10+'Scénario référence'!F8+'Scénario référence'!F9)*$N$19/(1+M4)^N16*'Données projet'!$C$5</f>
        <v>939.99140859180648</v>
      </c>
      <c r="U24" s="333"/>
      <c r="V24" s="333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14</v>
      </c>
      <c r="B25" s="191">
        <f>'Données projet'!D38</f>
        <v>0</v>
      </c>
      <c r="C25" s="204"/>
      <c r="D25" s="192">
        <f t="shared" si="2"/>
        <v>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/>
      <c r="Q25" s="263"/>
      <c r="R25" s="25"/>
      <c r="S25" s="196" t="s">
        <v>266</v>
      </c>
      <c r="T25" s="334">
        <f ca="1">T23-T24</f>
        <v>-77660.636331591304</v>
      </c>
      <c r="U25" s="334"/>
      <c r="V25" s="33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15</v>
      </c>
      <c r="B26" s="191">
        <f>'Données projet'!D39</f>
        <v>23.3</v>
      </c>
      <c r="C26" s="204">
        <v>10</v>
      </c>
      <c r="D26" s="192">
        <f t="shared" si="2"/>
        <v>233</v>
      </c>
      <c r="E26" s="204"/>
      <c r="F26" s="262"/>
      <c r="G26" s="257"/>
      <c r="H26" s="201"/>
      <c r="I26" s="202"/>
      <c r="K26" s="223"/>
      <c r="L26" s="321" t="s">
        <v>258</v>
      </c>
      <c r="M26" s="322"/>
      <c r="N26" s="322"/>
      <c r="O26" s="322"/>
      <c r="P26" s="323"/>
      <c r="Q26" s="263"/>
      <c r="R26" s="25"/>
      <c r="S26" s="196" t="s">
        <v>265</v>
      </c>
      <c r="T26" s="331" t="str">
        <f ca="1">IF(T25&lt;0,"Votre projet est additionnel","Votre projet n'est pas additionnel")</f>
        <v>Votre projet est additionnel</v>
      </c>
      <c r="U26" s="331"/>
      <c r="V26" s="331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17</v>
      </c>
      <c r="B27" s="191">
        <f>'Données projet'!D40</f>
        <v>0</v>
      </c>
      <c r="C27" s="204"/>
      <c r="D27" s="192">
        <f t="shared" si="2"/>
        <v>0</v>
      </c>
      <c r="E27" s="204"/>
      <c r="F27" s="262"/>
      <c r="G27" s="257"/>
      <c r="H27" s="201"/>
      <c r="I27" s="202"/>
      <c r="K27" s="223"/>
      <c r="L27" s="324"/>
      <c r="M27" s="325"/>
      <c r="N27" s="325"/>
      <c r="O27" s="325"/>
      <c r="P27" s="326"/>
      <c r="Q27" s="263"/>
      <c r="R27" s="25"/>
      <c r="S27" s="330" t="s">
        <v>267</v>
      </c>
      <c r="T27" s="330"/>
      <c r="U27" s="330"/>
      <c r="V27" s="330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20</v>
      </c>
      <c r="B28" s="191">
        <f>'Données projet'!D41</f>
        <v>34.1</v>
      </c>
      <c r="C28" s="204">
        <v>15</v>
      </c>
      <c r="D28" s="192">
        <f t="shared" si="2"/>
        <v>511.5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22</v>
      </c>
      <c r="B29" s="191">
        <f>'Données projet'!D42</f>
        <v>0</v>
      </c>
      <c r="C29" s="204"/>
      <c r="D29" s="192">
        <f t="shared" si="2"/>
        <v>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24</v>
      </c>
      <c r="B30" s="191">
        <f>'Données projet'!D43</f>
        <v>0</v>
      </c>
      <c r="C30" s="204"/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27</v>
      </c>
      <c r="B31" s="191">
        <f>'Données projet'!D44</f>
        <v>54.5</v>
      </c>
      <c r="C31" s="204">
        <v>20</v>
      </c>
      <c r="D31" s="192">
        <f t="shared" si="2"/>
        <v>1090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28</v>
      </c>
      <c r="B32" s="191">
        <f>'Données projet'!D45</f>
        <v>0</v>
      </c>
      <c r="C32" s="204"/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30</v>
      </c>
      <c r="B33" s="191">
        <f>'Données projet'!D46</f>
        <v>0</v>
      </c>
      <c r="C33" s="204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32</v>
      </c>
      <c r="B34" s="191">
        <f>'Données projet'!D47</f>
        <v>62.7</v>
      </c>
      <c r="C34" s="204">
        <v>25</v>
      </c>
      <c r="D34" s="192">
        <f t="shared" si="2"/>
        <v>1567.5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34</v>
      </c>
      <c r="B35" s="191">
        <f>'Données projet'!D48</f>
        <v>0</v>
      </c>
      <c r="C35" s="204"/>
      <c r="D35" s="192">
        <f t="shared" si="2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36</v>
      </c>
      <c r="B36" s="191">
        <f>'Données projet'!D49</f>
        <v>0</v>
      </c>
      <c r="C36" s="204"/>
      <c r="D36" s="192">
        <f t="shared" si="2"/>
        <v>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38</v>
      </c>
      <c r="B37" s="191">
        <f>'Données projet'!D50</f>
        <v>0</v>
      </c>
      <c r="C37" s="204"/>
      <c r="D37" s="192">
        <f t="shared" si="2"/>
        <v>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40</v>
      </c>
      <c r="B38" s="191">
        <f>'Données projet'!D51</f>
        <v>0</v>
      </c>
      <c r="C38" s="204"/>
      <c r="D38" s="192">
        <f t="shared" si="2"/>
        <v>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42</v>
      </c>
      <c r="B39" s="191">
        <f>'Données projet'!D52</f>
        <v>0</v>
      </c>
      <c r="C39" s="204"/>
      <c r="D39" s="192">
        <f t="shared" si="2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44</v>
      </c>
      <c r="B40" s="191">
        <f>'Données projet'!D53</f>
        <v>337.8</v>
      </c>
      <c r="C40" s="204">
        <v>40</v>
      </c>
      <c r="D40" s="192">
        <f t="shared" si="2"/>
        <v>13512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0</v>
      </c>
      <c r="B41" s="191">
        <f>'Données projet'!D54</f>
        <v>0</v>
      </c>
      <c r="C41" s="204"/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0</v>
      </c>
      <c r="B42" s="191">
        <f>'Données projet'!D55</f>
        <v>0</v>
      </c>
      <c r="C42" s="204"/>
      <c r="D42" s="192">
        <f t="shared" si="2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Douglas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21</v>
      </c>
      <c r="B54" s="191">
        <f>'Données projet'!D62</f>
        <v>63</v>
      </c>
      <c r="C54" s="202">
        <v>15</v>
      </c>
      <c r="D54" s="189">
        <f>B54*C54</f>
        <v>945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28</v>
      </c>
      <c r="B55" s="191">
        <f>'Données projet'!D63</f>
        <v>64</v>
      </c>
      <c r="C55" s="202">
        <v>20</v>
      </c>
      <c r="D55" s="189">
        <f t="shared" ref="D55:D73" si="4">B55*C55</f>
        <v>1280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35</v>
      </c>
      <c r="B56" s="191">
        <f>'Données projet'!D64</f>
        <v>73</v>
      </c>
      <c r="C56" s="202">
        <v>30</v>
      </c>
      <c r="D56" s="189">
        <f t="shared" si="4"/>
        <v>2190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42</v>
      </c>
      <c r="B57" s="191">
        <f>'Données projet'!D65</f>
        <v>77</v>
      </c>
      <c r="C57" s="202">
        <v>35</v>
      </c>
      <c r="D57" s="189">
        <f t="shared" si="4"/>
        <v>2695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49</v>
      </c>
      <c r="B58" s="191">
        <f>'Données projet'!D66</f>
        <v>80</v>
      </c>
      <c r="C58" s="202">
        <v>40</v>
      </c>
      <c r="D58" s="189">
        <f t="shared" si="4"/>
        <v>3200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56</v>
      </c>
      <c r="B59" s="191">
        <f>'Données projet'!D67</f>
        <v>85</v>
      </c>
      <c r="C59" s="202">
        <v>50</v>
      </c>
      <c r="D59" s="189">
        <f t="shared" si="4"/>
        <v>4250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63</v>
      </c>
      <c r="B60" s="191">
        <f>'Données projet'!D68</f>
        <v>84</v>
      </c>
      <c r="C60" s="202">
        <v>60</v>
      </c>
      <c r="D60" s="189">
        <f t="shared" si="4"/>
        <v>5040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70</v>
      </c>
      <c r="B61" s="191">
        <f>'Données projet'!D69</f>
        <v>551</v>
      </c>
      <c r="C61" s="202">
        <v>90</v>
      </c>
      <c r="D61" s="189">
        <f t="shared" si="4"/>
        <v>49590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0</v>
      </c>
      <c r="B62" s="191">
        <f>'Données projet'!D70</f>
        <v>0</v>
      </c>
      <c r="C62" s="202"/>
      <c r="D62" s="189">
        <f t="shared" si="4"/>
        <v>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0</v>
      </c>
      <c r="B63" s="191">
        <f>'Données projet'!D71</f>
        <v>0</v>
      </c>
      <c r="C63" s="202"/>
      <c r="D63" s="189">
        <f t="shared" si="4"/>
        <v>0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0</v>
      </c>
      <c r="B64" s="191">
        <f>'Données projet'!D72</f>
        <v>0</v>
      </c>
      <c r="C64" s="202"/>
      <c r="D64" s="189">
        <f t="shared" si="4"/>
        <v>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0</v>
      </c>
      <c r="B65" s="191">
        <f>'Données projet'!D73</f>
        <v>0</v>
      </c>
      <c r="C65" s="202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0</v>
      </c>
      <c r="B66" s="191">
        <f>'Données projet'!D74</f>
        <v>0</v>
      </c>
      <c r="C66" s="202"/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0</v>
      </c>
      <c r="B67" s="191">
        <f>'Données projet'!D75</f>
        <v>0</v>
      </c>
      <c r="C67" s="202"/>
      <c r="D67" s="189">
        <f t="shared" si="4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0</v>
      </c>
      <c r="B68" s="191">
        <f>'Données projet'!D76</f>
        <v>0</v>
      </c>
      <c r="C68" s="202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5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0</v>
      </c>
      <c r="B69" s="191">
        <f>'Données projet'!D77</f>
        <v>0</v>
      </c>
      <c r="C69" s="202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5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0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5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0</v>
      </c>
      <c r="B71" s="191">
        <f>'Données projet'!D79</f>
        <v>0</v>
      </c>
      <c r="C71" s="202"/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5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5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0</v>
      </c>
      <c r="B73" s="191">
        <f>'Données projet'!D81</f>
        <v>0</v>
      </c>
      <c r="C73" s="202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5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5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5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>Chêne rouge d'Amérique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5"/>
        <v>0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5"/>
        <v>0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 t="str">
        <f>IF(O77+1&lt;=MIN('Données projet'!$E$9:$E$18),O77+1,"STOP")</f>
        <v>STOP</v>
      </c>
      <c r="P78" s="195" t="e">
        <f t="shared" si="5"/>
        <v>#VALUE!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 t="e">
        <f>IF(O78+1&lt;=MIN('Données projet'!$E$9:$E$18),O78+1,"STOP")</f>
        <v>#VALUE!</v>
      </c>
      <c r="P79" s="195" t="e">
        <f t="shared" si="5"/>
        <v>#VALUE!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 t="e">
        <f>IF(O79+1&lt;=MIN('Données projet'!$E$9:$E$18),O79+1,"STOP")</f>
        <v>#VALUE!</v>
      </c>
      <c r="P80" s="195" t="e">
        <f t="shared" si="5"/>
        <v>#VALUE!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 t="e">
        <f>IF(O80+1&lt;=MIN('Données projet'!$E$9:$E$18),O80+1,"STOP")</f>
        <v>#VALUE!</v>
      </c>
      <c r="P81" s="195" t="e">
        <f t="shared" si="5"/>
        <v>#VALUE!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 t="e">
        <f>IF(O81+1&lt;=MIN('Données projet'!$E$9:$E$18),O81+1,"STOP")</f>
        <v>#VALUE!</v>
      </c>
      <c r="P82" s="195" t="e">
        <f t="shared" si="5"/>
        <v>#VALUE!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 t="e">
        <f>IF(O82+1&lt;=MIN('Données projet'!$E$9:$E$18),O82+1,"STOP")</f>
        <v>#VALUE!</v>
      </c>
      <c r="P83" s="195" t="e">
        <f t="shared" si="5"/>
        <v>#VALUE!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 t="e">
        <f>IF(O83+1&lt;=MIN('Données projet'!$E$9:$E$18),O83+1,"STOP")</f>
        <v>#VALUE!</v>
      </c>
      <c r="P84" s="195" t="e">
        <f t="shared" si="5"/>
        <v>#VALUE!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10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 t="e">
        <f>IF(O84+1&lt;=MIN('Données projet'!$E$9:$E$18),O84+1,"STOP")</f>
        <v>#VALUE!</v>
      </c>
      <c r="P85" s="195" t="e">
        <f t="shared" si="5"/>
        <v>#VALUE!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15</v>
      </c>
      <c r="B86" s="191">
        <f>'Données projet'!D89</f>
        <v>0</v>
      </c>
      <c r="C86" s="202"/>
      <c r="D86" s="189">
        <f t="shared" ref="D86:D104" si="6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 t="e">
        <f>IF(O85+1&lt;=MIN('Données projet'!$E$9:$E$18),O85+1,"STOP")</f>
        <v>#VALUE!</v>
      </c>
      <c r="P86" s="195" t="e">
        <f t="shared" si="5"/>
        <v>#VALUE!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20</v>
      </c>
      <c r="B87" s="191">
        <f>'Données projet'!D90</f>
        <v>0</v>
      </c>
      <c r="C87" s="202"/>
      <c r="D87" s="189">
        <f t="shared" si="6"/>
        <v>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 t="e">
        <f>IF(O86+1&lt;=MIN('Données projet'!$E$9:$E$18),O86+1,"STOP")</f>
        <v>#VALUE!</v>
      </c>
      <c r="P87" s="195" t="e">
        <f t="shared" si="5"/>
        <v>#VALUE!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25</v>
      </c>
      <c r="B88" s="191">
        <f>'Données projet'!D91</f>
        <v>90</v>
      </c>
      <c r="C88" s="202">
        <v>10</v>
      </c>
      <c r="D88" s="189">
        <f t="shared" si="6"/>
        <v>900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 t="e">
        <f>IF(O87+1&lt;=MIN('Données projet'!$E$9:$E$18),O87+1,"STOP")</f>
        <v>#VALUE!</v>
      </c>
      <c r="P88" s="195" t="e">
        <f t="shared" si="5"/>
        <v>#VALUE!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30</v>
      </c>
      <c r="B89" s="191">
        <f>'Données projet'!D92</f>
        <v>0</v>
      </c>
      <c r="C89" s="202"/>
      <c r="D89" s="189">
        <f t="shared" si="6"/>
        <v>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 t="e">
        <f>IF(O88+1&lt;=MIN('Données projet'!$E$9:$E$18),O88+1,"STOP")</f>
        <v>#VALUE!</v>
      </c>
      <c r="P89" s="195" t="e">
        <f t="shared" si="5"/>
        <v>#VALUE!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35</v>
      </c>
      <c r="B90" s="191">
        <f>'Données projet'!D93</f>
        <v>64</v>
      </c>
      <c r="C90" s="202">
        <v>10</v>
      </c>
      <c r="D90" s="189">
        <f t="shared" si="6"/>
        <v>640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 t="e">
        <f>IF(O89+1&lt;=MIN('Données projet'!$E$9:$E$18),O89+1,"STOP")</f>
        <v>#VALUE!</v>
      </c>
      <c r="P90" s="195" t="e">
        <f t="shared" si="5"/>
        <v>#VALUE!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40</v>
      </c>
      <c r="B91" s="191">
        <f>'Données projet'!D94</f>
        <v>0</v>
      </c>
      <c r="C91" s="202"/>
      <c r="D91" s="189">
        <f t="shared" si="6"/>
        <v>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 t="e">
        <f>IF(O90+1&lt;=MIN('Données projet'!$E$9:$E$18),O90+1,"STOP")</f>
        <v>#VALUE!</v>
      </c>
      <c r="P91" s="195" t="e">
        <f t="shared" si="5"/>
        <v>#VALUE!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45</v>
      </c>
      <c r="B92" s="191">
        <f>'Données projet'!D95</f>
        <v>61</v>
      </c>
      <c r="C92" s="202">
        <v>15</v>
      </c>
      <c r="D92" s="189">
        <f t="shared" si="6"/>
        <v>915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 t="e">
        <f>IF(O91+1&lt;=MIN('Données projet'!$E$9:$E$18),O91+1,"STOP")</f>
        <v>#VALUE!</v>
      </c>
      <c r="P92" s="195" t="e">
        <f t="shared" si="5"/>
        <v>#VALUE!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50</v>
      </c>
      <c r="B93" s="191">
        <f>'Données projet'!D96</f>
        <v>0</v>
      </c>
      <c r="C93" s="202"/>
      <c r="D93" s="189">
        <f t="shared" si="6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 t="e">
        <f>IF(O92+1&lt;=MIN('Données projet'!$E$9:$E$18),O92+1,"STOP")</f>
        <v>#VALUE!</v>
      </c>
      <c r="P93" s="195" t="e">
        <f t="shared" si="5"/>
        <v>#VALUE!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55</v>
      </c>
      <c r="B94" s="191">
        <f>'Données projet'!D97</f>
        <v>54</v>
      </c>
      <c r="C94" s="202">
        <v>20</v>
      </c>
      <c r="D94" s="189">
        <f t="shared" si="6"/>
        <v>1080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e">
        <f>IF(O93+1&lt;=MIN('Données projet'!$E$9:$E$18),O93+1,"STOP")</f>
        <v>#VALUE!</v>
      </c>
      <c r="P94" s="195" t="e">
        <f t="shared" si="5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60</v>
      </c>
      <c r="B95" s="191">
        <f>'Données projet'!D98</f>
        <v>0</v>
      </c>
      <c r="C95" s="202"/>
      <c r="D95" s="189">
        <f t="shared" si="6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65</v>
      </c>
      <c r="B96" s="191">
        <f>'Données projet'!D99</f>
        <v>46</v>
      </c>
      <c r="C96" s="202">
        <v>30</v>
      </c>
      <c r="D96" s="189">
        <f t="shared" si="6"/>
        <v>1380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70</v>
      </c>
      <c r="B97" s="191">
        <f>'Données projet'!D100</f>
        <v>0</v>
      </c>
      <c r="C97" s="202"/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75</v>
      </c>
      <c r="B98" s="191">
        <f>'Données projet'!D101</f>
        <v>40</v>
      </c>
      <c r="C98" s="202">
        <v>40</v>
      </c>
      <c r="D98" s="189">
        <f t="shared" si="6"/>
        <v>1600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80</v>
      </c>
      <c r="B99" s="191">
        <f>'Données projet'!D102</f>
        <v>0</v>
      </c>
      <c r="C99" s="202"/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85</v>
      </c>
      <c r="B100" s="191">
        <f>'Données projet'!D103</f>
        <v>33</v>
      </c>
      <c r="C100" s="202">
        <v>50</v>
      </c>
      <c r="D100" s="189">
        <f t="shared" si="6"/>
        <v>1650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90</v>
      </c>
      <c r="B101" s="191">
        <f>'Données projet'!D104</f>
        <v>0</v>
      </c>
      <c r="C101" s="202"/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95</v>
      </c>
      <c r="B102" s="191">
        <f>'Données projet'!D105</f>
        <v>0</v>
      </c>
      <c r="C102" s="202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100</v>
      </c>
      <c r="B103" s="191">
        <f>'Données projet'!D106</f>
        <v>300</v>
      </c>
      <c r="C103" s="202">
        <v>80</v>
      </c>
      <c r="D103" s="189">
        <f t="shared" si="6"/>
        <v>24000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0</v>
      </c>
      <c r="B104" s="191">
        <f>'Données projet'!D107</f>
        <v>0</v>
      </c>
      <c r="C104" s="202"/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>Chêne sessile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20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25</v>
      </c>
      <c r="B117" s="191">
        <f>'Données projet'!D115</f>
        <v>0</v>
      </c>
      <c r="C117" s="202"/>
      <c r="D117" s="189">
        <f t="shared" ref="D117:D135" si="8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30</v>
      </c>
      <c r="B118" s="191">
        <f>'Données projet'!D116</f>
        <v>29</v>
      </c>
      <c r="C118" s="202">
        <v>10</v>
      </c>
      <c r="D118" s="189">
        <f t="shared" si="8"/>
        <v>290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35</v>
      </c>
      <c r="B119" s="191">
        <f>'Données projet'!D117</f>
        <v>0</v>
      </c>
      <c r="C119" s="202"/>
      <c r="D119" s="189">
        <f t="shared" si="8"/>
        <v>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40</v>
      </c>
      <c r="B120" s="191">
        <f>'Données projet'!D118</f>
        <v>42</v>
      </c>
      <c r="C120" s="202">
        <v>15</v>
      </c>
      <c r="D120" s="189">
        <f t="shared" si="8"/>
        <v>630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45</v>
      </c>
      <c r="B121" s="191">
        <f>'Données projet'!D119</f>
        <v>0</v>
      </c>
      <c r="C121" s="202"/>
      <c r="D121" s="189">
        <f t="shared" si="8"/>
        <v>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50</v>
      </c>
      <c r="B122" s="191">
        <f>'Données projet'!D120</f>
        <v>42</v>
      </c>
      <c r="C122" s="202">
        <v>20</v>
      </c>
      <c r="D122" s="189">
        <f t="shared" si="8"/>
        <v>840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55</v>
      </c>
      <c r="B123" s="191">
        <f>'Données projet'!D121</f>
        <v>0</v>
      </c>
      <c r="C123" s="202"/>
      <c r="D123" s="189">
        <f t="shared" si="8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60</v>
      </c>
      <c r="B124" s="191">
        <f>'Données projet'!D122</f>
        <v>42</v>
      </c>
      <c r="C124" s="202">
        <v>30</v>
      </c>
      <c r="D124" s="189">
        <f t="shared" si="8"/>
        <v>1260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65</v>
      </c>
      <c r="B125" s="191">
        <f>'Données projet'!D123</f>
        <v>0</v>
      </c>
      <c r="C125" s="202"/>
      <c r="D125" s="189">
        <f t="shared" si="8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70</v>
      </c>
      <c r="B126" s="191">
        <f>'Données projet'!D124</f>
        <v>42</v>
      </c>
      <c r="C126" s="202">
        <v>40</v>
      </c>
      <c r="D126" s="189">
        <f t="shared" si="8"/>
        <v>1680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75</v>
      </c>
      <c r="B127" s="191">
        <f>'Données projet'!D125</f>
        <v>0</v>
      </c>
      <c r="C127" s="202"/>
      <c r="D127" s="189">
        <f t="shared" si="8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80</v>
      </c>
      <c r="B128" s="191">
        <f>'Données projet'!D126</f>
        <v>42</v>
      </c>
      <c r="C128" s="202">
        <v>50</v>
      </c>
      <c r="D128" s="189">
        <f t="shared" si="8"/>
        <v>2100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90</v>
      </c>
      <c r="B129" s="191">
        <f>'Données projet'!D127</f>
        <v>42</v>
      </c>
      <c r="C129" s="202">
        <v>60</v>
      </c>
      <c r="D129" s="189">
        <f t="shared" si="8"/>
        <v>2520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100</v>
      </c>
      <c r="B130" s="191">
        <f>'Données projet'!D128</f>
        <v>42</v>
      </c>
      <c r="C130" s="202">
        <v>70</v>
      </c>
      <c r="D130" s="189">
        <f t="shared" si="8"/>
        <v>2940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110</v>
      </c>
      <c r="B131" s="191">
        <f>'Données projet'!D129</f>
        <v>39</v>
      </c>
      <c r="C131" s="202">
        <v>80</v>
      </c>
      <c r="D131" s="189">
        <f t="shared" si="8"/>
        <v>3120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120</v>
      </c>
      <c r="B132" s="191">
        <f>'Données projet'!D130</f>
        <v>35</v>
      </c>
      <c r="C132" s="202">
        <v>90</v>
      </c>
      <c r="D132" s="189">
        <f t="shared" si="8"/>
        <v>3150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130</v>
      </c>
      <c r="B133" s="191">
        <f>'Données projet'!D131</f>
        <v>31</v>
      </c>
      <c r="C133" s="202">
        <v>100</v>
      </c>
      <c r="D133" s="189">
        <f t="shared" si="8"/>
        <v>3100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140</v>
      </c>
      <c r="B134" s="191">
        <f>'Données projet'!D132</f>
        <v>27</v>
      </c>
      <c r="C134" s="202">
        <v>150</v>
      </c>
      <c r="D134" s="189">
        <f t="shared" si="8"/>
        <v>4050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150</v>
      </c>
      <c r="B135" s="191">
        <f>'Données projet'!D133</f>
        <v>293</v>
      </c>
      <c r="C135" s="202">
        <v>200</v>
      </c>
      <c r="D135" s="189">
        <f t="shared" si="8"/>
        <v>58600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>Chêne pubescent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5">
        <f>'Données projet'!D141</f>
        <v>0</v>
      </c>
      <c r="C148" s="202"/>
      <c r="D148" s="192">
        <f t="shared" ref="D148:D166" si="10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5">
        <f>'Données projet'!D142</f>
        <v>29</v>
      </c>
      <c r="C149" s="202">
        <v>10</v>
      </c>
      <c r="D149" s="192">
        <f t="shared" si="10"/>
        <v>290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5">
        <f>'Données projet'!D143</f>
        <v>0</v>
      </c>
      <c r="C150" s="202"/>
      <c r="D150" s="192">
        <f t="shared" si="10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5">
        <f>'Données projet'!D144</f>
        <v>42</v>
      </c>
      <c r="C151" s="202">
        <v>15</v>
      </c>
      <c r="D151" s="192">
        <f t="shared" si="10"/>
        <v>630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5">
        <f>'Données projet'!D145</f>
        <v>0</v>
      </c>
      <c r="C152" s="202"/>
      <c r="D152" s="192">
        <f t="shared" si="10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5">
        <f>'Données projet'!D146</f>
        <v>42</v>
      </c>
      <c r="C153" s="202">
        <v>20</v>
      </c>
      <c r="D153" s="192">
        <f t="shared" si="10"/>
        <v>840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55</v>
      </c>
      <c r="B154" s="185">
        <f>'Données projet'!D147</f>
        <v>0</v>
      </c>
      <c r="C154" s="202"/>
      <c r="D154" s="192">
        <f t="shared" si="10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60</v>
      </c>
      <c r="B155" s="185">
        <f>'Données projet'!D148</f>
        <v>42</v>
      </c>
      <c r="C155" s="202">
        <v>30</v>
      </c>
      <c r="D155" s="192">
        <f t="shared" si="10"/>
        <v>1260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65</v>
      </c>
      <c r="B156" s="185">
        <f>'Données projet'!D149</f>
        <v>0</v>
      </c>
      <c r="C156" s="202"/>
      <c r="D156" s="192">
        <f t="shared" si="10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70</v>
      </c>
      <c r="B157" s="185">
        <f>'Données projet'!D150</f>
        <v>42</v>
      </c>
      <c r="C157" s="202">
        <v>40</v>
      </c>
      <c r="D157" s="192">
        <f t="shared" si="10"/>
        <v>1680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75</v>
      </c>
      <c r="B158" s="185">
        <f>'Données projet'!D151</f>
        <v>0</v>
      </c>
      <c r="C158" s="202"/>
      <c r="D158" s="192">
        <f t="shared" si="10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80</v>
      </c>
      <c r="B159" s="185">
        <f>'Données projet'!D152</f>
        <v>42</v>
      </c>
      <c r="C159" s="202">
        <v>50</v>
      </c>
      <c r="D159" s="192">
        <f t="shared" si="10"/>
        <v>2100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90</v>
      </c>
      <c r="B160" s="185">
        <f>'Données projet'!D153</f>
        <v>42</v>
      </c>
      <c r="C160" s="202">
        <v>60</v>
      </c>
      <c r="D160" s="192">
        <f t="shared" si="10"/>
        <v>2520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100</v>
      </c>
      <c r="B161" s="185">
        <f>'Données projet'!D154</f>
        <v>42</v>
      </c>
      <c r="C161" s="202">
        <v>70</v>
      </c>
      <c r="D161" s="192">
        <f t="shared" si="10"/>
        <v>2940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110</v>
      </c>
      <c r="B162" s="185">
        <f>'Données projet'!D155</f>
        <v>39</v>
      </c>
      <c r="C162" s="202">
        <v>80</v>
      </c>
      <c r="D162" s="192">
        <f t="shared" si="10"/>
        <v>3120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120</v>
      </c>
      <c r="B163" s="185">
        <f>'Données projet'!D156</f>
        <v>35</v>
      </c>
      <c r="C163" s="202">
        <v>90</v>
      </c>
      <c r="D163" s="192">
        <f t="shared" si="10"/>
        <v>3150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130</v>
      </c>
      <c r="B164" s="185">
        <f>'Données projet'!D157</f>
        <v>31</v>
      </c>
      <c r="C164" s="202">
        <v>100</v>
      </c>
      <c r="D164" s="192">
        <f t="shared" si="10"/>
        <v>3100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140</v>
      </c>
      <c r="B165" s="185">
        <f>'Données projet'!D158</f>
        <v>27</v>
      </c>
      <c r="C165" s="202">
        <v>150</v>
      </c>
      <c r="D165" s="192">
        <f t="shared" si="10"/>
        <v>4050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150</v>
      </c>
      <c r="B166" s="185">
        <f>'Données projet'!D159</f>
        <v>293</v>
      </c>
      <c r="C166" s="202">
        <v>200</v>
      </c>
      <c r="D166" s="192">
        <f t="shared" si="10"/>
        <v>58600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>Cormier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20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25</v>
      </c>
      <c r="B179" s="191">
        <f>'Données projet'!D167</f>
        <v>0</v>
      </c>
      <c r="C179" s="204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30</v>
      </c>
      <c r="B180" s="191">
        <f>'Données projet'!D168</f>
        <v>29</v>
      </c>
      <c r="C180" s="202">
        <v>10</v>
      </c>
      <c r="D180" s="189">
        <f t="shared" si="11"/>
        <v>290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35</v>
      </c>
      <c r="B181" s="191">
        <f>'Données projet'!D169</f>
        <v>0</v>
      </c>
      <c r="C181" s="202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40</v>
      </c>
      <c r="B182" s="191">
        <f>'Données projet'!D170</f>
        <v>42</v>
      </c>
      <c r="C182" s="202">
        <v>15</v>
      </c>
      <c r="D182" s="189">
        <f t="shared" si="11"/>
        <v>630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45</v>
      </c>
      <c r="B183" s="191">
        <f>'Données projet'!D171</f>
        <v>0</v>
      </c>
      <c r="C183" s="202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50</v>
      </c>
      <c r="B184" s="191">
        <f>'Données projet'!D172</f>
        <v>42</v>
      </c>
      <c r="C184" s="202">
        <v>20</v>
      </c>
      <c r="D184" s="189">
        <f t="shared" si="11"/>
        <v>840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55</v>
      </c>
      <c r="B185" s="191">
        <f>'Données projet'!D173</f>
        <v>0</v>
      </c>
      <c r="C185" s="202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60</v>
      </c>
      <c r="B186" s="191">
        <f>'Données projet'!D174</f>
        <v>42</v>
      </c>
      <c r="C186" s="202">
        <v>30</v>
      </c>
      <c r="D186" s="189">
        <f t="shared" si="11"/>
        <v>1260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65</v>
      </c>
      <c r="B187" s="191">
        <f>'Données projet'!D175</f>
        <v>0</v>
      </c>
      <c r="C187" s="202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70</v>
      </c>
      <c r="B188" s="191">
        <f>'Données projet'!D176</f>
        <v>42</v>
      </c>
      <c r="C188" s="202">
        <v>40</v>
      </c>
      <c r="D188" s="189">
        <f t="shared" si="11"/>
        <v>1680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75</v>
      </c>
      <c r="B189" s="191">
        <f>'Données projet'!D177</f>
        <v>0</v>
      </c>
      <c r="C189" s="202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80</v>
      </c>
      <c r="B190" s="191">
        <f>'Données projet'!D178</f>
        <v>42</v>
      </c>
      <c r="C190" s="202">
        <v>50</v>
      </c>
      <c r="D190" s="189">
        <f t="shared" si="11"/>
        <v>2100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90</v>
      </c>
      <c r="B191" s="191">
        <f>'Données projet'!D179</f>
        <v>42</v>
      </c>
      <c r="C191" s="202">
        <v>60</v>
      </c>
      <c r="D191" s="189">
        <f t="shared" si="11"/>
        <v>2520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100</v>
      </c>
      <c r="B192" s="191">
        <f>'Données projet'!D180</f>
        <v>42</v>
      </c>
      <c r="C192" s="202">
        <v>70</v>
      </c>
      <c r="D192" s="189">
        <f t="shared" si="11"/>
        <v>2940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110</v>
      </c>
      <c r="B193" s="191">
        <f>'Données projet'!D181</f>
        <v>39</v>
      </c>
      <c r="C193" s="202">
        <v>80</v>
      </c>
      <c r="D193" s="189">
        <f t="shared" si="11"/>
        <v>3120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120</v>
      </c>
      <c r="B194" s="191">
        <f>'Données projet'!D182</f>
        <v>35</v>
      </c>
      <c r="C194" s="202">
        <v>90</v>
      </c>
      <c r="D194" s="189">
        <f t="shared" si="11"/>
        <v>3150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130</v>
      </c>
      <c r="B195" s="191">
        <f>'Données projet'!D183</f>
        <v>31</v>
      </c>
      <c r="C195" s="202">
        <v>100</v>
      </c>
      <c r="D195" s="189">
        <f t="shared" si="11"/>
        <v>3100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140</v>
      </c>
      <c r="B196" s="191">
        <f>'Données projet'!D184</f>
        <v>27</v>
      </c>
      <c r="C196" s="202">
        <v>150</v>
      </c>
      <c r="D196" s="189">
        <f t="shared" si="11"/>
        <v>4050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150</v>
      </c>
      <c r="B197" s="191">
        <f>'Données projet'!D185</f>
        <v>293</v>
      </c>
      <c r="C197" s="202">
        <v>200</v>
      </c>
      <c r="D197" s="189">
        <f t="shared" si="11"/>
        <v>58600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>Alisier torminal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20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25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30</v>
      </c>
      <c r="B211" s="191">
        <f>'Données projet'!D194</f>
        <v>29</v>
      </c>
      <c r="C211" s="202">
        <v>10</v>
      </c>
      <c r="D211" s="189">
        <f t="shared" si="12"/>
        <v>290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35</v>
      </c>
      <c r="B212" s="191">
        <f>'Données projet'!D195</f>
        <v>0</v>
      </c>
      <c r="C212" s="202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40</v>
      </c>
      <c r="B213" s="191">
        <f>'Données projet'!D196</f>
        <v>42</v>
      </c>
      <c r="C213" s="202">
        <v>15</v>
      </c>
      <c r="D213" s="189">
        <f t="shared" si="12"/>
        <v>630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45</v>
      </c>
      <c r="B214" s="191">
        <f>'Données projet'!D197</f>
        <v>0</v>
      </c>
      <c r="C214" s="202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50</v>
      </c>
      <c r="B215" s="191">
        <f>'Données projet'!D198</f>
        <v>42</v>
      </c>
      <c r="C215" s="202">
        <v>20</v>
      </c>
      <c r="D215" s="189">
        <f t="shared" si="12"/>
        <v>840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55</v>
      </c>
      <c r="B216" s="191">
        <f>'Données projet'!D199</f>
        <v>0</v>
      </c>
      <c r="C216" s="202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60</v>
      </c>
      <c r="B217" s="191">
        <f>'Données projet'!D200</f>
        <v>42</v>
      </c>
      <c r="C217" s="202">
        <v>30</v>
      </c>
      <c r="D217" s="189">
        <f t="shared" si="12"/>
        <v>1260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65</v>
      </c>
      <c r="B218" s="191">
        <f>'Données projet'!D201</f>
        <v>0</v>
      </c>
      <c r="C218" s="202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70</v>
      </c>
      <c r="B219" s="191">
        <f>'Données projet'!D202</f>
        <v>42</v>
      </c>
      <c r="C219" s="202">
        <v>40</v>
      </c>
      <c r="D219" s="189">
        <f t="shared" si="12"/>
        <v>1680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75</v>
      </c>
      <c r="B220" s="191">
        <f>'Données projet'!D203</f>
        <v>0</v>
      </c>
      <c r="C220" s="202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80</v>
      </c>
      <c r="B221" s="191">
        <f>'Données projet'!D204</f>
        <v>42</v>
      </c>
      <c r="C221" s="202">
        <v>50</v>
      </c>
      <c r="D221" s="189">
        <f t="shared" si="12"/>
        <v>2100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90</v>
      </c>
      <c r="B222" s="191">
        <f>'Données projet'!D205</f>
        <v>42</v>
      </c>
      <c r="C222" s="202">
        <v>60</v>
      </c>
      <c r="D222" s="189">
        <f t="shared" si="12"/>
        <v>2520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100</v>
      </c>
      <c r="B223" s="191">
        <f>'Données projet'!D206</f>
        <v>42</v>
      </c>
      <c r="C223" s="202">
        <v>70</v>
      </c>
      <c r="D223" s="189">
        <f t="shared" si="12"/>
        <v>2940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110</v>
      </c>
      <c r="B224" s="191">
        <f>'Données projet'!D207</f>
        <v>39</v>
      </c>
      <c r="C224" s="202">
        <v>80</v>
      </c>
      <c r="D224" s="189">
        <f t="shared" si="12"/>
        <v>3120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120</v>
      </c>
      <c r="B225" s="191">
        <f>'Données projet'!D208</f>
        <v>35</v>
      </c>
      <c r="C225" s="202">
        <v>90</v>
      </c>
      <c r="D225" s="189">
        <f t="shared" si="12"/>
        <v>3150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130</v>
      </c>
      <c r="B226" s="191">
        <f>'Données projet'!D209</f>
        <v>31</v>
      </c>
      <c r="C226" s="202">
        <v>100</v>
      </c>
      <c r="D226" s="189">
        <f t="shared" si="12"/>
        <v>3100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140</v>
      </c>
      <c r="B227" s="191">
        <f>'Données projet'!D210</f>
        <v>27</v>
      </c>
      <c r="C227" s="202">
        <v>150</v>
      </c>
      <c r="D227" s="189">
        <f t="shared" si="12"/>
        <v>4050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150</v>
      </c>
      <c r="B228" s="191">
        <f>'Données projet'!D211</f>
        <v>293</v>
      </c>
      <c r="C228" s="202">
        <v>200</v>
      </c>
      <c r="D228" s="189">
        <f t="shared" si="12"/>
        <v>58600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2023-01-30T17:22:15Z</dcterms:modified>
</cp:coreProperties>
</file>