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Forestarn\CAMARES (12) - Indv Cicalèse Masmejean\Dossier final\"/>
    </mc:Choice>
  </mc:AlternateContent>
  <xr:revisionPtr revIDLastSave="0" documentId="13_ncr:1_{7DF8732E-A0B7-4220-BE9F-35BC6403D89F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<sst xmlns="http://schemas.openxmlformats.org/spreadsheetml/2006/main" count="1169" uniqueCount="324">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</sst>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919.03907116057201</c:v>
                </c:pt>
                <c:pt idx="67">
                  <c:v>919.03907116057201</c:v>
                </c:pt>
                <c:pt idx="68">
                  <c:v>919.03907116057201</c:v>
                </c:pt>
                <c:pt idx="69">
                  <c:v>919.03907116057201</c:v>
                </c:pt>
                <c:pt idx="70">
                  <c:v>919.03907116057201</c:v>
                </c:pt>
                <c:pt idx="71">
                  <c:v>919.03907116057201</c:v>
                </c:pt>
                <c:pt idx="72">
                  <c:v>919.03907116057201</c:v>
                </c:pt>
                <c:pt idx="73">
                  <c:v>919.03907116057201</c:v>
                </c:pt>
                <c:pt idx="74">
                  <c:v>919.03907116057201</c:v>
                </c:pt>
                <c:pt idx="75">
                  <c:v>919.03907116057201</c:v>
                </c:pt>
                <c:pt idx="76">
                  <c:v>919.03907116057201</c:v>
                </c:pt>
                <c:pt idx="77">
                  <c:v>919.03907116057201</c:v>
                </c:pt>
                <c:pt idx="78">
                  <c:v>919.03907116057201</c:v>
                </c:pt>
                <c:pt idx="79">
                  <c:v>919.03907116057201</c:v>
                </c:pt>
                <c:pt idx="80">
                  <c:v>919.03907116057201</c:v>
                </c:pt>
                <c:pt idx="81">
                  <c:v>919.03907116057201</c:v>
                </c:pt>
                <c:pt idx="82">
                  <c:v>919.03907116057201</c:v>
                </c:pt>
                <c:pt idx="83">
                  <c:v>919.03907116057201</c:v>
                </c:pt>
                <c:pt idx="84">
                  <c:v>919.03907116057201</c:v>
                </c:pt>
                <c:pt idx="85">
                  <c:v>919.03907116057201</c:v>
                </c:pt>
                <c:pt idx="86">
                  <c:v>919.03907116057201</c:v>
                </c:pt>
                <c:pt idx="87">
                  <c:v>919.03907116057201</c:v>
                </c:pt>
                <c:pt idx="88">
                  <c:v>919.03907116057201</c:v>
                </c:pt>
                <c:pt idx="89">
                  <c:v>919.03907116057201</c:v>
                </c:pt>
                <c:pt idx="90">
                  <c:v>919.03907116057201</c:v>
                </c:pt>
                <c:pt idx="91">
                  <c:v>919.03907116057201</c:v>
                </c:pt>
                <c:pt idx="92">
                  <c:v>919.03907116057201</c:v>
                </c:pt>
                <c:pt idx="93">
                  <c:v>919.03907116057201</c:v>
                </c:pt>
                <c:pt idx="94">
                  <c:v>919.03907116057201</c:v>
                </c:pt>
                <c:pt idx="95">
                  <c:v>919.03907116057201</c:v>
                </c:pt>
                <c:pt idx="96">
                  <c:v>919.03907116057201</c:v>
                </c:pt>
                <c:pt idx="97">
                  <c:v>919.03907116057201</c:v>
                </c:pt>
                <c:pt idx="98">
                  <c:v>919.03907116057201</c:v>
                </c:pt>
                <c:pt idx="99">
                  <c:v>919.03907116057201</c:v>
                </c:pt>
                <c:pt idx="100">
                  <c:v>919.03907116057201</c:v>
                </c:pt>
                <c:pt idx="101">
                  <c:v>919.03907116057201</c:v>
                </c:pt>
                <c:pt idx="102">
                  <c:v>919.03907116057201</c:v>
                </c:pt>
                <c:pt idx="103">
                  <c:v>919.03907116057201</c:v>
                </c:pt>
                <c:pt idx="104">
                  <c:v>919.03907116057201</c:v>
                </c:pt>
                <c:pt idx="105">
                  <c:v>919.03907116057201</c:v>
                </c:pt>
                <c:pt idx="106">
                  <c:v>919.03907116057201</c:v>
                </c:pt>
                <c:pt idx="107">
                  <c:v>919.03907116057201</c:v>
                </c:pt>
                <c:pt idx="108">
                  <c:v>919.03907116057201</c:v>
                </c:pt>
                <c:pt idx="109">
                  <c:v>919.03907116057201</c:v>
                </c:pt>
                <c:pt idx="110">
                  <c:v>919.03907116057201</c:v>
                </c:pt>
                <c:pt idx="111">
                  <c:v>919.03907116057201</c:v>
                </c:pt>
                <c:pt idx="112">
                  <c:v>919.03907116057201</c:v>
                </c:pt>
                <c:pt idx="113">
                  <c:v>919.03907116057201</c:v>
                </c:pt>
                <c:pt idx="114">
                  <c:v>919.03907116057201</c:v>
                </c:pt>
                <c:pt idx="115">
                  <c:v>919.03907116057201</c:v>
                </c:pt>
                <c:pt idx="116">
                  <c:v>919.03907116057201</c:v>
                </c:pt>
                <c:pt idx="117">
                  <c:v>919.03907116057201</c:v>
                </c:pt>
                <c:pt idx="118">
                  <c:v>919.03907116057201</c:v>
                </c:pt>
                <c:pt idx="119">
                  <c:v>919.03907116057201</c:v>
                </c:pt>
                <c:pt idx="120">
                  <c:v>919.03907116057201</c:v>
                </c:pt>
                <c:pt idx="121">
                  <c:v>919.03907116057201</c:v>
                </c:pt>
                <c:pt idx="122">
                  <c:v>919.03907116057201</c:v>
                </c:pt>
                <c:pt idx="123">
                  <c:v>919.03907116057201</c:v>
                </c:pt>
                <c:pt idx="124">
                  <c:v>919.03907116057201</c:v>
                </c:pt>
                <c:pt idx="125">
                  <c:v>919.03907116057201</c:v>
                </c:pt>
                <c:pt idx="126">
                  <c:v>919.03907116057201</c:v>
                </c:pt>
                <c:pt idx="127">
                  <c:v>919.03907116057201</c:v>
                </c:pt>
                <c:pt idx="128">
                  <c:v>919.03907116057201</c:v>
                </c:pt>
                <c:pt idx="129">
                  <c:v>919.03907116057201</c:v>
                </c:pt>
                <c:pt idx="130">
                  <c:v>919.03907116057201</c:v>
                </c:pt>
                <c:pt idx="131">
                  <c:v>919.03907116057201</c:v>
                </c:pt>
                <c:pt idx="132">
                  <c:v>919.03907116057201</c:v>
                </c:pt>
                <c:pt idx="133">
                  <c:v>919.03907116057201</c:v>
                </c:pt>
                <c:pt idx="134">
                  <c:v>919.03907116057201</c:v>
                </c:pt>
                <c:pt idx="135">
                  <c:v>919.03907116057201</c:v>
                </c:pt>
                <c:pt idx="136">
                  <c:v>919.03907116057201</c:v>
                </c:pt>
                <c:pt idx="137">
                  <c:v>919.03907116057201</c:v>
                </c:pt>
                <c:pt idx="138">
                  <c:v>919.03907116057201</c:v>
                </c:pt>
                <c:pt idx="139">
                  <c:v>919.03907116057201</c:v>
                </c:pt>
                <c:pt idx="140">
                  <c:v>919.03907116057201</c:v>
                </c:pt>
                <c:pt idx="141">
                  <c:v>919.03907116057201</c:v>
                </c:pt>
                <c:pt idx="142">
                  <c:v>919.03907116057201</c:v>
                </c:pt>
                <c:pt idx="143">
                  <c:v>919.03907116057201</c:v>
                </c:pt>
                <c:pt idx="144">
                  <c:v>919.03907116057201</c:v>
                </c:pt>
                <c:pt idx="145">
                  <c:v>919.03907116057201</c:v>
                </c:pt>
                <c:pt idx="146">
                  <c:v>919.03907116057201</c:v>
                </c:pt>
                <c:pt idx="147">
                  <c:v>919.03907116057201</c:v>
                </c:pt>
                <c:pt idx="148">
                  <c:v>919.03907116057201</c:v>
                </c:pt>
                <c:pt idx="149">
                  <c:v>919.03907116057201</c:v>
                </c:pt>
                <c:pt idx="150">
                  <c:v>919.03907116057201</c:v>
                </c:pt>
                <c:pt idx="151">
                  <c:v>919.03907116057201</c:v>
                </c:pt>
                <c:pt idx="152">
                  <c:v>919.03907116057201</c:v>
                </c:pt>
                <c:pt idx="153">
                  <c:v>919.03907116057201</c:v>
                </c:pt>
                <c:pt idx="154">
                  <c:v>919.03907116057201</c:v>
                </c:pt>
                <c:pt idx="155">
                  <c:v>919.03907116057201</c:v>
                </c:pt>
                <c:pt idx="156">
                  <c:v>919.03907116057201</c:v>
                </c:pt>
                <c:pt idx="157">
                  <c:v>919.03907116057201</c:v>
                </c:pt>
                <c:pt idx="158">
                  <c:v>919.03907116057201</c:v>
                </c:pt>
                <c:pt idx="159">
                  <c:v>919.03907116057201</c:v>
                </c:pt>
                <c:pt idx="160">
                  <c:v>919.03907116057201</c:v>
                </c:pt>
                <c:pt idx="161">
                  <c:v>919.03907116057201</c:v>
                </c:pt>
                <c:pt idx="162">
                  <c:v>919.03907116057201</c:v>
                </c:pt>
                <c:pt idx="163">
                  <c:v>919.03907116057201</c:v>
                </c:pt>
                <c:pt idx="164">
                  <c:v>919.03907116057201</c:v>
                </c:pt>
                <c:pt idx="165">
                  <c:v>919.03907116057201</c:v>
                </c:pt>
                <c:pt idx="166">
                  <c:v>919.03907116057201</c:v>
                </c:pt>
                <c:pt idx="167">
                  <c:v>919.03907116057201</c:v>
                </c:pt>
                <c:pt idx="168">
                  <c:v>919.03907116057201</c:v>
                </c:pt>
                <c:pt idx="169">
                  <c:v>919.03907116057201</c:v>
                </c:pt>
                <c:pt idx="170">
                  <c:v>919.03907116057201</c:v>
                </c:pt>
                <c:pt idx="171">
                  <c:v>919.03907116057201</c:v>
                </c:pt>
                <c:pt idx="172">
                  <c:v>919.03907116057201</c:v>
                </c:pt>
                <c:pt idx="173">
                  <c:v>919.03907116057201</c:v>
                </c:pt>
                <c:pt idx="174">
                  <c:v>919.03907116057201</c:v>
                </c:pt>
                <c:pt idx="175">
                  <c:v>919.03907116057201</c:v>
                </c:pt>
                <c:pt idx="176">
                  <c:v>919.03907116057201</c:v>
                </c:pt>
                <c:pt idx="177">
                  <c:v>919.03907116057201</c:v>
                </c:pt>
                <c:pt idx="178">
                  <c:v>919.03907116057201</c:v>
                </c:pt>
                <c:pt idx="179">
                  <c:v>919.03907116057201</c:v>
                </c:pt>
                <c:pt idx="180">
                  <c:v>919.03907116057201</c:v>
                </c:pt>
                <c:pt idx="181">
                  <c:v>919.03907116057201</c:v>
                </c:pt>
                <c:pt idx="182">
                  <c:v>919.03907116057201</c:v>
                </c:pt>
                <c:pt idx="183">
                  <c:v>919.03907116057201</c:v>
                </c:pt>
                <c:pt idx="184">
                  <c:v>919.03907116057201</c:v>
                </c:pt>
                <c:pt idx="185">
                  <c:v>919.03907116057201</c:v>
                </c:pt>
                <c:pt idx="186">
                  <c:v>919.03907116057201</c:v>
                </c:pt>
                <c:pt idx="187">
                  <c:v>919.03907116057201</c:v>
                </c:pt>
                <c:pt idx="188">
                  <c:v>919.03907116057201</c:v>
                </c:pt>
                <c:pt idx="189">
                  <c:v>919.03907116057201</c:v>
                </c:pt>
                <c:pt idx="190">
                  <c:v>919.03907116057201</c:v>
                </c:pt>
                <c:pt idx="191">
                  <c:v>919.03907116057201</c:v>
                </c:pt>
                <c:pt idx="192">
                  <c:v>919.03907116057201</c:v>
                </c:pt>
                <c:pt idx="193">
                  <c:v>919.03907116057201</c:v>
                </c:pt>
                <c:pt idx="194">
                  <c:v>919.03907116057201</c:v>
                </c:pt>
                <c:pt idx="195">
                  <c:v>919.03907116057201</c:v>
                </c:pt>
                <c:pt idx="196">
                  <c:v>919.03907116057201</c:v>
                </c:pt>
                <c:pt idx="197">
                  <c:v>919.03907116057201</c:v>
                </c:pt>
                <c:pt idx="198">
                  <c:v>919.03907116057201</c:v>
                </c:pt>
                <c:pt idx="199">
                  <c:v>919.03907116057201</c:v>
                </c:pt>
                <c:pt idx="200">
                  <c:v>919.03907116057201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5" zoomScale="90" zoomScaleNormal="90" workbookViewId="0">
      <selection activeCell="F53" sqref="F5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10.11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0.5</v>
      </c>
      <c r="D9" s="36">
        <f t="shared" ref="D9:D18" si="0">C9*$C$5</f>
        <v>5.0549999999999997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0.5</v>
      </c>
      <c r="D10" s="36">
        <f t="shared" si="0"/>
        <v>5.0549999999999997</v>
      </c>
      <c r="E10" s="37">
        <v>65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10.11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>
        <v>0.2</v>
      </c>
      <c r="F36" s="54">
        <v>0.3</v>
      </c>
      <c r="G36" s="54">
        <v>0.5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>
        <v>0.3</v>
      </c>
      <c r="F37" s="54">
        <v>0.3</v>
      </c>
      <c r="G37" s="54">
        <v>0.4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>
        <v>0.4</v>
      </c>
      <c r="F38" s="54">
        <v>0.3</v>
      </c>
      <c r="G38" s="54">
        <v>0.3</v>
      </c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>
        <v>0.5</v>
      </c>
      <c r="F39" s="54">
        <v>0.3</v>
      </c>
      <c r="G39" s="54">
        <v>0.2</v>
      </c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>
        <v>0.6</v>
      </c>
      <c r="F40" s="54">
        <v>0.3</v>
      </c>
      <c r="G40" s="54">
        <v>0.1</v>
      </c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>
        <v>0.7</v>
      </c>
      <c r="F41" s="54">
        <v>0.3</v>
      </c>
      <c r="G41" s="54">
        <v>0</v>
      </c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>
        <v>0.8</v>
      </c>
      <c r="F42" s="54">
        <v>0.2</v>
      </c>
      <c r="G42" s="54">
        <v>0</v>
      </c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>
        <v>1</v>
      </c>
      <c r="F43" s="54">
        <v>0</v>
      </c>
      <c r="G43" s="54">
        <v>0</v>
      </c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>
        <v>1</v>
      </c>
      <c r="F44" s="54">
        <v>0</v>
      </c>
      <c r="G44" s="54">
        <v>0</v>
      </c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162</v>
      </c>
      <c r="C62" s="63">
        <v>1</v>
      </c>
      <c r="D62" s="63">
        <v>0</v>
      </c>
      <c r="E62" s="54">
        <v>0.2</v>
      </c>
      <c r="F62" s="54">
        <v>0.3</v>
      </c>
      <c r="G62" s="54">
        <v>0.5</v>
      </c>
      <c r="H62" s="54"/>
      <c r="I62" s="56">
        <f>IFERROR(B62/A62,"")</f>
        <v>10.8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303</v>
      </c>
      <c r="C63" s="63">
        <v>2</v>
      </c>
      <c r="D63" s="63">
        <v>43</v>
      </c>
      <c r="E63" s="54">
        <v>0.3</v>
      </c>
      <c r="F63" s="54">
        <v>0.3</v>
      </c>
      <c r="G63" s="54">
        <v>0.4</v>
      </c>
      <c r="H63" s="54"/>
      <c r="I63" s="52">
        <f>IF(A63&lt;&gt;0,(B63-(B62-D62))/(A63-A62),"")</f>
        <v>28.2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419</v>
      </c>
      <c r="C64" s="63">
        <v>3</v>
      </c>
      <c r="D64" s="63">
        <v>60</v>
      </c>
      <c r="E64" s="54">
        <v>0.4</v>
      </c>
      <c r="F64" s="54">
        <v>0.3</v>
      </c>
      <c r="G64" s="54">
        <v>0.3</v>
      </c>
      <c r="H64" s="54"/>
      <c r="I64" s="52">
        <f>IF(A64&lt;&gt;0,(B64-(B63-D63))/(A64-A63),"")</f>
        <v>31.8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524</v>
      </c>
      <c r="C65" s="63">
        <v>4</v>
      </c>
      <c r="D65" s="63">
        <v>90</v>
      </c>
      <c r="E65" s="54">
        <v>0.5</v>
      </c>
      <c r="F65" s="54">
        <v>0.3</v>
      </c>
      <c r="G65" s="54">
        <v>0.2</v>
      </c>
      <c r="H65" s="54"/>
      <c r="I65" s="52">
        <f>IF(A65&lt;&gt;0,(B65-(B64-D64))/(A65-A64),"")</f>
        <v>33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576</v>
      </c>
      <c r="C66" s="63">
        <v>5</v>
      </c>
      <c r="D66" s="63">
        <v>72</v>
      </c>
      <c r="E66" s="54">
        <v>0.6</v>
      </c>
      <c r="F66" s="54">
        <v>0.3</v>
      </c>
      <c r="G66" s="54">
        <v>0.1</v>
      </c>
      <c r="H66" s="54"/>
      <c r="I66" s="52">
        <f t="shared" ref="I66:I81" si="2">IF(A66&lt;&gt;0,(B66-(B65-D65))/(A66-A65),"")</f>
        <v>28.4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639</v>
      </c>
      <c r="C67" s="63">
        <v>6</v>
      </c>
      <c r="D67" s="63">
        <v>77</v>
      </c>
      <c r="E67" s="54">
        <v>0.7</v>
      </c>
      <c r="F67" s="54">
        <v>0.3</v>
      </c>
      <c r="G67" s="54">
        <v>0</v>
      </c>
      <c r="H67" s="54"/>
      <c r="I67" s="52">
        <f t="shared" si="2"/>
        <v>27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686</v>
      </c>
      <c r="C68" s="63">
        <v>7</v>
      </c>
      <c r="D68" s="63">
        <v>64</v>
      </c>
      <c r="E68" s="54">
        <v>0.8</v>
      </c>
      <c r="F68" s="54">
        <v>0.2</v>
      </c>
      <c r="G68" s="54">
        <v>0</v>
      </c>
      <c r="H68" s="54"/>
      <c r="I68" s="52">
        <f t="shared" si="2"/>
        <v>24.8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724</v>
      </c>
      <c r="C69" s="53">
        <v>8</v>
      </c>
      <c r="D69" s="53">
        <v>62</v>
      </c>
      <c r="E69" s="54">
        <v>1</v>
      </c>
      <c r="F69" s="54">
        <v>0</v>
      </c>
      <c r="G69" s="54">
        <v>0</v>
      </c>
      <c r="H69" s="54"/>
      <c r="I69" s="52">
        <f t="shared" si="2"/>
        <v>20.399999999999999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739</v>
      </c>
      <c r="C70" s="53">
        <v>9</v>
      </c>
      <c r="D70" s="53">
        <v>46</v>
      </c>
      <c r="E70" s="54">
        <v>1</v>
      </c>
      <c r="F70" s="54">
        <v>0</v>
      </c>
      <c r="G70" s="54">
        <v>0</v>
      </c>
      <c r="H70" s="54"/>
      <c r="I70" s="52">
        <f t="shared" si="2"/>
        <v>15.4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754</v>
      </c>
      <c r="C71" s="53">
        <v>10</v>
      </c>
      <c r="D71" s="53">
        <v>35</v>
      </c>
      <c r="E71" s="54"/>
      <c r="F71" s="54"/>
      <c r="G71" s="54"/>
      <c r="H71" s="54"/>
      <c r="I71" s="52">
        <f t="shared" si="2"/>
        <v>12.2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769</v>
      </c>
      <c r="C72" s="53">
        <v>11</v>
      </c>
      <c r="D72" s="53">
        <v>0</v>
      </c>
      <c r="E72" s="54"/>
      <c r="F72" s="54"/>
      <c r="G72" s="54"/>
      <c r="H72" s="54"/>
      <c r="I72" s="52">
        <f t="shared" si="2"/>
        <v>10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Douglas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310.95287409903602</v>
      </c>
      <c r="T3" s="62">
        <f>IF('Données projet'!E9&gt;30,$R$33-$H$33,LOOKUP('Données projet'!$E$9,$A$3:$A$203,R3:R203)-LOOKUP('Données projet'!$E$9,$A$3:$A$203,$H$3:$H$203))</f>
        <v>224.10083380795163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490.96084572840579</v>
      </c>
      <c r="AO3" s="62">
        <f>IF('Données projet'!E10&gt;30,$AM$33-$H$33,LOOKUP('Données projet'!$E$10,$A$3:$A$203,AM3:AM203)-LOOKUP('Données projet'!$E$10,$A$3:$A$203,$H$3:$H$203))</f>
        <v>597.91658789908263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294.89641891074018</v>
      </c>
      <c r="S4" s="62">
        <f ca="1">AVERAGE(OFFSET($R$3,0,0,'Données projet'!$E$9+1,1))-AVERAGE(OFFSET($H$3,0,0,'Données projet'!$E$9+1,1))</f>
        <v>310.95287409903602</v>
      </c>
      <c r="T4" s="62">
        <f>$T$3</f>
        <v>224.10083380795163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10.8</v>
      </c>
      <c r="AI4" s="14">
        <f>IF('Données projet'!$A$62&gt;35,AI3+AH4-AQ3,IF(A4&lt;'Données projet'!$A$62,$AF$205^A4,IF(A4='Données projet'!$A$62,'Données projet'!$B$62,AI3+AH4-AQ3)))</f>
        <v>1.4037863041747067</v>
      </c>
      <c r="AJ4" s="14">
        <f>AI4*VLOOKUP('Données projet'!$B$10,Paramètres!$A$1:$I$89,3,0)*VLOOKUP('Données projet'!$B$10,Paramètres!$A$1:$I$89,5,0)</f>
        <v>0.78471654403366109</v>
      </c>
      <c r="AK4" s="14">
        <f>EXP(-1.0587+0.8836*LN(AJ4)+0.284)</f>
        <v>0.37198061042729702</v>
      </c>
      <c r="AL4" s="22">
        <f t="shared" ref="AL4:AL67" si="4">(AJ4+AK4)*0.475*44/12</f>
        <v>2.0145808773528358</v>
      </c>
      <c r="AM4" s="62">
        <f t="shared" ref="AM4:AM67" si="5">AL4+(AD4+AE4)*44/12</f>
        <v>295.34791421068616</v>
      </c>
      <c r="AN4" s="62">
        <f ca="1">AVERAGE(OFFSET($AM$3,0,0,'Données projet'!$E$10+1,1))-AVERAGE(OFFSET($H$3,0,0,'Données projet'!$E$10+1,1))</f>
        <v>490.96084572840579</v>
      </c>
      <c r="AO4" s="62">
        <f>$AO$3</f>
        <v>597.91658789908263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295.32747390874374</v>
      </c>
      <c r="S5" s="62">
        <f ca="1">AVERAGE(OFFSET($R$3,0,0,'Données projet'!$E$9+1,1))-AVERAGE(OFFSET($H$3,0,0,'Données projet'!$E$9+1,1))</f>
        <v>310.95287409903602</v>
      </c>
      <c r="T5" s="62">
        <f t="shared" ref="T5:T68" si="34">$T$3</f>
        <v>224.10083380795163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10.8</v>
      </c>
      <c r="AI5" s="14">
        <f>IF('Données projet'!$A$62&gt;35,AI4+AH5-AQ4,IF(A5&lt;'Données projet'!$A$62,$AF$205^A5,IF(A5='Données projet'!$A$62,'Données projet'!$B$62,AI4+AH5-AQ4)))</f>
        <v>1.9706159877884823</v>
      </c>
      <c r="AJ5" s="14">
        <f>AI5*VLOOKUP('Données projet'!$B$10,Paramètres!$A$1:$I$89,3,0)*VLOOKUP('Données projet'!$B$10,Paramètres!$A$1:$I$89,5,0)</f>
        <v>1.1015743371737616</v>
      </c>
      <c r="AK5" s="14">
        <f t="shared" ref="AK5:AK68" si="35">EXP(-1.0587+0.8836*LN(AJ5)+0.284)</f>
        <v>0.50196734705126034</v>
      </c>
      <c r="AL5" s="22">
        <f t="shared" si="4"/>
        <v>2.7928351000252465</v>
      </c>
      <c r="AM5" s="62">
        <f t="shared" si="5"/>
        <v>296.12616843335854</v>
      </c>
      <c r="AN5" s="62">
        <f ca="1">AVERAGE(OFFSET($AM$3,0,0,'Données projet'!$E$10+1,1))-AVERAGE(OFFSET($H$3,0,0,'Données projet'!$E$10+1,1))</f>
        <v>490.96084572840579</v>
      </c>
      <c r="AO5" s="62">
        <f t="shared" ref="AO5:AO68" si="36">$AO$3</f>
        <v>597.91658789908263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295.8778838402435</v>
      </c>
      <c r="S6" s="62">
        <f ca="1">AVERAGE(OFFSET($R$3,0,0,'Données projet'!$E$9+1,1))-AVERAGE(OFFSET($H$3,0,0,'Données projet'!$E$9+1,1))</f>
        <v>310.95287409903602</v>
      </c>
      <c r="T6" s="62">
        <f t="shared" si="34"/>
        <v>224.10083380795163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10.8</v>
      </c>
      <c r="AI6" s="14">
        <f>IF('Données projet'!$A$62&gt;35,AI5+AH6-AQ5,IF(A6&lt;'Données projet'!$A$62,$AF$205^A6,IF(A6='Données projet'!$A$62,'Données projet'!$B$62,AI5+AH6-AQ5)))</f>
        <v>2.7663237344451828</v>
      </c>
      <c r="AJ6" s="14">
        <f>AI6*VLOOKUP('Données projet'!$B$10,Paramètres!$A$1:$I$89,3,0)*VLOOKUP('Données projet'!$B$10,Paramètres!$A$1:$I$89,5,0)</f>
        <v>1.5463749675548573</v>
      </c>
      <c r="AK6" s="14">
        <f t="shared" si="35"/>
        <v>0.6773772891448272</v>
      </c>
      <c r="AL6" s="22">
        <f t="shared" si="4"/>
        <v>3.8730351804186167</v>
      </c>
      <c r="AM6" s="62">
        <f t="shared" si="5"/>
        <v>297.20636851375195</v>
      </c>
      <c r="AN6" s="62">
        <f ca="1">AVERAGE(OFFSET($AM$3,0,0,'Données projet'!$E$10+1,1))-AVERAGE(OFFSET($H$3,0,0,'Données projet'!$E$10+1,1))</f>
        <v>490.96084572840579</v>
      </c>
      <c r="AO6" s="62">
        <f t="shared" si="36"/>
        <v>597.91658789908263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296.58082314457886</v>
      </c>
      <c r="S7" s="62">
        <f ca="1">AVERAGE(OFFSET($R$3,0,0,'Données projet'!$E$9+1,1))-AVERAGE(OFFSET($H$3,0,0,'Données projet'!$E$9+1,1))</f>
        <v>310.95287409903602</v>
      </c>
      <c r="T7" s="62">
        <f t="shared" si="34"/>
        <v>224.10083380795163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10.8</v>
      </c>
      <c r="AI7" s="14">
        <f>IF('Données projet'!$A$62&gt;35,AI6+AH7-AQ6,IF(A7&lt;'Données projet'!$A$62,$AF$205^A7,IF(A7='Données projet'!$A$62,'Données projet'!$B$62,AI6+AH7-AQ6)))</f>
        <v>3.8833273713275762</v>
      </c>
      <c r="AJ7" s="14">
        <f>AI7*VLOOKUP('Données projet'!$B$10,Paramètres!$A$1:$I$89,3,0)*VLOOKUP('Données projet'!$B$10,Paramètres!$A$1:$I$89,5,0)</f>
        <v>2.170780000572115</v>
      </c>
      <c r="AK7" s="14">
        <f t="shared" si="35"/>
        <v>0.91408334535022773</v>
      </c>
      <c r="AL7" s="22">
        <f t="shared" si="4"/>
        <v>5.3728036608147471</v>
      </c>
      <c r="AM7" s="62">
        <f t="shared" si="5"/>
        <v>298.70613699414804</v>
      </c>
      <c r="AN7" s="62">
        <f ca="1">AVERAGE(OFFSET($AM$3,0,0,'Données projet'!$E$10+1,1))-AVERAGE(OFFSET($H$3,0,0,'Données projet'!$E$10+1,1))</f>
        <v>490.96084572840579</v>
      </c>
      <c r="AO7" s="62">
        <f t="shared" si="36"/>
        <v>597.91658789908263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297.47871993550461</v>
      </c>
      <c r="S8" s="62">
        <f ca="1">AVERAGE(OFFSET($R$3,0,0,'Données projet'!$E$9+1,1))-AVERAGE(OFFSET($H$3,0,0,'Données projet'!$E$9+1,1))</f>
        <v>310.95287409903602</v>
      </c>
      <c r="T8" s="62">
        <f t="shared" si="34"/>
        <v>224.10083380795163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10.8</v>
      </c>
      <c r="AI8" s="14">
        <f>IF('Données projet'!$A$62&gt;35,AI7+AH8-AQ7,IF(A8&lt;'Données projet'!$A$62,$AF$205^A8,IF(A8='Données projet'!$A$62,'Données projet'!$B$62,AI7+AH8-AQ7)))</f>
        <v>5.451361778496417</v>
      </c>
      <c r="AJ8" s="14">
        <f>AI8*VLOOKUP('Données projet'!$B$10,Paramètres!$A$1:$I$89,3,0)*VLOOKUP('Données projet'!$B$10,Paramètres!$A$1:$I$89,5,0)</f>
        <v>3.0473112341794972</v>
      </c>
      <c r="AK8" s="14">
        <f t="shared" si="35"/>
        <v>1.2335051316844765</v>
      </c>
      <c r="AL8" s="22">
        <f t="shared" si="4"/>
        <v>7.4557551705464205</v>
      </c>
      <c r="AM8" s="62">
        <f t="shared" si="5"/>
        <v>300.78908850387973</v>
      </c>
      <c r="AN8" s="62">
        <f ca="1">AVERAGE(OFFSET($AM$3,0,0,'Données projet'!$E$10+1,1))-AVERAGE(OFFSET($H$3,0,0,'Données projet'!$E$10+1,1))</f>
        <v>490.96084572840579</v>
      </c>
      <c r="AO8" s="62">
        <f t="shared" si="36"/>
        <v>597.91658789908263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298.62584576955311</v>
      </c>
      <c r="S9" s="62">
        <f ca="1">AVERAGE(OFFSET($R$3,0,0,'Données projet'!$E$9+1,1))-AVERAGE(OFFSET($H$3,0,0,'Données projet'!$E$9+1,1))</f>
        <v>310.95287409903602</v>
      </c>
      <c r="T9" s="62">
        <f t="shared" si="34"/>
        <v>224.10083380795163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10.8</v>
      </c>
      <c r="AI9" s="14">
        <f>IF('Données projet'!$A$62&gt;35,AI8+AH9-AQ8,IF(A9&lt;'Données projet'!$A$62,$AF$205^A9,IF(A9='Données projet'!$A$62,'Données projet'!$B$62,AI8+AH9-AQ8)))</f>
        <v>7.6525470037547425</v>
      </c>
      <c r="AJ9" s="14">
        <f>AI9*VLOOKUP('Données projet'!$B$10,Paramètres!$A$1:$I$89,3,0)*VLOOKUP('Données projet'!$B$10,Paramètres!$A$1:$I$89,5,0)</f>
        <v>4.2777737750989013</v>
      </c>
      <c r="AK9" s="14">
        <f t="shared" si="35"/>
        <v>1.6645472402836166</v>
      </c>
      <c r="AL9" s="22">
        <f t="shared" si="4"/>
        <v>10.349542435124553</v>
      </c>
      <c r="AM9" s="62">
        <f t="shared" si="5"/>
        <v>303.68287576845785</v>
      </c>
      <c r="AN9" s="62">
        <f ca="1">AVERAGE(OFFSET($AM$3,0,0,'Données projet'!$E$10+1,1))-AVERAGE(OFFSET($H$3,0,0,'Données projet'!$E$10+1,1))</f>
        <v>490.96084572840579</v>
      </c>
      <c r="AO9" s="62">
        <f t="shared" si="36"/>
        <v>597.91658789908263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300.09163240970821</v>
      </c>
      <c r="S10" s="62">
        <f ca="1">AVERAGE(OFFSET($R$3,0,0,'Données projet'!$E$9+1,1))-AVERAGE(OFFSET($H$3,0,0,'Données projet'!$E$9+1,1))</f>
        <v>310.95287409903602</v>
      </c>
      <c r="T10" s="62">
        <f t="shared" si="34"/>
        <v>224.10083380795163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10.8</v>
      </c>
      <c r="AI10" s="14">
        <f>IF('Données projet'!$A$62&gt;35,AI9+AH10-AQ9,IF(A10&lt;'Données projet'!$A$62,$AF$205^A10,IF(A10='Données projet'!$A$62,'Données projet'!$B$62,AI9+AH10-AQ9)))</f>
        <v>10.742540675924095</v>
      </c>
      <c r="AJ10" s="14">
        <f>AI10*VLOOKUP('Données projet'!$B$10,Paramètres!$A$1:$I$89,3,0)*VLOOKUP('Données projet'!$B$10,Paramètres!$A$1:$I$89,5,0)</f>
        <v>6.0050802378415691</v>
      </c>
      <c r="AK10" s="14">
        <f t="shared" si="35"/>
        <v>2.2462148263235089</v>
      </c>
      <c r="AL10" s="22">
        <f t="shared" si="4"/>
        <v>14.37100557008751</v>
      </c>
      <c r="AM10" s="62">
        <f t="shared" si="5"/>
        <v>307.70433890342082</v>
      </c>
      <c r="AN10" s="62">
        <f ca="1">AVERAGE(OFFSET($AM$3,0,0,'Données projet'!$E$10+1,1))-AVERAGE(OFFSET($H$3,0,0,'Données projet'!$E$10+1,1))</f>
        <v>490.96084572840579</v>
      </c>
      <c r="AO10" s="62">
        <f t="shared" si="36"/>
        <v>597.91658789908263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301.96492023616713</v>
      </c>
      <c r="S11" s="62">
        <f ca="1">AVERAGE(OFFSET($R$3,0,0,'Données projet'!$E$9+1,1))-AVERAGE(OFFSET($H$3,0,0,'Données projet'!$E$9+1,1))</f>
        <v>310.95287409903602</v>
      </c>
      <c r="T11" s="62">
        <f t="shared" si="34"/>
        <v>224.10083380795163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10.8</v>
      </c>
      <c r="AI11" s="14">
        <f>IF('Données projet'!$A$62&gt;35,AI10+AH11-AQ10,IF(A11&lt;'Données projet'!$A$62,$AF$205^A11,IF(A11='Données projet'!$A$62,'Données projet'!$B$62,AI10+AH11-AQ10)))</f>
        <v>15.080231472901943</v>
      </c>
      <c r="AJ11" s="14">
        <f>AI11*VLOOKUP('Données projet'!$B$10,Paramètres!$A$1:$I$89,3,0)*VLOOKUP('Données projet'!$B$10,Paramètres!$A$1:$I$89,5,0)</f>
        <v>8.4298493933521872</v>
      </c>
      <c r="AK11" s="14">
        <f t="shared" si="35"/>
        <v>3.0311431985167756</v>
      </c>
      <c r="AL11" s="22">
        <f t="shared" si="4"/>
        <v>19.961228764171775</v>
      </c>
      <c r="AM11" s="62">
        <f t="shared" si="5"/>
        <v>313.29456209750509</v>
      </c>
      <c r="AN11" s="62">
        <f ca="1">AVERAGE(OFFSET($AM$3,0,0,'Données projet'!$E$10+1,1))-AVERAGE(OFFSET($H$3,0,0,'Données projet'!$E$10+1,1))</f>
        <v>490.96084572840579</v>
      </c>
      <c r="AO11" s="62">
        <f t="shared" si="36"/>
        <v>597.91658789908263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304.35940071300303</v>
      </c>
      <c r="S12" s="62">
        <f ca="1">AVERAGE(OFFSET($R$3,0,0,'Données projet'!$E$9+1,1))-AVERAGE(OFFSET($H$3,0,0,'Données projet'!$E$9+1,1))</f>
        <v>310.95287409903602</v>
      </c>
      <c r="T12" s="62">
        <f t="shared" si="34"/>
        <v>224.10083380795163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10.8</v>
      </c>
      <c r="AI12" s="14">
        <f>IF('Données projet'!$A$62&gt;35,AI11+AH12-AQ11,IF(A12&lt;'Données projet'!$A$62,$AF$205^A12,IF(A12='Données projet'!$A$62,'Données projet'!$B$62,AI11+AH12-AQ11)))</f>
        <v>21.169422405444113</v>
      </c>
      <c r="AJ12" s="14">
        <f>AI12*VLOOKUP('Données projet'!$B$10,Paramètres!$A$1:$I$89,3,0)*VLOOKUP('Données projet'!$B$10,Paramètres!$A$1:$I$89,5,0)</f>
        <v>11.83370712464326</v>
      </c>
      <c r="AK12" s="14">
        <f t="shared" si="35"/>
        <v>4.0903608070972819</v>
      </c>
      <c r="AL12" s="22">
        <f t="shared" si="4"/>
        <v>27.734418314448106</v>
      </c>
      <c r="AM12" s="62">
        <f t="shared" si="5"/>
        <v>321.06775164778139</v>
      </c>
      <c r="AN12" s="62">
        <f ca="1">AVERAGE(OFFSET($AM$3,0,0,'Données projet'!$E$10+1,1))-AVERAGE(OFFSET($H$3,0,0,'Données projet'!$E$10+1,1))</f>
        <v>490.96084572840579</v>
      </c>
      <c r="AO12" s="62">
        <f t="shared" si="36"/>
        <v>597.91658789908263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307.42058941449875</v>
      </c>
      <c r="S13" s="62">
        <f ca="1">AVERAGE(OFFSET($R$3,0,0,'Données projet'!$E$9+1,1))-AVERAGE(OFFSET($H$3,0,0,'Données projet'!$E$9+1,1))</f>
        <v>310.95287409903602</v>
      </c>
      <c r="T13" s="62">
        <f t="shared" si="34"/>
        <v>224.10083380795163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10.8</v>
      </c>
      <c r="AI13" s="14">
        <f>IF('Données projet'!$A$62&gt;35,AI12+AH13-AQ12,IF(A13&lt;'Données projet'!$A$62,$AF$205^A13,IF(A13='Données projet'!$A$62,'Données projet'!$B$62,AI12+AH13-AQ12)))</f>
        <v>29.717345240051621</v>
      </c>
      <c r="AJ13" s="14">
        <f>AI13*VLOOKUP('Données projet'!$B$10,Paramètres!$A$1:$I$89,3,0)*VLOOKUP('Données projet'!$B$10,Paramètres!$A$1:$I$89,5,0)</f>
        <v>16.611995989188856</v>
      </c>
      <c r="AK13" s="14">
        <f t="shared" si="35"/>
        <v>5.5197166337850669</v>
      </c>
      <c r="AL13" s="22">
        <f t="shared" si="4"/>
        <v>38.546066151679575</v>
      </c>
      <c r="AM13" s="62">
        <f t="shared" si="5"/>
        <v>331.87939948501287</v>
      </c>
      <c r="AN13" s="62">
        <f ca="1">AVERAGE(OFFSET($AM$3,0,0,'Données projet'!$E$10+1,1))-AVERAGE(OFFSET($H$3,0,0,'Données projet'!$E$10+1,1))</f>
        <v>490.96084572840579</v>
      </c>
      <c r="AO13" s="62">
        <f t="shared" si="36"/>
        <v>597.91658789908263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311.33476117897868</v>
      </c>
      <c r="S14" s="62">
        <f ca="1">AVERAGE(OFFSET($R$3,0,0,'Données projet'!$E$9+1,1))-AVERAGE(OFFSET($H$3,0,0,'Données projet'!$E$9+1,1))</f>
        <v>310.95287409903602</v>
      </c>
      <c r="T14" s="62">
        <f t="shared" si="34"/>
        <v>224.10083380795163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10.8</v>
      </c>
      <c r="AI14" s="14">
        <f>IF('Données projet'!$A$62&gt;35,AI13+AH14-AQ13,IF(A14&lt;'Données projet'!$A$62,$AF$205^A14,IF(A14='Données projet'!$A$62,'Données projet'!$B$62,AI13+AH14-AQ13)))</f>
        <v>41.716802244415881</v>
      </c>
      <c r="AJ14" s="14">
        <f>AI14*VLOOKUP('Données projet'!$B$10,Paramètres!$A$1:$I$89,3,0)*VLOOKUP('Données projet'!$B$10,Paramètres!$A$1:$I$89,5,0)</f>
        <v>23.319692454628481</v>
      </c>
      <c r="AK14" s="14">
        <f t="shared" si="35"/>
        <v>7.4485536005574575</v>
      </c>
      <c r="AL14" s="22">
        <f t="shared" si="4"/>
        <v>53.58802854611551</v>
      </c>
      <c r="AM14" s="62">
        <f t="shared" si="5"/>
        <v>346.9213618794488</v>
      </c>
      <c r="AN14" s="62">
        <f ca="1">AVERAGE(OFFSET($AM$3,0,0,'Données projet'!$E$10+1,1))-AVERAGE(OFFSET($H$3,0,0,'Données projet'!$E$10+1,1))</f>
        <v>490.96084572840579</v>
      </c>
      <c r="AO14" s="62">
        <f t="shared" si="36"/>
        <v>597.91658789908263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316.3404009375538</v>
      </c>
      <c r="S15" s="62">
        <f ca="1">AVERAGE(OFFSET($R$3,0,0,'Données projet'!$E$9+1,1))-AVERAGE(OFFSET($H$3,0,0,'Données projet'!$E$9+1,1))</f>
        <v>310.95287409903602</v>
      </c>
      <c r="T15" s="62">
        <f t="shared" si="34"/>
        <v>224.10083380795163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10.8</v>
      </c>
      <c r="AI15" s="14">
        <f>IF('Données projet'!$A$62&gt;35,AI14+AH15-AQ14,IF(A15&lt;'Données projet'!$A$62,$AF$205^A15,IF(A15='Données projet'!$A$62,'Données projet'!$B$62,AI14+AH15-AQ14)))</f>
        <v>58.561475644675681</v>
      </c>
      <c r="AJ15" s="14">
        <f>AI15*VLOOKUP('Données projet'!$B$10,Paramètres!$A$1:$I$89,3,0)*VLOOKUP('Données projet'!$B$10,Paramètres!$A$1:$I$89,5,0)</f>
        <v>32.735864885373708</v>
      </c>
      <c r="AK15" s="14">
        <f t="shared" si="35"/>
        <v>10.051412857100269</v>
      </c>
      <c r="AL15" s="22">
        <f t="shared" si="4"/>
        <v>74.521175401475503</v>
      </c>
      <c r="AM15" s="62">
        <f t="shared" si="5"/>
        <v>367.8545087348088</v>
      </c>
      <c r="AN15" s="62">
        <f ca="1">AVERAGE(OFFSET($AM$3,0,0,'Données projet'!$E$10+1,1))-AVERAGE(OFFSET($H$3,0,0,'Données projet'!$E$10+1,1))</f>
        <v>490.96084572840579</v>
      </c>
      <c r="AO15" s="62">
        <f t="shared" si="36"/>
        <v>597.91658789908263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322.74288029609767</v>
      </c>
      <c r="S16" s="62">
        <f ca="1">AVERAGE(OFFSET($R$3,0,0,'Données projet'!$E$9+1,1))-AVERAGE(OFFSET($H$3,0,0,'Données projet'!$E$9+1,1))</f>
        <v>310.95287409903602</v>
      </c>
      <c r="T16" s="62">
        <f t="shared" si="34"/>
        <v>224.10083380795163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10.8</v>
      </c>
      <c r="AI16" s="14">
        <f>IF('Données projet'!$A$62&gt;35,AI15+AH16-AQ15,IF(A16&lt;'Données projet'!$A$62,$AF$205^A16,IF(A16='Données projet'!$A$62,'Données projet'!$B$62,AI15+AH16-AQ15)))</f>
        <v>82.20779746225638</v>
      </c>
      <c r="AJ16" s="14">
        <f>AI16*VLOOKUP('Données projet'!$B$10,Paramètres!$A$1:$I$89,3,0)*VLOOKUP('Données projet'!$B$10,Paramètres!$A$1:$I$89,5,0)</f>
        <v>45.954158781401318</v>
      </c>
      <c r="AK16" s="14">
        <f t="shared" si="35"/>
        <v>13.563828072113143</v>
      </c>
      <c r="AL16" s="22">
        <f t="shared" si="4"/>
        <v>103.66049376987102</v>
      </c>
      <c r="AM16" s="62">
        <f t="shared" si="5"/>
        <v>396.99382710320435</v>
      </c>
      <c r="AN16" s="62">
        <f ca="1">AVERAGE(OFFSET($AM$3,0,0,'Données projet'!$E$10+1,1))-AVERAGE(OFFSET($H$3,0,0,'Données projet'!$E$10+1,1))</f>
        <v>490.96084572840579</v>
      </c>
      <c r="AO16" s="62">
        <f t="shared" si="36"/>
        <v>597.91658789908263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330.93327083690383</v>
      </c>
      <c r="S17" s="62">
        <f ca="1">AVERAGE(OFFSET($R$3,0,0,'Données projet'!$E$9+1,1))-AVERAGE(OFFSET($H$3,0,0,'Données projet'!$E$9+1,1))</f>
        <v>310.95287409903602</v>
      </c>
      <c r="T17" s="62">
        <f t="shared" si="34"/>
        <v>224.10083380795163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10.8</v>
      </c>
      <c r="AI17" s="14">
        <f>IF('Données projet'!$A$62&gt;35,AI16+AH17-AQ16,IF(A17&lt;'Données projet'!$A$62,$AF$205^A17,IF(A17='Données projet'!$A$62,'Données projet'!$B$62,AI16+AH17-AQ16)))</f>
        <v>115.40218017388374</v>
      </c>
      <c r="AJ17" s="14">
        <f>AI17*VLOOKUP('Données projet'!$B$10,Paramètres!$A$1:$I$89,3,0)*VLOOKUP('Données projet'!$B$10,Paramètres!$A$1:$I$89,5,0)</f>
        <v>64.509818717201014</v>
      </c>
      <c r="AK17" s="14">
        <f t="shared" si="35"/>
        <v>18.303638959560171</v>
      </c>
      <c r="AL17" s="22">
        <f t="shared" si="4"/>
        <v>144.23343878702573</v>
      </c>
      <c r="AM17" s="62">
        <f t="shared" si="5"/>
        <v>437.56677212035902</v>
      </c>
      <c r="AN17" s="62">
        <f ca="1">AVERAGE(OFFSET($AM$3,0,0,'Données projet'!$E$10+1,1))-AVERAGE(OFFSET($H$3,0,0,'Données projet'!$E$10+1,1))</f>
        <v>490.96084572840579</v>
      </c>
      <c r="AO17" s="62">
        <f t="shared" si="36"/>
        <v>597.91658789908263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341.41246294557129</v>
      </c>
      <c r="S18" s="62">
        <f ca="1">AVERAGE(OFFSET($R$3,0,0,'Données projet'!$E$9+1,1))-AVERAGE(OFFSET($H$3,0,0,'Données projet'!$E$9+1,1))</f>
        <v>310.95287409903602</v>
      </c>
      <c r="T18" s="62">
        <f t="shared" si="34"/>
        <v>224.10083380795163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162</v>
      </c>
      <c r="AG18" s="13">
        <f>VLOOKUP(A18,'Données projet'!$A$61:$I$81,9,0)</f>
        <v>10.8</v>
      </c>
      <c r="AH18" s="13">
        <f t="array" ref="AH18">INDEX(AG:AG,MIN(IF(ISNUMBER(AG18:AG214),ROW(AG18:AG214),"")))</f>
        <v>10.8</v>
      </c>
      <c r="AI18" s="14">
        <f>IF('Données projet'!$A$62&gt;35,AI17+AH18-AQ17,IF(A18&lt;'Données projet'!$A$62,$AF$205^A18,IF(A18='Données projet'!$A$62,'Données projet'!$B$62,AI17+AH18-AQ17)))</f>
        <v>162</v>
      </c>
      <c r="AJ18" s="14">
        <f>AI18*VLOOKUP('Données projet'!$B$10,Paramètres!$A$1:$I$89,3,0)*VLOOKUP('Données projet'!$B$10,Paramètres!$A$1:$I$89,5,0)</f>
        <v>90.557999999999993</v>
      </c>
      <c r="AK18" s="14">
        <f t="shared" si="35"/>
        <v>24.699752708509138</v>
      </c>
      <c r="AL18" s="22">
        <f t="shared" si="4"/>
        <v>200.74058596732007</v>
      </c>
      <c r="AM18" s="62">
        <f t="shared" si="5"/>
        <v>494.07391930065342</v>
      </c>
      <c r="AN18" s="62">
        <f ca="1">AVERAGE(OFFSET($AM$3,0,0,'Données projet'!$E$10+1,1))-AVERAGE(OFFSET($H$3,0,0,'Données projet'!$E$10+1,1))</f>
        <v>490.96084572840579</v>
      </c>
      <c r="AO18" s="62">
        <f t="shared" si="36"/>
        <v>597.91658789908263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0.11000000000000001</v>
      </c>
      <c r="AS18" s="17">
        <f>IF(ISNA(VLOOKUP(A18,'Données projet'!$A$61:$I$81,6,0)),0%,VLOOKUP(A18,'Données projet'!$A$61:$I$81,6,0)*VLOOKUP('Données projet'!$B$10,Paramètres!$A$1:$I$89,7,0))</f>
        <v>0.16500000000000001</v>
      </c>
      <c r="AT18" s="17">
        <f>IF(ISNA(VLOOKUP(A18,'Données projet'!$A$61:$I$81,7,0)),0%,VLOOKUP(A18,'Données projet'!$A$61:$I$81,7,0))</f>
        <v>0.5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354.82208993415543</v>
      </c>
      <c r="S19" s="62">
        <f ca="1">AVERAGE(OFFSET($R$3,0,0,'Données projet'!$E$9+1,1))-AVERAGE(OFFSET($H$3,0,0,'Données projet'!$E$9+1,1))</f>
        <v>310.95287409903602</v>
      </c>
      <c r="T19" s="62">
        <f t="shared" si="34"/>
        <v>224.10083380795163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28.2</v>
      </c>
      <c r="AI19" s="14">
        <f>IF('Données projet'!$A$62&gt;35,AI18+AH19-AQ18,IF(A19&lt;'Données projet'!$A$62,$AF$205^A19,IF(A19='Données projet'!$A$62,'Données projet'!$B$62,AI18+AH19-AQ18)))</f>
        <v>190.2</v>
      </c>
      <c r="AJ19" s="14">
        <f>AI19*VLOOKUP('Données projet'!$B$10,Paramètres!$A$1:$I$89,3,0)*VLOOKUP('Données projet'!$B$10,Paramètres!$A$1:$I$89,5,0)</f>
        <v>106.32179999999998</v>
      </c>
      <c r="AK19" s="14">
        <f t="shared" si="35"/>
        <v>28.462664081653866</v>
      </c>
      <c r="AL19" s="22">
        <f t="shared" si="4"/>
        <v>234.7496082755471</v>
      </c>
      <c r="AM19" s="62">
        <f t="shared" si="5"/>
        <v>528.08294160888045</v>
      </c>
      <c r="AN19" s="62">
        <f ca="1">AVERAGE(OFFSET($AM$3,0,0,'Données projet'!$E$10+1,1))-AVERAGE(OFFSET($H$3,0,0,'Données projet'!$E$10+1,1))</f>
        <v>490.96084572840579</v>
      </c>
      <c r="AO19" s="62">
        <f t="shared" si="36"/>
        <v>597.91658789908263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371.98418210076898</v>
      </c>
      <c r="S20" s="62">
        <f ca="1">AVERAGE(OFFSET($R$3,0,0,'Données projet'!$E$9+1,1))-AVERAGE(OFFSET($H$3,0,0,'Données projet'!$E$9+1,1))</f>
        <v>310.95287409903602</v>
      </c>
      <c r="T20" s="62">
        <f t="shared" si="34"/>
        <v>224.10083380795163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28.2</v>
      </c>
      <c r="AI20" s="14">
        <f>IF('Données projet'!$A$62&gt;35,AI19+AH20-AQ19,IF(A20&lt;'Données projet'!$A$62,$AF$205^A20,IF(A20='Données projet'!$A$62,'Données projet'!$B$62,AI19+AH20-AQ19)))</f>
        <v>218.39999999999998</v>
      </c>
      <c r="AJ20" s="14">
        <f>AI20*VLOOKUP('Données projet'!$B$10,Paramètres!$A$1:$I$89,3,0)*VLOOKUP('Données projet'!$B$10,Paramètres!$A$1:$I$89,5,0)</f>
        <v>122.0856</v>
      </c>
      <c r="AK20" s="14">
        <f t="shared" si="35"/>
        <v>32.160942364346717</v>
      </c>
      <c r="AL20" s="22">
        <f t="shared" si="4"/>
        <v>268.64606128457052</v>
      </c>
      <c r="AM20" s="62">
        <f t="shared" si="5"/>
        <v>561.97939461790384</v>
      </c>
      <c r="AN20" s="62">
        <f ca="1">AVERAGE(OFFSET($AM$3,0,0,'Données projet'!$E$10+1,1))-AVERAGE(OFFSET($H$3,0,0,'Données projet'!$E$10+1,1))</f>
        <v>490.96084572840579</v>
      </c>
      <c r="AO20" s="62">
        <f t="shared" si="36"/>
        <v>597.91658789908263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393.95202082891387</v>
      </c>
      <c r="S21" s="62">
        <f ca="1">AVERAGE(OFFSET($R$3,0,0,'Données projet'!$E$9+1,1))-AVERAGE(OFFSET($H$3,0,0,'Données projet'!$E$9+1,1))</f>
        <v>310.95287409903602</v>
      </c>
      <c r="T21" s="62">
        <f t="shared" si="34"/>
        <v>224.10083380795163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28.2</v>
      </c>
      <c r="AI21" s="14">
        <f>IF('Données projet'!$A$62&gt;35,AI20+AH21-AQ20,IF(A21&lt;'Données projet'!$A$62,$AF$205^A21,IF(A21='Données projet'!$A$62,'Données projet'!$B$62,AI20+AH21-AQ20)))</f>
        <v>246.59999999999997</v>
      </c>
      <c r="AJ21" s="14">
        <f>AI21*VLOOKUP('Données projet'!$B$10,Paramètres!$A$1:$I$89,3,0)*VLOOKUP('Données projet'!$B$10,Paramètres!$A$1:$I$89,5,0)</f>
        <v>137.84939999999997</v>
      </c>
      <c r="AK21" s="14">
        <f t="shared" si="35"/>
        <v>35.803890229822542</v>
      </c>
      <c r="AL21" s="22">
        <f t="shared" si="4"/>
        <v>302.44614715027416</v>
      </c>
      <c r="AM21" s="62">
        <f t="shared" si="5"/>
        <v>595.77948048360747</v>
      </c>
      <c r="AN21" s="62">
        <f ca="1">AVERAGE(OFFSET($AM$3,0,0,'Données projet'!$E$10+1,1))-AVERAGE(OFFSET($H$3,0,0,'Données projet'!$E$10+1,1))</f>
        <v>490.96084572840579</v>
      </c>
      <c r="AO21" s="62">
        <f t="shared" si="36"/>
        <v>597.91658789908263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422.07536317537841</v>
      </c>
      <c r="S22" s="62">
        <f ca="1">AVERAGE(OFFSET($R$3,0,0,'Données projet'!$E$9+1,1))-AVERAGE(OFFSET($H$3,0,0,'Données projet'!$E$9+1,1))</f>
        <v>310.95287409903602</v>
      </c>
      <c r="T22" s="62">
        <f t="shared" si="34"/>
        <v>224.10083380795163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28.2</v>
      </c>
      <c r="AI22" s="14">
        <f>IF('Données projet'!$A$62&gt;35,AI21+AH22-AQ21,IF(A22&lt;'Données projet'!$A$62,$AF$205^A22,IF(A22='Données projet'!$A$62,'Données projet'!$B$62,AI21+AH22-AQ21)))</f>
        <v>274.79999999999995</v>
      </c>
      <c r="AJ22" s="14">
        <f>AI22*VLOOKUP('Données projet'!$B$10,Paramètres!$A$1:$I$89,3,0)*VLOOKUP('Données projet'!$B$10,Paramètres!$A$1:$I$89,5,0)</f>
        <v>153.61319999999998</v>
      </c>
      <c r="AK22" s="14">
        <f t="shared" si="35"/>
        <v>39.398557339898318</v>
      </c>
      <c r="AL22" s="22">
        <f t="shared" si="4"/>
        <v>336.16214403365615</v>
      </c>
      <c r="AM22" s="62">
        <f t="shared" si="5"/>
        <v>629.49547736698946</v>
      </c>
      <c r="AN22" s="62">
        <f ca="1">AVERAGE(OFFSET($AM$3,0,0,'Données projet'!$E$10+1,1))-AVERAGE(OFFSET($H$3,0,0,'Données projet'!$E$10+1,1))</f>
        <v>490.96084572840579</v>
      </c>
      <c r="AO22" s="62">
        <f t="shared" si="36"/>
        <v>597.91658789908263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458.08410667645524</v>
      </c>
      <c r="S23" s="62">
        <f ca="1">AVERAGE(OFFSET($R$3,0,0,'Données projet'!$E$9+1,1))-AVERAGE(OFFSET($H$3,0,0,'Données projet'!$E$9+1,1))</f>
        <v>310.95287409903602</v>
      </c>
      <c r="T23" s="62">
        <f t="shared" si="34"/>
        <v>224.10083380795163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0.11000000000000001</v>
      </c>
      <c r="X23" s="78">
        <f>IF(ISNA(VLOOKUP(A23,'Données projet'!$A$35:$I$55,6,0)),0%,VLOOKUP(A23,'Données projet'!$A$35:$I$55,6,0)*VLOOKUP('Données projet'!$B$9,Paramètres!$A$1:$I$89,7,0))</f>
        <v>0.16500000000000001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303</v>
      </c>
      <c r="AG23" s="13">
        <f>VLOOKUP(A23,'Données projet'!$A$61:$I$81,9,0)</f>
        <v>28.2</v>
      </c>
      <c r="AH23" s="13">
        <f t="array" ref="AH23">INDEX(AG:AG,MIN(IF(ISNUMBER(AG23:AG219),ROW(AG23:AG219),"")))</f>
        <v>28.2</v>
      </c>
      <c r="AI23" s="14">
        <f>IF('Données projet'!$A$62&gt;35,AI22+AH23-AQ22,IF(A23&lt;'Données projet'!$A$62,$AF$205^A23,IF(A23='Données projet'!$A$62,'Données projet'!$B$62,AI22+AH23-AQ22)))</f>
        <v>302.99999999999994</v>
      </c>
      <c r="AJ23" s="14">
        <f>AI23*VLOOKUP('Données projet'!$B$10,Paramètres!$A$1:$I$89,3,0)*VLOOKUP('Données projet'!$B$10,Paramètres!$A$1:$I$89,5,0)</f>
        <v>169.37699999999995</v>
      </c>
      <c r="AK23" s="14">
        <f t="shared" si="35"/>
        <v>42.950462509094685</v>
      </c>
      <c r="AL23" s="22">
        <f t="shared" si="4"/>
        <v>369.80366387000646</v>
      </c>
      <c r="AM23" s="62">
        <f t="shared" si="5"/>
        <v>663.13699720333977</v>
      </c>
      <c r="AN23" s="62">
        <f ca="1">AVERAGE(OFFSET($AM$3,0,0,'Données projet'!$E$10+1,1))-AVERAGE(OFFSET($H$3,0,0,'Données projet'!$E$10+1,1))</f>
        <v>490.96084572840579</v>
      </c>
      <c r="AO23" s="62">
        <f t="shared" si="36"/>
        <v>597.91658789908263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43</v>
      </c>
      <c r="AR23" s="17">
        <f>IF(ISNA(VLOOKUP(A23,'Données projet'!$A$61:$I$81,5,0)),0%,VLOOKUP(A23,'Données projet'!$A$61:$I$81,5,0)*VLOOKUP('Données projet'!$B$10,Paramètres!$A$1:$I$89,7,0))</f>
        <v>0.16500000000000001</v>
      </c>
      <c r="AS23" s="17">
        <f>IF(ISNA(VLOOKUP(A23,'Données projet'!$A$61:$I$81,6,0)),0%,VLOOKUP(A23,'Données projet'!$A$61:$I$81,6,0)*VLOOKUP('Données projet'!$B$10,Paramètres!$A$1:$I$89,7,0))</f>
        <v>0.16500000000000001</v>
      </c>
      <c r="AT23" s="17">
        <f>IF(ISNA(VLOOKUP(A23,'Données projet'!$A$61:$I$81,7,0)),0%,VLOOKUP(A23,'Données projet'!$A$61:$I$81,7,0))</f>
        <v>0.4</v>
      </c>
      <c r="AU23" s="23">
        <f>EXP(-LN(2)/35)*AU22+(1-EXP(-LN(2)/35))/(LN(2)/35)*AQ23*AR23*VLOOKUP('Données projet'!$B$10,Paramètres!$A$1:$I$89,3,0)*0.475*44/12</f>
        <v>5.2612939195410373</v>
      </c>
      <c r="AV23" s="23">
        <f>EXP(-LN(2)/25)*AV22+(1-EXP(-LN(2)/25))/(LN(2)/25)*Calculateur!AQ23*Calculateur!AS23*VLOOKUP('Données projet'!$B$10,Paramètres!$A$1:$I$89,3,0)*0.475*44/12</f>
        <v>5.2405782006696544</v>
      </c>
      <c r="AW23" s="23">
        <f>EXP(-LN(2)/2)*AW22+(1-EXP(-LN(2)/2))/(LN(2)/2)*AQ23*AT23*VLOOKUP('Données projet'!$B$10,Paramètres!$A$1:$I$89,3,0)*0.475*44/12</f>
        <v>10.886187094257464</v>
      </c>
      <c r="AX23" s="23">
        <f t="shared" si="6"/>
        <v>21.388059214468157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467.42729018925093</v>
      </c>
      <c r="S24" s="62">
        <f ca="1">AVERAGE(OFFSET($R$3,0,0,'Données projet'!$E$9+1,1))-AVERAGE(OFFSET($H$3,0,0,'Données projet'!$E$9+1,1))</f>
        <v>310.95287409903602</v>
      </c>
      <c r="T24" s="62">
        <f t="shared" si="34"/>
        <v>224.10083380795163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31.8</v>
      </c>
      <c r="AI24" s="14">
        <f>IF('Données projet'!$A$62&gt;35,AI23+AH24-AQ23,IF(A24&lt;'Données projet'!$A$62,$AF$205^A24,IF(A24='Données projet'!$A$62,'Données projet'!$B$62,AI23+AH24-AQ23)))</f>
        <v>291.79999999999995</v>
      </c>
      <c r="AJ24" s="14">
        <f>AI24*VLOOKUP('Données projet'!$B$10,Paramètres!$A$1:$I$89,3,0)*VLOOKUP('Données projet'!$B$10,Paramètres!$A$1:$I$89,5,0)</f>
        <v>163.11619999999996</v>
      </c>
      <c r="AK24" s="14">
        <f t="shared" si="35"/>
        <v>41.544592017733109</v>
      </c>
      <c r="AL24" s="22">
        <f t="shared" si="4"/>
        <v>356.4508794308851</v>
      </c>
      <c r="AM24" s="62">
        <f t="shared" si="5"/>
        <v>649.78421276421841</v>
      </c>
      <c r="AN24" s="62">
        <f ca="1">AVERAGE(OFFSET($AM$3,0,0,'Données projet'!$E$10+1,1))-AVERAGE(OFFSET($H$3,0,0,'Données projet'!$E$10+1,1))</f>
        <v>490.96084572840579</v>
      </c>
      <c r="AO24" s="62">
        <f t="shared" si="36"/>
        <v>597.91658789908263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5.1581231548512587</v>
      </c>
      <c r="AV24" s="23">
        <f>EXP(-LN(2)/25)*AV23+(1-EXP(-LN(2)/25))/(LN(2)/25)*Calculateur!AQ24*Calculateur!AS24*VLOOKUP('Données projet'!$B$10,Paramètres!$A$1:$I$89,3,0)*0.475*44/12</f>
        <v>5.0972743141823127</v>
      </c>
      <c r="AW24" s="23">
        <f>EXP(-LN(2)/2)*AW23+(1-EXP(-LN(2)/2))/(LN(2)/2)*AQ24*AT24*VLOOKUP('Données projet'!$B$10,Paramètres!$A$1:$I$89,3,0)*0.475*44/12</f>
        <v>7.6976967156149305</v>
      </c>
      <c r="AX24" s="23">
        <f t="shared" si="6"/>
        <v>17.953094184648503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476.75869306268868</v>
      </c>
      <c r="S25" s="62">
        <f ca="1">AVERAGE(OFFSET($R$3,0,0,'Données projet'!$E$9+1,1))-AVERAGE(OFFSET($H$3,0,0,'Données projet'!$E$9+1,1))</f>
        <v>310.95287409903602</v>
      </c>
      <c r="T25" s="62">
        <f t="shared" si="34"/>
        <v>224.10083380795163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31.8</v>
      </c>
      <c r="AI25" s="14">
        <f>IF('Données projet'!$A$62&gt;35,AI24+AH25-AQ24,IF(A25&lt;'Données projet'!$A$62,$AF$205^A25,IF(A25='Données projet'!$A$62,'Données projet'!$B$62,AI24+AH25-AQ24)))</f>
        <v>323.59999999999997</v>
      </c>
      <c r="AJ25" s="14">
        <f>AI25*VLOOKUP('Données projet'!$B$10,Paramètres!$A$1:$I$89,3,0)*VLOOKUP('Données projet'!$B$10,Paramètres!$A$1:$I$89,5,0)</f>
        <v>180.89240000000001</v>
      </c>
      <c r="AK25" s="14">
        <f t="shared" si="35"/>
        <v>45.520671542487669</v>
      </c>
      <c r="AL25" s="22">
        <f t="shared" si="4"/>
        <v>394.33609960316602</v>
      </c>
      <c r="AM25" s="62">
        <f t="shared" si="5"/>
        <v>687.66943293649933</v>
      </c>
      <c r="AN25" s="62">
        <f ca="1">AVERAGE(OFFSET($AM$3,0,0,'Données projet'!$E$10+1,1))-AVERAGE(OFFSET($H$3,0,0,'Données projet'!$E$10+1,1))</f>
        <v>490.96084572840579</v>
      </c>
      <c r="AO25" s="62">
        <f t="shared" si="36"/>
        <v>597.91658789908263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5.0569755059290937</v>
      </c>
      <c r="AV25" s="23">
        <f>EXP(-LN(2)/25)*AV24+(1-EXP(-LN(2)/25))/(LN(2)/25)*Calculateur!AQ25*Calculateur!AS25*VLOOKUP('Données projet'!$B$10,Paramètres!$A$1:$I$89,3,0)*0.475*44/12</f>
        <v>4.957889080006991</v>
      </c>
      <c r="AW25" s="23">
        <f>EXP(-LN(2)/2)*AW24+(1-EXP(-LN(2)/2))/(LN(2)/2)*AQ25*AT25*VLOOKUP('Données projet'!$B$10,Paramètres!$A$1:$I$89,3,0)*0.475*44/12</f>
        <v>5.4430935471287327</v>
      </c>
      <c r="AX25" s="23">
        <f t="shared" si="6"/>
        <v>15.457958133064817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486.07899978226311</v>
      </c>
      <c r="S26" s="62">
        <f ca="1">AVERAGE(OFFSET($R$3,0,0,'Données projet'!$E$9+1,1))-AVERAGE(OFFSET($H$3,0,0,'Données projet'!$E$9+1,1))</f>
        <v>310.95287409903602</v>
      </c>
      <c r="T26" s="62">
        <f t="shared" si="34"/>
        <v>224.10083380795163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31.8</v>
      </c>
      <c r="AI26" s="14">
        <f>IF('Données projet'!$A$62&gt;35,AI25+AH26-AQ25,IF(A26&lt;'Données projet'!$A$62,$AF$205^A26,IF(A26='Données projet'!$A$62,'Données projet'!$B$62,AI25+AH26-AQ25)))</f>
        <v>355.4</v>
      </c>
      <c r="AJ26" s="14">
        <f>AI26*VLOOKUP('Données projet'!$B$10,Paramètres!$A$1:$I$89,3,0)*VLOOKUP('Données projet'!$B$10,Paramètres!$A$1:$I$89,5,0)</f>
        <v>198.66859999999997</v>
      </c>
      <c r="AK26" s="14">
        <f t="shared" si="35"/>
        <v>49.451452656287465</v>
      </c>
      <c r="AL26" s="22">
        <f t="shared" si="4"/>
        <v>432.14242504303394</v>
      </c>
      <c r="AM26" s="62">
        <f t="shared" si="5"/>
        <v>725.47575837636725</v>
      </c>
      <c r="AN26" s="62">
        <f ca="1">AVERAGE(OFFSET($AM$3,0,0,'Données projet'!$E$10+1,1))-AVERAGE(OFFSET($H$3,0,0,'Données projet'!$E$10+1,1))</f>
        <v>490.96084572840579</v>
      </c>
      <c r="AO26" s="62">
        <f t="shared" si="36"/>
        <v>597.91658789908263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4.9578113007083182</v>
      </c>
      <c r="AV26" s="23">
        <f>EXP(-LN(2)/25)*AV25+(1-EXP(-LN(2)/25))/(LN(2)/25)*Calculateur!AQ26*Calculateur!AS26*VLOOKUP('Données projet'!$B$10,Paramètres!$A$1:$I$89,3,0)*0.475*44/12</f>
        <v>4.8223153423901444</v>
      </c>
      <c r="AW26" s="23">
        <f>EXP(-LN(2)/2)*AW25+(1-EXP(-LN(2)/2))/(LN(2)/2)*AQ26*AT26*VLOOKUP('Données projet'!$B$10,Paramètres!$A$1:$I$89,3,0)*0.475*44/12</f>
        <v>3.8488483578074657</v>
      </c>
      <c r="AX26" s="23">
        <f t="shared" si="6"/>
        <v>13.628975000905928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495.38882314153864</v>
      </c>
      <c r="S27" s="62">
        <f ca="1">AVERAGE(OFFSET($R$3,0,0,'Données projet'!$E$9+1,1))-AVERAGE(OFFSET($H$3,0,0,'Données projet'!$E$9+1,1))</f>
        <v>310.95287409903602</v>
      </c>
      <c r="T27" s="62">
        <f t="shared" si="34"/>
        <v>224.10083380795163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31.8</v>
      </c>
      <c r="AI27" s="14">
        <f>IF('Données projet'!$A$62&gt;35,AI26+AH27-AQ26,IF(A27&lt;'Données projet'!$A$62,$AF$205^A27,IF(A27='Données projet'!$A$62,'Données projet'!$B$62,AI26+AH27-AQ26)))</f>
        <v>387.2</v>
      </c>
      <c r="AJ27" s="14">
        <f>AI27*VLOOKUP('Données projet'!$B$10,Paramètres!$A$1:$I$89,3,0)*VLOOKUP('Données projet'!$B$10,Paramètres!$A$1:$I$89,5,0)</f>
        <v>216.44479999999999</v>
      </c>
      <c r="AK27" s="14">
        <f t="shared" si="35"/>
        <v>53.341449419561528</v>
      </c>
      <c r="AL27" s="22">
        <f t="shared" si="4"/>
        <v>469.87771773906962</v>
      </c>
      <c r="AM27" s="62">
        <f t="shared" si="5"/>
        <v>763.21105107240294</v>
      </c>
      <c r="AN27" s="62">
        <f ca="1">AVERAGE(OFFSET($AM$3,0,0,'Données projet'!$E$10+1,1))-AVERAGE(OFFSET($H$3,0,0,'Données projet'!$E$10+1,1))</f>
        <v>490.96084572840579</v>
      </c>
      <c r="AO27" s="62">
        <f t="shared" si="36"/>
        <v>597.91658789908263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4.8605916450677293</v>
      </c>
      <c r="AV27" s="23">
        <f>EXP(-LN(2)/25)*AV26+(1-EXP(-LN(2)/25))/(LN(2)/25)*Calculateur!AQ27*Calculateur!AS27*VLOOKUP('Données projet'!$B$10,Paramètres!$A$1:$I$89,3,0)*0.475*44/12</f>
        <v>4.6904488757579434</v>
      </c>
      <c r="AW27" s="23">
        <f>EXP(-LN(2)/2)*AW26+(1-EXP(-LN(2)/2))/(LN(2)/2)*AQ27*AT27*VLOOKUP('Données projet'!$B$10,Paramètres!$A$1:$I$89,3,0)*0.475*44/12</f>
        <v>2.7215467735643668</v>
      </c>
      <c r="AX27" s="23">
        <f t="shared" si="6"/>
        <v>12.272587294390039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504.68871478129415</v>
      </c>
      <c r="S28" s="62">
        <f ca="1">AVERAGE(OFFSET($R$3,0,0,'Données projet'!$E$9+1,1))-AVERAGE(OFFSET($H$3,0,0,'Données projet'!$E$9+1,1))</f>
        <v>310.95287409903602</v>
      </c>
      <c r="T28" s="62">
        <f t="shared" si="34"/>
        <v>224.10083380795163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419</v>
      </c>
      <c r="AG28" s="13">
        <f>VLOOKUP(A28,'Données projet'!$A$61:$I$81,9,0)</f>
        <v>31.8</v>
      </c>
      <c r="AH28" s="13">
        <f t="array" ref="AH28">INDEX(AG:AG,MIN(IF(ISNUMBER(AG28:AG224),ROW(AG28:AG224),"")))</f>
        <v>31.8</v>
      </c>
      <c r="AI28" s="14">
        <f>IF('Données projet'!$A$62&gt;35,AI27+AH28-AQ27,IF(A28&lt;'Données projet'!$A$62,$AF$205^A28,IF(A28='Données projet'!$A$62,'Données projet'!$B$62,AI27+AH28-AQ27)))</f>
        <v>419</v>
      </c>
      <c r="AJ28" s="14">
        <f>AI28*VLOOKUP('Données projet'!$B$10,Paramètres!$A$1:$I$89,3,0)*VLOOKUP('Données projet'!$B$10,Paramètres!$A$1:$I$89,5,0)</f>
        <v>234.221</v>
      </c>
      <c r="AK28" s="14">
        <f t="shared" si="35"/>
        <v>57.194392182630075</v>
      </c>
      <c r="AL28" s="22">
        <f t="shared" si="4"/>
        <v>507.54847471808063</v>
      </c>
      <c r="AM28" s="62">
        <f t="shared" si="5"/>
        <v>800.88180805141394</v>
      </c>
      <c r="AN28" s="62">
        <f ca="1">AVERAGE(OFFSET($AM$3,0,0,'Données projet'!$E$10+1,1))-AVERAGE(OFFSET($H$3,0,0,'Données projet'!$E$10+1,1))</f>
        <v>490.96084572840579</v>
      </c>
      <c r="AO28" s="62">
        <f t="shared" si="36"/>
        <v>597.91658789908263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60</v>
      </c>
      <c r="AR28" s="17">
        <f>IF(ISNA(VLOOKUP(A28,'Données projet'!$A$61:$I$81,5,0)),0%,VLOOKUP(A28,'Données projet'!$A$61:$I$81,5,0)*VLOOKUP('Données projet'!$B$10,Paramètres!$A$1:$I$89,7,0))</f>
        <v>0.22000000000000003</v>
      </c>
      <c r="AS28" s="17">
        <f>IF(ISNA(VLOOKUP(A28,'Données projet'!$A$61:$I$81,6,0)),0%,VLOOKUP(A28,'Données projet'!$A$61:$I$81,6,0)*VLOOKUP('Données projet'!$B$10,Paramètres!$A$1:$I$89,7,0))</f>
        <v>0.16500000000000001</v>
      </c>
      <c r="AT28" s="17">
        <f>IF(ISNA(VLOOKUP(A28,'Données projet'!$A$61:$I$81,7,0)),0%,VLOOKUP(A28,'Données projet'!$A$61:$I$81,7,0))</f>
        <v>0.3</v>
      </c>
      <c r="AU28" s="23">
        <f>EXP(-LN(2)/35)*AU27+(1-EXP(-LN(2)/35))/(LN(2)/35)*AQ28*AR28*VLOOKUP('Données projet'!$B$10,Paramètres!$A$1:$I$89,3,0)*0.475*44/12</f>
        <v>14.553732211373397</v>
      </c>
      <c r="AV28" s="23">
        <f>EXP(-LN(2)/25)*AV27+(1-EXP(-LN(2)/25))/(LN(2)/25)*Calculateur!AQ28*Calculateur!AS28*VLOOKUP('Données projet'!$B$10,Paramètres!$A$1:$I$89,3,0)*0.475*44/12</f>
        <v>11.874623003199176</v>
      </c>
      <c r="AW28" s="23">
        <f>EXP(-LN(2)/2)*AW27+(1-EXP(-LN(2)/2))/(LN(2)/2)*AQ28*AT28*VLOOKUP('Données projet'!$B$10,Paramètres!$A$1:$I$89,3,0)*0.475*44/12</f>
        <v>13.316945556615032</v>
      </c>
      <c r="AX28" s="23">
        <f t="shared" si="6"/>
        <v>39.745300771187601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513.97917377376575</v>
      </c>
      <c r="S29" s="62">
        <f ca="1">AVERAGE(OFFSET($R$3,0,0,'Données projet'!$E$9+1,1))-AVERAGE(OFFSET($H$3,0,0,'Données projet'!$E$9+1,1))</f>
        <v>310.95287409903602</v>
      </c>
      <c r="T29" s="62">
        <f t="shared" si="34"/>
        <v>224.10083380795163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33</v>
      </c>
      <c r="AI29" s="14">
        <f>IF('Données projet'!$A$62&gt;35,AI28+AH29-AQ28,IF(A29&lt;'Données projet'!$A$62,$AF$205^A29,IF(A29='Données projet'!$A$62,'Données projet'!$B$62,AI28+AH29-AQ28)))</f>
        <v>392</v>
      </c>
      <c r="AJ29" s="14">
        <f>AI29*VLOOKUP('Données projet'!$B$10,Paramètres!$A$1:$I$89,3,0)*VLOOKUP('Données projet'!$B$10,Paramètres!$A$1:$I$89,5,0)</f>
        <v>219.12800000000001</v>
      </c>
      <c r="AK29" s="14">
        <f t="shared" si="35"/>
        <v>53.925317044064428</v>
      </c>
      <c r="AL29" s="22">
        <f t="shared" si="4"/>
        <v>475.56786051841215</v>
      </c>
      <c r="AM29" s="62">
        <f t="shared" si="5"/>
        <v>768.90119385174546</v>
      </c>
      <c r="AN29" s="62">
        <f ca="1">AVERAGE(OFFSET($AM$3,0,0,'Données projet'!$E$10+1,1))-AVERAGE(OFFSET($H$3,0,0,'Données projet'!$E$10+1,1))</f>
        <v>490.96084572840579</v>
      </c>
      <c r="AO29" s="62">
        <f t="shared" si="36"/>
        <v>597.91658789908263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14.268342399608493</v>
      </c>
      <c r="AV29" s="23">
        <f>EXP(-LN(2)/25)*AV28+(1-EXP(-LN(2)/25))/(LN(2)/25)*Calculateur!AQ29*Calculateur!AS29*VLOOKUP('Données projet'!$B$10,Paramètres!$A$1:$I$89,3,0)*0.475*44/12</f>
        <v>11.54991081271741</v>
      </c>
      <c r="AW29" s="23">
        <f>EXP(-LN(2)/2)*AW28+(1-EXP(-LN(2)/2))/(LN(2)/2)*AQ29*AT29*VLOOKUP('Données projet'!$B$10,Paramètres!$A$1:$I$89,3,0)*0.475*44/12</f>
        <v>9.4165025077745526</v>
      </c>
      <c r="AX29" s="23">
        <f t="shared" si="6"/>
        <v>35.234755720100452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523.260653683383</v>
      </c>
      <c r="S30" s="62">
        <f ca="1">AVERAGE(OFFSET($R$3,0,0,'Données projet'!$E$9+1,1))-AVERAGE(OFFSET($H$3,0,0,'Données projet'!$E$9+1,1))</f>
        <v>310.95287409903602</v>
      </c>
      <c r="T30" s="62">
        <f t="shared" si="34"/>
        <v>224.10083380795163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33</v>
      </c>
      <c r="AI30" s="14">
        <f>IF('Données projet'!$A$62&gt;35,AI29+AH30-AQ29,IF(A30&lt;'Données projet'!$A$62,$AF$205^A30,IF(A30='Données projet'!$A$62,'Données projet'!$B$62,AI29+AH30-AQ29)))</f>
        <v>425</v>
      </c>
      <c r="AJ30" s="14">
        <f>AI30*VLOOKUP('Données projet'!$B$10,Paramètres!$A$1:$I$89,3,0)*VLOOKUP('Données projet'!$B$10,Paramètres!$A$1:$I$89,5,0)</f>
        <v>237.57500000000002</v>
      </c>
      <c r="AK30" s="14">
        <f t="shared" si="35"/>
        <v>57.917471937261162</v>
      </c>
      <c r="AL30" s="22">
        <f t="shared" si="4"/>
        <v>514.64938862406325</v>
      </c>
      <c r="AM30" s="62">
        <f t="shared" si="5"/>
        <v>807.98272195739651</v>
      </c>
      <c r="AN30" s="62">
        <f ca="1">AVERAGE(OFFSET($AM$3,0,0,'Données projet'!$E$10+1,1))-AVERAGE(OFFSET($H$3,0,0,'Données projet'!$E$10+1,1))</f>
        <v>490.96084572840579</v>
      </c>
      <c r="AO30" s="62">
        <f t="shared" si="36"/>
        <v>597.91658789908263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13.9885489079817</v>
      </c>
      <c r="AV30" s="23">
        <f>EXP(-LN(2)/25)*AV29+(1-EXP(-LN(2)/25))/(LN(2)/25)*Calculateur!AQ30*Calculateur!AS30*VLOOKUP('Données projet'!$B$10,Paramètres!$A$1:$I$89,3,0)*0.475*44/12</f>
        <v>11.23407789416024</v>
      </c>
      <c r="AW30" s="23">
        <f>EXP(-LN(2)/2)*AW29+(1-EXP(-LN(2)/2))/(LN(2)/2)*AQ30*AT30*VLOOKUP('Données projet'!$B$10,Paramètres!$A$1:$I$89,3,0)*0.475*44/12</f>
        <v>6.6584727783075168</v>
      </c>
      <c r="AX30" s="23">
        <f t="shared" si="6"/>
        <v>31.881099580449455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532.53356842626727</v>
      </c>
      <c r="S31" s="62">
        <f ca="1">AVERAGE(OFFSET($R$3,0,0,'Données projet'!$E$9+1,1))-AVERAGE(OFFSET($H$3,0,0,'Données projet'!$E$9+1,1))</f>
        <v>310.95287409903602</v>
      </c>
      <c r="T31" s="62">
        <f t="shared" si="34"/>
        <v>224.10083380795163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33</v>
      </c>
      <c r="AI31" s="14">
        <f>IF('Données projet'!$A$62&gt;35,AI30+AH31-AQ30,IF(A31&lt;'Données projet'!$A$62,$AF$205^A31,IF(A31='Données projet'!$A$62,'Données projet'!$B$62,AI30+AH31-AQ30)))</f>
        <v>458</v>
      </c>
      <c r="AJ31" s="14">
        <f>AI31*VLOOKUP('Données projet'!$B$10,Paramètres!$A$1:$I$89,3,0)*VLOOKUP('Données projet'!$B$10,Paramètres!$A$1:$I$89,5,0)</f>
        <v>256.02199999999999</v>
      </c>
      <c r="AK31" s="14">
        <f t="shared" si="35"/>
        <v>61.873669712051253</v>
      </c>
      <c r="AL31" s="22">
        <f t="shared" si="4"/>
        <v>553.66829141515586</v>
      </c>
      <c r="AM31" s="62">
        <f t="shared" si="5"/>
        <v>847.00162474848912</v>
      </c>
      <c r="AN31" s="62">
        <f ca="1">AVERAGE(OFFSET($AM$3,0,0,'Données projet'!$E$10+1,1))-AVERAGE(OFFSET($H$3,0,0,'Données projet'!$E$10+1,1))</f>
        <v>490.96084572840579</v>
      </c>
      <c r="AO31" s="62">
        <f t="shared" si="36"/>
        <v>597.91658789908263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13.71424199606853</v>
      </c>
      <c r="AV31" s="23">
        <f>EXP(-LN(2)/25)*AV30+(1-EXP(-LN(2)/25))/(LN(2)/25)*Calculateur!AQ31*Calculateur!AS31*VLOOKUP('Données projet'!$B$10,Paramètres!$A$1:$I$89,3,0)*0.475*44/12</f>
        <v>10.926881443369949</v>
      </c>
      <c r="AW31" s="23">
        <f>EXP(-LN(2)/2)*AW30+(1-EXP(-LN(2)/2))/(LN(2)/2)*AQ31*AT31*VLOOKUP('Données projet'!$B$10,Paramètres!$A$1:$I$89,3,0)*0.475*44/12</f>
        <v>4.7082512538872772</v>
      </c>
      <c r="AX31" s="23">
        <f t="shared" si="6"/>
        <v>29.349374693325757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541.79829717248401</v>
      </c>
      <c r="S32" s="62">
        <f ca="1">AVERAGE(OFFSET($R$3,0,0,'Données projet'!$E$9+1,1))-AVERAGE(OFFSET($H$3,0,0,'Données projet'!$E$9+1,1))</f>
        <v>310.95287409903602</v>
      </c>
      <c r="T32" s="62">
        <f t="shared" si="34"/>
        <v>224.10083380795163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33</v>
      </c>
      <c r="AI32" s="14">
        <f>IF('Données projet'!$A$62&gt;35,AI31+AH32-AQ31,IF(A32&lt;'Données projet'!$A$62,$AF$205^A32,IF(A32='Données projet'!$A$62,'Données projet'!$B$62,AI31+AH32-AQ31)))</f>
        <v>491</v>
      </c>
      <c r="AJ32" s="14">
        <f>AI32*VLOOKUP('Données projet'!$B$10,Paramètres!$A$1:$I$89,3,0)*VLOOKUP('Données projet'!$B$10,Paramètres!$A$1:$I$89,5,0)</f>
        <v>274.46899999999999</v>
      </c>
      <c r="AK32" s="14">
        <f t="shared" si="35"/>
        <v>65.796795812732981</v>
      </c>
      <c r="AL32" s="22">
        <f t="shared" si="4"/>
        <v>592.62959437384313</v>
      </c>
      <c r="AM32" s="62">
        <f t="shared" si="5"/>
        <v>885.9629277071765</v>
      </c>
      <c r="AN32" s="62">
        <f ca="1">AVERAGE(OFFSET($AM$3,0,0,'Données projet'!$E$10+1,1))-AVERAGE(OFFSET($H$3,0,0,'Données projet'!$E$10+1,1))</f>
        <v>490.96084572840579</v>
      </c>
      <c r="AO32" s="62">
        <f t="shared" si="36"/>
        <v>597.91658789908263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13.445314075387282</v>
      </c>
      <c r="AV32" s="23">
        <f>EXP(-LN(2)/25)*AV31+(1-EXP(-LN(2)/25))/(LN(2)/25)*Calculateur!AQ32*Calculateur!AS32*VLOOKUP('Données projet'!$B$10,Paramètres!$A$1:$I$89,3,0)*0.475*44/12</f>
        <v>10.628085295681275</v>
      </c>
      <c r="AW32" s="23">
        <f>EXP(-LN(2)/2)*AW31+(1-EXP(-LN(2)/2))/(LN(2)/2)*AQ32*AT32*VLOOKUP('Données projet'!$B$10,Paramètres!$A$1:$I$89,3,0)*0.475*44/12</f>
        <v>3.3292363891537593</v>
      </c>
      <c r="AX32" s="23">
        <f t="shared" si="6"/>
        <v>27.402635760222317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310.95287409903602</v>
      </c>
      <c r="T33" s="62">
        <f t="shared" si="34"/>
        <v>224.10083380795163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0.16500000000000001</v>
      </c>
      <c r="X33" s="17">
        <f>IF(ISNA(VLOOKUP(A33,'Données projet'!$A$35:$I$55,6,0)),0%,VLOOKUP(A33,'Données projet'!$A$35:$I$55,6,0)*VLOOKUP('Données projet'!$B$9,Paramètres!$A$1:$I$89,7,0))</f>
        <v>0.16500000000000001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524</v>
      </c>
      <c r="AG33" s="13">
        <f>VLOOKUP(A33,'Données projet'!$A$61:$I$81,9,0)</f>
        <v>33</v>
      </c>
      <c r="AH33" s="13">
        <f t="array" ref="AH33">INDEX(AG:AG,MIN(IF(ISNUMBER(AG33:AG229),ROW(AG33:AG229),"")))</f>
        <v>33</v>
      </c>
      <c r="AI33" s="14">
        <f>IF('Données projet'!$A$62&gt;35,AI32+AH33-AQ32,IF(A33&lt;'Données projet'!$A$62,$AF$205^A33,IF(A33='Données projet'!$A$62,'Données projet'!$B$62,AI32+AH33-AQ32)))</f>
        <v>524</v>
      </c>
      <c r="AJ33" s="14">
        <f>AI33*VLOOKUP('Données projet'!$B$10,Paramètres!$A$1:$I$89,3,0)*VLOOKUP('Données projet'!$B$10,Paramètres!$A$1:$I$89,5,0)</f>
        <v>292.916</v>
      </c>
      <c r="AK33" s="14">
        <f t="shared" si="35"/>
        <v>69.68932587703776</v>
      </c>
      <c r="AL33" s="22">
        <f t="shared" si="4"/>
        <v>631.53760923584082</v>
      </c>
      <c r="AM33" s="62">
        <f t="shared" si="5"/>
        <v>924.87094256917408</v>
      </c>
      <c r="AN33" s="62">
        <f ca="1">AVERAGE(OFFSET($AM$3,0,0,'Données projet'!$E$10+1,1))-AVERAGE(OFFSET($H$3,0,0,'Données projet'!$E$10+1,1))</f>
        <v>490.96084572840579</v>
      </c>
      <c r="AO33" s="62">
        <f t="shared" si="36"/>
        <v>597.91658789908263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90</v>
      </c>
      <c r="AR33" s="17">
        <f>IF(ISNA(VLOOKUP(A33,'Données projet'!$A$61:$I$81,5,0)),0%,VLOOKUP(A33,'Données projet'!$A$61:$I$81,5,0)*VLOOKUP('Données projet'!$B$10,Paramètres!$A$1:$I$89,7,0))</f>
        <v>0.27500000000000002</v>
      </c>
      <c r="AS33" s="17">
        <f>IF(ISNA(VLOOKUP(A33,'Données projet'!$A$61:$I$81,6,0)),0%,VLOOKUP(A33,'Données projet'!$A$61:$I$81,6,0)*VLOOKUP('Données projet'!$B$10,Paramètres!$A$1:$I$89,7,0))</f>
        <v>0.16500000000000001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31.53501054932066</v>
      </c>
      <c r="AV33" s="23">
        <f>EXP(-LN(2)/25)*AV32+(1-EXP(-LN(2)/25))/(LN(2)/25)*Calculateur!AQ33*Calculateur!AS33*VLOOKUP('Données projet'!$B$10,Paramètres!$A$1:$I$89,3,0)*0.475*44/12</f>
        <v>21.306111792277388</v>
      </c>
      <c r="AW33" s="23">
        <f>EXP(-LN(2)/2)*AW32+(1-EXP(-LN(2)/2))/(LN(2)/2)*AQ33*AT33*VLOOKUP('Données projet'!$B$10,Paramètres!$A$1:$I$89,3,0)*0.475*44/12</f>
        <v>13.746647004654939</v>
      </c>
      <c r="AX33" s="23">
        <f t="shared" si="6"/>
        <v>66.587769346252998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310.95287409903602</v>
      </c>
      <c r="T34" s="62">
        <f t="shared" si="34"/>
        <v>224.10083380795163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28.4</v>
      </c>
      <c r="AI34" s="14">
        <f>IF('Données projet'!$A$62&gt;35,AI33+AH34-AQ33,IF(A34&lt;'Données projet'!$A$62,$AF$205^A34,IF(A34='Données projet'!$A$62,'Données projet'!$B$62,AI33+AH34-AQ33)))</f>
        <v>462.4</v>
      </c>
      <c r="AJ34" s="14">
        <f>AI34*VLOOKUP('Données projet'!$B$10,Paramètres!$A$1:$I$89,3,0)*VLOOKUP('Données projet'!$B$10,Paramètres!$A$1:$I$89,5,0)</f>
        <v>258.48160000000001</v>
      </c>
      <c r="AK34" s="14">
        <f t="shared" si="35"/>
        <v>62.398606187610767</v>
      </c>
      <c r="AL34" s="22">
        <f t="shared" si="4"/>
        <v>558.86635911008875</v>
      </c>
      <c r="AM34" s="62">
        <f t="shared" si="5"/>
        <v>852.19969244342201</v>
      </c>
      <c r="AN34" s="62">
        <f ca="1">AVERAGE(OFFSET($AM$3,0,0,'Données projet'!$E$10+1,1))-AVERAGE(OFFSET($H$3,0,0,'Données projet'!$E$10+1,1))</f>
        <v>490.96084572840579</v>
      </c>
      <c r="AO34" s="62">
        <f t="shared" si="36"/>
        <v>597.91658789908263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30.916628226905672</v>
      </c>
      <c r="AV34" s="23">
        <f>EXP(-LN(2)/25)*AV33+(1-EXP(-LN(2)/25))/(LN(2)/25)*Calculateur!AQ34*Calculateur!AS34*VLOOKUP('Données projet'!$B$10,Paramètres!$A$1:$I$89,3,0)*0.475*44/12</f>
        <v>20.72349504487784</v>
      </c>
      <c r="AW34" s="23">
        <f>EXP(-LN(2)/2)*AW33+(1-EXP(-LN(2)/2))/(LN(2)/2)*AQ34*AT34*VLOOKUP('Données projet'!$B$10,Paramètres!$A$1:$I$89,3,0)*0.475*44/12</f>
        <v>9.7203473155692492</v>
      </c>
      <c r="AX34" s="23">
        <f t="shared" si="6"/>
        <v>61.360470587352758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310.95287409903602</v>
      </c>
      <c r="T35" s="62">
        <f t="shared" si="34"/>
        <v>224.10083380795163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28.4</v>
      </c>
      <c r="AI35" s="14">
        <f>IF('Données projet'!$A$62&gt;35,AI34+AH35-AQ34,IF(A35&lt;'Données projet'!$A$62,$AF$205^A35,IF(A35='Données projet'!$A$62,'Données projet'!$B$62,AI34+AH35-AQ34)))</f>
        <v>490.79999999999995</v>
      </c>
      <c r="AJ35" s="14">
        <f>AI35*VLOOKUP('Données projet'!$B$10,Paramètres!$A$1:$I$89,3,0)*VLOOKUP('Données projet'!$B$10,Paramètres!$A$1:$I$89,5,0)</f>
        <v>274.35719999999998</v>
      </c>
      <c r="AK35" s="14">
        <f t="shared" si="35"/>
        <v>65.773113764972635</v>
      </c>
      <c r="AL35" s="22">
        <f t="shared" si="4"/>
        <v>592.39362980732722</v>
      </c>
      <c r="AM35" s="62">
        <f t="shared" si="5"/>
        <v>885.72696314066047</v>
      </c>
      <c r="AN35" s="62">
        <f ca="1">AVERAGE(OFFSET($AM$3,0,0,'Données projet'!$E$10+1,1))-AVERAGE(OFFSET($H$3,0,0,'Données projet'!$E$10+1,1))</f>
        <v>490.96084572840579</v>
      </c>
      <c r="AO35" s="62">
        <f t="shared" si="36"/>
        <v>597.91658789908263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30.310372004657268</v>
      </c>
      <c r="AV35" s="23">
        <f>EXP(-LN(2)/25)*AV34+(1-EXP(-LN(2)/25))/(LN(2)/25)*Calculateur!AQ35*Calculateur!AS35*VLOOKUP('Données projet'!$B$10,Paramètres!$A$1:$I$89,3,0)*0.475*44/12</f>
        <v>20.156809983074414</v>
      </c>
      <c r="AW35" s="23">
        <f>EXP(-LN(2)/2)*AW34+(1-EXP(-LN(2)/2))/(LN(2)/2)*AQ35*AT35*VLOOKUP('Données projet'!$B$10,Paramètres!$A$1:$I$89,3,0)*0.475*44/12</f>
        <v>6.8733235023274704</v>
      </c>
      <c r="AX35" s="23">
        <f t="shared" si="6"/>
        <v>57.340505490059151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310.95287409903602</v>
      </c>
      <c r="T36" s="62">
        <f t="shared" si="34"/>
        <v>224.10083380795163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28.4</v>
      </c>
      <c r="AI36" s="14">
        <f>IF('Données projet'!$A$62&gt;35,AI35+AH36-AQ35,IF(A36&lt;'Données projet'!$A$62,$AF$205^A36,IF(A36='Données projet'!$A$62,'Données projet'!$B$62,AI35+AH36-AQ35)))</f>
        <v>519.19999999999993</v>
      </c>
      <c r="AJ36" s="14">
        <f>AI36*VLOOKUP('Données projet'!$B$10,Paramètres!$A$1:$I$89,3,0)*VLOOKUP('Données projet'!$B$10,Paramètres!$A$1:$I$89,5,0)</f>
        <v>290.2328</v>
      </c>
      <c r="AK36" s="14">
        <f t="shared" si="35"/>
        <v>69.124955529636495</v>
      </c>
      <c r="AL36" s="22">
        <f t="shared" si="4"/>
        <v>625.88142421411692</v>
      </c>
      <c r="AM36" s="62">
        <f t="shared" si="5"/>
        <v>919.21475754745029</v>
      </c>
      <c r="AN36" s="62">
        <f ca="1">AVERAGE(OFFSET($AM$3,0,0,'Données projet'!$E$10+1,1))-AVERAGE(OFFSET($H$3,0,0,'Données projet'!$E$10+1,1))</f>
        <v>490.96084572840579</v>
      </c>
      <c r="AO36" s="62">
        <f t="shared" si="36"/>
        <v>597.91658789908263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29.716004097147373</v>
      </c>
      <c r="AV36" s="23">
        <f>EXP(-LN(2)/25)*AV35+(1-EXP(-LN(2)/25))/(LN(2)/25)*Calculateur!AQ36*Calculateur!AS36*VLOOKUP('Données projet'!$B$10,Paramètres!$A$1:$I$89,3,0)*0.475*44/12</f>
        <v>19.605620954086675</v>
      </c>
      <c r="AW36" s="23">
        <f>EXP(-LN(2)/2)*AW35+(1-EXP(-LN(2)/2))/(LN(2)/2)*AQ36*AT36*VLOOKUP('Données projet'!$B$10,Paramètres!$A$1:$I$89,3,0)*0.475*44/12</f>
        <v>4.8601736577846255</v>
      </c>
      <c r="AX36" s="23">
        <f t="shared" si="6"/>
        <v>54.181798709018679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310.95287409903602</v>
      </c>
      <c r="T37" s="62">
        <f t="shared" si="34"/>
        <v>224.10083380795163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28.4</v>
      </c>
      <c r="AI37" s="14">
        <f>IF('Données projet'!$A$62&gt;35,AI36+AH37-AQ36,IF(A37&lt;'Données projet'!$A$62,$AF$205^A37,IF(A37='Données projet'!$A$62,'Données projet'!$B$62,AI36+AH37-AQ36)))</f>
        <v>547.59999999999991</v>
      </c>
      <c r="AJ37" s="14">
        <f>AI37*VLOOKUP('Données projet'!$B$10,Paramètres!$A$1:$I$89,3,0)*VLOOKUP('Données projet'!$B$10,Paramètres!$A$1:$I$89,5,0)</f>
        <v>306.10839999999996</v>
      </c>
      <c r="AK37" s="14">
        <f t="shared" si="35"/>
        <v>72.455512621968097</v>
      </c>
      <c r="AL37" s="22">
        <f t="shared" si="4"/>
        <v>659.33214781659433</v>
      </c>
      <c r="AM37" s="62">
        <f t="shared" si="5"/>
        <v>952.6654811499277</v>
      </c>
      <c r="AN37" s="62">
        <f ca="1">AVERAGE(OFFSET($AM$3,0,0,'Données projet'!$E$10+1,1))-AVERAGE(OFFSET($H$3,0,0,'Données projet'!$E$10+1,1))</f>
        <v>490.96084572840579</v>
      </c>
      <c r="AO37" s="62">
        <f t="shared" si="36"/>
        <v>597.91658789908263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29.13329138177512</v>
      </c>
      <c r="AV37" s="23">
        <f>EXP(-LN(2)/25)*AV36+(1-EXP(-LN(2)/25))/(LN(2)/25)*Calculateur!AQ37*Calculateur!AS37*VLOOKUP('Données projet'!$B$10,Paramètres!$A$1:$I$89,3,0)*0.475*44/12</f>
        <v>19.069504218082379</v>
      </c>
      <c r="AW37" s="23">
        <f>EXP(-LN(2)/2)*AW36+(1-EXP(-LN(2)/2))/(LN(2)/2)*AQ37*AT37*VLOOKUP('Données projet'!$B$10,Paramètres!$A$1:$I$89,3,0)*0.475*44/12</f>
        <v>3.4366617511637356</v>
      </c>
      <c r="AX37" s="23">
        <f t="shared" si="6"/>
        <v>51.639457351021228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310.95287409903602</v>
      </c>
      <c r="T38" s="62">
        <f t="shared" si="34"/>
        <v>224.10083380795163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576</v>
      </c>
      <c r="AG38" s="13">
        <f>VLOOKUP(A38,'Données projet'!$A$61:$I$81,9,0)</f>
        <v>28.4</v>
      </c>
      <c r="AH38" s="13">
        <f t="array" ref="AH38">INDEX(AG:AG,MIN(IF(ISNUMBER(AG38:AG234),ROW(AG38:AG234),"")))</f>
        <v>28.4</v>
      </c>
      <c r="AI38" s="14">
        <f>IF('Données projet'!$A$62&gt;35,AI37+AH38-AQ37,IF(A38&lt;'Données projet'!$A$62,$AF$205^A38,IF(A38='Données projet'!$A$62,'Données projet'!$B$62,AI37+AH38-AQ37)))</f>
        <v>575.99999999999989</v>
      </c>
      <c r="AJ38" s="14">
        <f>AI38*VLOOKUP('Données projet'!$B$10,Paramètres!$A$1:$I$89,3,0)*VLOOKUP('Données projet'!$B$10,Paramètres!$A$1:$I$89,5,0)</f>
        <v>321.98399999999992</v>
      </c>
      <c r="AK38" s="14">
        <f t="shared" si="35"/>
        <v>75.76601483154208</v>
      </c>
      <c r="AL38" s="22">
        <f t="shared" si="4"/>
        <v>692.74794249826891</v>
      </c>
      <c r="AM38" s="62">
        <f t="shared" si="5"/>
        <v>986.08127583160217</v>
      </c>
      <c r="AN38" s="62">
        <f ca="1">AVERAGE(OFFSET($AM$3,0,0,'Données projet'!$E$10+1,1))-AVERAGE(OFFSET($H$3,0,0,'Données projet'!$E$10+1,1))</f>
        <v>490.96084572840579</v>
      </c>
      <c r="AO38" s="62">
        <f t="shared" si="36"/>
        <v>597.91658789908263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72</v>
      </c>
      <c r="AR38" s="17">
        <f>IF(ISNA(VLOOKUP(A38,'Données projet'!$A$61:$I$81,5,0)),0%,VLOOKUP(A38,'Données projet'!$A$61:$I$81,5,0)*VLOOKUP('Données projet'!$B$10,Paramètres!$A$1:$I$89,7,0))</f>
        <v>0.33</v>
      </c>
      <c r="AS38" s="17">
        <f>IF(ISNA(VLOOKUP(A38,'Données projet'!$A$61:$I$81,6,0)),0%,VLOOKUP(A38,'Données projet'!$A$61:$I$81,6,0)*VLOOKUP('Données projet'!$B$10,Paramètres!$A$1:$I$89,7,0))</f>
        <v>0.16500000000000001</v>
      </c>
      <c r="AT38" s="17">
        <f>IF(ISNA(VLOOKUP(A38,'Données projet'!$A$61:$I$81,7,0)),0%,VLOOKUP(A38,'Données projet'!$A$61:$I$81,7,0))</f>
        <v>0.1</v>
      </c>
      <c r="AU38" s="23">
        <f>EXP(-LN(2)/35)*AU37+(1-EXP(-LN(2)/35))/(LN(2)/35)*AQ38*AR38*VLOOKUP('Données projet'!$B$10,Paramètres!$A$1:$I$89,3,0)*0.475*44/12</f>
        <v>46.181222154166761</v>
      </c>
      <c r="AV38" s="23">
        <f>EXP(-LN(2)/25)*AV37+(1-EXP(-LN(2)/25))/(LN(2)/25)*Calculateur!AQ38*Calculateur!AS38*VLOOKUP('Données projet'!$B$10,Paramètres!$A$1:$I$89,3,0)*0.475*44/12</f>
        <v>27.322969260747858</v>
      </c>
      <c r="AW38" s="23">
        <f>EXP(-LN(2)/2)*AW37+(1-EXP(-LN(2)/2))/(LN(2)/2)*AQ38*AT38*VLOOKUP('Données projet'!$B$10,Paramètres!$A$1:$I$89,3,0)*0.475*44/12</f>
        <v>6.9870953799768332</v>
      </c>
      <c r="AX38" s="23">
        <f t="shared" si="6"/>
        <v>80.491286794891451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310.95287409903602</v>
      </c>
      <c r="T39" s="62">
        <f t="shared" si="34"/>
        <v>224.10083380795163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27</v>
      </c>
      <c r="AI39" s="14">
        <f>IF('Données projet'!$A$62&gt;35,AI38+AH39-AQ38,IF(A39&lt;'Données projet'!$A$62,$AF$205^A39,IF(A39='Données projet'!$A$62,'Données projet'!$B$62,AI38+AH39-AQ38)))</f>
        <v>530.99999999999989</v>
      </c>
      <c r="AJ39" s="14">
        <f>AI39*VLOOKUP('Données projet'!$B$10,Paramètres!$A$1:$I$89,3,0)*VLOOKUP('Données projet'!$B$10,Paramètres!$A$1:$I$89,5,0)</f>
        <v>296.82899999999995</v>
      </c>
      <c r="AK39" s="14">
        <f t="shared" si="35"/>
        <v>70.511289513454344</v>
      </c>
      <c r="AL39" s="22">
        <f t="shared" si="4"/>
        <v>639.78433756926631</v>
      </c>
      <c r="AM39" s="62">
        <f t="shared" si="5"/>
        <v>933.11767090259968</v>
      </c>
      <c r="AN39" s="62">
        <f ca="1">AVERAGE(OFFSET($AM$3,0,0,'Données projet'!$E$10+1,1))-AVERAGE(OFFSET($H$3,0,0,'Données projet'!$E$10+1,1))</f>
        <v>490.96084572840579</v>
      </c>
      <c r="AO39" s="62">
        <f t="shared" si="36"/>
        <v>597.91658789908263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45.275636555487729</v>
      </c>
      <c r="AV39" s="23">
        <f>EXP(-LN(2)/25)*AV38+(1-EXP(-LN(2)/25))/(LN(2)/25)*Calculateur!AQ39*Calculateur!AS39*VLOOKUP('Données projet'!$B$10,Paramètres!$A$1:$I$89,3,0)*0.475*44/12</f>
        <v>26.575821229460203</v>
      </c>
      <c r="AW39" s="23">
        <f>EXP(-LN(2)/2)*AW38+(1-EXP(-LN(2)/2))/(LN(2)/2)*AQ39*AT39*VLOOKUP('Données projet'!$B$10,Paramètres!$A$1:$I$89,3,0)*0.475*44/12</f>
        <v>4.9406225239788162</v>
      </c>
      <c r="AX39" s="23">
        <f t="shared" si="6"/>
        <v>76.792080308926757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310.95287409903602</v>
      </c>
      <c r="T40" s="62">
        <f t="shared" si="34"/>
        <v>224.10083380795163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27</v>
      </c>
      <c r="AI40" s="14">
        <f>IF('Données projet'!$A$62&gt;35,AI39+AH40-AQ39,IF(A40&lt;'Données projet'!$A$62,$AF$205^A40,IF(A40='Données projet'!$A$62,'Données projet'!$B$62,AI39+AH40-AQ39)))</f>
        <v>557.99999999999989</v>
      </c>
      <c r="AJ40" s="14">
        <f>AI40*VLOOKUP('Données projet'!$B$10,Paramètres!$A$1:$I$89,3,0)*VLOOKUP('Données projet'!$B$10,Paramètres!$A$1:$I$89,5,0)</f>
        <v>311.92199999999991</v>
      </c>
      <c r="AK40" s="14">
        <f t="shared" si="35"/>
        <v>73.670075764965745</v>
      </c>
      <c r="AL40" s="22">
        <f t="shared" si="4"/>
        <v>671.57286529064845</v>
      </c>
      <c r="AM40" s="62">
        <f t="shared" si="5"/>
        <v>964.90619862398171</v>
      </c>
      <c r="AN40" s="62">
        <f ca="1">AVERAGE(OFFSET($AM$3,0,0,'Données projet'!$E$10+1,1))-AVERAGE(OFFSET($H$3,0,0,'Données projet'!$E$10+1,1))</f>
        <v>490.96084572840579</v>
      </c>
      <c r="AO40" s="62">
        <f t="shared" si="36"/>
        <v>597.91658789908263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44.38780893804612</v>
      </c>
      <c r="AV40" s="23">
        <f>EXP(-LN(2)/25)*AV39+(1-EXP(-LN(2)/25))/(LN(2)/25)*Calculateur!AQ40*Calculateur!AS40*VLOOKUP('Données projet'!$B$10,Paramètres!$A$1:$I$89,3,0)*0.475*44/12</f>
        <v>25.849104000378915</v>
      </c>
      <c r="AW40" s="23">
        <f>EXP(-LN(2)/2)*AW39+(1-EXP(-LN(2)/2))/(LN(2)/2)*AQ40*AT40*VLOOKUP('Données projet'!$B$10,Paramètres!$A$1:$I$89,3,0)*0.475*44/12</f>
        <v>3.493547689988417</v>
      </c>
      <c r="AX40" s="23">
        <f t="shared" si="6"/>
        <v>73.730460628413454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310.95287409903602</v>
      </c>
      <c r="T41" s="62">
        <f t="shared" si="34"/>
        <v>224.10083380795163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27</v>
      </c>
      <c r="AI41" s="14">
        <f>IF('Données projet'!$A$62&gt;35,AI40+AH41-AQ40,IF(A41&lt;'Données projet'!$A$62,$AF$205^A41,IF(A41='Données projet'!$A$62,'Données projet'!$B$62,AI40+AH41-AQ40)))</f>
        <v>584.99999999999989</v>
      </c>
      <c r="AJ41" s="14">
        <f>AI41*VLOOKUP('Données projet'!$B$10,Paramètres!$A$1:$I$89,3,0)*VLOOKUP('Données projet'!$B$10,Paramètres!$A$1:$I$89,5,0)</f>
        <v>327.01499999999993</v>
      </c>
      <c r="AK41" s="14">
        <f t="shared" si="35"/>
        <v>76.811113612871907</v>
      </c>
      <c r="AL41" s="22">
        <f t="shared" si="4"/>
        <v>703.33048120908506</v>
      </c>
      <c r="AM41" s="62">
        <f t="shared" si="5"/>
        <v>996.66381454241832</v>
      </c>
      <c r="AN41" s="62">
        <f ca="1">AVERAGE(OFFSET($AM$3,0,0,'Données projet'!$E$10+1,1))-AVERAGE(OFFSET($H$3,0,0,'Données projet'!$E$10+1,1))</f>
        <v>490.96084572840579</v>
      </c>
      <c r="AO41" s="62">
        <f t="shared" si="36"/>
        <v>597.91658789908263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43.517391078661163</v>
      </c>
      <c r="AV41" s="23">
        <f>EXP(-LN(2)/25)*AV40+(1-EXP(-LN(2)/25))/(LN(2)/25)*Calculateur!AQ41*Calculateur!AS41*VLOOKUP('Données projet'!$B$10,Paramètres!$A$1:$I$89,3,0)*0.475*44/12</f>
        <v>25.142258892143253</v>
      </c>
      <c r="AW41" s="23">
        <f>EXP(-LN(2)/2)*AW40+(1-EXP(-LN(2)/2))/(LN(2)/2)*AQ41*AT41*VLOOKUP('Données projet'!$B$10,Paramètres!$A$1:$I$89,3,0)*0.475*44/12</f>
        <v>2.4703112619894085</v>
      </c>
      <c r="AX41" s="23">
        <f t="shared" si="6"/>
        <v>71.129961232793832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310.95287409903602</v>
      </c>
      <c r="T42" s="62">
        <f t="shared" si="34"/>
        <v>224.10083380795163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27</v>
      </c>
      <c r="AI42" s="14">
        <f>IF('Données projet'!$A$62&gt;35,AI41+AH42-AQ41,IF(A42&lt;'Données projet'!$A$62,$AF$205^A42,IF(A42='Données projet'!$A$62,'Données projet'!$B$62,AI41+AH42-AQ41)))</f>
        <v>611.99999999999989</v>
      </c>
      <c r="AJ42" s="14">
        <f>AI42*VLOOKUP('Données projet'!$B$10,Paramètres!$A$1:$I$89,3,0)*VLOOKUP('Données projet'!$B$10,Paramètres!$A$1:$I$89,5,0)</f>
        <v>342.10799999999995</v>
      </c>
      <c r="AK42" s="14">
        <f t="shared" si="35"/>
        <v>79.935315774430151</v>
      </c>
      <c r="AL42" s="22">
        <f t="shared" si="4"/>
        <v>735.0587749737989</v>
      </c>
      <c r="AM42" s="62">
        <f t="shared" si="5"/>
        <v>1028.3921083071323</v>
      </c>
      <c r="AN42" s="62">
        <f ca="1">AVERAGE(OFFSET($AM$3,0,0,'Données projet'!$E$10+1,1))-AVERAGE(OFFSET($H$3,0,0,'Données projet'!$E$10+1,1))</f>
        <v>490.96084572840579</v>
      </c>
      <c r="AO42" s="62">
        <f t="shared" si="36"/>
        <v>597.91658789908263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42.664041582596276</v>
      </c>
      <c r="AV42" s="23">
        <f>EXP(-LN(2)/25)*AV41+(1-EXP(-LN(2)/25))/(LN(2)/25)*Calculateur!AQ42*Calculateur!AS42*VLOOKUP('Données projet'!$B$10,Paramètres!$A$1:$I$89,3,0)*0.475*44/12</f>
        <v>24.454742500563665</v>
      </c>
      <c r="AW42" s="23">
        <f>EXP(-LN(2)/2)*AW41+(1-EXP(-LN(2)/2))/(LN(2)/2)*AQ42*AT42*VLOOKUP('Données projet'!$B$10,Paramètres!$A$1:$I$89,3,0)*0.475*44/12</f>
        <v>1.746773844994209</v>
      </c>
      <c r="AX42" s="23">
        <f t="shared" si="6"/>
        <v>68.865557928154146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310.95287409903602</v>
      </c>
      <c r="T43" s="62">
        <f t="shared" si="34"/>
        <v>224.10083380795163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0.22000000000000003</v>
      </c>
      <c r="X43" s="17">
        <f>IF(ISNA(VLOOKUP(A43,'Données projet'!$A$35:$I$55,6,0)),0%,VLOOKUP(A43,'Données projet'!$A$35:$I$55,6,0)*VLOOKUP('Données projet'!$B$9,Paramètres!$A$1:$I$89,7,0))</f>
        <v>0.16500000000000001</v>
      </c>
      <c r="Y43" s="17">
        <f>IF(ISNA(VLOOKUP(A43,'Données projet'!$A$35:$I$55,7,0)),0%,VLOOKUP(A43,'Données projet'!$A$35:$I$55,7,0))</f>
        <v>0.3</v>
      </c>
      <c r="Z43" s="23">
        <f>EXP(-LN(2)/35)*Z42+(1-EXP(-LN(2)/35))/(LN(2)/35)*V43*W43*VLOOKUP('Données projet'!$B$9,Paramètres!$A$1:$I$89,3,0)*0.475*44/12</f>
        <v>12.019310717220847</v>
      </c>
      <c r="AA43" s="23">
        <f>EXP(-LN(2)/25)*AA42+(1-EXP(-LN(2)/25))/(LN(2)/25)*Calculateur!V43*Calculateur!X43*VLOOKUP('Données projet'!$B$9,Paramètres!$A$1:$I$89,3,0)*0.475*44/12</f>
        <v>8.9789895834080387</v>
      </c>
      <c r="AB43" s="23">
        <f>EXP(-LN(2)/2)*AB42+(1-EXP(-LN(2)/2))/(LN(2)/2)*V43*Y43*VLOOKUP('Données projet'!$B$9,Paramètres!$A$1:$I$89,3,0)*0.475*44/12</f>
        <v>13.98895648239899</v>
      </c>
      <c r="AC43" s="24">
        <f t="shared" si="3"/>
        <v>34.987256783027874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639</v>
      </c>
      <c r="AG43" s="13">
        <f>VLOOKUP(A43,'Données projet'!$A$61:$I$81,9,0)</f>
        <v>27</v>
      </c>
      <c r="AH43" s="13">
        <f t="array" ref="AH43">INDEX(AG:AG,MIN(IF(ISNUMBER(AG43:AG239),ROW(AG43:AG239),"")))</f>
        <v>27</v>
      </c>
      <c r="AI43" s="14">
        <f>IF('Données projet'!$A$62&gt;35,AI42+AH43-AQ42,IF(A43&lt;'Données projet'!$A$62,$AF$205^A43,IF(A43='Données projet'!$A$62,'Données projet'!$B$62,AI42+AH43-AQ42)))</f>
        <v>638.99999999999989</v>
      </c>
      <c r="AJ43" s="14">
        <f>AI43*VLOOKUP('Données projet'!$B$10,Paramètres!$A$1:$I$89,3,0)*VLOOKUP('Données projet'!$B$10,Paramètres!$A$1:$I$89,5,0)</f>
        <v>357.20099999999991</v>
      </c>
      <c r="AK43" s="14">
        <f t="shared" si="35"/>
        <v>83.043509879488369</v>
      </c>
      <c r="AL43" s="22">
        <f t="shared" si="4"/>
        <v>766.75918804010871</v>
      </c>
      <c r="AM43" s="62">
        <f t="shared" si="5"/>
        <v>1060.092521373442</v>
      </c>
      <c r="AN43" s="62">
        <f ca="1">AVERAGE(OFFSET($AM$3,0,0,'Données projet'!$E$10+1,1))-AVERAGE(OFFSET($H$3,0,0,'Données projet'!$E$10+1,1))</f>
        <v>490.96084572840579</v>
      </c>
      <c r="AO43" s="62">
        <f t="shared" si="36"/>
        <v>597.91658789908263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77</v>
      </c>
      <c r="AR43" s="17">
        <f>IF(ISNA(VLOOKUP(A43,'Données projet'!$A$61:$I$81,5,0)),0%,VLOOKUP(A43,'Données projet'!$A$61:$I$81,5,0)*VLOOKUP('Données projet'!$B$10,Paramètres!$A$1:$I$89,7,0))</f>
        <v>0.38500000000000001</v>
      </c>
      <c r="AS43" s="17">
        <f>IF(ISNA(VLOOKUP(A43,'Données projet'!$A$61:$I$81,6,0)),0%,VLOOKUP(A43,'Données projet'!$A$61:$I$81,6,0)*VLOOKUP('Données projet'!$B$10,Paramètres!$A$1:$I$89,7,0))</f>
        <v>0.16500000000000001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63.810661584018803</v>
      </c>
      <c r="AV43" s="23">
        <f>EXP(-LN(2)/25)*AV42+(1-EXP(-LN(2)/25))/(LN(2)/25)*Calculateur!AQ43*Calculateur!AS43*VLOOKUP('Données projet'!$B$10,Paramètres!$A$1:$I$89,3,0)*0.475*44/12</f>
        <v>33.17031747741472</v>
      </c>
      <c r="AW43" s="23">
        <f>EXP(-LN(2)/2)*AW42+(1-EXP(-LN(2)/2))/(LN(2)/2)*AQ43*AT43*VLOOKUP('Données projet'!$B$10,Paramètres!$A$1:$I$89,3,0)*0.475*44/12</f>
        <v>1.2351556309947045</v>
      </c>
      <c r="AX43" s="23">
        <f t="shared" si="6"/>
        <v>98.216134692428227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310.95287409903602</v>
      </c>
      <c r="T44" s="62">
        <f t="shared" si="34"/>
        <v>224.10083380795163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11.783619365111802</v>
      </c>
      <c r="AA44" s="23">
        <f>EXP(-LN(2)/25)*AA43+(1-EXP(-LN(2)/25))/(LN(2)/25)*Calculateur!V44*Calculateur!X44*VLOOKUP('Données projet'!$B$9,Paramètres!$A$1:$I$89,3,0)*0.475*44/12</f>
        <v>8.7334586410652051</v>
      </c>
      <c r="AB44" s="23">
        <f>EXP(-LN(2)/2)*AB43+(1-EXP(-LN(2)/2))/(LN(2)/2)*V44*Y44*VLOOKUP('Données projet'!$B$9,Paramètres!$A$1:$I$89,3,0)*0.475*44/12</f>
        <v>9.8916859904278382</v>
      </c>
      <c r="AC44" s="24">
        <f t="shared" si="3"/>
        <v>30.408763996604847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24.8</v>
      </c>
      <c r="AI44" s="14">
        <f>IF('Données projet'!$A$62&gt;35,AI43+AH44-AQ43,IF(A44&lt;'Données projet'!$A$62,$AF$205^A44,IF(A44='Données projet'!$A$62,'Données projet'!$B$62,AI43+AH44-AQ43)))</f>
        <v>586.79999999999984</v>
      </c>
      <c r="AJ44" s="14">
        <f>AI44*VLOOKUP('Données projet'!$B$10,Paramètres!$A$1:$I$89,3,0)*VLOOKUP('Données projet'!$B$10,Paramètres!$A$1:$I$89,5,0)</f>
        <v>328.02119999999991</v>
      </c>
      <c r="AK44" s="14">
        <f t="shared" si="35"/>
        <v>77.019907950957702</v>
      </c>
      <c r="AL44" s="22">
        <f t="shared" si="4"/>
        <v>705.44659634791776</v>
      </c>
      <c r="AM44" s="62">
        <f t="shared" si="5"/>
        <v>998.77992968125113</v>
      </c>
      <c r="AN44" s="62">
        <f ca="1">AVERAGE(OFFSET($AM$3,0,0,'Données projet'!$E$10+1,1))-AVERAGE(OFFSET($H$3,0,0,'Données projet'!$E$10+1,1))</f>
        <v>490.96084572840579</v>
      </c>
      <c r="AO44" s="62">
        <f t="shared" si="36"/>
        <v>597.91658789908263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62.559373431016667</v>
      </c>
      <c r="AV44" s="23">
        <f>EXP(-LN(2)/25)*AV43+(1-EXP(-LN(2)/25))/(LN(2)/25)*Calculateur!AQ44*Calculateur!AS44*VLOOKUP('Données projet'!$B$10,Paramètres!$A$1:$I$89,3,0)*0.475*44/12</f>
        <v>32.26327340164363</v>
      </c>
      <c r="AW44" s="23">
        <f>EXP(-LN(2)/2)*AW43+(1-EXP(-LN(2)/2))/(LN(2)/2)*AQ44*AT44*VLOOKUP('Données projet'!$B$10,Paramètres!$A$1:$I$89,3,0)*0.475*44/12</f>
        <v>0.87338692249710459</v>
      </c>
      <c r="AX44" s="23">
        <f t="shared" si="6"/>
        <v>95.696033755157401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310.95287409903602</v>
      </c>
      <c r="T45" s="62">
        <f t="shared" si="34"/>
        <v>224.10083380795163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11.552549776660085</v>
      </c>
      <c r="AA45" s="23">
        <f>EXP(-LN(2)/25)*AA44+(1-EXP(-LN(2)/25))/(LN(2)/25)*Calculateur!V45*Calculateur!X45*VLOOKUP('Données projet'!$B$9,Paramètres!$A$1:$I$89,3,0)*0.475*44/12</f>
        <v>8.4946417552526476</v>
      </c>
      <c r="AB45" s="23">
        <f>EXP(-LN(2)/2)*AB44+(1-EXP(-LN(2)/2))/(LN(2)/2)*V45*Y45*VLOOKUP('Données projet'!$B$9,Paramètres!$A$1:$I$89,3,0)*0.475*44/12</f>
        <v>6.9944782411994959</v>
      </c>
      <c r="AC45" s="24">
        <f t="shared" si="3"/>
        <v>27.041669773112226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24.8</v>
      </c>
      <c r="AI45" s="14">
        <f>IF('Données projet'!$A$62&gt;35,AI44+AH45-AQ44,IF(A45&lt;'Données projet'!$A$62,$AF$205^A45,IF(A45='Données projet'!$A$62,'Données projet'!$B$62,AI44+AH45-AQ44)))</f>
        <v>611.5999999999998</v>
      </c>
      <c r="AJ45" s="14">
        <f>AI45*VLOOKUP('Données projet'!$B$10,Paramètres!$A$1:$I$89,3,0)*VLOOKUP('Données projet'!$B$10,Paramètres!$A$1:$I$89,5,0)</f>
        <v>341.88439999999986</v>
      </c>
      <c r="AK45" s="14">
        <f t="shared" si="35"/>
        <v>79.889150066970018</v>
      </c>
      <c r="AL45" s="22">
        <f t="shared" si="4"/>
        <v>734.58893303330581</v>
      </c>
      <c r="AM45" s="62">
        <f t="shared" si="5"/>
        <v>1027.9222663666392</v>
      </c>
      <c r="AN45" s="62">
        <f ca="1">AVERAGE(OFFSET($AM$3,0,0,'Données projet'!$E$10+1,1))-AVERAGE(OFFSET($H$3,0,0,'Données projet'!$E$10+1,1))</f>
        <v>490.96084572840579</v>
      </c>
      <c r="AO45" s="62">
        <f t="shared" si="36"/>
        <v>597.91658789908263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61.332622275484489</v>
      </c>
      <c r="AV45" s="23">
        <f>EXP(-LN(2)/25)*AV44+(1-EXP(-LN(2)/25))/(LN(2)/25)*Calculateur!AQ45*Calculateur!AS45*VLOOKUP('Données projet'!$B$10,Paramètres!$A$1:$I$89,3,0)*0.475*44/12</f>
        <v>31.381032493823877</v>
      </c>
      <c r="AW45" s="23">
        <f>EXP(-LN(2)/2)*AW44+(1-EXP(-LN(2)/2))/(LN(2)/2)*AQ45*AT45*VLOOKUP('Données projet'!$B$10,Paramètres!$A$1:$I$89,3,0)*0.475*44/12</f>
        <v>0.61757781549735236</v>
      </c>
      <c r="AX45" s="23">
        <f t="shared" si="6"/>
        <v>93.331232584805718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310.95287409903602</v>
      </c>
      <c r="T46" s="62">
        <f t="shared" si="34"/>
        <v>224.10083380795163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11.326011321899374</v>
      </c>
      <c r="AA46" s="23">
        <f>EXP(-LN(2)/25)*AA45+(1-EXP(-LN(2)/25))/(LN(2)/25)*Calculateur!V46*Calculateur!X46*VLOOKUP('Données projet'!$B$9,Paramètres!$A$1:$I$89,3,0)*0.475*44/12</f>
        <v>8.2623553297414691</v>
      </c>
      <c r="AB46" s="23">
        <f>EXP(-LN(2)/2)*AB45+(1-EXP(-LN(2)/2))/(LN(2)/2)*V46*Y46*VLOOKUP('Données projet'!$B$9,Paramètres!$A$1:$I$89,3,0)*0.475*44/12</f>
        <v>4.94584299521392</v>
      </c>
      <c r="AC46" s="24">
        <f t="shared" si="3"/>
        <v>24.534209646854762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24.8</v>
      </c>
      <c r="AI46" s="14">
        <f>IF('Données projet'!$A$62&gt;35,AI45+AH46-AQ45,IF(A46&lt;'Données projet'!$A$62,$AF$205^A46,IF(A46='Données projet'!$A$62,'Données projet'!$B$62,AI45+AH46-AQ45)))</f>
        <v>636.39999999999975</v>
      </c>
      <c r="AJ46" s="14">
        <f>AI46*VLOOKUP('Données projet'!$B$10,Paramètres!$A$1:$I$89,3,0)*VLOOKUP('Données projet'!$B$10,Paramètres!$A$1:$I$89,5,0)</f>
        <v>355.74759999999986</v>
      </c>
      <c r="AK46" s="14">
        <f t="shared" si="35"/>
        <v>82.744877508992289</v>
      </c>
      <c r="AL46" s="22">
        <f t="shared" si="4"/>
        <v>763.70773166149456</v>
      </c>
      <c r="AM46" s="62">
        <f t="shared" si="5"/>
        <v>1057.0410649948278</v>
      </c>
      <c r="AN46" s="62">
        <f ca="1">AVERAGE(OFFSET($AM$3,0,0,'Données projet'!$E$10+1,1))-AVERAGE(OFFSET($H$3,0,0,'Données projet'!$E$10+1,1))</f>
        <v>490.96084572840579</v>
      </c>
      <c r="AO46" s="62">
        <f t="shared" si="36"/>
        <v>597.91658789908263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60.129926961867973</v>
      </c>
      <c r="AV46" s="23">
        <f>EXP(-LN(2)/25)*AV45+(1-EXP(-LN(2)/25))/(LN(2)/25)*Calculateur!AQ46*Calculateur!AS46*VLOOKUP('Données projet'!$B$10,Paramètres!$A$1:$I$89,3,0)*0.475*44/12</f>
        <v>30.522916510023485</v>
      </c>
      <c r="AW46" s="23">
        <f>EXP(-LN(2)/2)*AW45+(1-EXP(-LN(2)/2))/(LN(2)/2)*AQ46*AT46*VLOOKUP('Données projet'!$B$10,Paramètres!$A$1:$I$89,3,0)*0.475*44/12</f>
        <v>0.43669346124855241</v>
      </c>
      <c r="AX46" s="23">
        <f t="shared" si="6"/>
        <v>91.08953693314001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310.95287409903602</v>
      </c>
      <c r="T47" s="62">
        <f t="shared" si="34"/>
        <v>224.10083380795163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11.103915148061708</v>
      </c>
      <c r="AA47" s="23">
        <f>EXP(-LN(2)/25)*AA46+(1-EXP(-LN(2)/25))/(LN(2)/25)*Calculateur!V47*Calculateur!X47*VLOOKUP('Données projet'!$B$9,Paramètres!$A$1:$I$89,3,0)*0.475*44/12</f>
        <v>8.0364207887513057</v>
      </c>
      <c r="AB47" s="23">
        <f>EXP(-LN(2)/2)*AB46+(1-EXP(-LN(2)/2))/(LN(2)/2)*V47*Y47*VLOOKUP('Données projet'!$B$9,Paramètres!$A$1:$I$89,3,0)*0.475*44/12</f>
        <v>3.4972391205997484</v>
      </c>
      <c r="AC47" s="24">
        <f t="shared" si="3"/>
        <v>22.637575057412761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24.8</v>
      </c>
      <c r="AI47" s="14">
        <f>IF('Données projet'!$A$62&gt;35,AI46+AH47-AQ46,IF(A47&lt;'Données projet'!$A$62,$AF$205^A47,IF(A47='Données projet'!$A$62,'Données projet'!$B$62,AI46+AH47-AQ46)))</f>
        <v>661.1999999999997</v>
      </c>
      <c r="AJ47" s="14">
        <f>AI47*VLOOKUP('Données projet'!$B$10,Paramètres!$A$1:$I$89,3,0)*VLOOKUP('Données projet'!$B$10,Paramètres!$A$1:$I$89,5,0)</f>
        <v>369.61079999999981</v>
      </c>
      <c r="AK47" s="14">
        <f t="shared" si="35"/>
        <v>85.587677206936931</v>
      </c>
      <c r="AL47" s="22">
        <f t="shared" si="4"/>
        <v>792.80401446874805</v>
      </c>
      <c r="AM47" s="62">
        <f t="shared" si="5"/>
        <v>1086.1373478020814</v>
      </c>
      <c r="AN47" s="62">
        <f ca="1">AVERAGE(OFFSET($AM$3,0,0,'Données projet'!$E$10+1,1))-AVERAGE(OFFSET($H$3,0,0,'Données projet'!$E$10+1,1))</f>
        <v>490.96084572840579</v>
      </c>
      <c r="AO47" s="62">
        <f t="shared" si="36"/>
        <v>597.91658789908263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58.950815769779773</v>
      </c>
      <c r="AV47" s="23">
        <f>EXP(-LN(2)/25)*AV46+(1-EXP(-LN(2)/25))/(LN(2)/25)*Calculateur!AQ47*Calculateur!AS47*VLOOKUP('Données projet'!$B$10,Paramètres!$A$1:$I$89,3,0)*0.475*44/12</f>
        <v>29.688265752926476</v>
      </c>
      <c r="AW47" s="23">
        <f>EXP(-LN(2)/2)*AW46+(1-EXP(-LN(2)/2))/(LN(2)/2)*AQ47*AT47*VLOOKUP('Données projet'!$B$10,Paramètres!$A$1:$I$89,3,0)*0.475*44/12</f>
        <v>0.30878890774867623</v>
      </c>
      <c r="AX47" s="23">
        <f t="shared" si="6"/>
        <v>88.947870430454927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310.95287409903602</v>
      </c>
      <c r="T48" s="62">
        <f t="shared" si="34"/>
        <v>224.10083380795163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10.886174144727708</v>
      </c>
      <c r="AA48" s="23">
        <f>EXP(-LN(2)/25)*AA47+(1-EXP(-LN(2)/25))/(LN(2)/25)*Calculateur!V48*Calculateur!X48*VLOOKUP('Données projet'!$B$9,Paramètres!$A$1:$I$89,3,0)*0.475*44/12</f>
        <v>7.8166644396658995</v>
      </c>
      <c r="AB48" s="23">
        <f>EXP(-LN(2)/2)*AB47+(1-EXP(-LN(2)/2))/(LN(2)/2)*V48*Y48*VLOOKUP('Données projet'!$B$9,Paramètres!$A$1:$I$89,3,0)*0.475*44/12</f>
        <v>2.4729214976069605</v>
      </c>
      <c r="AC48" s="24">
        <f t="shared" si="3"/>
        <v>21.175760082000568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686</v>
      </c>
      <c r="AG48" s="13">
        <f>VLOOKUP(A48,'Données projet'!$A$61:$I$81,9,0)</f>
        <v>24.8</v>
      </c>
      <c r="AH48" s="13">
        <f t="array" ref="AH48">INDEX(AG:AG,MIN(IF(ISNUMBER(AG48:AG244),ROW(AG48:AG244),"")))</f>
        <v>24.8</v>
      </c>
      <c r="AI48" s="14">
        <f>IF('Données projet'!$A$62&gt;35,AI47+AH48-AQ47,IF(A48&lt;'Données projet'!$A$62,$AF$205^A48,IF(A48='Données projet'!$A$62,'Données projet'!$B$62,AI47+AH48-AQ47)))</f>
        <v>685.99999999999966</v>
      </c>
      <c r="AJ48" s="14">
        <f>AI48*VLOOKUP('Données projet'!$B$10,Paramètres!$A$1:$I$89,3,0)*VLOOKUP('Données projet'!$B$10,Paramètres!$A$1:$I$89,5,0)</f>
        <v>383.47399999999982</v>
      </c>
      <c r="AK48" s="14">
        <f t="shared" si="35"/>
        <v>88.418089567872116</v>
      </c>
      <c r="AL48" s="22">
        <f t="shared" si="4"/>
        <v>821.87872266404372</v>
      </c>
      <c r="AM48" s="62">
        <f t="shared" si="5"/>
        <v>1115.2120559973771</v>
      </c>
      <c r="AN48" s="62">
        <f ca="1">AVERAGE(OFFSET($AM$3,0,0,'Données projet'!$E$10+1,1))-AVERAGE(OFFSET($H$3,0,0,'Données projet'!$E$10+1,1))</f>
        <v>490.96084572840579</v>
      </c>
      <c r="AO48" s="62">
        <f t="shared" si="36"/>
        <v>597.91658789908263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64</v>
      </c>
      <c r="AR48" s="17">
        <f>IF(ISNA(VLOOKUP(A48,'Données projet'!$A$61:$I$81,5,0)),0%,VLOOKUP(A48,'Données projet'!$A$61:$I$81,5,0)*VLOOKUP('Données projet'!$B$10,Paramètres!$A$1:$I$89,7,0))</f>
        <v>0.44000000000000006</v>
      </c>
      <c r="AS48" s="17">
        <f>IF(ISNA(VLOOKUP(A48,'Données projet'!$A$61:$I$81,6,0)),0%,VLOOKUP(A48,'Données projet'!$A$61:$I$81,6,0)*VLOOKUP('Données projet'!$B$10,Paramètres!$A$1:$I$89,7,0))</f>
        <v>0.11000000000000001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78.676861010415806</v>
      </c>
      <c r="AV48" s="23">
        <f>EXP(-LN(2)/25)*AV47+(1-EXP(-LN(2)/25))/(LN(2)/25)*Calculateur!AQ48*Calculateur!AS48*VLOOKUP('Données projet'!$B$10,Paramètres!$A$1:$I$89,3,0)*0.475*44/12</f>
        <v>34.076392128129818</v>
      </c>
      <c r="AW48" s="23">
        <f>EXP(-LN(2)/2)*AW47+(1-EXP(-LN(2)/2))/(LN(2)/2)*AQ48*AT48*VLOOKUP('Données projet'!$B$10,Paramètres!$A$1:$I$89,3,0)*0.475*44/12</f>
        <v>0.21834673062427623</v>
      </c>
      <c r="AX48" s="23">
        <f t="shared" si="6"/>
        <v>112.97159986916991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310.95287409903602</v>
      </c>
      <c r="T49" s="62">
        <f t="shared" si="34"/>
        <v>224.10083380795163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10.672702909660188</v>
      </c>
      <c r="AA49" s="23">
        <f>EXP(-LN(2)/25)*AA48+(1-EXP(-LN(2)/25))/(LN(2)/25)*Calculateur!V49*Calculateur!X49*VLOOKUP('Données projet'!$B$9,Paramètres!$A$1:$I$89,3,0)*0.475*44/12</f>
        <v>7.6029173395027181</v>
      </c>
      <c r="AB49" s="23">
        <f>EXP(-LN(2)/2)*AB48+(1-EXP(-LN(2)/2))/(LN(2)/2)*V49*Y49*VLOOKUP('Données projet'!$B$9,Paramètres!$A$1:$I$89,3,0)*0.475*44/12</f>
        <v>1.7486195602998744</v>
      </c>
      <c r="AC49" s="24">
        <f t="shared" si="3"/>
        <v>20.024239809462781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20.399999999999999</v>
      </c>
      <c r="AI49" s="14">
        <f>IF('Données projet'!$A$62&gt;35,AI48+AH49-AQ48,IF(A49&lt;'Données projet'!$A$62,$AF$205^A49,IF(A49='Données projet'!$A$62,'Données projet'!$B$62,AI48+AH49-AQ48)))</f>
        <v>642.39999999999964</v>
      </c>
      <c r="AJ49" s="14">
        <f>AI49*VLOOKUP('Données projet'!$B$10,Paramètres!$A$1:$I$89,3,0)*VLOOKUP('Données projet'!$B$10,Paramètres!$A$1:$I$89,5,0)</f>
        <v>359.10159999999985</v>
      </c>
      <c r="AK49" s="14">
        <f t="shared" si="35"/>
        <v>83.433815871723468</v>
      </c>
      <c r="AL49" s="22">
        <f t="shared" si="4"/>
        <v>770.74918264325152</v>
      </c>
      <c r="AM49" s="62">
        <f t="shared" si="5"/>
        <v>1064.0825159765848</v>
      </c>
      <c r="AN49" s="62">
        <f ca="1">AVERAGE(OFFSET($AM$3,0,0,'Données projet'!$E$10+1,1))-AVERAGE(OFFSET($H$3,0,0,'Données projet'!$E$10+1,1))</f>
        <v>490.96084572840579</v>
      </c>
      <c r="AO49" s="62">
        <f t="shared" si="36"/>
        <v>597.91658789908263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77.134055754148335</v>
      </c>
      <c r="AV49" s="23">
        <f>EXP(-LN(2)/25)*AV48+(1-EXP(-LN(2)/25))/(LN(2)/25)*Calculateur!AQ49*Calculateur!AS49*VLOOKUP('Données projet'!$B$10,Paramètres!$A$1:$I$89,3,0)*0.475*44/12</f>
        <v>33.144571393386528</v>
      </c>
      <c r="AW49" s="23">
        <f>EXP(-LN(2)/2)*AW48+(1-EXP(-LN(2)/2))/(LN(2)/2)*AQ49*AT49*VLOOKUP('Données projet'!$B$10,Paramètres!$A$1:$I$89,3,0)*0.475*44/12</f>
        <v>0.15439445387433814</v>
      </c>
      <c r="AX49" s="23">
        <f t="shared" si="6"/>
        <v>110.43302160140919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310.95287409903602</v>
      </c>
      <c r="T50" s="62">
        <f t="shared" si="34"/>
        <v>224.10083380795163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10.463417715307747</v>
      </c>
      <c r="AA50" s="23">
        <f>EXP(-LN(2)/25)*AA49+(1-EXP(-LN(2)/25))/(LN(2)/25)*Calculateur!V50*Calculateur!X50*VLOOKUP('Données projet'!$B$9,Paramètres!$A$1:$I$89,3,0)*0.475*44/12</f>
        <v>7.3950151650339704</v>
      </c>
      <c r="AB50" s="23">
        <f>EXP(-LN(2)/2)*AB49+(1-EXP(-LN(2)/2))/(LN(2)/2)*V50*Y50*VLOOKUP('Données projet'!$B$9,Paramètres!$A$1:$I$89,3,0)*0.475*44/12</f>
        <v>1.2364607488034802</v>
      </c>
      <c r="AC50" s="24">
        <f t="shared" si="3"/>
        <v>19.094893629145197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20.399999999999999</v>
      </c>
      <c r="AI50" s="14">
        <f>IF('Données projet'!$A$62&gt;35,AI49+AH50-AQ49,IF(A50&lt;'Données projet'!$A$62,$AF$205^A50,IF(A50='Données projet'!$A$62,'Données projet'!$B$62,AI49+AH50-AQ49)))</f>
        <v>662.79999999999961</v>
      </c>
      <c r="AJ50" s="14">
        <f>AI50*VLOOKUP('Données projet'!$B$10,Paramètres!$A$1:$I$89,3,0)*VLOOKUP('Données projet'!$B$10,Paramètres!$A$1:$I$89,5,0)</f>
        <v>370.50519999999983</v>
      </c>
      <c r="AK50" s="14">
        <f t="shared" si="35"/>
        <v>85.770652719303072</v>
      </c>
      <c r="AL50" s="22">
        <f t="shared" si="4"/>
        <v>794.6804434861192</v>
      </c>
      <c r="AM50" s="62">
        <f t="shared" si="5"/>
        <v>1088.0137768194525</v>
      </c>
      <c r="AN50" s="62">
        <f ca="1">AVERAGE(OFFSET($AM$3,0,0,'Données projet'!$E$10+1,1))-AVERAGE(OFFSET($H$3,0,0,'Données projet'!$E$10+1,1))</f>
        <v>490.96084572840579</v>
      </c>
      <c r="AO50" s="62">
        <f t="shared" si="36"/>
        <v>597.91658789908263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75.621503967937983</v>
      </c>
      <c r="AV50" s="23">
        <f>EXP(-LN(2)/25)*AV49+(1-EXP(-LN(2)/25))/(LN(2)/25)*Calculateur!AQ50*Calculateur!AS50*VLOOKUP('Données projet'!$B$10,Paramètres!$A$1:$I$89,3,0)*0.475*44/12</f>
        <v>32.238231345637118</v>
      </c>
      <c r="AW50" s="23">
        <f>EXP(-LN(2)/2)*AW49+(1-EXP(-LN(2)/2))/(LN(2)/2)*AQ50*AT50*VLOOKUP('Données projet'!$B$10,Paramètres!$A$1:$I$89,3,0)*0.475*44/12</f>
        <v>0.10917336531213813</v>
      </c>
      <c r="AX50" s="23">
        <f t="shared" si="6"/>
        <v>107.96890867888725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310.95287409903602</v>
      </c>
      <c r="T51" s="62">
        <f t="shared" si="34"/>
        <v>224.10083380795163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10.258236475965193</v>
      </c>
      <c r="AA51" s="23">
        <f>EXP(-LN(2)/25)*AA50+(1-EXP(-LN(2)/25))/(LN(2)/25)*Calculateur!V51*Calculateur!X51*VLOOKUP('Données projet'!$B$9,Paramètres!$A$1:$I$89,3,0)*0.475*44/12</f>
        <v>7.1927980864591703</v>
      </c>
      <c r="AB51" s="23">
        <f>EXP(-LN(2)/2)*AB50+(1-EXP(-LN(2)/2))/(LN(2)/2)*V51*Y51*VLOOKUP('Données projet'!$B$9,Paramètres!$A$1:$I$89,3,0)*0.475*44/12</f>
        <v>0.87430978014993721</v>
      </c>
      <c r="AC51" s="24">
        <f t="shared" si="3"/>
        <v>18.325344342574297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20.399999999999999</v>
      </c>
      <c r="AI51" s="14">
        <f>IF('Données projet'!$A$62&gt;35,AI50+AH51-AQ50,IF(A51&lt;'Données projet'!$A$62,$AF$205^A51,IF(A51='Données projet'!$A$62,'Données projet'!$B$62,AI50+AH51-AQ50)))</f>
        <v>683.19999999999959</v>
      </c>
      <c r="AJ51" s="14">
        <f>AI51*VLOOKUP('Données projet'!$B$10,Paramètres!$A$1:$I$89,3,0)*VLOOKUP('Données projet'!$B$10,Paramètres!$A$1:$I$89,5,0)</f>
        <v>381.90879999999981</v>
      </c>
      <c r="AK51" s="14">
        <f t="shared" si="35"/>
        <v>88.099131154986978</v>
      </c>
      <c r="AL51" s="22">
        <f t="shared" si="4"/>
        <v>818.59714676160195</v>
      </c>
      <c r="AM51" s="62">
        <f t="shared" si="5"/>
        <v>1111.9304800949353</v>
      </c>
      <c r="AN51" s="62">
        <f ca="1">AVERAGE(OFFSET($AM$3,0,0,'Données projet'!$E$10+1,1))-AVERAGE(OFFSET($H$3,0,0,'Données projet'!$E$10+1,1))</f>
        <v>490.96084572840579</v>
      </c>
      <c r="AO51" s="62">
        <f t="shared" si="36"/>
        <v>597.91658789908263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74.13861239968972</v>
      </c>
      <c r="AV51" s="23">
        <f>EXP(-LN(2)/25)*AV50+(1-EXP(-LN(2)/25))/(LN(2)/25)*Calculateur!AQ51*Calculateur!AS51*VLOOKUP('Données projet'!$B$10,Paramètres!$A$1:$I$89,3,0)*0.475*44/12</f>
        <v>31.356675214155764</v>
      </c>
      <c r="AW51" s="23">
        <f>EXP(-LN(2)/2)*AW50+(1-EXP(-LN(2)/2))/(LN(2)/2)*AQ51*AT51*VLOOKUP('Données projet'!$B$10,Paramètres!$A$1:$I$89,3,0)*0.475*44/12</f>
        <v>7.7197226937169072E-2</v>
      </c>
      <c r="AX51" s="23">
        <f t="shared" si="6"/>
        <v>105.57248484078265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310.95287409903602</v>
      </c>
      <c r="T52" s="62">
        <f t="shared" si="34"/>
        <v>224.10083380795163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10.057078715577948</v>
      </c>
      <c r="AA52" s="23">
        <f>EXP(-LN(2)/25)*AA51+(1-EXP(-LN(2)/25))/(LN(2)/25)*Calculateur!V52*Calculateur!X52*VLOOKUP('Données projet'!$B$9,Paramètres!$A$1:$I$89,3,0)*0.475*44/12</f>
        <v>6.9961106445321324</v>
      </c>
      <c r="AB52" s="23">
        <f>EXP(-LN(2)/2)*AB51+(1-EXP(-LN(2)/2))/(LN(2)/2)*V52*Y52*VLOOKUP('Données projet'!$B$9,Paramètres!$A$1:$I$89,3,0)*0.475*44/12</f>
        <v>0.61823037440174011</v>
      </c>
      <c r="AC52" s="24">
        <f t="shared" si="3"/>
        <v>17.671419734511822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20.399999999999999</v>
      </c>
      <c r="AI52" s="14">
        <f>IF('Données projet'!$A$62&gt;35,AI51+AH52-AQ51,IF(A52&lt;'Données projet'!$A$62,$AF$205^A52,IF(A52='Données projet'!$A$62,'Données projet'!$B$62,AI51+AH52-AQ51)))</f>
        <v>703.59999999999957</v>
      </c>
      <c r="AJ52" s="14">
        <f>AI52*VLOOKUP('Données projet'!$B$10,Paramètres!$A$1:$I$89,3,0)*VLOOKUP('Données projet'!$B$10,Paramètres!$A$1:$I$89,5,0)</f>
        <v>393.3123999999998</v>
      </c>
      <c r="AK52" s="14">
        <f t="shared" si="35"/>
        <v>90.419529407700907</v>
      </c>
      <c r="AL52" s="22">
        <f t="shared" si="4"/>
        <v>842.49977705174535</v>
      </c>
      <c r="AM52" s="62">
        <f t="shared" si="5"/>
        <v>1135.8331103850787</v>
      </c>
      <c r="AN52" s="62">
        <f ca="1">AVERAGE(OFFSET($AM$3,0,0,'Données projet'!$E$10+1,1))-AVERAGE(OFFSET($H$3,0,0,'Données projet'!$E$10+1,1))</f>
        <v>490.96084572840579</v>
      </c>
      <c r="AO52" s="62">
        <f t="shared" si="36"/>
        <v>597.91658789908263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72.684799430620259</v>
      </c>
      <c r="AV52" s="23">
        <f>EXP(-LN(2)/25)*AV51+(1-EXP(-LN(2)/25))/(LN(2)/25)*Calculateur!AQ52*Calculateur!AS52*VLOOKUP('Données projet'!$B$10,Paramètres!$A$1:$I$89,3,0)*0.475*44/12</f>
        <v>30.499225281448791</v>
      </c>
      <c r="AW52" s="23">
        <f>EXP(-LN(2)/2)*AW51+(1-EXP(-LN(2)/2))/(LN(2)/2)*AQ52*AT52*VLOOKUP('Données projet'!$B$10,Paramètres!$A$1:$I$89,3,0)*0.475*44/12</f>
        <v>5.4586682656069065E-2</v>
      </c>
      <c r="AX52" s="23">
        <f t="shared" si="6"/>
        <v>103.23861139472511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310.95287409903602</v>
      </c>
      <c r="T53" s="62">
        <f t="shared" si="34"/>
        <v>224.10083380795163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0.27500000000000002</v>
      </c>
      <c r="X53" s="17">
        <f>IF(ISNA(VLOOKUP(A53,'Données projet'!$A$35:$I$55,6,0)),0%,VLOOKUP(A53,'Données projet'!$A$35:$I$55,6,0)*VLOOKUP('Données projet'!$B$9,Paramètres!$A$1:$I$89,7,0))</f>
        <v>0.16500000000000001</v>
      </c>
      <c r="Y53" s="17">
        <f>IF(ISNA(VLOOKUP(A53,'Données projet'!$A$35:$I$55,7,0)),0%,VLOOKUP(A53,'Données projet'!$A$35:$I$55,7,0))</f>
        <v>0.2</v>
      </c>
      <c r="Z53" s="23">
        <f>EXP(-LN(2)/35)*Z52+(1-EXP(-LN(2)/35))/(LN(2)/35)*V53*W53*VLOOKUP('Données projet'!$B$9,Paramètres!$A$1:$I$89,3,0)*0.475*44/12</f>
        <v>9.8598655361777769</v>
      </c>
      <c r="AA53" s="23">
        <f>EXP(-LN(2)/25)*AA52+(1-EXP(-LN(2)/25))/(LN(2)/25)*Calculateur!V53*Calculateur!X53*VLOOKUP('Données projet'!$B$9,Paramètres!$A$1:$I$89,3,0)*0.475*44/12</f>
        <v>6.8048016310479325</v>
      </c>
      <c r="AB53" s="23">
        <f>EXP(-LN(2)/2)*AB52+(1-EXP(-LN(2)/2))/(LN(2)/2)*V53*Y53*VLOOKUP('Données projet'!$B$9,Paramètres!$A$1:$I$89,3,0)*0.475*44/12</f>
        <v>0.43715489007496861</v>
      </c>
      <c r="AC53" s="24">
        <f t="shared" si="3"/>
        <v>17.101822057300677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724</v>
      </c>
      <c r="AG53" s="13">
        <f>VLOOKUP(A53,'Données projet'!$A$61:$I$81,9,0)</f>
        <v>20.399999999999999</v>
      </c>
      <c r="AH53" s="13">
        <f t="array" ref="AH53">INDEX(AG:AG,MIN(IF(ISNUMBER(AG53:AG249),ROW(AG53:AG249),"")))</f>
        <v>20.399999999999999</v>
      </c>
      <c r="AI53" s="14">
        <f>IF('Données projet'!$A$62&gt;35,AI52+AH53-AQ52,IF(A53&lt;'Données projet'!$A$62,$AF$205^A53,IF(A53='Données projet'!$A$62,'Données projet'!$B$62,AI52+AH53-AQ52)))</f>
        <v>723.99999999999955</v>
      </c>
      <c r="AJ53" s="14">
        <f>AI53*VLOOKUP('Données projet'!$B$10,Paramètres!$A$1:$I$89,3,0)*VLOOKUP('Données projet'!$B$10,Paramètres!$A$1:$I$89,5,0)</f>
        <v>404.71599999999978</v>
      </c>
      <c r="AK53" s="14">
        <f t="shared" si="35"/>
        <v>92.732108655131142</v>
      </c>
      <c r="AL53" s="22">
        <f t="shared" si="4"/>
        <v>866.38878924101971</v>
      </c>
      <c r="AM53" s="62">
        <f t="shared" si="5"/>
        <v>1159.7221225743531</v>
      </c>
      <c r="AN53" s="62">
        <f ca="1">AVERAGE(OFFSET($AM$3,0,0,'Données projet'!$E$10+1,1))-AVERAGE(OFFSET($H$3,0,0,'Données projet'!$E$10+1,1))</f>
        <v>490.96084572840579</v>
      </c>
      <c r="AO53" s="62">
        <f t="shared" si="36"/>
        <v>597.91658789908263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62</v>
      </c>
      <c r="AR53" s="17">
        <f>IF(ISNA(VLOOKUP(A53,'Données projet'!$A$61:$I$81,5,0)),0%,VLOOKUP(A53,'Données projet'!$A$61:$I$81,5,0)*VLOOKUP('Données projet'!$B$10,Paramètres!$A$1:$I$89,7,0))</f>
        <v>0.55000000000000004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96.546333840278876</v>
      </c>
      <c r="AV53" s="23">
        <f>EXP(-LN(2)/25)*AV52+(1-EXP(-LN(2)/25))/(LN(2)/25)*Calculateur!AQ53*Calculateur!AS53*VLOOKUP('Données projet'!$B$10,Paramètres!$A$1:$I$89,3,0)*0.475*44/12</f>
        <v>29.665222362243021</v>
      </c>
      <c r="AW53" s="23">
        <f>EXP(-LN(2)/2)*AW52+(1-EXP(-LN(2)/2))/(LN(2)/2)*AQ53*AT53*VLOOKUP('Données projet'!$B$10,Paramètres!$A$1:$I$89,3,0)*0.475*44/12</f>
        <v>3.8598613468584536E-2</v>
      </c>
      <c r="AX53" s="23">
        <f t="shared" si="6"/>
        <v>126.25015481599048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310.95287409903602</v>
      </c>
      <c r="T54" s="62">
        <f t="shared" si="34"/>
        <v>224.10083380795163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9.6665195869374827</v>
      </c>
      <c r="AA54" s="23">
        <f>EXP(-LN(2)/25)*AA53+(1-EXP(-LN(2)/25))/(LN(2)/25)*Calculateur!V54*Calculateur!X54*VLOOKUP('Données projet'!$B$9,Paramètres!$A$1:$I$89,3,0)*0.475*44/12</f>
        <v>6.6187239725979614</v>
      </c>
      <c r="AB54" s="23">
        <f>EXP(-LN(2)/2)*AB53+(1-EXP(-LN(2)/2))/(LN(2)/2)*V54*Y54*VLOOKUP('Données projet'!$B$9,Paramètres!$A$1:$I$89,3,0)*0.475*44/12</f>
        <v>0.30911518720087006</v>
      </c>
      <c r="AC54" s="24">
        <f t="shared" si="3"/>
        <v>16.594358746736315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15.4</v>
      </c>
      <c r="AI54" s="14">
        <f>IF('Données projet'!$A$62&gt;35,AI53+AH54-AQ53,IF(A54&lt;'Données projet'!$A$62,$AF$205^A54,IF(A54='Données projet'!$A$62,'Données projet'!$B$62,AI53+AH54-AQ53)))</f>
        <v>677.39999999999952</v>
      </c>
      <c r="AJ54" s="14">
        <f>AI54*VLOOKUP('Données projet'!$B$10,Paramètres!$A$1:$I$89,3,0)*VLOOKUP('Données projet'!$B$10,Paramètres!$A$1:$I$89,5,0)</f>
        <v>378.66659999999979</v>
      </c>
      <c r="AK54" s="14">
        <f t="shared" si="35"/>
        <v>87.437946637883755</v>
      </c>
      <c r="AL54" s="22">
        <f t="shared" si="4"/>
        <v>811.79875206098052</v>
      </c>
      <c r="AM54" s="62">
        <f t="shared" si="5"/>
        <v>1105.1320853943139</v>
      </c>
      <c r="AN54" s="62">
        <f ca="1">AVERAGE(OFFSET($AM$3,0,0,'Données projet'!$E$10+1,1))-AVERAGE(OFFSET($H$3,0,0,'Données projet'!$E$10+1,1))</f>
        <v>490.96084572840579</v>
      </c>
      <c r="AO54" s="62">
        <f t="shared" si="36"/>
        <v>597.91658789908263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94.65311912112</v>
      </c>
      <c r="AV54" s="23">
        <f>EXP(-LN(2)/25)*AV53+(1-EXP(-LN(2)/25))/(LN(2)/25)*Calculateur!AQ54*Calculateur!AS54*VLOOKUP('Données projet'!$B$10,Paramètres!$A$1:$I$89,3,0)*0.475*44/12</f>
        <v>28.854025296721243</v>
      </c>
      <c r="AW54" s="23">
        <f>EXP(-LN(2)/2)*AW53+(1-EXP(-LN(2)/2))/(LN(2)/2)*AQ54*AT54*VLOOKUP('Données projet'!$B$10,Paramètres!$A$1:$I$89,3,0)*0.475*44/12</f>
        <v>2.7293341328034532E-2</v>
      </c>
      <c r="AX54" s="23">
        <f t="shared" si="6"/>
        <v>123.53443775916928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310.95287409903602</v>
      </c>
      <c r="T55" s="62">
        <f t="shared" si="34"/>
        <v>224.10083380795163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9.4769650338324052</v>
      </c>
      <c r="AA55" s="23">
        <f>EXP(-LN(2)/25)*AA54+(1-EXP(-LN(2)/25))/(LN(2)/25)*Calculateur!V55*Calculateur!X55*VLOOKUP('Données projet'!$B$9,Paramètres!$A$1:$I$89,3,0)*0.475*44/12</f>
        <v>6.437734617503704</v>
      </c>
      <c r="AB55" s="23">
        <f>EXP(-LN(2)/2)*AB54+(1-EXP(-LN(2)/2))/(LN(2)/2)*V55*Y55*VLOOKUP('Données projet'!$B$9,Paramètres!$A$1:$I$89,3,0)*0.475*44/12</f>
        <v>0.2185774450374843</v>
      </c>
      <c r="AC55" s="24">
        <f t="shared" si="3"/>
        <v>16.133277096373593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15.4</v>
      </c>
      <c r="AI55" s="14">
        <f>IF('Données projet'!$A$62&gt;35,AI54+AH55-AQ54,IF(A55&lt;'Données projet'!$A$62,$AF$205^A55,IF(A55='Données projet'!$A$62,'Données projet'!$B$62,AI54+AH55-AQ54)))</f>
        <v>692.7999999999995</v>
      </c>
      <c r="AJ55" s="14">
        <f>AI55*VLOOKUP('Données projet'!$B$10,Paramètres!$A$1:$I$89,3,0)*VLOOKUP('Données projet'!$B$10,Paramètres!$A$1:$I$89,5,0)</f>
        <v>387.2751999999997</v>
      </c>
      <c r="AK55" s="14">
        <f t="shared" si="35"/>
        <v>89.192073473767834</v>
      </c>
      <c r="AL55" s="22">
        <f t="shared" si="4"/>
        <v>829.84716796681175</v>
      </c>
      <c r="AM55" s="62">
        <f t="shared" si="5"/>
        <v>1123.1805013001451</v>
      </c>
      <c r="AN55" s="62">
        <f ca="1">AVERAGE(OFFSET($AM$3,0,0,'Données projet'!$E$10+1,1))-AVERAGE(OFFSET($H$3,0,0,'Données projet'!$E$10+1,1))</f>
        <v>490.96084572840579</v>
      </c>
      <c r="AO55" s="62">
        <f t="shared" si="36"/>
        <v>597.91658789908263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92.797029187856864</v>
      </c>
      <c r="AV55" s="23">
        <f>EXP(-LN(2)/25)*AV54+(1-EXP(-LN(2)/25))/(LN(2)/25)*Calculateur!AQ55*Calculateur!AS55*VLOOKUP('Données projet'!$B$10,Paramètres!$A$1:$I$89,3,0)*0.475*44/12</f>
        <v>28.065010457615156</v>
      </c>
      <c r="AW55" s="23">
        <f>EXP(-LN(2)/2)*AW54+(1-EXP(-LN(2)/2))/(LN(2)/2)*AQ55*AT55*VLOOKUP('Données projet'!$B$10,Paramètres!$A$1:$I$89,3,0)*0.475*44/12</f>
        <v>1.9299306734292268E-2</v>
      </c>
      <c r="AX55" s="23">
        <f t="shared" si="6"/>
        <v>120.88133895220632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310.95287409903602</v>
      </c>
      <c r="T56" s="62">
        <f t="shared" si="34"/>
        <v>224.10083380795163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9.2911275298968583</v>
      </c>
      <c r="AA56" s="23">
        <f>EXP(-LN(2)/25)*AA55+(1-EXP(-LN(2)/25))/(LN(2)/25)*Calculateur!V56*Calculateur!X56*VLOOKUP('Données projet'!$B$9,Paramètres!$A$1:$I$89,3,0)*0.475*44/12</f>
        <v>6.2616944258423155</v>
      </c>
      <c r="AB56" s="23">
        <f>EXP(-LN(2)/2)*AB55+(1-EXP(-LN(2)/2))/(LN(2)/2)*V56*Y56*VLOOKUP('Données projet'!$B$9,Paramètres!$A$1:$I$89,3,0)*0.475*44/12</f>
        <v>0.15455759360043503</v>
      </c>
      <c r="AC56" s="24">
        <f t="shared" si="3"/>
        <v>15.707379549339608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15.4</v>
      </c>
      <c r="AI56" s="14">
        <f>IF('Données projet'!$A$62&gt;35,AI55+AH56-AQ55,IF(A56&lt;'Données projet'!$A$62,$AF$205^A56,IF(A56='Données projet'!$A$62,'Données projet'!$B$62,AI55+AH56-AQ55)))</f>
        <v>708.19999999999948</v>
      </c>
      <c r="AJ56" s="14">
        <f>AI56*VLOOKUP('Données projet'!$B$10,Paramètres!$A$1:$I$89,3,0)*VLOOKUP('Données projet'!$B$10,Paramètres!$A$1:$I$89,5,0)</f>
        <v>395.88379999999972</v>
      </c>
      <c r="AK56" s="14">
        <f t="shared" si="35"/>
        <v>90.941667130422957</v>
      </c>
      <c r="AL56" s="22">
        <f t="shared" si="4"/>
        <v>847.8876885854861</v>
      </c>
      <c r="AM56" s="62">
        <f t="shared" si="5"/>
        <v>1141.2210219188194</v>
      </c>
      <c r="AN56" s="62">
        <f ca="1">AVERAGE(OFFSET($AM$3,0,0,'Données projet'!$E$10+1,1))-AVERAGE(OFFSET($H$3,0,0,'Données projet'!$E$10+1,1))</f>
        <v>490.96084572840579</v>
      </c>
      <c r="AO56" s="62">
        <f t="shared" si="36"/>
        <v>597.91658789908263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90.977336046081945</v>
      </c>
      <c r="AV56" s="23">
        <f>EXP(-LN(2)/25)*AV55+(1-EXP(-LN(2)/25))/(LN(2)/25)*Calculateur!AQ56*Calculateur!AS56*VLOOKUP('Données projet'!$B$10,Paramètres!$A$1:$I$89,3,0)*0.475*44/12</f>
        <v>27.297571270776913</v>
      </c>
      <c r="AW56" s="23">
        <f>EXP(-LN(2)/2)*AW55+(1-EXP(-LN(2)/2))/(LN(2)/2)*AQ56*AT56*VLOOKUP('Données projet'!$B$10,Paramètres!$A$1:$I$89,3,0)*0.475*44/12</f>
        <v>1.3646670664017266E-2</v>
      </c>
      <c r="AX56" s="23">
        <f t="shared" si="6"/>
        <v>118.28855398752287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310.95287409903602</v>
      </c>
      <c r="T57" s="62">
        <f t="shared" si="34"/>
        <v>224.10083380795163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9.1089341860638022</v>
      </c>
      <c r="AA57" s="23">
        <f>EXP(-LN(2)/25)*AA56+(1-EXP(-LN(2)/25))/(LN(2)/25)*Calculateur!V57*Calculateur!X57*VLOOKUP('Données projet'!$B$9,Paramètres!$A$1:$I$89,3,0)*0.475*44/12</f>
        <v>6.0904680624794585</v>
      </c>
      <c r="AB57" s="23">
        <f>EXP(-LN(2)/2)*AB56+(1-EXP(-LN(2)/2))/(LN(2)/2)*V57*Y57*VLOOKUP('Données projet'!$B$9,Paramètres!$A$1:$I$89,3,0)*0.475*44/12</f>
        <v>0.10928872251874215</v>
      </c>
      <c r="AC57" s="24">
        <f t="shared" si="3"/>
        <v>15.308690971062004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15.4</v>
      </c>
      <c r="AI57" s="14">
        <f>IF('Données projet'!$A$62&gt;35,AI56+AH57-AQ56,IF(A57&lt;'Données projet'!$A$62,$AF$205^A57,IF(A57='Données projet'!$A$62,'Données projet'!$B$62,AI56+AH57-AQ56)))</f>
        <v>723.59999999999945</v>
      </c>
      <c r="AJ57" s="14">
        <f>AI57*VLOOKUP('Données projet'!$B$10,Paramètres!$A$1:$I$89,3,0)*VLOOKUP('Données projet'!$B$10,Paramètres!$A$1:$I$89,5,0)</f>
        <v>404.49239999999969</v>
      </c>
      <c r="AK57" s="14">
        <f t="shared" si="35"/>
        <v>92.686837535548761</v>
      </c>
      <c r="AL57" s="22">
        <f t="shared" si="4"/>
        <v>865.92050537441344</v>
      </c>
      <c r="AM57" s="62">
        <f t="shared" si="5"/>
        <v>1159.2538387077468</v>
      </c>
      <c r="AN57" s="62">
        <f ca="1">AVERAGE(OFFSET($AM$3,0,0,'Données projet'!$E$10+1,1))-AVERAGE(OFFSET($H$3,0,0,'Données projet'!$E$10+1,1))</f>
        <v>490.96084572840579</v>
      </c>
      <c r="AO57" s="62">
        <f t="shared" si="36"/>
        <v>597.91658789908263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89.193325976914011</v>
      </c>
      <c r="AV57" s="23">
        <f>EXP(-LN(2)/25)*AV56+(1-EXP(-LN(2)/25))/(LN(2)/25)*Calculateur!AQ57*Calculateur!AS57*VLOOKUP('Données projet'!$B$10,Paramètres!$A$1:$I$89,3,0)*0.475*44/12</f>
        <v>26.551117748860634</v>
      </c>
      <c r="AW57" s="23">
        <f>EXP(-LN(2)/2)*AW56+(1-EXP(-LN(2)/2))/(LN(2)/2)*AQ57*AT57*VLOOKUP('Données projet'!$B$10,Paramètres!$A$1:$I$89,3,0)*0.475*44/12</f>
        <v>9.649653367146134E-3</v>
      </c>
      <c r="AX57" s="23">
        <f t="shared" si="6"/>
        <v>115.75409337914179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310.95287409903602</v>
      </c>
      <c r="T58" s="62">
        <f t="shared" si="34"/>
        <v>224.10083380795163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8.9303135425763447</v>
      </c>
      <c r="AA58" s="23">
        <f>EXP(-LN(2)/25)*AA57+(1-EXP(-LN(2)/25))/(LN(2)/25)*Calculateur!V58*Calculateur!X58*VLOOKUP('Données projet'!$B$9,Paramètres!$A$1:$I$89,3,0)*0.475*44/12</f>
        <v>5.9239238930271618</v>
      </c>
      <c r="AB58" s="23">
        <f>EXP(-LN(2)/2)*AB57+(1-EXP(-LN(2)/2))/(LN(2)/2)*V58*Y58*VLOOKUP('Données projet'!$B$9,Paramètres!$A$1:$I$89,3,0)*0.475*44/12</f>
        <v>7.7278796800217514E-2</v>
      </c>
      <c r="AC58" s="24">
        <f t="shared" si="3"/>
        <v>14.931516232403723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739</v>
      </c>
      <c r="AG58" s="13">
        <f>VLOOKUP(A58,'Données projet'!$A$61:$I$81,9,0)</f>
        <v>15.4</v>
      </c>
      <c r="AH58" s="13">
        <f t="array" ref="AH58">INDEX(AG:AG,MIN(IF(ISNUMBER(AG58:AG254),ROW(AG58:AG254),"")))</f>
        <v>15.4</v>
      </c>
      <c r="AI58" s="14">
        <f>IF('Données projet'!$A$62&gt;35,AI57+AH58-AQ57,IF(A58&lt;'Données projet'!$A$62,$AF$205^A58,IF(A58='Données projet'!$A$62,'Données projet'!$B$62,AI57+AH58-AQ57)))</f>
        <v>738.99999999999943</v>
      </c>
      <c r="AJ58" s="14">
        <f>AI58*VLOOKUP('Données projet'!$B$10,Paramètres!$A$1:$I$89,3,0)*VLOOKUP('Données projet'!$B$10,Paramètres!$A$1:$I$89,5,0)</f>
        <v>413.10099999999971</v>
      </c>
      <c r="AK58" s="14">
        <f t="shared" si="35"/>
        <v>94.427689670462271</v>
      </c>
      <c r="AL58" s="22">
        <f t="shared" si="4"/>
        <v>883.94580117605472</v>
      </c>
      <c r="AM58" s="62">
        <f t="shared" si="5"/>
        <v>1177.2791345093881</v>
      </c>
      <c r="AN58" s="62">
        <f ca="1">AVERAGE(OFFSET($AM$3,0,0,'Données projet'!$E$10+1,1))-AVERAGE(OFFSET($H$3,0,0,'Données projet'!$E$10+1,1))</f>
        <v>490.96084572840579</v>
      </c>
      <c r="AO58" s="62">
        <f t="shared" si="36"/>
        <v>597.91658789908263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46</v>
      </c>
      <c r="AR58" s="17">
        <f>IF(ISNA(VLOOKUP(A58,'Données projet'!$A$61:$I$81,5,0)),0%,VLOOKUP(A58,'Données projet'!$A$61:$I$81,5,0)*VLOOKUP('Données projet'!$B$10,Paramètres!$A$1:$I$89,7,0))</f>
        <v>0.55000000000000004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106.20550238100856</v>
      </c>
      <c r="AV58" s="23">
        <f>EXP(-LN(2)/25)*AV57+(1-EXP(-LN(2)/25))/(LN(2)/25)*Calculateur!AQ58*Calculateur!AS58*VLOOKUP('Données projet'!$B$10,Paramètres!$A$1:$I$89,3,0)*0.475*44/12</f>
        <v>25.825076037755441</v>
      </c>
      <c r="AW58" s="23">
        <f>EXP(-LN(2)/2)*AW57+(1-EXP(-LN(2)/2))/(LN(2)/2)*AQ58*AT58*VLOOKUP('Données projet'!$B$10,Paramètres!$A$1:$I$89,3,0)*0.475*44/12</f>
        <v>6.8233353320086331E-3</v>
      </c>
      <c r="AX58" s="23">
        <f t="shared" si="6"/>
        <v>132.03740175409601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310.95287409903602</v>
      </c>
      <c r="T59" s="62">
        <f t="shared" si="34"/>
        <v>224.10083380795163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8.755195540959841</v>
      </c>
      <c r="AA59" s="23">
        <f>EXP(-LN(2)/25)*AA58+(1-EXP(-LN(2)/25))/(LN(2)/25)*Calculateur!V59*Calculateur!X59*VLOOKUP('Données projet'!$B$9,Paramètres!$A$1:$I$89,3,0)*0.475*44/12</f>
        <v>5.7619338826467157</v>
      </c>
      <c r="AB59" s="23">
        <f>EXP(-LN(2)/2)*AB58+(1-EXP(-LN(2)/2))/(LN(2)/2)*V59*Y59*VLOOKUP('Données projet'!$B$9,Paramètres!$A$1:$I$89,3,0)*0.475*44/12</f>
        <v>5.4644361259371076E-2</v>
      </c>
      <c r="AC59" s="24">
        <f t="shared" si="3"/>
        <v>14.571773784865927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12.2</v>
      </c>
      <c r="AI59" s="14">
        <f>IF('Données projet'!$A$62&gt;35,AI58+AH59-AQ58,IF(A59&lt;'Données projet'!$A$62,$AF$205^A59,IF(A59='Données projet'!$A$62,'Données projet'!$B$62,AI58+AH59-AQ58)))</f>
        <v>705.19999999999948</v>
      </c>
      <c r="AJ59" s="14">
        <f>AI59*VLOOKUP('Données projet'!$B$10,Paramètres!$A$1:$I$89,3,0)*VLOOKUP('Données projet'!$B$10,Paramètres!$A$1:$I$89,5,0)</f>
        <v>394.2067999999997</v>
      </c>
      <c r="AK59" s="14">
        <f t="shared" si="35"/>
        <v>90.601187466199292</v>
      </c>
      <c r="AL59" s="22">
        <f t="shared" si="4"/>
        <v>844.37391150362998</v>
      </c>
      <c r="AM59" s="62">
        <f t="shared" si="5"/>
        <v>1137.7072448369634</v>
      </c>
      <c r="AN59" s="62">
        <f ca="1">AVERAGE(OFFSET($AM$3,0,0,'Données projet'!$E$10+1,1))-AVERAGE(OFFSET($H$3,0,0,'Données projet'!$E$10+1,1))</f>
        <v>490.96084572840579</v>
      </c>
      <c r="AO59" s="62">
        <f t="shared" si="36"/>
        <v>597.91658789908263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104.12287725827704</v>
      </c>
      <c r="AV59" s="23">
        <f>EXP(-LN(2)/25)*AV58+(1-EXP(-LN(2)/25))/(LN(2)/25)*Calculateur!AQ59*Calculateur!AS59*VLOOKUP('Données projet'!$B$10,Paramètres!$A$1:$I$89,3,0)*0.475*44/12</f>
        <v>25.118887975421295</v>
      </c>
      <c r="AW59" s="23">
        <f>EXP(-LN(2)/2)*AW58+(1-EXP(-LN(2)/2))/(LN(2)/2)*AQ59*AT59*VLOOKUP('Données projet'!$B$10,Paramètres!$A$1:$I$89,3,0)*0.475*44/12</f>
        <v>4.824826683573067E-3</v>
      </c>
      <c r="AX59" s="23">
        <f t="shared" si="6"/>
        <v>129.24659006038192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310.95287409903602</v>
      </c>
      <c r="T60" s="62">
        <f t="shared" si="34"/>
        <v>224.10083380795163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8.5835114965436041</v>
      </c>
      <c r="AA60" s="23">
        <f>EXP(-LN(2)/25)*AA59+(1-EXP(-LN(2)/25))/(LN(2)/25)*Calculateur!V60*Calculateur!X60*VLOOKUP('Données projet'!$B$9,Paramètres!$A$1:$I$89,3,0)*0.475*44/12</f>
        <v>5.6043734976188073</v>
      </c>
      <c r="AB60" s="23">
        <f>EXP(-LN(2)/2)*AB59+(1-EXP(-LN(2)/2))/(LN(2)/2)*V60*Y60*VLOOKUP('Données projet'!$B$9,Paramètres!$A$1:$I$89,3,0)*0.475*44/12</f>
        <v>3.8639398400108757E-2</v>
      </c>
      <c r="AC60" s="24">
        <f t="shared" si="3"/>
        <v>14.226524392562521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12.2</v>
      </c>
      <c r="AI60" s="14">
        <f>IF('Données projet'!$A$62&gt;35,AI59+AH60-AQ59,IF(A60&lt;'Données projet'!$A$62,$AF$205^A60,IF(A60='Données projet'!$A$62,'Données projet'!$B$62,AI59+AH60-AQ59)))</f>
        <v>717.39999999999952</v>
      </c>
      <c r="AJ60" s="14">
        <f>AI60*VLOOKUP('Données projet'!$B$10,Paramètres!$A$1:$I$89,3,0)*VLOOKUP('Données projet'!$B$10,Paramètres!$A$1:$I$89,5,0)</f>
        <v>401.02659999999975</v>
      </c>
      <c r="AK60" s="14">
        <f t="shared" si="35"/>
        <v>91.984761558101539</v>
      </c>
      <c r="AL60" s="22">
        <f t="shared" si="4"/>
        <v>858.66145471369293</v>
      </c>
      <c r="AM60" s="62">
        <f t="shared" si="5"/>
        <v>1151.9947880470263</v>
      </c>
      <c r="AN60" s="62">
        <f ca="1">AVERAGE(OFFSET($AM$3,0,0,'Données projet'!$E$10+1,1))-AVERAGE(OFFSET($H$3,0,0,'Données projet'!$E$10+1,1))</f>
        <v>490.96084572840579</v>
      </c>
      <c r="AO60" s="62">
        <f t="shared" si="36"/>
        <v>597.91658789908263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102.0810911439264</v>
      </c>
      <c r="AV60" s="23">
        <f>EXP(-LN(2)/25)*AV59+(1-EXP(-LN(2)/25))/(LN(2)/25)*Calculateur!AQ60*Calculateur!AS60*VLOOKUP('Données projet'!$B$10,Paramètres!$A$1:$I$89,3,0)*0.475*44/12</f>
        <v>24.432010662788493</v>
      </c>
      <c r="AW60" s="23">
        <f>EXP(-LN(2)/2)*AW59+(1-EXP(-LN(2)/2))/(LN(2)/2)*AQ60*AT60*VLOOKUP('Données projet'!$B$10,Paramètres!$A$1:$I$89,3,0)*0.475*44/12</f>
        <v>3.4116676660043165E-3</v>
      </c>
      <c r="AX60" s="23">
        <f t="shared" si="6"/>
        <v>126.5165134743809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310.95287409903602</v>
      </c>
      <c r="T61" s="62">
        <f t="shared" si="34"/>
        <v>224.10083380795163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8.4151940715214408</v>
      </c>
      <c r="AA61" s="23">
        <f>EXP(-LN(2)/25)*AA60+(1-EXP(-LN(2)/25))/(LN(2)/25)*Calculateur!V61*Calculateur!X61*VLOOKUP('Données projet'!$B$9,Paramètres!$A$1:$I$89,3,0)*0.475*44/12</f>
        <v>5.4511216096052282</v>
      </c>
      <c r="AB61" s="23">
        <f>EXP(-LN(2)/2)*AB60+(1-EXP(-LN(2)/2))/(LN(2)/2)*V61*Y61*VLOOKUP('Données projet'!$B$9,Paramètres!$A$1:$I$89,3,0)*0.475*44/12</f>
        <v>2.7322180629685538E-2</v>
      </c>
      <c r="AC61" s="24">
        <f t="shared" si="3"/>
        <v>13.893637861756353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12.2</v>
      </c>
      <c r="AI61" s="14">
        <f>IF('Données projet'!$A$62&gt;35,AI60+AH61-AQ60,IF(A61&lt;'Données projet'!$A$62,$AF$205^A61,IF(A61='Données projet'!$A$62,'Données projet'!$B$62,AI60+AH61-AQ60)))</f>
        <v>729.59999999999957</v>
      </c>
      <c r="AJ61" s="14">
        <f>AI61*VLOOKUP('Données projet'!$B$10,Paramètres!$A$1:$I$89,3,0)*VLOOKUP('Données projet'!$B$10,Paramètres!$A$1:$I$89,5,0)</f>
        <v>407.84639999999973</v>
      </c>
      <c r="AK61" s="14">
        <f t="shared" si="35"/>
        <v>93.365599460181741</v>
      </c>
      <c r="AL61" s="22">
        <f t="shared" si="4"/>
        <v>872.94423239314926</v>
      </c>
      <c r="AM61" s="62">
        <f t="shared" si="5"/>
        <v>1166.2775657264826</v>
      </c>
      <c r="AN61" s="62">
        <f ca="1">AVERAGE(OFFSET($AM$3,0,0,'Données projet'!$E$10+1,1))-AVERAGE(OFFSET($H$3,0,0,'Données projet'!$E$10+1,1))</f>
        <v>490.96084572840579</v>
      </c>
      <c r="AO61" s="62">
        <f t="shared" si="36"/>
        <v>597.91658789908263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100.07934320991161</v>
      </c>
      <c r="AV61" s="23">
        <f>EXP(-LN(2)/25)*AV60+(1-EXP(-LN(2)/25))/(LN(2)/25)*Calculateur!AQ61*Calculateur!AS61*VLOOKUP('Données projet'!$B$10,Paramètres!$A$1:$I$89,3,0)*0.475*44/12</f>
        <v>23.763916046390939</v>
      </c>
      <c r="AW61" s="23">
        <f>EXP(-LN(2)/2)*AW60+(1-EXP(-LN(2)/2))/(LN(2)/2)*AQ61*AT61*VLOOKUP('Données projet'!$B$10,Paramètres!$A$1:$I$89,3,0)*0.475*44/12</f>
        <v>2.4124133417865335E-3</v>
      </c>
      <c r="AX61" s="23">
        <f t="shared" si="6"/>
        <v>123.84567166964435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310.95287409903602</v>
      </c>
      <c r="T62" s="62">
        <f t="shared" si="34"/>
        <v>224.10083380795163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8.2501772485404707</v>
      </c>
      <c r="AA62" s="23">
        <f>EXP(-LN(2)/25)*AA61+(1-EXP(-LN(2)/25))/(LN(2)/25)*Calculateur!V62*Calculateur!X62*VLOOKUP('Données projet'!$B$9,Paramètres!$A$1:$I$89,3,0)*0.475*44/12</f>
        <v>5.3020604025285465</v>
      </c>
      <c r="AB62" s="23">
        <f>EXP(-LN(2)/2)*AB61+(1-EXP(-LN(2)/2))/(LN(2)/2)*V62*Y62*VLOOKUP('Données projet'!$B$9,Paramètres!$A$1:$I$89,3,0)*0.475*44/12</f>
        <v>1.9319699200054379E-2</v>
      </c>
      <c r="AC62" s="24">
        <f t="shared" si="3"/>
        <v>13.571557350269071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12.2</v>
      </c>
      <c r="AI62" s="14">
        <f>IF('Données projet'!$A$62&gt;35,AI61+AH62-AQ61,IF(A62&lt;'Données projet'!$A$62,$AF$205^A62,IF(A62='Données projet'!$A$62,'Données projet'!$B$62,AI61+AH62-AQ61)))</f>
        <v>741.79999999999961</v>
      </c>
      <c r="AJ62" s="14">
        <f>AI62*VLOOKUP('Données projet'!$B$10,Paramètres!$A$1:$I$89,3,0)*VLOOKUP('Données projet'!$B$10,Paramètres!$A$1:$I$89,5,0)</f>
        <v>414.66619999999978</v>
      </c>
      <c r="AK62" s="14">
        <f t="shared" si="35"/>
        <v>94.743752206399009</v>
      </c>
      <c r="AL62" s="22">
        <f t="shared" si="4"/>
        <v>887.22233342614447</v>
      </c>
      <c r="AM62" s="62">
        <f t="shared" si="5"/>
        <v>1180.5556667594778</v>
      </c>
      <c r="AN62" s="62">
        <f ca="1">AVERAGE(OFFSET($AM$3,0,0,'Données projet'!$E$10+1,1))-AVERAGE(OFFSET($H$3,0,0,'Données projet'!$E$10+1,1))</f>
        <v>490.96084572840579</v>
      </c>
      <c r="AO62" s="62">
        <f t="shared" si="36"/>
        <v>597.91658789908263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98.116848331937177</v>
      </c>
      <c r="AV62" s="23">
        <f>EXP(-LN(2)/25)*AV61+(1-EXP(-LN(2)/25))/(LN(2)/25)*Calculateur!AQ62*Calculateur!AS62*VLOOKUP('Données projet'!$B$10,Paramètres!$A$1:$I$89,3,0)*0.475*44/12</f>
        <v>23.114090512412346</v>
      </c>
      <c r="AW62" s="23">
        <f>EXP(-LN(2)/2)*AW61+(1-EXP(-LN(2)/2))/(LN(2)/2)*AQ62*AT62*VLOOKUP('Données projet'!$B$10,Paramètres!$A$1:$I$89,3,0)*0.475*44/12</f>
        <v>1.7058338330021583E-3</v>
      </c>
      <c r="AX62" s="23">
        <f t="shared" si="6"/>
        <v>121.23264467818252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310.95287409903602</v>
      </c>
      <c r="T63" s="62">
        <f t="shared" si="34"/>
        <v>224.10083380795163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0.33</v>
      </c>
      <c r="X63" s="17">
        <f>IF(ISNA(VLOOKUP(A63,'Données projet'!$A$35:$I$55,6,0)),0%,VLOOKUP(A63,'Données projet'!$A$35:$I$55,6,0)*VLOOKUP('Données projet'!$B$9,Paramètres!$A$1:$I$89,7,0))</f>
        <v>0.16500000000000001</v>
      </c>
      <c r="Y63" s="17">
        <f>IF(ISNA(VLOOKUP(A63,'Données projet'!$A$35:$I$55,7,0)),0%,VLOOKUP(A63,'Données projet'!$A$35:$I$55,7,0))</f>
        <v>0.1</v>
      </c>
      <c r="Z63" s="23">
        <f>EXP(-LN(2)/35)*Z62+(1-EXP(-LN(2)/35))/(LN(2)/35)*V63*W63*VLOOKUP('Données projet'!$B$9,Paramètres!$A$1:$I$89,3,0)*0.475*44/12</f>
        <v>28.985606983612257</v>
      </c>
      <c r="AA63" s="23">
        <f>EXP(-LN(2)/25)*AA62+(1-EXP(-LN(2)/25))/(LN(2)/25)*Calculateur!V63*Calculateur!X63*VLOOKUP('Données projet'!$B$9,Paramètres!$A$1:$I$89,3,0)*0.475*44/12</f>
        <v>15.564540480948395</v>
      </c>
      <c r="AB63" s="23">
        <f>EXP(-LN(2)/2)*AB62+(1-EXP(-LN(2)/2))/(LN(2)/2)*V63*Y63*VLOOKUP('Données projet'!$B$9,Paramètres!$A$1:$I$89,3,0)*0.475*44/12</f>
        <v>5.418485185787179</v>
      </c>
      <c r="AC63" s="24">
        <f t="shared" si="3"/>
        <v>49.968632650347828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754</v>
      </c>
      <c r="AG63" s="13">
        <f>VLOOKUP(A63,'Données projet'!$A$61:$I$81,9,0)</f>
        <v>12.2</v>
      </c>
      <c r="AH63" s="13">
        <f t="array" ref="AH63">INDEX(AG:AG,MIN(IF(ISNUMBER(AG63:AG259),ROW(AG63:AG259),"")))</f>
        <v>12.2</v>
      </c>
      <c r="AI63" s="14">
        <f>IF('Données projet'!$A$62&gt;35,AI62+AH63-AQ62,IF(A63&lt;'Données projet'!$A$62,$AF$205^A63,IF(A63='Données projet'!$A$62,'Données projet'!$B$62,AI62+AH63-AQ62)))</f>
        <v>753.99999999999966</v>
      </c>
      <c r="AJ63" s="14">
        <f>AI63*VLOOKUP('Données projet'!$B$10,Paramètres!$A$1:$I$89,3,0)*VLOOKUP('Données projet'!$B$10,Paramètres!$A$1:$I$89,5,0)</f>
        <v>421.48599999999982</v>
      </c>
      <c r="AK63" s="14">
        <f t="shared" si="35"/>
        <v>96.119269055816147</v>
      </c>
      <c r="AL63" s="22">
        <f t="shared" si="4"/>
        <v>901.49584360554616</v>
      </c>
      <c r="AM63" s="62">
        <f t="shared" si="5"/>
        <v>1194.8291769388795</v>
      </c>
      <c r="AN63" s="62">
        <f ca="1">AVERAGE(OFFSET($AM$3,0,0,'Données projet'!$E$10+1,1))-AVERAGE(OFFSET($H$3,0,0,'Données projet'!$E$10+1,1))</f>
        <v>490.96084572840579</v>
      </c>
      <c r="AO63" s="62">
        <f t="shared" si="36"/>
        <v>597.91658789908263</v>
      </c>
      <c r="AP63" s="16">
        <f>IF(ISNA(VLOOKUP(A63,'Données projet'!$A$61:$I$81,3,0)),0,VLOOKUP(A63,'Données projet'!$A$61:$I$81,3,0))</f>
        <v>10</v>
      </c>
      <c r="AQ63" s="16">
        <f>IF(ISNA(VLOOKUP(A63,'Données projet'!$A$61:$I$81,4,0)),0,VLOOKUP(A63,'Données projet'!$A$61:$I$81,4,0))</f>
        <v>35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96.192836781516135</v>
      </c>
      <c r="AV63" s="23">
        <f>EXP(-LN(2)/25)*AV62+(1-EXP(-LN(2)/25))/(LN(2)/25)*Calculateur!AQ63*Calculateur!AS63*VLOOKUP('Données projet'!$B$10,Paramètres!$A$1:$I$89,3,0)*0.475*44/12</f>
        <v>22.48203449183324</v>
      </c>
      <c r="AW63" s="23">
        <f>EXP(-LN(2)/2)*AW62+(1-EXP(-LN(2)/2))/(LN(2)/2)*AQ63*AT63*VLOOKUP('Données projet'!$B$10,Paramètres!$A$1:$I$89,3,0)*0.475*44/12</f>
        <v>1.2062066708932668E-3</v>
      </c>
      <c r="AX63" s="23">
        <f t="shared" si="6"/>
        <v>118.67607748002025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310.95287409903602</v>
      </c>
      <c r="T64" s="62">
        <f t="shared" si="34"/>
        <v>224.10083380795163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28.417216910138176</v>
      </c>
      <c r="AA64" s="23">
        <f>EXP(-LN(2)/25)*AA63+(1-EXP(-LN(2)/25))/(LN(2)/25)*Calculateur!V64*Calculateur!X64*VLOOKUP('Données projet'!$B$9,Paramètres!$A$1:$I$89,3,0)*0.475*44/12</f>
        <v>15.138927302993251</v>
      </c>
      <c r="AB64" s="23">
        <f>EXP(-LN(2)/2)*AB63+(1-EXP(-LN(2)/2))/(LN(2)/2)*V64*Y64*VLOOKUP('Données projet'!$B$9,Paramètres!$A$1:$I$89,3,0)*0.475*44/12</f>
        <v>3.8314476186289643</v>
      </c>
      <c r="AC64" s="24">
        <f t="shared" si="3"/>
        <v>47.387591831760389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10</v>
      </c>
      <c r="AI64" s="14">
        <f>IF('Données projet'!$A$62&gt;35,AI63+AH64-AQ63,IF(A64&lt;'Données projet'!$A$62,$AF$205^A64,IF(A64='Données projet'!$A$62,'Données projet'!$B$62,AI63+AH64-AQ63)))</f>
        <v>728.99999999999966</v>
      </c>
      <c r="AJ64" s="14">
        <f>AI64*VLOOKUP('Données projet'!$B$10,Paramètres!$A$1:$I$89,3,0)*VLOOKUP('Données projet'!$B$10,Paramètres!$A$1:$I$89,5,0)</f>
        <v>407.51099999999985</v>
      </c>
      <c r="AK64" s="14">
        <f t="shared" si="35"/>
        <v>93.297752590617137</v>
      </c>
      <c r="AL64" s="22">
        <f t="shared" si="4"/>
        <v>872.24191076199133</v>
      </c>
      <c r="AM64" s="62">
        <f t="shared" si="5"/>
        <v>1165.5752440953247</v>
      </c>
      <c r="AN64" s="62">
        <f ca="1">AVERAGE(OFFSET($AM$3,0,0,'Données projet'!$E$10+1,1))-AVERAGE(OFFSET($H$3,0,0,'Données projet'!$E$10+1,1))</f>
        <v>490.96084572840579</v>
      </c>
      <c r="AO64" s="62">
        <f t="shared" si="36"/>
        <v>597.91658789908263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94.306553924067671</v>
      </c>
      <c r="AV64" s="23">
        <f>EXP(-LN(2)/25)*AV63+(1-EXP(-LN(2)/25))/(LN(2)/25)*Calculateur!AQ64*Calculateur!AS64*VLOOKUP('Données projet'!$B$10,Paramètres!$A$1:$I$89,3,0)*0.475*44/12</f>
        <v>21.867262076375248</v>
      </c>
      <c r="AW64" s="23">
        <f>EXP(-LN(2)/2)*AW63+(1-EXP(-LN(2)/2))/(LN(2)/2)*AQ64*AT64*VLOOKUP('Données projet'!$B$10,Paramètres!$A$1:$I$89,3,0)*0.475*44/12</f>
        <v>8.5291691650107913E-4</v>
      </c>
      <c r="AX64" s="23">
        <f t="shared" si="6"/>
        <v>116.17466891735941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310.95287409903602</v>
      </c>
      <c r="T65" s="62">
        <f t="shared" si="34"/>
        <v>224.10083380795163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27.859972619321212</v>
      </c>
      <c r="AA65" s="23">
        <f>EXP(-LN(2)/25)*AA64+(1-EXP(-LN(2)/25))/(LN(2)/25)*Calculateur!V65*Calculateur!X65*VLOOKUP('Données projet'!$B$9,Paramètres!$A$1:$I$89,3,0)*0.475*44/12</f>
        <v>14.724952539771314</v>
      </c>
      <c r="AB65" s="23">
        <f>EXP(-LN(2)/2)*AB64+(1-EXP(-LN(2)/2))/(LN(2)/2)*V65*Y65*VLOOKUP('Données projet'!$B$9,Paramètres!$A$1:$I$89,3,0)*0.475*44/12</f>
        <v>2.7092425928935899</v>
      </c>
      <c r="AC65" s="24">
        <f t="shared" si="3"/>
        <v>45.294167751986116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10</v>
      </c>
      <c r="AI65" s="14">
        <f>IF('Données projet'!$A$62&gt;35,AI64+AH65-AQ64,IF(A65&lt;'Données projet'!$A$62,$AF$205^A65,IF(A65='Données projet'!$A$62,'Données projet'!$B$62,AI64+AH65-AQ64)))</f>
        <v>738.99999999999966</v>
      </c>
      <c r="AJ65" s="14">
        <f>AI65*VLOOKUP('Données projet'!$B$10,Paramètres!$A$1:$I$89,3,0)*VLOOKUP('Données projet'!$B$10,Paramètres!$A$1:$I$89,5,0)</f>
        <v>413.10099999999983</v>
      </c>
      <c r="AK65" s="14">
        <f t="shared" si="35"/>
        <v>94.427689670462357</v>
      </c>
      <c r="AL65" s="22">
        <f t="shared" si="4"/>
        <v>883.94580117605494</v>
      </c>
      <c r="AM65" s="62">
        <f t="shared" si="5"/>
        <v>1177.2791345093883</v>
      </c>
      <c r="AN65" s="62">
        <f ca="1">AVERAGE(OFFSET($AM$3,0,0,'Données projet'!$E$10+1,1))-AVERAGE(OFFSET($H$3,0,0,'Données projet'!$E$10+1,1))</f>
        <v>490.96084572840579</v>
      </c>
      <c r="AO65" s="62">
        <f t="shared" si="36"/>
        <v>597.91658789908263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92.457259922934838</v>
      </c>
      <c r="AV65" s="23">
        <f>EXP(-LN(2)/25)*AV64+(1-EXP(-LN(2)/25))/(LN(2)/25)*Calculateur!AQ65*Calculateur!AS65*VLOOKUP('Données projet'!$B$10,Paramètres!$A$1:$I$89,3,0)*0.475*44/12</f>
        <v>21.269300644947432</v>
      </c>
      <c r="AW65" s="23">
        <f>EXP(-LN(2)/2)*AW64+(1-EXP(-LN(2)/2))/(LN(2)/2)*AQ65*AT65*VLOOKUP('Données projet'!$B$10,Paramètres!$A$1:$I$89,3,0)*0.475*44/12</f>
        <v>6.0310333544663338E-4</v>
      </c>
      <c r="AX65" s="23">
        <f t="shared" si="6"/>
        <v>113.72716367121772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310.95287409903602</v>
      </c>
      <c r="T66" s="62">
        <f t="shared" si="34"/>
        <v>224.10083380795163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27.313655549161712</v>
      </c>
      <c r="AA66" s="23">
        <f>EXP(-LN(2)/25)*AA65+(1-EXP(-LN(2)/25))/(LN(2)/25)*Calculateur!V66*Calculateur!X66*VLOOKUP('Données projet'!$B$9,Paramètres!$A$1:$I$89,3,0)*0.475*44/12</f>
        <v>14.322297938219668</v>
      </c>
      <c r="AB66" s="23">
        <f>EXP(-LN(2)/2)*AB65+(1-EXP(-LN(2)/2))/(LN(2)/2)*V66*Y66*VLOOKUP('Données projet'!$B$9,Paramètres!$A$1:$I$89,3,0)*0.475*44/12</f>
        <v>1.9157238093144824</v>
      </c>
      <c r="AC66" s="24">
        <f t="shared" si="3"/>
        <v>43.551677296695864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10</v>
      </c>
      <c r="AI66" s="14">
        <f>IF('Données projet'!$A$62&gt;35,AI65+AH66-AQ65,IF(A66&lt;'Données projet'!$A$62,$AF$205^A66,IF(A66='Données projet'!$A$62,'Données projet'!$B$62,AI65+AH66-AQ65)))</f>
        <v>748.99999999999966</v>
      </c>
      <c r="AJ66" s="14">
        <f>AI66*VLOOKUP('Données projet'!$B$10,Paramètres!$A$1:$I$89,3,0)*VLOOKUP('Données projet'!$B$10,Paramètres!$A$1:$I$89,5,0)</f>
        <v>418.6909999999998</v>
      </c>
      <c r="AK66" s="14">
        <f t="shared" si="35"/>
        <v>95.555848328260851</v>
      </c>
      <c r="AL66" s="22">
        <f t="shared" si="4"/>
        <v>895.64659417172061</v>
      </c>
      <c r="AM66" s="62">
        <f t="shared" si="5"/>
        <v>1188.9799275050539</v>
      </c>
      <c r="AN66" s="62">
        <f ca="1">AVERAGE(OFFSET($AM$3,0,0,'Données projet'!$E$10+1,1))-AVERAGE(OFFSET($H$3,0,0,'Données projet'!$E$10+1,1))</f>
        <v>490.96084572840579</v>
      </c>
      <c r="AO66" s="62">
        <f t="shared" si="36"/>
        <v>597.91658789908263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90.644229449206264</v>
      </c>
      <c r="AV66" s="23">
        <f>EXP(-LN(2)/25)*AV65+(1-EXP(-LN(2)/25))/(LN(2)/25)*Calculateur!AQ66*Calculateur!AS66*VLOOKUP('Données projet'!$B$10,Paramètres!$A$1:$I$89,3,0)*0.475*44/12</f>
        <v>20.687690500307436</v>
      </c>
      <c r="AW66" s="23">
        <f>EXP(-LN(2)/2)*AW65+(1-EXP(-LN(2)/2))/(LN(2)/2)*AQ66*AT66*VLOOKUP('Données projet'!$B$10,Paramètres!$A$1:$I$89,3,0)*0.475*44/12</f>
        <v>4.2645845825053957E-4</v>
      </c>
      <c r="AX66" s="23">
        <f t="shared" si="6"/>
        <v>111.33234640797195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310.95287409903602</v>
      </c>
      <c r="T67" s="62">
        <f t="shared" si="34"/>
        <v>224.10083380795163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26.778051423527529</v>
      </c>
      <c r="AA67" s="23">
        <f>EXP(-LN(2)/25)*AA66+(1-EXP(-LN(2)/25))/(LN(2)/25)*Calculateur!V67*Calculateur!X67*VLOOKUP('Données projet'!$B$9,Paramètres!$A$1:$I$89,3,0)*0.475*44/12</f>
        <v>13.930653947922137</v>
      </c>
      <c r="AB67" s="23">
        <f>EXP(-LN(2)/2)*AB66+(1-EXP(-LN(2)/2))/(LN(2)/2)*V67*Y67*VLOOKUP('Données projet'!$B$9,Paramètres!$A$1:$I$89,3,0)*0.475*44/12</f>
        <v>1.3546212964467952</v>
      </c>
      <c r="AC67" s="24">
        <f t="shared" si="3"/>
        <v>42.063326667896462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10</v>
      </c>
      <c r="AI67" s="14">
        <f>IF('Données projet'!$A$62&gt;35,AI66+AH67-AQ66,IF(A67&lt;'Données projet'!$A$62,$AF$205^A67,IF(A67='Données projet'!$A$62,'Données projet'!$B$62,AI66+AH67-AQ66)))</f>
        <v>758.99999999999966</v>
      </c>
      <c r="AJ67" s="14">
        <f>AI67*VLOOKUP('Données projet'!$B$10,Paramètres!$A$1:$I$89,3,0)*VLOOKUP('Données projet'!$B$10,Paramètres!$A$1:$I$89,5,0)</f>
        <v>424.28099999999978</v>
      </c>
      <c r="AK67" s="14">
        <f t="shared" si="35"/>
        <v>96.682255052757768</v>
      </c>
      <c r="AL67" s="22">
        <f t="shared" si="4"/>
        <v>907.34433588355262</v>
      </c>
      <c r="AM67" s="62">
        <f t="shared" si="5"/>
        <v>1200.677669216886</v>
      </c>
      <c r="AN67" s="62">
        <f ca="1">AVERAGE(OFFSET($AM$3,0,0,'Données projet'!$E$10+1,1))-AVERAGE(OFFSET($H$3,0,0,'Données projet'!$E$10+1,1))</f>
        <v>490.96084572840579</v>
      </c>
      <c r="AO67" s="62">
        <f t="shared" si="36"/>
        <v>597.91658789908263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88.8667513972281</v>
      </c>
      <c r="AV67" s="23">
        <f>EXP(-LN(2)/25)*AV66+(1-EXP(-LN(2)/25))/(LN(2)/25)*Calculateur!AQ67*Calculateur!AS67*VLOOKUP('Données projet'!$B$10,Paramètres!$A$1:$I$89,3,0)*0.475*44/12</f>
        <v>20.12198451565817</v>
      </c>
      <c r="AW67" s="23">
        <f>EXP(-LN(2)/2)*AW66+(1-EXP(-LN(2)/2))/(LN(2)/2)*AQ67*AT67*VLOOKUP('Données projet'!$B$10,Paramètres!$A$1:$I$89,3,0)*0.475*44/12</f>
        <v>3.0155166772331669E-4</v>
      </c>
      <c r="AX67" s="23">
        <f t="shared" si="6"/>
        <v>108.98903746455399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310.95287409903602</v>
      </c>
      <c r="T68" s="62">
        <f t="shared" si="34"/>
        <v>224.10083380795163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26.252950168110772</v>
      </c>
      <c r="AA68" s="23">
        <f>EXP(-LN(2)/25)*AA67+(1-EXP(-LN(2)/25))/(LN(2)/25)*Calculateur!V68*Calculateur!X68*VLOOKUP('Données projet'!$B$9,Paramètres!$A$1:$I$89,3,0)*0.475*44/12</f>
        <v>13.549719483134954</v>
      </c>
      <c r="AB68" s="23">
        <f>EXP(-LN(2)/2)*AB67+(1-EXP(-LN(2)/2))/(LN(2)/2)*V68*Y68*VLOOKUP('Données projet'!$B$9,Paramètres!$A$1:$I$89,3,0)*0.475*44/12</f>
        <v>0.95786190465724141</v>
      </c>
      <c r="AC68" s="24">
        <f t="shared" ref="AC68:AC131" si="57">SUM(Z68:AB68)</f>
        <v>40.760531555902965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769</v>
      </c>
      <c r="AG68" s="13">
        <f>VLOOKUP(A68,'Données projet'!$A$61:$I$81,9,0)</f>
        <v>10</v>
      </c>
      <c r="AH68" s="13">
        <f t="array" ref="AH68">INDEX(AG:AG,MIN(IF(ISNUMBER(AG68:AG264),ROW(AG68:AG264),"")))</f>
        <v>10</v>
      </c>
      <c r="AI68" s="14">
        <f>IF('Données projet'!$A$62&gt;35,AI67+AH68-AQ67,IF(A68&lt;'Données projet'!$A$62,$AF$205^A68,IF(A68='Données projet'!$A$62,'Données projet'!$B$62,AI67+AH68-AQ67)))</f>
        <v>768.99999999999966</v>
      </c>
      <c r="AJ68" s="14">
        <f>AI68*VLOOKUP('Données projet'!$B$10,Paramètres!$A$1:$I$89,3,0)*VLOOKUP('Données projet'!$B$10,Paramètres!$A$1:$I$89,5,0)</f>
        <v>429.87099999999981</v>
      </c>
      <c r="AK68" s="14">
        <f t="shared" si="35"/>
        <v>97.806935594587088</v>
      </c>
      <c r="AL68" s="22">
        <f t="shared" ref="AL68:AL131" si="58">(AJ68+AK68)*0.475*44/12</f>
        <v>919.03907116057201</v>
      </c>
      <c r="AM68" s="62">
        <f t="shared" ref="AM68:AM131" si="59">AL68+(AD68+AE68)*44/12</f>
        <v>1212.3724044939054</v>
      </c>
      <c r="AN68" s="62">
        <f ca="1">AVERAGE(OFFSET($AM$3,0,0,'Données projet'!$E$10+1,1))-AVERAGE(OFFSET($H$3,0,0,'Données projet'!$E$10+1,1))</f>
        <v>490.96084572840579</v>
      </c>
      <c r="AO68" s="62">
        <f t="shared" si="36"/>
        <v>597.91658789908263</v>
      </c>
      <c r="AP68" s="16">
        <f>IF(ISNA(VLOOKUP(A68,'Données projet'!$A$61:$I$81,3,0)),0,VLOOKUP(A68,'Données projet'!$A$61:$I$81,3,0))</f>
        <v>11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87.124128605694665</v>
      </c>
      <c r="AV68" s="23">
        <f>EXP(-LN(2)/25)*AV67+(1-EXP(-LN(2)/25))/(LN(2)/25)*Calculateur!AQ68*Calculateur!AS68*VLOOKUP('Données projet'!$B$10,Paramètres!$A$1:$I$89,3,0)*0.475*44/12</f>
        <v>19.571747790908322</v>
      </c>
      <c r="AW68" s="23">
        <f>EXP(-LN(2)/2)*AW67+(1-EXP(-LN(2)/2))/(LN(2)/2)*AQ68*AT68*VLOOKUP('Données projet'!$B$10,Paramètres!$A$1:$I$89,3,0)*0.475*44/12</f>
        <v>2.1322922912526978E-4</v>
      </c>
      <c r="AX68" s="23">
        <f t="shared" ref="AX68:AX131" si="60">SUM(AU68:AW68)</f>
        <v>106.69608962583212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310.95287409903602</v>
      </c>
      <c r="T69" s="62">
        <f t="shared" ref="T69:T132" si="88">$T$3</f>
        <v>224.10083380795163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25.738145828032597</v>
      </c>
      <c r="AA69" s="23">
        <f>EXP(-LN(2)/25)*AA68+(1-EXP(-LN(2)/25))/(LN(2)/25)*Calculateur!V69*Calculateur!X69*VLOOKUP('Données projet'!$B$9,Paramètres!$A$1:$I$89,3,0)*0.475*44/12</f>
        <v>13.179201691319848</v>
      </c>
      <c r="AB69" s="23">
        <f>EXP(-LN(2)/2)*AB68+(1-EXP(-LN(2)/2))/(LN(2)/2)*V69*Y69*VLOOKUP('Données projet'!$B$9,Paramètres!$A$1:$I$89,3,0)*0.475*44/12</f>
        <v>0.6773106482233977</v>
      </c>
      <c r="AC69" s="24">
        <f t="shared" si="57"/>
        <v>39.594658167575844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768.99999999999966</v>
      </c>
      <c r="AJ69" s="14">
        <f>AI69*VLOOKUP('Données projet'!$B$10,Paramètres!$A$1:$I$89,3,0)*VLOOKUP('Données projet'!$B$10,Paramètres!$A$1:$I$89,5,0)</f>
        <v>429.87099999999981</v>
      </c>
      <c r="AK69" s="14">
        <f t="shared" ref="AK69:AK132" si="89">EXP(-1.0587+0.8836*LN(AJ69)+0.284)</f>
        <v>97.806935594587088</v>
      </c>
      <c r="AL69" s="22">
        <f t="shared" si="58"/>
        <v>919.03907116057201</v>
      </c>
      <c r="AM69" s="62">
        <f t="shared" si="59"/>
        <v>1212.3724044939054</v>
      </c>
      <c r="AN69" s="62">
        <f ca="1">AVERAGE(OFFSET($AM$3,0,0,'Données projet'!$E$10+1,1))-AVERAGE(OFFSET($H$3,0,0,'Données projet'!$E$10+1,1))</f>
        <v>490.96084572840579</v>
      </c>
      <c r="AO69" s="62">
        <f t="shared" ref="AO69:AO132" si="90">$AO$3</f>
        <v>597.91658789908263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85.415677584208254</v>
      </c>
      <c r="AV69" s="23">
        <f>EXP(-LN(2)/25)*AV68+(1-EXP(-LN(2)/25))/(LN(2)/25)*Calculateur!AQ69*Calculateur!AS69*VLOOKUP('Données projet'!$B$10,Paramètres!$A$1:$I$89,3,0)*0.475*44/12</f>
        <v>19.036557318332449</v>
      </c>
      <c r="AW69" s="23">
        <f>EXP(-LN(2)/2)*AW68+(1-EXP(-LN(2)/2))/(LN(2)/2)*AQ69*AT69*VLOOKUP('Données projet'!$B$10,Paramètres!$A$1:$I$89,3,0)*0.475*44/12</f>
        <v>1.5077583386165834E-4</v>
      </c>
      <c r="AX69" s="23">
        <f t="shared" si="60"/>
        <v>104.45238567837457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310.95287409903602</v>
      </c>
      <c r="T70" s="62">
        <f t="shared" si="88"/>
        <v>224.10083380795163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25.233436487063713</v>
      </c>
      <c r="AA70" s="23">
        <f>EXP(-LN(2)/25)*AA69+(1-EXP(-LN(2)/25))/(LN(2)/25)*Calculateur!V70*Calculateur!X70*VLOOKUP('Données projet'!$B$9,Paramètres!$A$1:$I$89,3,0)*0.475*44/12</f>
        <v>12.818815728006612</v>
      </c>
      <c r="AB70" s="23">
        <f>EXP(-LN(2)/2)*AB69+(1-EXP(-LN(2)/2))/(LN(2)/2)*V70*Y70*VLOOKUP('Données projet'!$B$9,Paramètres!$A$1:$I$89,3,0)*0.475*44/12</f>
        <v>0.47893095232862076</v>
      </c>
      <c r="AC70" s="24">
        <f t="shared" si="57"/>
        <v>38.531183167398943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768.99999999999966</v>
      </c>
      <c r="AJ70" s="14">
        <f>AI70*VLOOKUP('Données projet'!$B$10,Paramètres!$A$1:$I$89,3,0)*VLOOKUP('Données projet'!$B$10,Paramètres!$A$1:$I$89,5,0)</f>
        <v>429.87099999999981</v>
      </c>
      <c r="AK70" s="14">
        <f t="shared" si="89"/>
        <v>97.806935594587088</v>
      </c>
      <c r="AL70" s="22">
        <f t="shared" si="58"/>
        <v>919.03907116057201</v>
      </c>
      <c r="AM70" s="62">
        <f t="shared" si="59"/>
        <v>1212.3724044939054</v>
      </c>
      <c r="AN70" s="62">
        <f ca="1">AVERAGE(OFFSET($AM$3,0,0,'Données projet'!$E$10+1,1))-AVERAGE(OFFSET($H$3,0,0,'Données projet'!$E$10+1,1))</f>
        <v>490.96084572840579</v>
      </c>
      <c r="AO70" s="62">
        <f t="shared" si="90"/>
        <v>597.91658789908263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83.74072824520097</v>
      </c>
      <c r="AV70" s="23">
        <f>EXP(-LN(2)/25)*AV69+(1-EXP(-LN(2)/25))/(LN(2)/25)*Calculateur!AQ70*Calculateur!AS70*VLOOKUP('Données projet'!$B$10,Paramètres!$A$1:$I$89,3,0)*0.475*44/12</f>
        <v>18.516001657373607</v>
      </c>
      <c r="AW70" s="23">
        <f>EXP(-LN(2)/2)*AW69+(1-EXP(-LN(2)/2))/(LN(2)/2)*AQ70*AT70*VLOOKUP('Données projet'!$B$10,Paramètres!$A$1:$I$89,3,0)*0.475*44/12</f>
        <v>1.0661461456263489E-4</v>
      </c>
      <c r="AX70" s="23">
        <f t="shared" si="60"/>
        <v>102.25683651718914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310.95287409903602</v>
      </c>
      <c r="T71" s="62">
        <f t="shared" si="88"/>
        <v>224.10083380795163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24.738624188428929</v>
      </c>
      <c r="AA71" s="23">
        <f>EXP(-LN(2)/25)*AA70+(1-EXP(-LN(2)/25))/(LN(2)/25)*Calculateur!V71*Calculateur!X71*VLOOKUP('Données projet'!$B$9,Paramètres!$A$1:$I$89,3,0)*0.475*44/12</f>
        <v>12.46828453781205</v>
      </c>
      <c r="AB71" s="23">
        <f>EXP(-LN(2)/2)*AB70+(1-EXP(-LN(2)/2))/(LN(2)/2)*V71*Y71*VLOOKUP('Données projet'!$B$9,Paramètres!$A$1:$I$89,3,0)*0.475*44/12</f>
        <v>0.33865532411169891</v>
      </c>
      <c r="AC71" s="24">
        <f t="shared" si="57"/>
        <v>37.545564050352681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768.99999999999966</v>
      </c>
      <c r="AJ71" s="14">
        <f>AI71*VLOOKUP('Données projet'!$B$10,Paramètres!$A$1:$I$89,3,0)*VLOOKUP('Données projet'!$B$10,Paramètres!$A$1:$I$89,5,0)</f>
        <v>429.87099999999981</v>
      </c>
      <c r="AK71" s="14">
        <f t="shared" si="89"/>
        <v>97.806935594587088</v>
      </c>
      <c r="AL71" s="22">
        <f t="shared" si="58"/>
        <v>919.03907116057201</v>
      </c>
      <c r="AM71" s="62">
        <f t="shared" si="59"/>
        <v>1212.3724044939054</v>
      </c>
      <c r="AN71" s="62">
        <f ca="1">AVERAGE(OFFSET($AM$3,0,0,'Données projet'!$E$10+1,1))-AVERAGE(OFFSET($H$3,0,0,'Données projet'!$E$10+1,1))</f>
        <v>490.96084572840579</v>
      </c>
      <c r="AO71" s="62">
        <f t="shared" si="90"/>
        <v>597.91658789908263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82.098623641113392</v>
      </c>
      <c r="AV71" s="23">
        <f>EXP(-LN(2)/25)*AV70+(1-EXP(-LN(2)/25))/(LN(2)/25)*Calculateur!AQ71*Calculateur!AS71*VLOOKUP('Données projet'!$B$10,Paramètres!$A$1:$I$89,3,0)*0.475*44/12</f>
        <v>18.009680618338518</v>
      </c>
      <c r="AW71" s="23">
        <f>EXP(-LN(2)/2)*AW70+(1-EXP(-LN(2)/2))/(LN(2)/2)*AQ71*AT71*VLOOKUP('Données projet'!$B$10,Paramètres!$A$1:$I$89,3,0)*0.475*44/12</f>
        <v>7.5387916930829172E-5</v>
      </c>
      <c r="AX71" s="23">
        <f t="shared" si="60"/>
        <v>100.10837964736885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310.95287409903602</v>
      </c>
      <c r="T72" s="62">
        <f t="shared" si="88"/>
        <v>224.10083380795163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24.253514857164671</v>
      </c>
      <c r="AA72" s="23">
        <f>EXP(-LN(2)/25)*AA71+(1-EXP(-LN(2)/25))/(LN(2)/25)*Calculateur!V72*Calculateur!X72*VLOOKUP('Données projet'!$B$9,Paramètres!$A$1:$I$89,3,0)*0.475*44/12</f>
        <v>12.127338641446991</v>
      </c>
      <c r="AB72" s="23">
        <f>EXP(-LN(2)/2)*AB71+(1-EXP(-LN(2)/2))/(LN(2)/2)*V72*Y72*VLOOKUP('Données projet'!$B$9,Paramètres!$A$1:$I$89,3,0)*0.475*44/12</f>
        <v>0.23946547616431044</v>
      </c>
      <c r="AC72" s="24">
        <f t="shared" si="57"/>
        <v>36.620318974775977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768.99999999999966</v>
      </c>
      <c r="AJ72" s="14">
        <f>AI72*VLOOKUP('Données projet'!$B$10,Paramètres!$A$1:$I$89,3,0)*VLOOKUP('Données projet'!$B$10,Paramètres!$A$1:$I$89,5,0)</f>
        <v>429.87099999999981</v>
      </c>
      <c r="AK72" s="14">
        <f t="shared" si="89"/>
        <v>97.806935594587088</v>
      </c>
      <c r="AL72" s="22">
        <f t="shared" si="58"/>
        <v>919.03907116057201</v>
      </c>
      <c r="AM72" s="62">
        <f t="shared" si="59"/>
        <v>1212.3724044939054</v>
      </c>
      <c r="AN72" s="62">
        <f ca="1">AVERAGE(OFFSET($AM$3,0,0,'Données projet'!$E$10+1,1))-AVERAGE(OFFSET($H$3,0,0,'Données projet'!$E$10+1,1))</f>
        <v>490.96084572840579</v>
      </c>
      <c r="AO72" s="62">
        <f t="shared" si="90"/>
        <v>597.91658789908263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80.488719706727068</v>
      </c>
      <c r="AV72" s="23">
        <f>EXP(-LN(2)/25)*AV71+(1-EXP(-LN(2)/25))/(LN(2)/25)*Calculateur!AQ72*Calculateur!AS72*VLOOKUP('Données projet'!$B$10,Paramètres!$A$1:$I$89,3,0)*0.475*44/12</f>
        <v>17.517204954742109</v>
      </c>
      <c r="AW72" s="23">
        <f>EXP(-LN(2)/2)*AW71+(1-EXP(-LN(2)/2))/(LN(2)/2)*AQ72*AT72*VLOOKUP('Données projet'!$B$10,Paramètres!$A$1:$I$89,3,0)*0.475*44/12</f>
        <v>5.3307307281317446E-5</v>
      </c>
      <c r="AX72" s="23">
        <f t="shared" si="60"/>
        <v>98.005977968776463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310.95287409903602</v>
      </c>
      <c r="T73" s="62">
        <f t="shared" si="88"/>
        <v>224.10083380795163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0.38500000000000001</v>
      </c>
      <c r="X73" s="17">
        <f>IF(ISNA(VLOOKUP(A73,'Données projet'!$A$35:$I$55,6,0)),0%,VLOOKUP(A73,'Données projet'!$A$35:$I$55,6,0)*VLOOKUP('Données projet'!$B$9,Paramètres!$A$1:$I$89,7,0))</f>
        <v>0.16500000000000001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50.787221568662915</v>
      </c>
      <c r="AA73" s="23">
        <f>EXP(-LN(2)/25)*AA72+(1-EXP(-LN(2)/25))/(LN(2)/25)*Calculateur!V73*Calculateur!X73*VLOOKUP('Données projet'!$B$9,Paramètres!$A$1:$I$89,3,0)*0.475*44/12</f>
        <v>23.325554825423829</v>
      </c>
      <c r="AB73" s="23">
        <f>EXP(-LN(2)/2)*AB72+(1-EXP(-LN(2)/2))/(LN(2)/2)*V73*Y73*VLOOKUP('Données projet'!$B$9,Paramètres!$A$1:$I$89,3,0)*0.475*44/12</f>
        <v>0.16932766205584948</v>
      </c>
      <c r="AC73" s="24">
        <f t="shared" si="57"/>
        <v>74.2821040561426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768.99999999999966</v>
      </c>
      <c r="AJ73" s="14">
        <f>AI73*VLOOKUP('Données projet'!$B$10,Paramètres!$A$1:$I$89,3,0)*VLOOKUP('Données projet'!$B$10,Paramètres!$A$1:$I$89,5,0)</f>
        <v>429.87099999999981</v>
      </c>
      <c r="AK73" s="14">
        <f t="shared" si="89"/>
        <v>97.806935594587088</v>
      </c>
      <c r="AL73" s="22">
        <f t="shared" si="58"/>
        <v>919.03907116057201</v>
      </c>
      <c r="AM73" s="62">
        <f t="shared" si="59"/>
        <v>1212.3724044939054</v>
      </c>
      <c r="AN73" s="62">
        <f ca="1">AVERAGE(OFFSET($AM$3,0,0,'Données projet'!$E$10+1,1))-AVERAGE(OFFSET($H$3,0,0,'Données projet'!$E$10+1,1))</f>
        <v>490.96084572840579</v>
      </c>
      <c r="AO73" s="62">
        <f t="shared" si="90"/>
        <v>597.91658789908263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78.910385006549618</v>
      </c>
      <c r="AV73" s="23">
        <f>EXP(-LN(2)/25)*AV72+(1-EXP(-LN(2)/25))/(LN(2)/25)*Calculateur!AQ73*Calculateur!AS73*VLOOKUP('Données projet'!$B$10,Paramètres!$A$1:$I$89,3,0)*0.475*44/12</f>
        <v>17.038196064064913</v>
      </c>
      <c r="AW73" s="23">
        <f>EXP(-LN(2)/2)*AW72+(1-EXP(-LN(2)/2))/(LN(2)/2)*AQ73*AT73*VLOOKUP('Données projet'!$B$10,Paramètres!$A$1:$I$89,3,0)*0.475*44/12</f>
        <v>3.7693958465414586E-5</v>
      </c>
      <c r="AX73" s="23">
        <f t="shared" si="60"/>
        <v>95.948618764572984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310.95287409903602</v>
      </c>
      <c r="T74" s="62">
        <f t="shared" si="88"/>
        <v>224.10083380795163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49.791315130847856</v>
      </c>
      <c r="AA74" s="23">
        <f>EXP(-LN(2)/25)*AA73+(1-EXP(-LN(2)/25))/(LN(2)/25)*Calculateur!V74*Calculateur!X74*VLOOKUP('Données projet'!$B$9,Paramètres!$A$1:$I$89,3,0)*0.475*44/12</f>
        <v>22.687716302084997</v>
      </c>
      <c r="AB74" s="23">
        <f>EXP(-LN(2)/2)*AB73+(1-EXP(-LN(2)/2))/(LN(2)/2)*V74*Y74*VLOOKUP('Données projet'!$B$9,Paramètres!$A$1:$I$89,3,0)*0.475*44/12</f>
        <v>0.11973273808215523</v>
      </c>
      <c r="AC74" s="24">
        <f t="shared" si="57"/>
        <v>72.598764171015006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768.99999999999966</v>
      </c>
      <c r="AJ74" s="14">
        <f>AI74*VLOOKUP('Données projet'!$B$10,Paramètres!$A$1:$I$89,3,0)*VLOOKUP('Données projet'!$B$10,Paramètres!$A$1:$I$89,5,0)</f>
        <v>429.87099999999981</v>
      </c>
      <c r="AK74" s="14">
        <f t="shared" si="89"/>
        <v>97.806935594587088</v>
      </c>
      <c r="AL74" s="22">
        <f t="shared" si="58"/>
        <v>919.03907116057201</v>
      </c>
      <c r="AM74" s="62">
        <f t="shared" si="59"/>
        <v>1212.3724044939054</v>
      </c>
      <c r="AN74" s="62">
        <f ca="1">AVERAGE(OFFSET($AM$3,0,0,'Données projet'!$E$10+1,1))-AVERAGE(OFFSET($H$3,0,0,'Données projet'!$E$10+1,1))</f>
        <v>490.96084572840579</v>
      </c>
      <c r="AO74" s="62">
        <f t="shared" si="90"/>
        <v>597.91658789908263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77.363000487153528</v>
      </c>
      <c r="AV74" s="23">
        <f>EXP(-LN(2)/25)*AV73+(1-EXP(-LN(2)/25))/(LN(2)/25)*Calculateur!AQ74*Calculateur!AS74*VLOOKUP('Données projet'!$B$10,Paramètres!$A$1:$I$89,3,0)*0.475*44/12</f>
        <v>16.572285696693267</v>
      </c>
      <c r="AW74" s="23">
        <f>EXP(-LN(2)/2)*AW73+(1-EXP(-LN(2)/2))/(LN(2)/2)*AQ74*AT74*VLOOKUP('Données projet'!$B$10,Paramètres!$A$1:$I$89,3,0)*0.475*44/12</f>
        <v>2.6653653640658723E-5</v>
      </c>
      <c r="AX74" s="23">
        <f t="shared" si="60"/>
        <v>93.935312837500433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310.95287409903602</v>
      </c>
      <c r="T75" s="62">
        <f t="shared" si="88"/>
        <v>224.10083380795163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48.814937810835403</v>
      </c>
      <c r="AA75" s="23">
        <f>EXP(-LN(2)/25)*AA74+(1-EXP(-LN(2)/25))/(LN(2)/25)*Calculateur!V75*Calculateur!X75*VLOOKUP('Données projet'!$B$9,Paramètres!$A$1:$I$89,3,0)*0.475*44/12</f>
        <v>22.067319506709335</v>
      </c>
      <c r="AB75" s="23">
        <f>EXP(-LN(2)/2)*AB74+(1-EXP(-LN(2)/2))/(LN(2)/2)*V75*Y75*VLOOKUP('Données projet'!$B$9,Paramètres!$A$1:$I$89,3,0)*0.475*44/12</f>
        <v>8.4663831027924755E-2</v>
      </c>
      <c r="AC75" s="24">
        <f t="shared" si="57"/>
        <v>70.966921148572666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768.99999999999966</v>
      </c>
      <c r="AJ75" s="14">
        <f>AI75*VLOOKUP('Données projet'!$B$10,Paramètres!$A$1:$I$89,3,0)*VLOOKUP('Données projet'!$B$10,Paramètres!$A$1:$I$89,5,0)</f>
        <v>429.87099999999981</v>
      </c>
      <c r="AK75" s="14">
        <f t="shared" si="89"/>
        <v>97.806935594587088</v>
      </c>
      <c r="AL75" s="22">
        <f t="shared" si="58"/>
        <v>919.03907116057201</v>
      </c>
      <c r="AM75" s="62">
        <f t="shared" si="59"/>
        <v>1212.3724044939054</v>
      </c>
      <c r="AN75" s="62">
        <f ca="1">AVERAGE(OFFSET($AM$3,0,0,'Données projet'!$E$10+1,1))-AVERAGE(OFFSET($H$3,0,0,'Données projet'!$E$10+1,1))</f>
        <v>490.96084572840579</v>
      </c>
      <c r="AO75" s="62">
        <f t="shared" si="90"/>
        <v>597.91658789908263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75.845959234371435</v>
      </c>
      <c r="AV75" s="23">
        <f>EXP(-LN(2)/25)*AV74+(1-EXP(-LN(2)/25))/(LN(2)/25)*Calculateur!AQ75*Calculateur!AS75*VLOOKUP('Données projet'!$B$10,Paramètres!$A$1:$I$89,3,0)*0.475*44/12</f>
        <v>16.119115672818563</v>
      </c>
      <c r="AW75" s="23">
        <f>EXP(-LN(2)/2)*AW74+(1-EXP(-LN(2)/2))/(LN(2)/2)*AQ75*AT75*VLOOKUP('Données projet'!$B$10,Paramètres!$A$1:$I$89,3,0)*0.475*44/12</f>
        <v>1.8846979232707293E-5</v>
      </c>
      <c r="AX75" s="23">
        <f t="shared" si="60"/>
        <v>91.965093754169231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310.95287409903602</v>
      </c>
      <c r="T76" s="62">
        <f t="shared" si="88"/>
        <v>224.10083380795163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47.857706654537033</v>
      </c>
      <c r="AA76" s="23">
        <f>EXP(-LN(2)/25)*AA75+(1-EXP(-LN(2)/25))/(LN(2)/25)*Calculateur!V76*Calculateur!X76*VLOOKUP('Données projet'!$B$9,Paramètres!$A$1:$I$89,3,0)*0.475*44/12</f>
        <v>21.463887494328471</v>
      </c>
      <c r="AB76" s="23">
        <f>EXP(-LN(2)/2)*AB75+(1-EXP(-LN(2)/2))/(LN(2)/2)*V76*Y76*VLOOKUP('Données projet'!$B$9,Paramètres!$A$1:$I$89,3,0)*0.475*44/12</f>
        <v>5.986636904107763E-2</v>
      </c>
      <c r="AC76" s="24">
        <f t="shared" si="57"/>
        <v>69.381460517906575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768.99999999999966</v>
      </c>
      <c r="AJ76" s="14">
        <f>AI76*VLOOKUP('Données projet'!$B$10,Paramètres!$A$1:$I$89,3,0)*VLOOKUP('Données projet'!$B$10,Paramètres!$A$1:$I$89,5,0)</f>
        <v>429.87099999999981</v>
      </c>
      <c r="AK76" s="14">
        <f t="shared" si="89"/>
        <v>97.806935594587088</v>
      </c>
      <c r="AL76" s="22">
        <f t="shared" si="58"/>
        <v>919.03907116057201</v>
      </c>
      <c r="AM76" s="62">
        <f t="shared" si="59"/>
        <v>1212.3724044939054</v>
      </c>
      <c r="AN76" s="62">
        <f ca="1">AVERAGE(OFFSET($AM$3,0,0,'Données projet'!$E$10+1,1))-AVERAGE(OFFSET($H$3,0,0,'Données projet'!$E$10+1,1))</f>
        <v>490.96084572840579</v>
      </c>
      <c r="AO76" s="62">
        <f t="shared" si="90"/>
        <v>597.91658789908263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74.358666235252599</v>
      </c>
      <c r="AV76" s="23">
        <f>EXP(-LN(2)/25)*AV75+(1-EXP(-LN(2)/25))/(LN(2)/25)*Calculateur!AQ76*Calculateur!AS76*VLOOKUP('Données projet'!$B$10,Paramètres!$A$1:$I$89,3,0)*0.475*44/12</f>
        <v>15.678337607077886</v>
      </c>
      <c r="AW76" s="23">
        <f>EXP(-LN(2)/2)*AW75+(1-EXP(-LN(2)/2))/(LN(2)/2)*AQ76*AT76*VLOOKUP('Données projet'!$B$10,Paramètres!$A$1:$I$89,3,0)*0.475*44/12</f>
        <v>1.3326826820329361E-5</v>
      </c>
      <c r="AX76" s="23">
        <f t="shared" si="60"/>
        <v>90.037017169157295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310.95287409903602</v>
      </c>
      <c r="T77" s="62">
        <f t="shared" si="88"/>
        <v>224.10083380795163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46.919246217360318</v>
      </c>
      <c r="AA77" s="23">
        <f>EXP(-LN(2)/25)*AA76+(1-EXP(-LN(2)/25))/(LN(2)/25)*Calculateur!V77*Calculateur!X77*VLOOKUP('Données projet'!$B$9,Paramètres!$A$1:$I$89,3,0)*0.475*44/12</f>
        <v>20.876956362059271</v>
      </c>
      <c r="AB77" s="23">
        <f>EXP(-LN(2)/2)*AB76+(1-EXP(-LN(2)/2))/(LN(2)/2)*V77*Y77*VLOOKUP('Données projet'!$B$9,Paramètres!$A$1:$I$89,3,0)*0.475*44/12</f>
        <v>4.2331915513962384E-2</v>
      </c>
      <c r="AC77" s="24">
        <f t="shared" si="57"/>
        <v>67.838534494933555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768.99999999999966</v>
      </c>
      <c r="AJ77" s="14">
        <f>AI77*VLOOKUP('Données projet'!$B$10,Paramètres!$A$1:$I$89,3,0)*VLOOKUP('Données projet'!$B$10,Paramètres!$A$1:$I$89,5,0)</f>
        <v>429.87099999999981</v>
      </c>
      <c r="AK77" s="14">
        <f t="shared" si="89"/>
        <v>97.806935594587088</v>
      </c>
      <c r="AL77" s="22">
        <f t="shared" si="58"/>
        <v>919.03907116057201</v>
      </c>
      <c r="AM77" s="62">
        <f t="shared" si="59"/>
        <v>1212.3724044939054</v>
      </c>
      <c r="AN77" s="62">
        <f ca="1">AVERAGE(OFFSET($AM$3,0,0,'Données projet'!$E$10+1,1))-AVERAGE(OFFSET($H$3,0,0,'Données projet'!$E$10+1,1))</f>
        <v>490.96084572840579</v>
      </c>
      <c r="AO77" s="62">
        <f t="shared" si="90"/>
        <v>597.91658789908263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72.900538144687332</v>
      </c>
      <c r="AV77" s="23">
        <f>EXP(-LN(2)/25)*AV76+(1-EXP(-LN(2)/25))/(LN(2)/25)*Calculateur!AQ77*Calculateur!AS77*VLOOKUP('Données projet'!$B$10,Paramètres!$A$1:$I$89,3,0)*0.475*44/12</f>
        <v>15.249612640724399</v>
      </c>
      <c r="AW77" s="23">
        <f>EXP(-LN(2)/2)*AW76+(1-EXP(-LN(2)/2))/(LN(2)/2)*AQ77*AT77*VLOOKUP('Données projet'!$B$10,Paramètres!$A$1:$I$89,3,0)*0.475*44/12</f>
        <v>9.4234896163536465E-6</v>
      </c>
      <c r="AX77" s="23">
        <f t="shared" si="60"/>
        <v>88.15016020890134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310.95287409903602</v>
      </c>
      <c r="T78" s="62">
        <f t="shared" si="88"/>
        <v>224.10083380795163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45.999188416952293</v>
      </c>
      <c r="AA78" s="23">
        <f>EXP(-LN(2)/25)*AA77+(1-EXP(-LN(2)/25))/(LN(2)/25)*Calculateur!V78*Calculateur!X78*VLOOKUP('Données projet'!$B$9,Paramètres!$A$1:$I$89,3,0)*0.475*44/12</f>
        <v>20.30607489246734</v>
      </c>
      <c r="AB78" s="23">
        <f>EXP(-LN(2)/2)*AB77+(1-EXP(-LN(2)/2))/(LN(2)/2)*V78*Y78*VLOOKUP('Données projet'!$B$9,Paramètres!$A$1:$I$89,3,0)*0.475*44/12</f>
        <v>2.9933184520538818E-2</v>
      </c>
      <c r="AC78" s="24">
        <f t="shared" si="57"/>
        <v>66.335196493940174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768.99999999999966</v>
      </c>
      <c r="AJ78" s="14">
        <f>AI78*VLOOKUP('Données projet'!$B$10,Paramètres!$A$1:$I$89,3,0)*VLOOKUP('Données projet'!$B$10,Paramètres!$A$1:$I$89,5,0)</f>
        <v>429.87099999999981</v>
      </c>
      <c r="AK78" s="14">
        <f t="shared" si="89"/>
        <v>97.806935594587088</v>
      </c>
      <c r="AL78" s="22">
        <f t="shared" si="58"/>
        <v>919.03907116057201</v>
      </c>
      <c r="AM78" s="62">
        <f t="shared" si="59"/>
        <v>1212.3724044939054</v>
      </c>
      <c r="AN78" s="62">
        <f ca="1">AVERAGE(OFFSET($AM$3,0,0,'Données projet'!$E$10+1,1))-AVERAGE(OFFSET($H$3,0,0,'Données projet'!$E$10+1,1))</f>
        <v>490.96084572840579</v>
      </c>
      <c r="AO78" s="62">
        <f t="shared" si="90"/>
        <v>597.91658789908263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71.471003056607728</v>
      </c>
      <c r="AV78" s="23">
        <f>EXP(-LN(2)/25)*AV77+(1-EXP(-LN(2)/25))/(LN(2)/25)*Calculateur!AQ78*Calculateur!AS78*VLOOKUP('Données projet'!$B$10,Paramètres!$A$1:$I$89,3,0)*0.475*44/12</f>
        <v>14.832611181121514</v>
      </c>
      <c r="AW78" s="23">
        <f>EXP(-LN(2)/2)*AW77+(1-EXP(-LN(2)/2))/(LN(2)/2)*AQ78*AT78*VLOOKUP('Données projet'!$B$10,Paramètres!$A$1:$I$89,3,0)*0.475*44/12</f>
        <v>6.6634134101646807E-6</v>
      </c>
      <c r="AX78" s="23">
        <f t="shared" si="60"/>
        <v>86.303620901142665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310.95287409903602</v>
      </c>
      <c r="T79" s="62">
        <f t="shared" si="88"/>
        <v>224.10083380795163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45.097172388830423</v>
      </c>
      <c r="AA79" s="23">
        <f>EXP(-LN(2)/25)*AA78+(1-EXP(-LN(2)/25))/(LN(2)/25)*Calculateur!V79*Calculateur!X79*VLOOKUP('Données projet'!$B$9,Paramètres!$A$1:$I$89,3,0)*0.475*44/12</f>
        <v>19.750804206682751</v>
      </c>
      <c r="AB79" s="23">
        <f>EXP(-LN(2)/2)*AB78+(1-EXP(-LN(2)/2))/(LN(2)/2)*V79*Y79*VLOOKUP('Données projet'!$B$9,Paramètres!$A$1:$I$89,3,0)*0.475*44/12</f>
        <v>2.1165957756981196E-2</v>
      </c>
      <c r="AC79" s="24">
        <f t="shared" si="57"/>
        <v>64.869142553270152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768.99999999999966</v>
      </c>
      <c r="AJ79" s="14">
        <f>AI79*VLOOKUP('Données projet'!$B$10,Paramètres!$A$1:$I$89,3,0)*VLOOKUP('Données projet'!$B$10,Paramètres!$A$1:$I$89,5,0)</f>
        <v>429.87099999999981</v>
      </c>
      <c r="AK79" s="14">
        <f t="shared" si="89"/>
        <v>97.806935594587088</v>
      </c>
      <c r="AL79" s="22">
        <f t="shared" si="58"/>
        <v>919.03907116057201</v>
      </c>
      <c r="AM79" s="62">
        <f t="shared" si="59"/>
        <v>1212.3724044939054</v>
      </c>
      <c r="AN79" s="62">
        <f ca="1">AVERAGE(OFFSET($AM$3,0,0,'Données projet'!$E$10+1,1))-AVERAGE(OFFSET($H$3,0,0,'Données projet'!$E$10+1,1))</f>
        <v>490.96084572840579</v>
      </c>
      <c r="AO79" s="62">
        <f t="shared" si="90"/>
        <v>597.91658789908263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70.069500279675069</v>
      </c>
      <c r="AV79" s="23">
        <f>EXP(-LN(2)/25)*AV78+(1-EXP(-LN(2)/25))/(LN(2)/25)*Calculateur!AQ79*Calculateur!AS79*VLOOKUP('Données projet'!$B$10,Paramètres!$A$1:$I$89,3,0)*0.475*44/12</f>
        <v>14.427012648360625</v>
      </c>
      <c r="AW79" s="23">
        <f>EXP(-LN(2)/2)*AW78+(1-EXP(-LN(2)/2))/(LN(2)/2)*AQ79*AT79*VLOOKUP('Données projet'!$B$10,Paramètres!$A$1:$I$89,3,0)*0.475*44/12</f>
        <v>4.7117448081768233E-6</v>
      </c>
      <c r="AX79" s="23">
        <f t="shared" si="60"/>
        <v>84.496517639780507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310.95287409903602</v>
      </c>
      <c r="T80" s="62">
        <f t="shared" si="88"/>
        <v>224.10083380795163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44.212844344844569</v>
      </c>
      <c r="AA80" s="23">
        <f>EXP(-LN(2)/25)*AA79+(1-EXP(-LN(2)/25))/(LN(2)/25)*Calculateur!V80*Calculateur!X80*VLOOKUP('Données projet'!$B$9,Paramètres!$A$1:$I$89,3,0)*0.475*44/12</f>
        <v>19.210717427001359</v>
      </c>
      <c r="AB80" s="23">
        <f>EXP(-LN(2)/2)*AB79+(1-EXP(-LN(2)/2))/(LN(2)/2)*V80*Y80*VLOOKUP('Données projet'!$B$9,Paramètres!$A$1:$I$89,3,0)*0.475*44/12</f>
        <v>1.4966592260269411E-2</v>
      </c>
      <c r="AC80" s="24">
        <f t="shared" si="57"/>
        <v>63.438528364106197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768.99999999999966</v>
      </c>
      <c r="AJ80" s="14">
        <f>AI80*VLOOKUP('Données projet'!$B$10,Paramètres!$A$1:$I$89,3,0)*VLOOKUP('Données projet'!$B$10,Paramètres!$A$1:$I$89,5,0)</f>
        <v>429.87099999999981</v>
      </c>
      <c r="AK80" s="14">
        <f t="shared" si="89"/>
        <v>97.806935594587088</v>
      </c>
      <c r="AL80" s="22">
        <f t="shared" si="58"/>
        <v>919.03907116057201</v>
      </c>
      <c r="AM80" s="62">
        <f t="shared" si="59"/>
        <v>1212.3724044939054</v>
      </c>
      <c r="AN80" s="62">
        <f ca="1">AVERAGE(OFFSET($AM$3,0,0,'Données projet'!$E$10+1,1))-AVERAGE(OFFSET($H$3,0,0,'Données projet'!$E$10+1,1))</f>
        <v>490.96084572840579</v>
      </c>
      <c r="AO80" s="62">
        <f t="shared" si="90"/>
        <v>597.91658789908263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68.695480117365761</v>
      </c>
      <c r="AV80" s="23">
        <f>EXP(-LN(2)/25)*AV79+(1-EXP(-LN(2)/25))/(LN(2)/25)*Calculateur!AQ80*Calculateur!AS80*VLOOKUP('Données projet'!$B$10,Paramètres!$A$1:$I$89,3,0)*0.475*44/12</f>
        <v>14.032505228807581</v>
      </c>
      <c r="AW80" s="23">
        <f>EXP(-LN(2)/2)*AW79+(1-EXP(-LN(2)/2))/(LN(2)/2)*AQ80*AT80*VLOOKUP('Données projet'!$B$10,Paramètres!$A$1:$I$89,3,0)*0.475*44/12</f>
        <v>3.3317067050823404E-6</v>
      </c>
      <c r="AX80" s="23">
        <f t="shared" si="60"/>
        <v>82.727988677880049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310.95287409903602</v>
      </c>
      <c r="T81" s="62">
        <f t="shared" si="88"/>
        <v>224.10083380795163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43.345857434414434</v>
      </c>
      <c r="AA81" s="23">
        <f>EXP(-LN(2)/25)*AA80+(1-EXP(-LN(2)/25))/(LN(2)/25)*Calculateur!V81*Calculateur!X81*VLOOKUP('Données projet'!$B$9,Paramètres!$A$1:$I$89,3,0)*0.475*44/12</f>
        <v>18.685399348712284</v>
      </c>
      <c r="AB81" s="23">
        <f>EXP(-LN(2)/2)*AB80+(1-EXP(-LN(2)/2))/(LN(2)/2)*V81*Y81*VLOOKUP('Données projet'!$B$9,Paramètres!$A$1:$I$89,3,0)*0.475*44/12</f>
        <v>1.05829788784906E-2</v>
      </c>
      <c r="AC81" s="24">
        <f t="shared" si="57"/>
        <v>62.04183976200521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768.99999999999966</v>
      </c>
      <c r="AJ81" s="14">
        <f>AI81*VLOOKUP('Données projet'!$B$10,Paramètres!$A$1:$I$89,3,0)*VLOOKUP('Données projet'!$B$10,Paramètres!$A$1:$I$89,5,0)</f>
        <v>429.87099999999981</v>
      </c>
      <c r="AK81" s="14">
        <f t="shared" si="89"/>
        <v>97.806935594587088</v>
      </c>
      <c r="AL81" s="22">
        <f t="shared" si="58"/>
        <v>919.03907116057201</v>
      </c>
      <c r="AM81" s="62">
        <f t="shared" si="59"/>
        <v>1212.3724044939054</v>
      </c>
      <c r="AN81" s="62">
        <f ca="1">AVERAGE(OFFSET($AM$3,0,0,'Données projet'!$E$10+1,1))-AVERAGE(OFFSET($H$3,0,0,'Données projet'!$E$10+1,1))</f>
        <v>490.96084572840579</v>
      </c>
      <c r="AO81" s="62">
        <f t="shared" si="90"/>
        <v>597.91658789908263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67.348403652369797</v>
      </c>
      <c r="AV81" s="23">
        <f>EXP(-LN(2)/25)*AV80+(1-EXP(-LN(2)/25))/(LN(2)/25)*Calculateur!AQ81*Calculateur!AS81*VLOOKUP('Données projet'!$B$10,Paramètres!$A$1:$I$89,3,0)*0.475*44/12</f>
        <v>13.64878563538846</v>
      </c>
      <c r="AW81" s="23">
        <f>EXP(-LN(2)/2)*AW80+(1-EXP(-LN(2)/2))/(LN(2)/2)*AQ81*AT81*VLOOKUP('Données projet'!$B$10,Paramètres!$A$1:$I$89,3,0)*0.475*44/12</f>
        <v>2.3558724040884116E-6</v>
      </c>
      <c r="AX81" s="23">
        <f t="shared" si="60"/>
        <v>80.997191643630671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310.95287409903602</v>
      </c>
      <c r="T82" s="62">
        <f t="shared" si="88"/>
        <v>224.10083380795163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42.495871608488031</v>
      </c>
      <c r="AA82" s="23">
        <f>EXP(-LN(2)/25)*AA81+(1-EXP(-LN(2)/25))/(LN(2)/25)*Calculateur!V82*Calculateur!X82*VLOOKUP('Données projet'!$B$9,Paramètres!$A$1:$I$89,3,0)*0.475*44/12</f>
        <v>18.174446120899301</v>
      </c>
      <c r="AB82" s="23">
        <f>EXP(-LN(2)/2)*AB81+(1-EXP(-LN(2)/2))/(LN(2)/2)*V82*Y82*VLOOKUP('Données projet'!$B$9,Paramètres!$A$1:$I$89,3,0)*0.475*44/12</f>
        <v>7.4832961301347072E-3</v>
      </c>
      <c r="AC82" s="24">
        <f t="shared" si="57"/>
        <v>60.677801025517468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768.99999999999966</v>
      </c>
      <c r="AJ82" s="14">
        <f>AI82*VLOOKUP('Données projet'!$B$10,Paramètres!$A$1:$I$89,3,0)*VLOOKUP('Données projet'!$B$10,Paramètres!$A$1:$I$89,5,0)</f>
        <v>429.87099999999981</v>
      </c>
      <c r="AK82" s="14">
        <f t="shared" si="89"/>
        <v>97.806935594587088</v>
      </c>
      <c r="AL82" s="22">
        <f t="shared" si="58"/>
        <v>919.03907116057201</v>
      </c>
      <c r="AM82" s="62">
        <f t="shared" si="59"/>
        <v>1212.3724044939054</v>
      </c>
      <c r="AN82" s="62">
        <f ca="1">AVERAGE(OFFSET($AM$3,0,0,'Données projet'!$E$10+1,1))-AVERAGE(OFFSET($H$3,0,0,'Données projet'!$E$10+1,1))</f>
        <v>490.96084572840579</v>
      </c>
      <c r="AO82" s="62">
        <f t="shared" si="90"/>
        <v>597.91658789908263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66.027742535216888</v>
      </c>
      <c r="AV82" s="23">
        <f>EXP(-LN(2)/25)*AV81+(1-EXP(-LN(2)/25))/(LN(2)/25)*Calculateur!AQ82*Calculateur!AS82*VLOOKUP('Données projet'!$B$10,Paramètres!$A$1:$I$89,3,0)*0.475*44/12</f>
        <v>13.27555887443032</v>
      </c>
      <c r="AW82" s="23">
        <f>EXP(-LN(2)/2)*AW81+(1-EXP(-LN(2)/2))/(LN(2)/2)*AQ82*AT82*VLOOKUP('Données projet'!$B$10,Paramètres!$A$1:$I$89,3,0)*0.475*44/12</f>
        <v>1.6658533525411702E-6</v>
      </c>
      <c r="AX82" s="23">
        <f t="shared" si="60"/>
        <v>79.303303075500551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310.95287409903602</v>
      </c>
      <c r="T83" s="62">
        <f t="shared" si="88"/>
        <v>224.10083380795163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0.44000000000000006</v>
      </c>
      <c r="X83" s="17">
        <f>IF(ISNA(VLOOKUP(A83,'Données projet'!$A$35:$I$55,6,0)),0%,VLOOKUP(A83,'Données projet'!$A$35:$I$55,6,0)*VLOOKUP('Données projet'!$B$9,Paramètres!$A$1:$I$89,7,0))</f>
        <v>0.11000000000000001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75.535156416517538</v>
      </c>
      <c r="AA83" s="23">
        <f>EXP(-LN(2)/25)*AA82+(1-EXP(-LN(2)/25))/(LN(2)/25)*Calculateur!V83*Calculateur!X83*VLOOKUP('Données projet'!$B$9,Paramètres!$A$1:$I$89,3,0)*0.475*44/12</f>
        <v>26.112273332505552</v>
      </c>
      <c r="AB83" s="23">
        <f>EXP(-LN(2)/2)*AB82+(1-EXP(-LN(2)/2))/(LN(2)/2)*V83*Y83*VLOOKUP('Données projet'!$B$9,Paramètres!$A$1:$I$89,3,0)*0.475*44/12</f>
        <v>5.2914894392453006E-3</v>
      </c>
      <c r="AC83" s="24">
        <f t="shared" si="57"/>
        <v>101.65272123846233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768.99999999999966</v>
      </c>
      <c r="AJ83" s="14">
        <f>AI83*VLOOKUP('Données projet'!$B$10,Paramètres!$A$1:$I$89,3,0)*VLOOKUP('Données projet'!$B$10,Paramètres!$A$1:$I$89,5,0)</f>
        <v>429.87099999999981</v>
      </c>
      <c r="AK83" s="14">
        <f t="shared" si="89"/>
        <v>97.806935594587088</v>
      </c>
      <c r="AL83" s="22">
        <f t="shared" si="58"/>
        <v>919.03907116057201</v>
      </c>
      <c r="AM83" s="62">
        <f t="shared" si="59"/>
        <v>1212.3724044939054</v>
      </c>
      <c r="AN83" s="62">
        <f ca="1">AVERAGE(OFFSET($AM$3,0,0,'Données projet'!$E$10+1,1))-AVERAGE(OFFSET($H$3,0,0,'Données projet'!$E$10+1,1))</f>
        <v>490.96084572840579</v>
      </c>
      <c r="AO83" s="62">
        <f t="shared" si="90"/>
        <v>597.91658789908263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64.732978777047606</v>
      </c>
      <c r="AV83" s="23">
        <f>EXP(-LN(2)/25)*AV82+(1-EXP(-LN(2)/25))/(LN(2)/25)*Calculateur!AQ83*Calculateur!AS83*VLOOKUP('Données projet'!$B$10,Paramètres!$A$1:$I$89,3,0)*0.475*44/12</f>
        <v>12.912538018877724</v>
      </c>
      <c r="AW83" s="23">
        <f>EXP(-LN(2)/2)*AW82+(1-EXP(-LN(2)/2))/(LN(2)/2)*AQ83*AT83*VLOOKUP('Données projet'!$B$10,Paramètres!$A$1:$I$89,3,0)*0.475*44/12</f>
        <v>1.1779362020442058E-6</v>
      </c>
      <c r="AX83" s="23">
        <f t="shared" si="60"/>
        <v>77.64551797386153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310.95287409903602</v>
      </c>
      <c r="T84" s="62">
        <f t="shared" si="88"/>
        <v>224.10083380795163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74.053958071085816</v>
      </c>
      <c r="AA84" s="23">
        <f>EXP(-LN(2)/25)*AA83+(1-EXP(-LN(2)/25))/(LN(2)/25)*Calculateur!V84*Calculateur!X84*VLOOKUP('Données projet'!$B$9,Paramètres!$A$1:$I$89,3,0)*0.475*44/12</f>
        <v>25.398231845043412</v>
      </c>
      <c r="AB84" s="23">
        <f>EXP(-LN(2)/2)*AB83+(1-EXP(-LN(2)/2))/(LN(2)/2)*V84*Y84*VLOOKUP('Données projet'!$B$9,Paramètres!$A$1:$I$89,3,0)*0.475*44/12</f>
        <v>3.741648065067354E-3</v>
      </c>
      <c r="AC84" s="24">
        <f t="shared" si="57"/>
        <v>99.455931564194302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768.99999999999966</v>
      </c>
      <c r="AJ84" s="14">
        <f>AI84*VLOOKUP('Données projet'!$B$10,Paramètres!$A$1:$I$89,3,0)*VLOOKUP('Données projet'!$B$10,Paramètres!$A$1:$I$89,5,0)</f>
        <v>429.87099999999981</v>
      </c>
      <c r="AK84" s="14">
        <f t="shared" si="89"/>
        <v>97.806935594587088</v>
      </c>
      <c r="AL84" s="22">
        <f t="shared" si="58"/>
        <v>919.03907116057201</v>
      </c>
      <c r="AM84" s="62">
        <f t="shared" si="59"/>
        <v>1212.3724044939054</v>
      </c>
      <c r="AN84" s="62">
        <f ca="1">AVERAGE(OFFSET($AM$3,0,0,'Données projet'!$E$10+1,1))-AVERAGE(OFFSET($H$3,0,0,'Données projet'!$E$10+1,1))</f>
        <v>490.96084572840579</v>
      </c>
      <c r="AO84" s="62">
        <f t="shared" si="90"/>
        <v>597.91658789908263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63.46360454644811</v>
      </c>
      <c r="AV84" s="23">
        <f>EXP(-LN(2)/25)*AV83+(1-EXP(-LN(2)/25))/(LN(2)/25)*Calculateur!AQ84*Calculateur!AS84*VLOOKUP('Données projet'!$B$10,Paramètres!$A$1:$I$89,3,0)*0.475*44/12</f>
        <v>12.559443987710651</v>
      </c>
      <c r="AW84" s="23">
        <f>EXP(-LN(2)/2)*AW83+(1-EXP(-LN(2)/2))/(LN(2)/2)*AQ84*AT84*VLOOKUP('Données projet'!$B$10,Paramètres!$A$1:$I$89,3,0)*0.475*44/12</f>
        <v>8.3292667627058509E-7</v>
      </c>
      <c r="AX84" s="23">
        <f t="shared" si="60"/>
        <v>76.023049367085434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310.95287409903602</v>
      </c>
      <c r="T85" s="62">
        <f t="shared" si="88"/>
        <v>224.10083380795163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72.601805121766233</v>
      </c>
      <c r="AA85" s="23">
        <f>EXP(-LN(2)/25)*AA84+(1-EXP(-LN(2)/25))/(LN(2)/25)*Calculateur!V85*Calculateur!X85*VLOOKUP('Données projet'!$B$9,Paramètres!$A$1:$I$89,3,0)*0.475*44/12</f>
        <v>24.703715859605737</v>
      </c>
      <c r="AB85" s="23">
        <f>EXP(-LN(2)/2)*AB84+(1-EXP(-LN(2)/2))/(LN(2)/2)*V85*Y85*VLOOKUP('Données projet'!$B$9,Paramètres!$A$1:$I$89,3,0)*0.475*44/12</f>
        <v>2.6457447196226508E-3</v>
      </c>
      <c r="AC85" s="24">
        <f t="shared" si="57"/>
        <v>97.308166726091599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768.99999999999966</v>
      </c>
      <c r="AJ85" s="14">
        <f>AI85*VLOOKUP('Données projet'!$B$10,Paramètres!$A$1:$I$89,3,0)*VLOOKUP('Données projet'!$B$10,Paramètres!$A$1:$I$89,5,0)</f>
        <v>429.87099999999981</v>
      </c>
      <c r="AK85" s="14">
        <f t="shared" si="89"/>
        <v>97.806935594587088</v>
      </c>
      <c r="AL85" s="22">
        <f t="shared" si="58"/>
        <v>919.03907116057201</v>
      </c>
      <c r="AM85" s="62">
        <f t="shared" si="59"/>
        <v>1212.3724044939054</v>
      </c>
      <c r="AN85" s="62">
        <f ca="1">AVERAGE(OFFSET($AM$3,0,0,'Données projet'!$E$10+1,1))-AVERAGE(OFFSET($H$3,0,0,'Données projet'!$E$10+1,1))</f>
        <v>490.96084572840579</v>
      </c>
      <c r="AO85" s="62">
        <f t="shared" si="90"/>
        <v>597.91658789908263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62.219121970268844</v>
      </c>
      <c r="AV85" s="23">
        <f>EXP(-LN(2)/25)*AV84+(1-EXP(-LN(2)/25))/(LN(2)/25)*Calculateur!AQ85*Calculateur!AS85*VLOOKUP('Données projet'!$B$10,Paramètres!$A$1:$I$89,3,0)*0.475*44/12</f>
        <v>12.216005331394248</v>
      </c>
      <c r="AW85" s="23">
        <f>EXP(-LN(2)/2)*AW84+(1-EXP(-LN(2)/2))/(LN(2)/2)*AQ85*AT85*VLOOKUP('Données projet'!$B$10,Paramètres!$A$1:$I$89,3,0)*0.475*44/12</f>
        <v>5.8896810102210291E-7</v>
      </c>
      <c r="AX85" s="23">
        <f t="shared" si="60"/>
        <v>74.435127890631193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310.95287409903602</v>
      </c>
      <c r="T86" s="62">
        <f t="shared" si="88"/>
        <v>224.10083380795163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71.178128006056966</v>
      </c>
      <c r="AA86" s="23">
        <f>EXP(-LN(2)/25)*AA85+(1-EXP(-LN(2)/25))/(LN(2)/25)*Calculateur!V86*Calculateur!X86*VLOOKUP('Données projet'!$B$9,Paramètres!$A$1:$I$89,3,0)*0.475*44/12</f>
        <v>24.02819145031286</v>
      </c>
      <c r="AB86" s="23">
        <f>EXP(-LN(2)/2)*AB85+(1-EXP(-LN(2)/2))/(LN(2)/2)*V86*Y86*VLOOKUP('Données projet'!$B$9,Paramètres!$A$1:$I$89,3,0)*0.475*44/12</f>
        <v>1.8708240325336775E-3</v>
      </c>
      <c r="AC86" s="24">
        <f t="shared" si="57"/>
        <v>95.208190280402363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768.99999999999966</v>
      </c>
      <c r="AJ86" s="14">
        <f>AI86*VLOOKUP('Données projet'!$B$10,Paramètres!$A$1:$I$89,3,0)*VLOOKUP('Données projet'!$B$10,Paramètres!$A$1:$I$89,5,0)</f>
        <v>429.87099999999981</v>
      </c>
      <c r="AK86" s="14">
        <f t="shared" si="89"/>
        <v>97.806935594587088</v>
      </c>
      <c r="AL86" s="22">
        <f t="shared" si="58"/>
        <v>919.03907116057201</v>
      </c>
      <c r="AM86" s="62">
        <f t="shared" si="59"/>
        <v>1212.3724044939054</v>
      </c>
      <c r="AN86" s="62">
        <f ca="1">AVERAGE(OFFSET($AM$3,0,0,'Données projet'!$E$10+1,1))-AVERAGE(OFFSET($H$3,0,0,'Données projet'!$E$10+1,1))</f>
        <v>490.96084572840579</v>
      </c>
      <c r="AO86" s="62">
        <f t="shared" si="90"/>
        <v>597.91658789908263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60.999042938349028</v>
      </c>
      <c r="AV86" s="23">
        <f>EXP(-LN(2)/25)*AV85+(1-EXP(-LN(2)/25))/(LN(2)/25)*Calculateur!AQ86*Calculateur!AS86*VLOOKUP('Données projet'!$B$10,Paramètres!$A$1:$I$89,3,0)*0.475*44/12</f>
        <v>11.881958023195471</v>
      </c>
      <c r="AW86" s="23">
        <f>EXP(-LN(2)/2)*AW85+(1-EXP(-LN(2)/2))/(LN(2)/2)*AQ86*AT86*VLOOKUP('Données projet'!$B$10,Paramètres!$A$1:$I$89,3,0)*0.475*44/12</f>
        <v>4.1646333813529255E-7</v>
      </c>
      <c r="AX86" s="23">
        <f t="shared" si="60"/>
        <v>72.881001378007838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310.95287409903602</v>
      </c>
      <c r="T87" s="62">
        <f t="shared" si="88"/>
        <v>224.10083380795163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69.78236833022946</v>
      </c>
      <c r="AA87" s="23">
        <f>EXP(-LN(2)/25)*AA86+(1-EXP(-LN(2)/25))/(LN(2)/25)*Calculateur!V87*Calculateur!X87*VLOOKUP('Données projet'!$B$9,Paramètres!$A$1:$I$89,3,0)*0.475*44/12</f>
        <v>23.371139291516386</v>
      </c>
      <c r="AB87" s="23">
        <f>EXP(-LN(2)/2)*AB86+(1-EXP(-LN(2)/2))/(LN(2)/2)*V87*Y87*VLOOKUP('Données projet'!$B$9,Paramètres!$A$1:$I$89,3,0)*0.475*44/12</f>
        <v>1.3228723598113256E-3</v>
      </c>
      <c r="AC87" s="24">
        <f t="shared" si="57"/>
        <v>93.154830494105653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768.99999999999966</v>
      </c>
      <c r="AJ87" s="14">
        <f>AI87*VLOOKUP('Données projet'!$B$10,Paramètres!$A$1:$I$89,3,0)*VLOOKUP('Données projet'!$B$10,Paramètres!$A$1:$I$89,5,0)</f>
        <v>429.87099999999981</v>
      </c>
      <c r="AK87" s="14">
        <f t="shared" si="89"/>
        <v>97.806935594587088</v>
      </c>
      <c r="AL87" s="22">
        <f t="shared" si="58"/>
        <v>919.03907116057201</v>
      </c>
      <c r="AM87" s="62">
        <f t="shared" si="59"/>
        <v>1212.3724044939054</v>
      </c>
      <c r="AN87" s="62">
        <f ca="1">AVERAGE(OFFSET($AM$3,0,0,'Données projet'!$E$10+1,1))-AVERAGE(OFFSET($H$3,0,0,'Données projet'!$E$10+1,1))</f>
        <v>490.96084572840579</v>
      </c>
      <c r="AO87" s="62">
        <f t="shared" si="90"/>
        <v>597.91658789908263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59.802888912070436</v>
      </c>
      <c r="AV87" s="23">
        <f>EXP(-LN(2)/25)*AV86+(1-EXP(-LN(2)/25))/(LN(2)/25)*Calculateur!AQ87*Calculateur!AS87*VLOOKUP('Données projet'!$B$10,Paramètres!$A$1:$I$89,3,0)*0.475*44/12</f>
        <v>11.557045256206175</v>
      </c>
      <c r="AW87" s="23">
        <f>EXP(-LN(2)/2)*AW86+(1-EXP(-LN(2)/2))/(LN(2)/2)*AQ87*AT87*VLOOKUP('Données projet'!$B$10,Paramètres!$A$1:$I$89,3,0)*0.475*44/12</f>
        <v>2.9448405051105145E-7</v>
      </c>
      <c r="AX87" s="23">
        <f t="shared" si="60"/>
        <v>71.359934462760663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310.95287409903602</v>
      </c>
      <c r="T88" s="62">
        <f t="shared" si="88"/>
        <v>224.10083380795163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68.413978650315585</v>
      </c>
      <c r="AA88" s="23">
        <f>EXP(-LN(2)/25)*AA87+(1-EXP(-LN(2)/25))/(LN(2)/25)*Calculateur!V88*Calculateur!X88*VLOOKUP('Données projet'!$B$9,Paramètres!$A$1:$I$89,3,0)*0.475*44/12</f>
        <v>22.73205425855507</v>
      </c>
      <c r="AB88" s="23">
        <f>EXP(-LN(2)/2)*AB87+(1-EXP(-LN(2)/2))/(LN(2)/2)*V88*Y88*VLOOKUP('Données projet'!$B$9,Paramètres!$A$1:$I$89,3,0)*0.475*44/12</f>
        <v>9.3541201626683884E-4</v>
      </c>
      <c r="AC88" s="24">
        <f t="shared" si="57"/>
        <v>91.146968320886913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768.99999999999966</v>
      </c>
      <c r="AJ88" s="14">
        <f>AI88*VLOOKUP('Données projet'!$B$10,Paramètres!$A$1:$I$89,3,0)*VLOOKUP('Données projet'!$B$10,Paramètres!$A$1:$I$89,5,0)</f>
        <v>429.87099999999981</v>
      </c>
      <c r="AK88" s="14">
        <f t="shared" si="89"/>
        <v>97.806935594587088</v>
      </c>
      <c r="AL88" s="22">
        <f t="shared" si="58"/>
        <v>919.03907116057201</v>
      </c>
      <c r="AM88" s="62">
        <f t="shared" si="59"/>
        <v>1212.3724044939054</v>
      </c>
      <c r="AN88" s="62">
        <f ca="1">AVERAGE(OFFSET($AM$3,0,0,'Données projet'!$E$10+1,1))-AVERAGE(OFFSET($H$3,0,0,'Données projet'!$E$10+1,1))</f>
        <v>490.96084572840579</v>
      </c>
      <c r="AO88" s="62">
        <f t="shared" si="90"/>
        <v>597.91658789908263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58.630190736665249</v>
      </c>
      <c r="AV88" s="23">
        <f>EXP(-LN(2)/25)*AV87+(1-EXP(-LN(2)/25))/(LN(2)/25)*Calculateur!AQ88*Calculateur!AS88*VLOOKUP('Données projet'!$B$10,Paramètres!$A$1:$I$89,3,0)*0.475*44/12</f>
        <v>11.241017245916622</v>
      </c>
      <c r="AW88" s="23">
        <f>EXP(-LN(2)/2)*AW87+(1-EXP(-LN(2)/2))/(LN(2)/2)*AQ88*AT88*VLOOKUP('Données projet'!$B$10,Paramètres!$A$1:$I$89,3,0)*0.475*44/12</f>
        <v>2.0823166906764627E-7</v>
      </c>
      <c r="AX88" s="23">
        <f t="shared" si="60"/>
        <v>69.871208190813533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310.95287409903602</v>
      </c>
      <c r="T89" s="62">
        <f t="shared" si="88"/>
        <v>224.10083380795163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67.072422257389533</v>
      </c>
      <c r="AA89" s="23">
        <f>EXP(-LN(2)/25)*AA88+(1-EXP(-LN(2)/25))/(LN(2)/25)*Calculateur!V89*Calculateur!X89*VLOOKUP('Données projet'!$B$9,Paramètres!$A$1:$I$89,3,0)*0.475*44/12</f>
        <v>22.110445039428104</v>
      </c>
      <c r="AB89" s="23">
        <f>EXP(-LN(2)/2)*AB88+(1-EXP(-LN(2)/2))/(LN(2)/2)*V89*Y89*VLOOKUP('Données projet'!$B$9,Paramètres!$A$1:$I$89,3,0)*0.475*44/12</f>
        <v>6.614361799056629E-4</v>
      </c>
      <c r="AC89" s="24">
        <f t="shared" si="57"/>
        <v>89.183528732997544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768.99999999999966</v>
      </c>
      <c r="AJ89" s="14">
        <f>AI89*VLOOKUP('Données projet'!$B$10,Paramètres!$A$1:$I$89,3,0)*VLOOKUP('Données projet'!$B$10,Paramètres!$A$1:$I$89,5,0)</f>
        <v>429.87099999999981</v>
      </c>
      <c r="AK89" s="14">
        <f t="shared" si="89"/>
        <v>97.806935594587088</v>
      </c>
      <c r="AL89" s="22">
        <f t="shared" si="58"/>
        <v>919.03907116057201</v>
      </c>
      <c r="AM89" s="62">
        <f t="shared" si="59"/>
        <v>1212.3724044939054</v>
      </c>
      <c r="AN89" s="62">
        <f ca="1">AVERAGE(OFFSET($AM$3,0,0,'Données projet'!$E$10+1,1))-AVERAGE(OFFSET($H$3,0,0,'Données projet'!$E$10+1,1))</f>
        <v>490.96084572840579</v>
      </c>
      <c r="AO89" s="62">
        <f t="shared" si="90"/>
        <v>597.91658789908263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57.480488457204501</v>
      </c>
      <c r="AV89" s="23">
        <f>EXP(-LN(2)/25)*AV88+(1-EXP(-LN(2)/25))/(LN(2)/25)*Calculateur!AQ89*Calculateur!AS89*VLOOKUP('Données projet'!$B$10,Paramètres!$A$1:$I$89,3,0)*0.475*44/12</f>
        <v>10.933631038187626</v>
      </c>
      <c r="AW89" s="23">
        <f>EXP(-LN(2)/2)*AW88+(1-EXP(-LN(2)/2))/(LN(2)/2)*AQ89*AT89*VLOOKUP('Données projet'!$B$10,Paramètres!$A$1:$I$89,3,0)*0.475*44/12</f>
        <v>1.4724202525552573E-7</v>
      </c>
      <c r="AX89" s="23">
        <f t="shared" si="60"/>
        <v>68.414119642634148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310.95287409903602</v>
      </c>
      <c r="T90" s="62">
        <f t="shared" si="88"/>
        <v>224.10083380795163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65.757172967060157</v>
      </c>
      <c r="AA90" s="23">
        <f>EXP(-LN(2)/25)*AA89+(1-EXP(-LN(2)/25))/(LN(2)/25)*Calculateur!V90*Calculateur!X90*VLOOKUP('Données projet'!$B$9,Paramètres!$A$1:$I$89,3,0)*0.475*44/12</f>
        <v>21.505833757087171</v>
      </c>
      <c r="AB90" s="23">
        <f>EXP(-LN(2)/2)*AB89+(1-EXP(-LN(2)/2))/(LN(2)/2)*V90*Y90*VLOOKUP('Données projet'!$B$9,Paramètres!$A$1:$I$89,3,0)*0.475*44/12</f>
        <v>4.6770600813341947E-4</v>
      </c>
      <c r="AC90" s="24">
        <f t="shared" si="57"/>
        <v>87.263474430155469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768.99999999999966</v>
      </c>
      <c r="AJ90" s="14">
        <f>AI90*VLOOKUP('Données projet'!$B$10,Paramètres!$A$1:$I$89,3,0)*VLOOKUP('Données projet'!$B$10,Paramètres!$A$1:$I$89,5,0)</f>
        <v>429.87099999999981</v>
      </c>
      <c r="AK90" s="14">
        <f t="shared" si="89"/>
        <v>97.806935594587088</v>
      </c>
      <c r="AL90" s="22">
        <f t="shared" si="58"/>
        <v>919.03907116057201</v>
      </c>
      <c r="AM90" s="62">
        <f t="shared" si="59"/>
        <v>1212.3724044939054</v>
      </c>
      <c r="AN90" s="62">
        <f ca="1">AVERAGE(OFFSET($AM$3,0,0,'Données projet'!$E$10+1,1))-AVERAGE(OFFSET($H$3,0,0,'Données projet'!$E$10+1,1))</f>
        <v>490.96084572840579</v>
      </c>
      <c r="AO90" s="62">
        <f t="shared" si="90"/>
        <v>597.91658789908263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56.353331138194825</v>
      </c>
      <c r="AV90" s="23">
        <f>EXP(-LN(2)/25)*AV89+(1-EXP(-LN(2)/25))/(LN(2)/25)*Calculateur!AQ90*Calculateur!AS90*VLOOKUP('Données projet'!$B$10,Paramètres!$A$1:$I$89,3,0)*0.475*44/12</f>
        <v>10.634650322473718</v>
      </c>
      <c r="AW90" s="23">
        <f>EXP(-LN(2)/2)*AW89+(1-EXP(-LN(2)/2))/(LN(2)/2)*AQ90*AT90*VLOOKUP('Données projet'!$B$10,Paramètres!$A$1:$I$89,3,0)*0.475*44/12</f>
        <v>1.0411583453382314E-7</v>
      </c>
      <c r="AX90" s="23">
        <f t="shared" si="60"/>
        <v>66.987981564784391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310.95287409903602</v>
      </c>
      <c r="T91" s="62">
        <f t="shared" si="88"/>
        <v>224.10083380795163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64.467714913091285</v>
      </c>
      <c r="AA91" s="23">
        <f>EXP(-LN(2)/25)*AA90+(1-EXP(-LN(2)/25))/(LN(2)/25)*Calculateur!V91*Calculateur!X91*VLOOKUP('Données projet'!$B$9,Paramètres!$A$1:$I$89,3,0)*0.475*44/12</f>
        <v>20.917755602056978</v>
      </c>
      <c r="AB91" s="23">
        <f>EXP(-LN(2)/2)*AB90+(1-EXP(-LN(2)/2))/(LN(2)/2)*V91*Y91*VLOOKUP('Données projet'!$B$9,Paramètres!$A$1:$I$89,3,0)*0.475*44/12</f>
        <v>3.3071808995283151E-4</v>
      </c>
      <c r="AC91" s="24">
        <f t="shared" si="57"/>
        <v>85.385801233238212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768.99999999999966</v>
      </c>
      <c r="AJ91" s="14">
        <f>AI91*VLOOKUP('Données projet'!$B$10,Paramètres!$A$1:$I$89,3,0)*VLOOKUP('Données projet'!$B$10,Paramètres!$A$1:$I$89,5,0)</f>
        <v>429.87099999999981</v>
      </c>
      <c r="AK91" s="14">
        <f t="shared" si="89"/>
        <v>97.806935594587088</v>
      </c>
      <c r="AL91" s="22">
        <f t="shared" si="58"/>
        <v>919.03907116057201</v>
      </c>
      <c r="AM91" s="62">
        <f t="shared" si="59"/>
        <v>1212.3724044939054</v>
      </c>
      <c r="AN91" s="62">
        <f ca="1">AVERAGE(OFFSET($AM$3,0,0,'Données projet'!$E$10+1,1))-AVERAGE(OFFSET($H$3,0,0,'Données projet'!$E$10+1,1))</f>
        <v>490.96084572840579</v>
      </c>
      <c r="AO91" s="62">
        <f t="shared" si="90"/>
        <v>597.91658789908263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55.248276686712849</v>
      </c>
      <c r="AV91" s="23">
        <f>EXP(-LN(2)/25)*AV90+(1-EXP(-LN(2)/25))/(LN(2)/25)*Calculateur!AQ91*Calculateur!AS91*VLOOKUP('Données projet'!$B$10,Paramètres!$A$1:$I$89,3,0)*0.475*44/12</f>
        <v>10.34384525015372</v>
      </c>
      <c r="AW91" s="23">
        <f>EXP(-LN(2)/2)*AW90+(1-EXP(-LN(2)/2))/(LN(2)/2)*AQ91*AT91*VLOOKUP('Données projet'!$B$10,Paramètres!$A$1:$I$89,3,0)*0.475*44/12</f>
        <v>7.3621012627762863E-8</v>
      </c>
      <c r="AX91" s="23">
        <f t="shared" si="60"/>
        <v>65.592122010487572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310.95287409903602</v>
      </c>
      <c r="T92" s="62">
        <f t="shared" si="88"/>
        <v>224.10083380795163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63.203542345068996</v>
      </c>
      <c r="AA92" s="23">
        <f>EXP(-LN(2)/25)*AA91+(1-EXP(-LN(2)/25))/(LN(2)/25)*Calculateur!V92*Calculateur!X92*VLOOKUP('Données projet'!$B$9,Paramètres!$A$1:$I$89,3,0)*0.475*44/12</f>
        <v>20.345758475101771</v>
      </c>
      <c r="AB92" s="23">
        <f>EXP(-LN(2)/2)*AB91+(1-EXP(-LN(2)/2))/(LN(2)/2)*V92*Y92*VLOOKUP('Données projet'!$B$9,Paramètres!$A$1:$I$89,3,0)*0.475*44/12</f>
        <v>2.3385300406670979E-4</v>
      </c>
      <c r="AC92" s="24">
        <f t="shared" si="57"/>
        <v>83.549534673174833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768.99999999999966</v>
      </c>
      <c r="AJ92" s="14">
        <f>AI92*VLOOKUP('Données projet'!$B$10,Paramètres!$A$1:$I$89,3,0)*VLOOKUP('Données projet'!$B$10,Paramètres!$A$1:$I$89,5,0)</f>
        <v>429.87099999999981</v>
      </c>
      <c r="AK92" s="14">
        <f t="shared" si="89"/>
        <v>97.806935594587088</v>
      </c>
      <c r="AL92" s="22">
        <f t="shared" si="58"/>
        <v>919.03907116057201</v>
      </c>
      <c r="AM92" s="62">
        <f t="shared" si="59"/>
        <v>1212.3724044939054</v>
      </c>
      <c r="AN92" s="62">
        <f ca="1">AVERAGE(OFFSET($AM$3,0,0,'Données projet'!$E$10+1,1))-AVERAGE(OFFSET($H$3,0,0,'Données projet'!$E$10+1,1))</f>
        <v>490.96084572840579</v>
      </c>
      <c r="AO92" s="62">
        <f t="shared" si="90"/>
        <v>597.91658789908263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54.164891679007773</v>
      </c>
      <c r="AV92" s="23">
        <f>EXP(-LN(2)/25)*AV91+(1-EXP(-LN(2)/25))/(LN(2)/25)*Calculateur!AQ92*Calculateur!AS92*VLOOKUP('Données projet'!$B$10,Paramètres!$A$1:$I$89,3,0)*0.475*44/12</f>
        <v>10.060992257829087</v>
      </c>
      <c r="AW92" s="23">
        <f>EXP(-LN(2)/2)*AW91+(1-EXP(-LN(2)/2))/(LN(2)/2)*AQ92*AT92*VLOOKUP('Données projet'!$B$10,Paramètres!$A$1:$I$89,3,0)*0.475*44/12</f>
        <v>5.2057917266911568E-8</v>
      </c>
      <c r="AX92" s="23">
        <f t="shared" si="60"/>
        <v>64.225883988894779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310.95287409903602</v>
      </c>
      <c r="T93" s="62">
        <f t="shared" si="88"/>
        <v>224.10083380795163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0.55000000000000004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108.06094769210507</v>
      </c>
      <c r="AA93" s="23">
        <f>EXP(-LN(2)/25)*AA92+(1-EXP(-LN(2)/25))/(LN(2)/25)*Calculateur!V93*Calculateur!X93*VLOOKUP('Données projet'!$B$9,Paramètres!$A$1:$I$89,3,0)*0.475*44/12</f>
        <v>19.789402639663177</v>
      </c>
      <c r="AB93" s="23">
        <f>EXP(-LN(2)/2)*AB92+(1-EXP(-LN(2)/2))/(LN(2)/2)*V93*Y93*VLOOKUP('Données projet'!$B$9,Paramètres!$A$1:$I$89,3,0)*0.475*44/12</f>
        <v>1.6535904497641578E-4</v>
      </c>
      <c r="AC93" s="24">
        <f t="shared" si="57"/>
        <v>127.85051569081322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768.99999999999966</v>
      </c>
      <c r="AJ93" s="14">
        <f>AI93*VLOOKUP('Données projet'!$B$10,Paramètres!$A$1:$I$89,3,0)*VLOOKUP('Données projet'!$B$10,Paramètres!$A$1:$I$89,5,0)</f>
        <v>429.87099999999981</v>
      </c>
      <c r="AK93" s="14">
        <f t="shared" si="89"/>
        <v>97.806935594587088</v>
      </c>
      <c r="AL93" s="22">
        <f t="shared" si="58"/>
        <v>919.03907116057201</v>
      </c>
      <c r="AM93" s="62">
        <f t="shared" si="59"/>
        <v>1212.3724044939054</v>
      </c>
      <c r="AN93" s="62">
        <f ca="1">AVERAGE(OFFSET($AM$3,0,0,'Données projet'!$E$10+1,1))-AVERAGE(OFFSET($H$3,0,0,'Données projet'!$E$10+1,1))</f>
        <v>490.96084572840579</v>
      </c>
      <c r="AO93" s="62">
        <f t="shared" si="90"/>
        <v>597.91658789908263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53.102751190504193</v>
      </c>
      <c r="AV93" s="23">
        <f>EXP(-LN(2)/25)*AV92+(1-EXP(-LN(2)/25))/(LN(2)/25)*Calculateur!AQ93*Calculateur!AS93*VLOOKUP('Données projet'!$B$10,Paramètres!$A$1:$I$89,3,0)*0.475*44/12</f>
        <v>9.7858738954541629</v>
      </c>
      <c r="AW93" s="23">
        <f>EXP(-LN(2)/2)*AW92+(1-EXP(-LN(2)/2))/(LN(2)/2)*AQ93*AT93*VLOOKUP('Données projet'!$B$10,Paramètres!$A$1:$I$89,3,0)*0.475*44/12</f>
        <v>3.6810506313881432E-8</v>
      </c>
      <c r="AX93" s="23">
        <f t="shared" si="60"/>
        <v>62.888625122768858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310.95287409903602</v>
      </c>
      <c r="T94" s="62">
        <f t="shared" si="88"/>
        <v>224.10083380795163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105.94193841853284</v>
      </c>
      <c r="AA94" s="23">
        <f>EXP(-LN(2)/25)*AA93+(1-EXP(-LN(2)/25))/(LN(2)/25)*Calculateur!V94*Calculateur!X94*VLOOKUP('Données projet'!$B$9,Paramètres!$A$1:$I$89,3,0)*0.475*44/12</f>
        <v>19.24826038380213</v>
      </c>
      <c r="AB94" s="23">
        <f>EXP(-LN(2)/2)*AB93+(1-EXP(-LN(2)/2))/(LN(2)/2)*V94*Y94*VLOOKUP('Données projet'!$B$9,Paramètres!$A$1:$I$89,3,0)*0.475*44/12</f>
        <v>1.1692650203335491E-4</v>
      </c>
      <c r="AC94" s="24">
        <f t="shared" si="57"/>
        <v>125.19031572883701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768.99999999999966</v>
      </c>
      <c r="AJ94" s="14">
        <f>AI94*VLOOKUP('Données projet'!$B$10,Paramètres!$A$1:$I$89,3,0)*VLOOKUP('Données projet'!$B$10,Paramètres!$A$1:$I$89,5,0)</f>
        <v>429.87099999999981</v>
      </c>
      <c r="AK94" s="14">
        <f t="shared" si="89"/>
        <v>97.806935594587088</v>
      </c>
      <c r="AL94" s="22">
        <f t="shared" si="58"/>
        <v>919.03907116057201</v>
      </c>
      <c r="AM94" s="62">
        <f t="shared" si="59"/>
        <v>1212.3724044939054</v>
      </c>
      <c r="AN94" s="62">
        <f ca="1">AVERAGE(OFFSET($AM$3,0,0,'Données projet'!$E$10+1,1))-AVERAGE(OFFSET($H$3,0,0,'Données projet'!$E$10+1,1))</f>
        <v>490.96084572840579</v>
      </c>
      <c r="AO94" s="62">
        <f t="shared" si="90"/>
        <v>597.91658789908263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52.061438629138436</v>
      </c>
      <c r="AV94" s="23">
        <f>EXP(-LN(2)/25)*AV93+(1-EXP(-LN(2)/25))/(LN(2)/25)*Calculateur!AQ94*Calculateur!AS94*VLOOKUP('Données projet'!$B$10,Paramètres!$A$1:$I$89,3,0)*0.475*44/12</f>
        <v>9.5182786591662261</v>
      </c>
      <c r="AW94" s="23">
        <f>EXP(-LN(2)/2)*AW93+(1-EXP(-LN(2)/2))/(LN(2)/2)*AQ94*AT94*VLOOKUP('Données projet'!$B$10,Paramètres!$A$1:$I$89,3,0)*0.475*44/12</f>
        <v>2.6028958633455784E-8</v>
      </c>
      <c r="AX94" s="23">
        <f t="shared" si="60"/>
        <v>61.579717314333621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310.95287409903602</v>
      </c>
      <c r="T95" s="62">
        <f t="shared" si="88"/>
        <v>224.10083380795163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103.86448162434733</v>
      </c>
      <c r="AA95" s="23">
        <f>EXP(-LN(2)/25)*AA94+(1-EXP(-LN(2)/25))/(LN(2)/25)*Calculateur!V95*Calculateur!X95*VLOOKUP('Données projet'!$B$9,Paramètres!$A$1:$I$89,3,0)*0.475*44/12</f>
        <v>18.721915691385039</v>
      </c>
      <c r="AB95" s="23">
        <f>EXP(-LN(2)/2)*AB94+(1-EXP(-LN(2)/2))/(LN(2)/2)*V95*Y95*VLOOKUP('Données projet'!$B$9,Paramètres!$A$1:$I$89,3,0)*0.475*44/12</f>
        <v>8.2679522488207904E-5</v>
      </c>
      <c r="AC95" s="24">
        <f t="shared" si="57"/>
        <v>122.58647999525486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768.99999999999966</v>
      </c>
      <c r="AJ95" s="14">
        <f>AI95*VLOOKUP('Données projet'!$B$10,Paramètres!$A$1:$I$89,3,0)*VLOOKUP('Données projet'!$B$10,Paramètres!$A$1:$I$89,5,0)</f>
        <v>429.87099999999981</v>
      </c>
      <c r="AK95" s="14">
        <f t="shared" si="89"/>
        <v>97.806935594587088</v>
      </c>
      <c r="AL95" s="22">
        <f t="shared" si="58"/>
        <v>919.03907116057201</v>
      </c>
      <c r="AM95" s="62">
        <f t="shared" si="59"/>
        <v>1212.3724044939054</v>
      </c>
      <c r="AN95" s="62">
        <f ca="1">AVERAGE(OFFSET($AM$3,0,0,'Données projet'!$E$10+1,1))-AVERAGE(OFFSET($H$3,0,0,'Données projet'!$E$10+1,1))</f>
        <v>490.96084572840579</v>
      </c>
      <c r="AO95" s="62">
        <f t="shared" si="90"/>
        <v>597.91658789908263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51.040545571963115</v>
      </c>
      <c r="AV95" s="23">
        <f>EXP(-LN(2)/25)*AV94+(1-EXP(-LN(2)/25))/(LN(2)/25)*Calculateur!AQ95*Calculateur!AS95*VLOOKUP('Données projet'!$B$10,Paramètres!$A$1:$I$89,3,0)*0.475*44/12</f>
        <v>9.2580008286868054</v>
      </c>
      <c r="AW95" s="23">
        <f>EXP(-LN(2)/2)*AW94+(1-EXP(-LN(2)/2))/(LN(2)/2)*AQ95*AT95*VLOOKUP('Données projet'!$B$10,Paramètres!$A$1:$I$89,3,0)*0.475*44/12</f>
        <v>1.8405253156940716E-8</v>
      </c>
      <c r="AX95" s="23">
        <f t="shared" si="60"/>
        <v>60.298546419055171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310.95287409903602</v>
      </c>
      <c r="T96" s="62">
        <f t="shared" si="88"/>
        <v>224.10083380795163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101.82776249077227</v>
      </c>
      <c r="AA96" s="23">
        <f>EXP(-LN(2)/25)*AA95+(1-EXP(-LN(2)/25))/(LN(2)/25)*Calculateur!V96*Calculateur!X96*VLOOKUP('Données projet'!$B$9,Paramètres!$A$1:$I$89,3,0)*0.475*44/12</f>
        <v>18.209963922261359</v>
      </c>
      <c r="AB96" s="23">
        <f>EXP(-LN(2)/2)*AB95+(1-EXP(-LN(2)/2))/(LN(2)/2)*V96*Y96*VLOOKUP('Données projet'!$B$9,Paramètres!$A$1:$I$89,3,0)*0.475*44/12</f>
        <v>5.8463251016677468E-5</v>
      </c>
      <c r="AC96" s="24">
        <f t="shared" si="57"/>
        <v>120.03778487628465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768.99999999999966</v>
      </c>
      <c r="AJ96" s="14">
        <f>AI96*VLOOKUP('Données projet'!$B$10,Paramètres!$A$1:$I$89,3,0)*VLOOKUP('Données projet'!$B$10,Paramètres!$A$1:$I$89,5,0)</f>
        <v>429.87099999999981</v>
      </c>
      <c r="AK96" s="14">
        <f t="shared" si="89"/>
        <v>97.806935594587088</v>
      </c>
      <c r="AL96" s="22">
        <f t="shared" si="58"/>
        <v>919.03907116057201</v>
      </c>
      <c r="AM96" s="62">
        <f t="shared" si="59"/>
        <v>1212.3724044939054</v>
      </c>
      <c r="AN96" s="62">
        <f ca="1">AVERAGE(OFFSET($AM$3,0,0,'Données projet'!$E$10+1,1))-AVERAGE(OFFSET($H$3,0,0,'Données projet'!$E$10+1,1))</f>
        <v>490.96084572840579</v>
      </c>
      <c r="AO96" s="62">
        <f t="shared" si="90"/>
        <v>597.91658789908263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50.039671604955721</v>
      </c>
      <c r="AV96" s="23">
        <f>EXP(-LN(2)/25)*AV95+(1-EXP(-LN(2)/25))/(LN(2)/25)*Calculateur!AQ96*Calculateur!AS96*VLOOKUP('Données projet'!$B$10,Paramètres!$A$1:$I$89,3,0)*0.475*44/12</f>
        <v>9.0048403091692606</v>
      </c>
      <c r="AW96" s="23">
        <f>EXP(-LN(2)/2)*AW95+(1-EXP(-LN(2)/2))/(LN(2)/2)*AQ96*AT96*VLOOKUP('Données projet'!$B$10,Paramètres!$A$1:$I$89,3,0)*0.475*44/12</f>
        <v>1.3014479316727892E-8</v>
      </c>
      <c r="AX96" s="23">
        <f t="shared" si="60"/>
        <v>59.04451192713946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310.95287409903602</v>
      </c>
      <c r="T97" s="62">
        <f t="shared" si="88"/>
        <v>224.10083380795163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99.830982177130608</v>
      </c>
      <c r="AA97" s="23">
        <f>EXP(-LN(2)/25)*AA96+(1-EXP(-LN(2)/25))/(LN(2)/25)*Calculateur!V97*Calculateur!X97*VLOOKUP('Données projet'!$B$9,Paramètres!$A$1:$I$89,3,0)*0.475*44/12</f>
        <v>17.712011501186741</v>
      </c>
      <c r="AB97" s="23">
        <f>EXP(-LN(2)/2)*AB96+(1-EXP(-LN(2)/2))/(LN(2)/2)*V97*Y97*VLOOKUP('Données projet'!$B$9,Paramètres!$A$1:$I$89,3,0)*0.475*44/12</f>
        <v>4.1339761244103959E-5</v>
      </c>
      <c r="AC97" s="24">
        <f t="shared" si="57"/>
        <v>117.54303501807858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768.99999999999966</v>
      </c>
      <c r="AJ97" s="14">
        <f>AI97*VLOOKUP('Données projet'!$B$10,Paramètres!$A$1:$I$89,3,0)*VLOOKUP('Données projet'!$B$10,Paramètres!$A$1:$I$89,5,0)</f>
        <v>429.87099999999981</v>
      </c>
      <c r="AK97" s="14">
        <f t="shared" si="89"/>
        <v>97.806935594587088</v>
      </c>
      <c r="AL97" s="22">
        <f t="shared" si="58"/>
        <v>919.03907116057201</v>
      </c>
      <c r="AM97" s="62">
        <f t="shared" si="59"/>
        <v>1212.3724044939054</v>
      </c>
      <c r="AN97" s="62">
        <f ca="1">AVERAGE(OFFSET($AM$3,0,0,'Données projet'!$E$10+1,1))-AVERAGE(OFFSET($H$3,0,0,'Données projet'!$E$10+1,1))</f>
        <v>490.96084572840579</v>
      </c>
      <c r="AO97" s="62">
        <f t="shared" si="90"/>
        <v>597.91658789908263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49.058424165968503</v>
      </c>
      <c r="AV97" s="23">
        <f>EXP(-LN(2)/25)*AV96+(1-EXP(-LN(2)/25))/(LN(2)/25)*Calculateur!AQ97*Calculateur!AS97*VLOOKUP('Données projet'!$B$10,Paramètres!$A$1:$I$89,3,0)*0.475*44/12</f>
        <v>8.7586024773710562</v>
      </c>
      <c r="AW97" s="23">
        <f>EXP(-LN(2)/2)*AW96+(1-EXP(-LN(2)/2))/(LN(2)/2)*AQ97*AT97*VLOOKUP('Données projet'!$B$10,Paramètres!$A$1:$I$89,3,0)*0.475*44/12</f>
        <v>9.2026265784703579E-9</v>
      </c>
      <c r="AX97" s="23">
        <f t="shared" si="60"/>
        <v>57.817026652542189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310.95287409903602</v>
      </c>
      <c r="T98" s="62">
        <f t="shared" si="88"/>
        <v>224.10083380795163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97.873357507523735</v>
      </c>
      <c r="AA98" s="23">
        <f>EXP(-LN(2)/25)*AA97+(1-EXP(-LN(2)/25))/(LN(2)/25)*Calculateur!V98*Calculateur!X98*VLOOKUP('Données projet'!$B$9,Paramètres!$A$1:$I$89,3,0)*0.475*44/12</f>
        <v>17.227675615252586</v>
      </c>
      <c r="AB98" s="23">
        <f>EXP(-LN(2)/2)*AB97+(1-EXP(-LN(2)/2))/(LN(2)/2)*V98*Y98*VLOOKUP('Données projet'!$B$9,Paramètres!$A$1:$I$89,3,0)*0.475*44/12</f>
        <v>2.9231625508338737E-5</v>
      </c>
      <c r="AC98" s="24">
        <f t="shared" si="57"/>
        <v>115.10106235440183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768.99999999999966</v>
      </c>
      <c r="AJ98" s="14">
        <f>AI98*VLOOKUP('Données projet'!$B$10,Paramètres!$A$1:$I$89,3,0)*VLOOKUP('Données projet'!$B$10,Paramètres!$A$1:$I$89,5,0)</f>
        <v>429.87099999999981</v>
      </c>
      <c r="AK98" s="14">
        <f t="shared" si="89"/>
        <v>97.806935594587088</v>
      </c>
      <c r="AL98" s="22">
        <f t="shared" si="58"/>
        <v>919.03907116057201</v>
      </c>
      <c r="AM98" s="62">
        <f t="shared" si="59"/>
        <v>1212.3724044939054</v>
      </c>
      <c r="AN98" s="62">
        <f ca="1">AVERAGE(OFFSET($AM$3,0,0,'Données projet'!$E$10+1,1))-AVERAGE(OFFSET($H$3,0,0,'Données projet'!$E$10+1,1))</f>
        <v>490.96084572840579</v>
      </c>
      <c r="AO98" s="62">
        <f t="shared" si="90"/>
        <v>597.91658789908263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48.096418390757982</v>
      </c>
      <c r="AV98" s="23">
        <f>EXP(-LN(2)/25)*AV97+(1-EXP(-LN(2)/25))/(LN(2)/25)*Calculateur!AQ98*Calculateur!AS98*VLOOKUP('Données projet'!$B$10,Paramètres!$A$1:$I$89,3,0)*0.475*44/12</f>
        <v>8.5190980320324581</v>
      </c>
      <c r="AW98" s="23">
        <f>EXP(-LN(2)/2)*AW97+(1-EXP(-LN(2)/2))/(LN(2)/2)*AQ98*AT98*VLOOKUP('Données projet'!$B$10,Paramètres!$A$1:$I$89,3,0)*0.475*44/12</f>
        <v>6.507239658363946E-9</v>
      </c>
      <c r="AX98" s="23">
        <f t="shared" si="60"/>
        <v>56.615516429297685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310.95287409903602</v>
      </c>
      <c r="T99" s="62">
        <f t="shared" si="88"/>
        <v>224.10083380795163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95.954120663654706</v>
      </c>
      <c r="AA99" s="23">
        <f>EXP(-LN(2)/25)*AA98+(1-EXP(-LN(2)/25))/(LN(2)/25)*Calculateur!V99*Calculateur!X99*VLOOKUP('Données projet'!$B$9,Paramètres!$A$1:$I$89,3,0)*0.475*44/12</f>
        <v>16.756583919589417</v>
      </c>
      <c r="AB99" s="23">
        <f>EXP(-LN(2)/2)*AB98+(1-EXP(-LN(2)/2))/(LN(2)/2)*V99*Y99*VLOOKUP('Données projet'!$B$9,Paramètres!$A$1:$I$89,3,0)*0.475*44/12</f>
        <v>2.0669880622051983E-5</v>
      </c>
      <c r="AC99" s="24">
        <f t="shared" si="57"/>
        <v>112.71072525312475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768.99999999999966</v>
      </c>
      <c r="AJ99" s="14">
        <f>AI99*VLOOKUP('Données projet'!$B$10,Paramètres!$A$1:$I$89,3,0)*VLOOKUP('Données projet'!$B$10,Paramètres!$A$1:$I$89,5,0)</f>
        <v>429.87099999999981</v>
      </c>
      <c r="AK99" s="14">
        <f t="shared" si="89"/>
        <v>97.806935594587088</v>
      </c>
      <c r="AL99" s="22">
        <f t="shared" si="58"/>
        <v>919.03907116057201</v>
      </c>
      <c r="AM99" s="62">
        <f t="shared" si="59"/>
        <v>1212.3724044939054</v>
      </c>
      <c r="AN99" s="62">
        <f ca="1">AVERAGE(OFFSET($AM$3,0,0,'Données projet'!$E$10+1,1))-AVERAGE(OFFSET($H$3,0,0,'Données projet'!$E$10+1,1))</f>
        <v>490.96084572840579</v>
      </c>
      <c r="AO99" s="62">
        <f t="shared" si="90"/>
        <v>597.91658789908263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47.153276962033758</v>
      </c>
      <c r="AV99" s="23">
        <f>EXP(-LN(2)/25)*AV98+(1-EXP(-LN(2)/25))/(LN(2)/25)*Calculateur!AQ99*Calculateur!AS99*VLOOKUP('Données projet'!$B$10,Paramètres!$A$1:$I$89,3,0)*0.475*44/12</f>
        <v>8.2861428483466355</v>
      </c>
      <c r="AW99" s="23">
        <f>EXP(-LN(2)/2)*AW98+(1-EXP(-LN(2)/2))/(LN(2)/2)*AQ99*AT99*VLOOKUP('Données projet'!$B$10,Paramètres!$A$1:$I$89,3,0)*0.475*44/12</f>
        <v>4.601313289235179E-9</v>
      </c>
      <c r="AX99" s="23">
        <f t="shared" si="60"/>
        <v>55.439419814981704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310.95287409903602</v>
      </c>
      <c r="T100" s="62">
        <f t="shared" si="88"/>
        <v>224.10083380795163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94.072518883675059</v>
      </c>
      <c r="AA100" s="23">
        <f>EXP(-LN(2)/25)*AA99+(1-EXP(-LN(2)/25))/(LN(2)/25)*Calculateur!V100*Calculateur!X100*VLOOKUP('Données projet'!$B$9,Paramètres!$A$1:$I$89,3,0)*0.475*44/12</f>
        <v>16.298374251117792</v>
      </c>
      <c r="AB100" s="23">
        <f>EXP(-LN(2)/2)*AB99+(1-EXP(-LN(2)/2))/(LN(2)/2)*V100*Y100*VLOOKUP('Données projet'!$B$9,Paramètres!$A$1:$I$89,3,0)*0.475*44/12</f>
        <v>1.461581275416937E-5</v>
      </c>
      <c r="AC100" s="24">
        <f t="shared" si="57"/>
        <v>110.37090775060561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768.99999999999966</v>
      </c>
      <c r="AJ100" s="14">
        <f>AI100*VLOOKUP('Données projet'!$B$10,Paramètres!$A$1:$I$89,3,0)*VLOOKUP('Données projet'!$B$10,Paramètres!$A$1:$I$89,5,0)</f>
        <v>429.87099999999981</v>
      </c>
      <c r="AK100" s="14">
        <f t="shared" si="89"/>
        <v>97.806935594587088</v>
      </c>
      <c r="AL100" s="22">
        <f t="shared" si="58"/>
        <v>919.03907116057201</v>
      </c>
      <c r="AM100" s="62">
        <f t="shared" si="59"/>
        <v>1212.3724044939054</v>
      </c>
      <c r="AN100" s="62">
        <f ca="1">AVERAGE(OFFSET($AM$3,0,0,'Données projet'!$E$10+1,1))-AVERAGE(OFFSET($H$3,0,0,'Données projet'!$E$10+1,1))</f>
        <v>490.96084572840579</v>
      </c>
      <c r="AO100" s="62">
        <f t="shared" si="90"/>
        <v>597.91658789908263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46.228629961467341</v>
      </c>
      <c r="AV100" s="23">
        <f>EXP(-LN(2)/25)*AV99+(1-EXP(-LN(2)/25))/(LN(2)/25)*Calculateur!AQ100*Calculateur!AS100*VLOOKUP('Données projet'!$B$10,Paramètres!$A$1:$I$89,3,0)*0.475*44/12</f>
        <v>8.059557836409283</v>
      </c>
      <c r="AW100" s="23">
        <f>EXP(-LN(2)/2)*AW99+(1-EXP(-LN(2)/2))/(LN(2)/2)*AQ100*AT100*VLOOKUP('Données projet'!$B$10,Paramètres!$A$1:$I$89,3,0)*0.475*44/12</f>
        <v>3.253619829181973E-9</v>
      </c>
      <c r="AX100" s="23">
        <f t="shared" si="60"/>
        <v>54.288187801130242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310.95287409903602</v>
      </c>
      <c r="T101" s="62">
        <f t="shared" si="88"/>
        <v>224.10083380795163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92.227814166937051</v>
      </c>
      <c r="AA101" s="23">
        <f>EXP(-LN(2)/25)*AA100+(1-EXP(-LN(2)/25))/(LN(2)/25)*Calculateur!V101*Calculateur!X101*VLOOKUP('Données projet'!$B$9,Paramètres!$A$1:$I$89,3,0)*0.475*44/12</f>
        <v>15.852694350126725</v>
      </c>
      <c r="AB101" s="23">
        <f>EXP(-LN(2)/2)*AB100+(1-EXP(-LN(2)/2))/(LN(2)/2)*V101*Y101*VLOOKUP('Données projet'!$B$9,Paramètres!$A$1:$I$89,3,0)*0.475*44/12</f>
        <v>1.0334940311025991E-5</v>
      </c>
      <c r="AC101" s="24">
        <f t="shared" si="57"/>
        <v>108.08051885200409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768.99999999999966</v>
      </c>
      <c r="AJ101" s="14">
        <f>AI101*VLOOKUP('Données projet'!$B$10,Paramètres!$A$1:$I$89,3,0)*VLOOKUP('Données projet'!$B$10,Paramètres!$A$1:$I$89,5,0)</f>
        <v>429.87099999999981</v>
      </c>
      <c r="AK101" s="14">
        <f t="shared" si="89"/>
        <v>97.806935594587088</v>
      </c>
      <c r="AL101" s="22">
        <f t="shared" si="58"/>
        <v>919.03907116057201</v>
      </c>
      <c r="AM101" s="62">
        <f t="shared" si="59"/>
        <v>1212.3724044939054</v>
      </c>
      <c r="AN101" s="62">
        <f ca="1">AVERAGE(OFFSET($AM$3,0,0,'Données projet'!$E$10+1,1))-AVERAGE(OFFSET($H$3,0,0,'Données projet'!$E$10+1,1))</f>
        <v>490.96084572840579</v>
      </c>
      <c r="AO101" s="62">
        <f t="shared" si="90"/>
        <v>597.91658789908263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45.322114724603054</v>
      </c>
      <c r="AV101" s="23">
        <f>EXP(-LN(2)/25)*AV100+(1-EXP(-LN(2)/25))/(LN(2)/25)*Calculateur!AQ101*Calculateur!AS101*VLOOKUP('Données projet'!$B$10,Paramètres!$A$1:$I$89,3,0)*0.475*44/12</f>
        <v>7.8391688035389446</v>
      </c>
      <c r="AW101" s="23">
        <f>EXP(-LN(2)/2)*AW100+(1-EXP(-LN(2)/2))/(LN(2)/2)*AQ101*AT101*VLOOKUP('Données projet'!$B$10,Paramètres!$A$1:$I$89,3,0)*0.475*44/12</f>
        <v>2.3006566446175895E-9</v>
      </c>
      <c r="AX101" s="23">
        <f t="shared" si="60"/>
        <v>53.16128353044266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310.95287409903602</v>
      </c>
      <c r="T102" s="62">
        <f t="shared" si="88"/>
        <v>224.10083380795163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90.419282984535499</v>
      </c>
      <c r="AA102" s="23">
        <f>EXP(-LN(2)/25)*AA101+(1-EXP(-LN(2)/25))/(LN(2)/25)*Calculateur!V102*Calculateur!X102*VLOOKUP('Données projet'!$B$9,Paramètres!$A$1:$I$89,3,0)*0.475*44/12</f>
        <v>15.419201589465546</v>
      </c>
      <c r="AB102" s="23">
        <f>EXP(-LN(2)/2)*AB101+(1-EXP(-LN(2)/2))/(LN(2)/2)*V102*Y102*VLOOKUP('Données projet'!$B$9,Paramètres!$A$1:$I$89,3,0)*0.475*44/12</f>
        <v>7.3079063770846852E-6</v>
      </c>
      <c r="AC102" s="24">
        <f t="shared" si="57"/>
        <v>105.83849188190742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768.99999999999966</v>
      </c>
      <c r="AJ102" s="14">
        <f>AI102*VLOOKUP('Données projet'!$B$10,Paramètres!$A$1:$I$89,3,0)*VLOOKUP('Données projet'!$B$10,Paramètres!$A$1:$I$89,5,0)</f>
        <v>429.87099999999981</v>
      </c>
      <c r="AK102" s="14">
        <f t="shared" si="89"/>
        <v>97.806935594587088</v>
      </c>
      <c r="AL102" s="22">
        <f t="shared" si="58"/>
        <v>919.03907116057201</v>
      </c>
      <c r="AM102" s="62">
        <f t="shared" si="59"/>
        <v>1212.3724044939054</v>
      </c>
      <c r="AN102" s="62">
        <f ca="1">AVERAGE(OFFSET($AM$3,0,0,'Données projet'!$E$10+1,1))-AVERAGE(OFFSET($H$3,0,0,'Données projet'!$E$10+1,1))</f>
        <v>490.96084572840579</v>
      </c>
      <c r="AO102" s="62">
        <f t="shared" si="90"/>
        <v>597.91658789908263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44.433375698613979</v>
      </c>
      <c r="AV102" s="23">
        <f>EXP(-LN(2)/25)*AV101+(1-EXP(-LN(2)/25))/(LN(2)/25)*Calculateur!AQ102*Calculateur!AS102*VLOOKUP('Données projet'!$B$10,Paramètres!$A$1:$I$89,3,0)*0.475*44/12</f>
        <v>7.6248063203622012</v>
      </c>
      <c r="AW102" s="23">
        <f>EXP(-LN(2)/2)*AW101+(1-EXP(-LN(2)/2))/(LN(2)/2)*AQ102*AT102*VLOOKUP('Données projet'!$B$10,Paramètres!$A$1:$I$89,3,0)*0.475*44/12</f>
        <v>1.6268099145909865E-9</v>
      </c>
      <c r="AX102" s="23">
        <f t="shared" si="60"/>
        <v>52.058182020602992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310.95287409903602</v>
      </c>
      <c r="T103" s="62">
        <f t="shared" si="88"/>
        <v>224.10083380795163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0.55000000000000004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335.52012646571529</v>
      </c>
      <c r="AA103" s="23">
        <f>EXP(-LN(2)/25)*AA102+(1-EXP(-LN(2)/25))/(LN(2)/25)*Calculateur!V103*Calculateur!X103*VLOOKUP('Données projet'!$B$9,Paramètres!$A$1:$I$89,3,0)*0.475*44/12</f>
        <v>14.99756271114104</v>
      </c>
      <c r="AB103" s="23">
        <f>EXP(-LN(2)/2)*AB102+(1-EXP(-LN(2)/2))/(LN(2)/2)*V103*Y103*VLOOKUP('Données projet'!$B$9,Paramètres!$A$1:$I$89,3,0)*0.475*44/12</f>
        <v>5.1674701555129957E-6</v>
      </c>
      <c r="AC103" s="24">
        <f t="shared" si="57"/>
        <v>350.51769434432646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768.99999999999966</v>
      </c>
      <c r="AJ103" s="14">
        <f>AI103*VLOOKUP('Données projet'!$B$10,Paramètres!$A$1:$I$89,3,0)*VLOOKUP('Données projet'!$B$10,Paramètres!$A$1:$I$89,5,0)</f>
        <v>429.87099999999981</v>
      </c>
      <c r="AK103" s="14">
        <f t="shared" si="89"/>
        <v>97.806935594587088</v>
      </c>
      <c r="AL103" s="22">
        <f t="shared" si="58"/>
        <v>919.03907116057201</v>
      </c>
      <c r="AM103" s="62">
        <f t="shared" si="59"/>
        <v>1212.3724044939054</v>
      </c>
      <c r="AN103" s="62">
        <f ca="1">AVERAGE(OFFSET($AM$3,0,0,'Données projet'!$E$10+1,1))-AVERAGE(OFFSET($H$3,0,0,'Données projet'!$E$10+1,1))</f>
        <v>490.96084572840579</v>
      </c>
      <c r="AO103" s="62">
        <f t="shared" si="90"/>
        <v>597.91658789908263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43.562064302847268</v>
      </c>
      <c r="AV103" s="23">
        <f>EXP(-LN(2)/25)*AV102+(1-EXP(-LN(2)/25))/(LN(2)/25)*Calculateur!AQ103*Calculateur!AS103*VLOOKUP('Données projet'!$B$10,Paramètres!$A$1:$I$89,3,0)*0.475*44/12</f>
        <v>7.4163055905607589</v>
      </c>
      <c r="AW103" s="23">
        <f>EXP(-LN(2)/2)*AW102+(1-EXP(-LN(2)/2))/(LN(2)/2)*AQ103*AT103*VLOOKUP('Données projet'!$B$10,Paramètres!$A$1:$I$89,3,0)*0.475*44/12</f>
        <v>1.1503283223087947E-9</v>
      </c>
      <c r="AX103" s="23">
        <f t="shared" si="60"/>
        <v>50.978369894558355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310.95287409903602</v>
      </c>
      <c r="T104" s="62">
        <f t="shared" si="88"/>
        <v>224.10083380795163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328.94078143279256</v>
      </c>
      <c r="AA104" s="23">
        <f>EXP(-LN(2)/25)*AA103+(1-EXP(-LN(2)/25))/(LN(2)/25)*Calculateur!V104*Calculateur!X104*VLOOKUP('Données projet'!$B$9,Paramètres!$A$1:$I$89,3,0)*0.475*44/12</f>
        <v>14.587453570117342</v>
      </c>
      <c r="AB104" s="23">
        <f>EXP(-LN(2)/2)*AB103+(1-EXP(-LN(2)/2))/(LN(2)/2)*V104*Y104*VLOOKUP('Données projet'!$B$9,Paramètres!$A$1:$I$89,3,0)*0.475*44/12</f>
        <v>3.6539531885423426E-6</v>
      </c>
      <c r="AC104" s="24">
        <f t="shared" si="57"/>
        <v>343.5282386568631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768.99999999999966</v>
      </c>
      <c r="AJ104" s="14">
        <f>AI104*VLOOKUP('Données projet'!$B$10,Paramètres!$A$1:$I$89,3,0)*VLOOKUP('Données projet'!$B$10,Paramètres!$A$1:$I$89,5,0)</f>
        <v>429.87099999999981</v>
      </c>
      <c r="AK104" s="14">
        <f t="shared" si="89"/>
        <v>97.806935594587088</v>
      </c>
      <c r="AL104" s="22">
        <f t="shared" si="58"/>
        <v>919.03907116057201</v>
      </c>
      <c r="AM104" s="62">
        <f t="shared" si="59"/>
        <v>1212.3724044939054</v>
      </c>
      <c r="AN104" s="62">
        <f ca="1">AVERAGE(OFFSET($AM$3,0,0,'Données projet'!$E$10+1,1))-AVERAGE(OFFSET($H$3,0,0,'Données projet'!$E$10+1,1))</f>
        <v>490.96084572840579</v>
      </c>
      <c r="AO104" s="62">
        <f t="shared" si="90"/>
        <v>597.91658789908263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42.707838792104063</v>
      </c>
      <c r="AV104" s="23">
        <f>EXP(-LN(2)/25)*AV103+(1-EXP(-LN(2)/25))/(LN(2)/25)*Calculateur!AQ104*Calculateur!AS104*VLOOKUP('Données projet'!$B$10,Paramètres!$A$1:$I$89,3,0)*0.475*44/12</f>
        <v>7.2135063241803143</v>
      </c>
      <c r="AW104" s="23">
        <f>EXP(-LN(2)/2)*AW103+(1-EXP(-LN(2)/2))/(LN(2)/2)*AQ104*AT104*VLOOKUP('Données projet'!$B$10,Paramètres!$A$1:$I$89,3,0)*0.475*44/12</f>
        <v>8.1340495729549325E-10</v>
      </c>
      <c r="AX104" s="23">
        <f t="shared" si="60"/>
        <v>49.921345117097786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310.95287409903602</v>
      </c>
      <c r="T105" s="62">
        <f t="shared" si="88"/>
        <v>224.10083380795163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322.49045334296119</v>
      </c>
      <c r="AA105" s="23">
        <f>EXP(-LN(2)/25)*AA104+(1-EXP(-LN(2)/25))/(LN(2)/25)*Calculateur!V105*Calculateur!X105*VLOOKUP('Données projet'!$B$9,Paramètres!$A$1:$I$89,3,0)*0.475*44/12</f>
        <v>14.18855888512164</v>
      </c>
      <c r="AB105" s="23">
        <f>EXP(-LN(2)/2)*AB104+(1-EXP(-LN(2)/2))/(LN(2)/2)*V105*Y105*VLOOKUP('Données projet'!$B$9,Paramètres!$A$1:$I$89,3,0)*0.475*44/12</f>
        <v>2.5837350777564978E-6</v>
      </c>
      <c r="AC105" s="24">
        <f t="shared" si="57"/>
        <v>336.67901481181792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768.99999999999966</v>
      </c>
      <c r="AJ105" s="14">
        <f>AI105*VLOOKUP('Données projet'!$B$10,Paramètres!$A$1:$I$89,3,0)*VLOOKUP('Données projet'!$B$10,Paramètres!$A$1:$I$89,5,0)</f>
        <v>429.87099999999981</v>
      </c>
      <c r="AK105" s="14">
        <f t="shared" si="89"/>
        <v>97.806935594587088</v>
      </c>
      <c r="AL105" s="22">
        <f t="shared" si="58"/>
        <v>919.03907116057201</v>
      </c>
      <c r="AM105" s="62">
        <f t="shared" si="59"/>
        <v>1212.3724044939054</v>
      </c>
      <c r="AN105" s="62">
        <f ca="1">AVERAGE(OFFSET($AM$3,0,0,'Données projet'!$E$10+1,1))-AVERAGE(OFFSET($H$3,0,0,'Données projet'!$E$10+1,1))</f>
        <v>490.96084572840579</v>
      </c>
      <c r="AO105" s="62">
        <f t="shared" si="90"/>
        <v>597.91658789908263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41.870364122600421</v>
      </c>
      <c r="AV105" s="23">
        <f>EXP(-LN(2)/25)*AV104+(1-EXP(-LN(2)/25))/(LN(2)/25)*Calculateur!AQ105*Calculateur!AS105*VLOOKUP('Données projet'!$B$10,Paramètres!$A$1:$I$89,3,0)*0.475*44/12</f>
        <v>7.0162526144037924</v>
      </c>
      <c r="AW105" s="23">
        <f>EXP(-LN(2)/2)*AW104+(1-EXP(-LN(2)/2))/(LN(2)/2)*AQ105*AT105*VLOOKUP('Données projet'!$B$10,Paramètres!$A$1:$I$89,3,0)*0.475*44/12</f>
        <v>5.7516416115439737E-10</v>
      </c>
      <c r="AX105" s="23">
        <f t="shared" si="60"/>
        <v>48.886616737579374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310.95287409903602</v>
      </c>
      <c r="T106" s="62">
        <f t="shared" si="88"/>
        <v>224.10083380795163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316.16661225265977</v>
      </c>
      <c r="AA106" s="23">
        <f>EXP(-LN(2)/25)*AA105+(1-EXP(-LN(2)/25))/(LN(2)/25)*Calculateur!V106*Calculateur!X106*VLOOKUP('Données projet'!$B$9,Paramètres!$A$1:$I$89,3,0)*0.475*44/12</f>
        <v>13.800571996264106</v>
      </c>
      <c r="AB106" s="23">
        <f>EXP(-LN(2)/2)*AB105+(1-EXP(-LN(2)/2))/(LN(2)/2)*V106*Y106*VLOOKUP('Données projet'!$B$9,Paramètres!$A$1:$I$89,3,0)*0.475*44/12</f>
        <v>1.8269765942711713E-6</v>
      </c>
      <c r="AC106" s="24">
        <f t="shared" si="57"/>
        <v>329.96718607590049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768.99999999999966</v>
      </c>
      <c r="AJ106" s="14">
        <f>AI106*VLOOKUP('Données projet'!$B$10,Paramètres!$A$1:$I$89,3,0)*VLOOKUP('Données projet'!$B$10,Paramètres!$A$1:$I$89,5,0)</f>
        <v>429.87099999999981</v>
      </c>
      <c r="AK106" s="14">
        <f t="shared" si="89"/>
        <v>97.806935594587088</v>
      </c>
      <c r="AL106" s="22">
        <f t="shared" si="58"/>
        <v>919.03907116057201</v>
      </c>
      <c r="AM106" s="62">
        <f t="shared" si="59"/>
        <v>1212.3724044939054</v>
      </c>
      <c r="AN106" s="62">
        <f ca="1">AVERAGE(OFFSET($AM$3,0,0,'Données projet'!$E$10+1,1))-AVERAGE(OFFSET($H$3,0,0,'Données projet'!$E$10+1,1))</f>
        <v>490.96084572840579</v>
      </c>
      <c r="AO106" s="62">
        <f t="shared" si="90"/>
        <v>597.91658789908263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41.049311820556632</v>
      </c>
      <c r="AV106" s="23">
        <f>EXP(-LN(2)/25)*AV105+(1-EXP(-LN(2)/25))/(LN(2)/25)*Calculateur!AQ106*Calculateur!AS106*VLOOKUP('Données projet'!$B$10,Paramètres!$A$1:$I$89,3,0)*0.475*44/12</f>
        <v>6.8243928176942319</v>
      </c>
      <c r="AW106" s="23">
        <f>EXP(-LN(2)/2)*AW105+(1-EXP(-LN(2)/2))/(LN(2)/2)*AQ106*AT106*VLOOKUP('Données projet'!$B$10,Paramètres!$A$1:$I$89,3,0)*0.475*44/12</f>
        <v>4.0670247864774663E-10</v>
      </c>
      <c r="AX106" s="23">
        <f t="shared" si="60"/>
        <v>47.873704638657564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310.95287409903602</v>
      </c>
      <c r="T107" s="62">
        <f t="shared" si="88"/>
        <v>224.10083380795163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309.96677782897694</v>
      </c>
      <c r="AA107" s="23">
        <f>EXP(-LN(2)/25)*AA106+(1-EXP(-LN(2)/25))/(LN(2)/25)*Calculateur!V107*Calculateur!X107*VLOOKUP('Données projet'!$B$9,Paramètres!$A$1:$I$89,3,0)*0.475*44/12</f>
        <v>13.423194629285724</v>
      </c>
      <c r="AB107" s="23">
        <f>EXP(-LN(2)/2)*AB106+(1-EXP(-LN(2)/2))/(LN(2)/2)*V107*Y107*VLOOKUP('Données projet'!$B$9,Paramètres!$A$1:$I$89,3,0)*0.475*44/12</f>
        <v>1.2918675388782489E-6</v>
      </c>
      <c r="AC107" s="24">
        <f t="shared" si="57"/>
        <v>323.3899737501302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768.99999999999966</v>
      </c>
      <c r="AJ107" s="14">
        <f>AI107*VLOOKUP('Données projet'!$B$10,Paramètres!$A$1:$I$89,3,0)*VLOOKUP('Données projet'!$B$10,Paramètres!$A$1:$I$89,5,0)</f>
        <v>429.87099999999981</v>
      </c>
      <c r="AK107" s="14">
        <f t="shared" si="89"/>
        <v>97.806935594587088</v>
      </c>
      <c r="AL107" s="22">
        <f t="shared" si="58"/>
        <v>919.03907116057201</v>
      </c>
      <c r="AM107" s="62">
        <f t="shared" si="59"/>
        <v>1212.3724044939054</v>
      </c>
      <c r="AN107" s="62">
        <f ca="1">AVERAGE(OFFSET($AM$3,0,0,'Données projet'!$E$10+1,1))-AVERAGE(OFFSET($H$3,0,0,'Données projet'!$E$10+1,1))</f>
        <v>490.96084572840579</v>
      </c>
      <c r="AO107" s="62">
        <f t="shared" si="90"/>
        <v>597.91658789908263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40.24435985336347</v>
      </c>
      <c r="AV107" s="23">
        <f>EXP(-LN(2)/25)*AV106+(1-EXP(-LN(2)/25))/(LN(2)/25)*Calculateur!AQ107*Calculateur!AS107*VLOOKUP('Données projet'!$B$10,Paramètres!$A$1:$I$89,3,0)*0.475*44/12</f>
        <v>6.6377794372151619</v>
      </c>
      <c r="AW107" s="23">
        <f>EXP(-LN(2)/2)*AW106+(1-EXP(-LN(2)/2))/(LN(2)/2)*AQ107*AT107*VLOOKUP('Données projet'!$B$10,Paramètres!$A$1:$I$89,3,0)*0.475*44/12</f>
        <v>2.8758208057719869E-10</v>
      </c>
      <c r="AX107" s="23">
        <f t="shared" si="60"/>
        <v>46.88213929086622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310.95287409903602</v>
      </c>
      <c r="T108" s="62">
        <f t="shared" si="88"/>
        <v>224.10083380795163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303.88851837681693</v>
      </c>
      <c r="AA108" s="23">
        <f>EXP(-LN(2)/25)*AA107+(1-EXP(-LN(2)/25))/(LN(2)/25)*Calculateur!V108*Calculateur!X108*VLOOKUP('Données projet'!$B$9,Paramètres!$A$1:$I$89,3,0)*0.475*44/12</f>
        <v>13.05613666625278</v>
      </c>
      <c r="AB108" s="23">
        <f>EXP(-LN(2)/2)*AB107+(1-EXP(-LN(2)/2))/(LN(2)/2)*V108*Y108*VLOOKUP('Données projet'!$B$9,Paramètres!$A$1:$I$89,3,0)*0.475*44/12</f>
        <v>9.1348829713558565E-7</v>
      </c>
      <c r="AC108" s="24">
        <f t="shared" si="57"/>
        <v>316.94465595655799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768.99999999999966</v>
      </c>
      <c r="AJ108" s="14">
        <f>AI108*VLOOKUP('Données projet'!$B$10,Paramètres!$A$1:$I$89,3,0)*VLOOKUP('Données projet'!$B$10,Paramètres!$A$1:$I$89,5,0)</f>
        <v>429.87099999999981</v>
      </c>
      <c r="AK108" s="14">
        <f t="shared" si="89"/>
        <v>97.806935594587088</v>
      </c>
      <c r="AL108" s="22">
        <f t="shared" si="58"/>
        <v>919.03907116057201</v>
      </c>
      <c r="AM108" s="62">
        <f t="shared" si="59"/>
        <v>1212.3724044939054</v>
      </c>
      <c r="AN108" s="62">
        <f ca="1">AVERAGE(OFFSET($AM$3,0,0,'Données projet'!$E$10+1,1))-AVERAGE(OFFSET($H$3,0,0,'Données projet'!$E$10+1,1))</f>
        <v>490.96084572840579</v>
      </c>
      <c r="AO108" s="62">
        <f t="shared" si="90"/>
        <v>597.91658789908263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39.455192503274745</v>
      </c>
      <c r="AV108" s="23">
        <f>EXP(-LN(2)/25)*AV107+(1-EXP(-LN(2)/25))/(LN(2)/25)*Calculateur!AQ108*Calculateur!AS108*VLOOKUP('Données projet'!$B$10,Paramètres!$A$1:$I$89,3,0)*0.475*44/12</f>
        <v>6.4562690094388637</v>
      </c>
      <c r="AW108" s="23">
        <f>EXP(-LN(2)/2)*AW107+(1-EXP(-LN(2)/2))/(LN(2)/2)*AQ108*AT108*VLOOKUP('Données projet'!$B$10,Paramètres!$A$1:$I$89,3,0)*0.475*44/12</f>
        <v>2.0335123932387331E-10</v>
      </c>
      <c r="AX108" s="23">
        <f t="shared" si="60"/>
        <v>45.911461512916958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310.95287409903602</v>
      </c>
      <c r="T109" s="62">
        <f t="shared" si="88"/>
        <v>224.10083380795163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297.92944988514159</v>
      </c>
      <c r="AA109" s="23">
        <f>EXP(-LN(2)/25)*AA108+(1-EXP(-LN(2)/25))/(LN(2)/25)*Calculateur!V109*Calculateur!X109*VLOOKUP('Données projet'!$B$9,Paramètres!$A$1:$I$89,3,0)*0.475*44/12</f>
        <v>12.69911592252171</v>
      </c>
      <c r="AB109" s="23">
        <f>EXP(-LN(2)/2)*AB108+(1-EXP(-LN(2)/2))/(LN(2)/2)*V109*Y109*VLOOKUP('Données projet'!$B$9,Paramètres!$A$1:$I$89,3,0)*0.475*44/12</f>
        <v>6.4593376943912446E-7</v>
      </c>
      <c r="AC109" s="24">
        <f t="shared" si="57"/>
        <v>310.62856645359705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768.99999999999966</v>
      </c>
      <c r="AJ109" s="14">
        <f>AI109*VLOOKUP('Données projet'!$B$10,Paramètres!$A$1:$I$89,3,0)*VLOOKUP('Données projet'!$B$10,Paramètres!$A$1:$I$89,5,0)</f>
        <v>429.87099999999981</v>
      </c>
      <c r="AK109" s="14">
        <f t="shared" si="89"/>
        <v>97.806935594587088</v>
      </c>
      <c r="AL109" s="22">
        <f t="shared" si="58"/>
        <v>919.03907116057201</v>
      </c>
      <c r="AM109" s="62">
        <f t="shared" si="59"/>
        <v>1212.3724044939054</v>
      </c>
      <c r="AN109" s="62">
        <f ca="1">AVERAGE(OFFSET($AM$3,0,0,'Données projet'!$E$10+1,1))-AVERAGE(OFFSET($H$3,0,0,'Données projet'!$E$10+1,1))</f>
        <v>490.96084572840579</v>
      </c>
      <c r="AO109" s="62">
        <f t="shared" si="90"/>
        <v>597.91658789908263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38.681500243576707</v>
      </c>
      <c r="AV109" s="23">
        <f>EXP(-LN(2)/25)*AV108+(1-EXP(-LN(2)/25))/(LN(2)/25)*Calculateur!AQ109*Calculateur!AS109*VLOOKUP('Données projet'!$B$10,Paramètres!$A$1:$I$89,3,0)*0.475*44/12</f>
        <v>6.2797219938553264</v>
      </c>
      <c r="AW109" s="23">
        <f>EXP(-LN(2)/2)*AW108+(1-EXP(-LN(2)/2))/(LN(2)/2)*AQ109*AT109*VLOOKUP('Données projet'!$B$10,Paramètres!$A$1:$I$89,3,0)*0.475*44/12</f>
        <v>1.4379104028859934E-10</v>
      </c>
      <c r="AX109" s="23">
        <f t="shared" si="60"/>
        <v>44.961222237575825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310.95287409903602</v>
      </c>
      <c r="T110" s="62">
        <f t="shared" si="88"/>
        <v>224.10083380795163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292.08723509191515</v>
      </c>
      <c r="AA110" s="23">
        <f>EXP(-LN(2)/25)*AA109+(1-EXP(-LN(2)/25))/(LN(2)/25)*Calculateur!V110*Calculateur!X110*VLOOKUP('Données projet'!$B$9,Paramètres!$A$1:$I$89,3,0)*0.475*44/12</f>
        <v>12.351857929802872</v>
      </c>
      <c r="AB110" s="23">
        <f>EXP(-LN(2)/2)*AB109+(1-EXP(-LN(2)/2))/(LN(2)/2)*V110*Y110*VLOOKUP('Données projet'!$B$9,Paramètres!$A$1:$I$89,3,0)*0.475*44/12</f>
        <v>4.5674414856779282E-7</v>
      </c>
      <c r="AC110" s="24">
        <f t="shared" si="57"/>
        <v>304.43909347846215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768.99999999999966</v>
      </c>
      <c r="AJ110" s="14">
        <f>AI110*VLOOKUP('Données projet'!$B$10,Paramètres!$A$1:$I$89,3,0)*VLOOKUP('Données projet'!$B$10,Paramètres!$A$1:$I$89,5,0)</f>
        <v>429.87099999999981</v>
      </c>
      <c r="AK110" s="14">
        <f t="shared" si="89"/>
        <v>97.806935594587088</v>
      </c>
      <c r="AL110" s="22">
        <f t="shared" si="58"/>
        <v>919.03907116057201</v>
      </c>
      <c r="AM110" s="62">
        <f t="shared" si="59"/>
        <v>1212.3724044939054</v>
      </c>
      <c r="AN110" s="62">
        <f ca="1">AVERAGE(OFFSET($AM$3,0,0,'Données projet'!$E$10+1,1))-AVERAGE(OFFSET($H$3,0,0,'Données projet'!$E$10+1,1))</f>
        <v>490.96084572840579</v>
      </c>
      <c r="AO110" s="62">
        <f t="shared" si="90"/>
        <v>597.91658789908263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37.922979617185661</v>
      </c>
      <c r="AV110" s="23">
        <f>EXP(-LN(2)/25)*AV109+(1-EXP(-LN(2)/25))/(LN(2)/25)*Calculateur!AQ110*Calculateur!AS110*VLOOKUP('Données projet'!$B$10,Paramètres!$A$1:$I$89,3,0)*0.475*44/12</f>
        <v>6.1080026656971249</v>
      </c>
      <c r="AW110" s="23">
        <f>EXP(-LN(2)/2)*AW109+(1-EXP(-LN(2)/2))/(LN(2)/2)*AQ110*AT110*VLOOKUP('Données projet'!$B$10,Paramètres!$A$1:$I$89,3,0)*0.475*44/12</f>
        <v>1.0167561966193666E-10</v>
      </c>
      <c r="AX110" s="23">
        <f t="shared" si="60"/>
        <v>44.030982282984468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310.95287409903602</v>
      </c>
      <c r="T111" s="62">
        <f t="shared" si="88"/>
        <v>224.10083380795163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286.35958256738468</v>
      </c>
      <c r="AA111" s="23">
        <f>EXP(-LN(2)/25)*AA110+(1-EXP(-LN(2)/25))/(LN(2)/25)*Calculateur!V111*Calculateur!X111*VLOOKUP('Données projet'!$B$9,Paramètres!$A$1:$I$89,3,0)*0.475*44/12</f>
        <v>12.014095725156434</v>
      </c>
      <c r="AB111" s="23">
        <f>EXP(-LN(2)/2)*AB110+(1-EXP(-LN(2)/2))/(LN(2)/2)*V111*Y111*VLOOKUP('Données projet'!$B$9,Paramètres!$A$1:$I$89,3,0)*0.475*44/12</f>
        <v>3.2296688471956223E-7</v>
      </c>
      <c r="AC111" s="24">
        <f t="shared" si="57"/>
        <v>298.37367861550803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768.99999999999966</v>
      </c>
      <c r="AJ111" s="14">
        <f>AI111*VLOOKUP('Données projet'!$B$10,Paramètres!$A$1:$I$89,3,0)*VLOOKUP('Données projet'!$B$10,Paramètres!$A$1:$I$89,5,0)</f>
        <v>429.87099999999981</v>
      </c>
      <c r="AK111" s="14">
        <f t="shared" si="89"/>
        <v>97.806935594587088</v>
      </c>
      <c r="AL111" s="22">
        <f t="shared" si="58"/>
        <v>919.03907116057201</v>
      </c>
      <c r="AM111" s="62">
        <f t="shared" si="59"/>
        <v>1212.3724044939054</v>
      </c>
      <c r="AN111" s="62">
        <f ca="1">AVERAGE(OFFSET($AM$3,0,0,'Données projet'!$E$10+1,1))-AVERAGE(OFFSET($H$3,0,0,'Données projet'!$E$10+1,1))</f>
        <v>490.96084572840579</v>
      </c>
      <c r="AO111" s="62">
        <f t="shared" si="90"/>
        <v>597.91658789908263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37.179333117626243</v>
      </c>
      <c r="AV111" s="23">
        <f>EXP(-LN(2)/25)*AV110+(1-EXP(-LN(2)/25))/(LN(2)/25)*Calculateur!AQ111*Calculateur!AS111*VLOOKUP('Données projet'!$B$10,Paramètres!$A$1:$I$89,3,0)*0.475*44/12</f>
        <v>5.9409790115977366</v>
      </c>
      <c r="AW111" s="23">
        <f>EXP(-LN(2)/2)*AW110+(1-EXP(-LN(2)/2))/(LN(2)/2)*AQ111*AT111*VLOOKUP('Données projet'!$B$10,Paramètres!$A$1:$I$89,3,0)*0.475*44/12</f>
        <v>7.1895520144299671E-11</v>
      </c>
      <c r="AX111" s="23">
        <f t="shared" si="60"/>
        <v>43.120312129295868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310.95287409903602</v>
      </c>
      <c r="T112" s="62">
        <f t="shared" si="88"/>
        <v>224.10083380795163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280.74424581533719</v>
      </c>
      <c r="AA112" s="23">
        <f>EXP(-LN(2)/25)*AA111+(1-EXP(-LN(2)/25))/(LN(2)/25)*Calculateur!V112*Calculateur!X112*VLOOKUP('Données projet'!$B$9,Paramètres!$A$1:$I$89,3,0)*0.475*44/12</f>
        <v>11.685569645758196</v>
      </c>
      <c r="AB112" s="23">
        <f>EXP(-LN(2)/2)*AB111+(1-EXP(-LN(2)/2))/(LN(2)/2)*V112*Y112*VLOOKUP('Données projet'!$B$9,Paramètres!$A$1:$I$89,3,0)*0.475*44/12</f>
        <v>2.2837207428389641E-7</v>
      </c>
      <c r="AC112" s="24">
        <f t="shared" si="57"/>
        <v>292.42981568946749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768.99999999999966</v>
      </c>
      <c r="AJ112" s="14">
        <f>AI112*VLOOKUP('Données projet'!$B$10,Paramètres!$A$1:$I$89,3,0)*VLOOKUP('Données projet'!$B$10,Paramètres!$A$1:$I$89,5,0)</f>
        <v>429.87099999999981</v>
      </c>
      <c r="AK112" s="14">
        <f t="shared" si="89"/>
        <v>97.806935594587088</v>
      </c>
      <c r="AL112" s="22">
        <f t="shared" si="58"/>
        <v>919.03907116057201</v>
      </c>
      <c r="AM112" s="62">
        <f t="shared" si="59"/>
        <v>1212.3724044939054</v>
      </c>
      <c r="AN112" s="62">
        <f ca="1">AVERAGE(OFFSET($AM$3,0,0,'Données projet'!$E$10+1,1))-AVERAGE(OFFSET($H$3,0,0,'Données projet'!$E$10+1,1))</f>
        <v>490.96084572840579</v>
      </c>
      <c r="AO112" s="62">
        <f t="shared" si="90"/>
        <v>597.91658789908263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36.450269072343609</v>
      </c>
      <c r="AV112" s="23">
        <f>EXP(-LN(2)/25)*AV111+(1-EXP(-LN(2)/25))/(LN(2)/25)*Calculateur!AQ112*Calculateur!AS112*VLOOKUP('Données projet'!$B$10,Paramètres!$A$1:$I$89,3,0)*0.475*44/12</f>
        <v>5.7785226281030884</v>
      </c>
      <c r="AW112" s="23">
        <f>EXP(-LN(2)/2)*AW111+(1-EXP(-LN(2)/2))/(LN(2)/2)*AQ112*AT112*VLOOKUP('Données projet'!$B$10,Paramètres!$A$1:$I$89,3,0)*0.475*44/12</f>
        <v>5.0837809830968328E-11</v>
      </c>
      <c r="AX112" s="23">
        <f t="shared" si="60"/>
        <v>42.228791700497538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310.95287409903602</v>
      </c>
      <c r="T113" s="62">
        <f t="shared" si="88"/>
        <v>224.10083380795163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275.23902239198014</v>
      </c>
      <c r="AA113" s="23">
        <f>EXP(-LN(2)/25)*AA112+(1-EXP(-LN(2)/25))/(LN(2)/25)*Calculateur!V113*Calculateur!X113*VLOOKUP('Données projet'!$B$9,Paramètres!$A$1:$I$89,3,0)*0.475*44/12</f>
        <v>11.366027129277539</v>
      </c>
      <c r="AB113" s="23">
        <f>EXP(-LN(2)/2)*AB112+(1-EXP(-LN(2)/2))/(LN(2)/2)*V113*Y113*VLOOKUP('Données projet'!$B$9,Paramètres!$A$1:$I$89,3,0)*0.475*44/12</f>
        <v>1.6148344235978111E-7</v>
      </c>
      <c r="AC113" s="24">
        <f t="shared" si="57"/>
        <v>286.60504968274114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768.99999999999966</v>
      </c>
      <c r="AJ113" s="14">
        <f>AI113*VLOOKUP('Données projet'!$B$10,Paramètres!$A$1:$I$89,3,0)*VLOOKUP('Données projet'!$B$10,Paramètres!$A$1:$I$89,5,0)</f>
        <v>429.87099999999981</v>
      </c>
      <c r="AK113" s="14">
        <f t="shared" si="89"/>
        <v>97.806935594587088</v>
      </c>
      <c r="AL113" s="22">
        <f t="shared" si="58"/>
        <v>919.03907116057201</v>
      </c>
      <c r="AM113" s="62">
        <f t="shared" si="59"/>
        <v>1212.3724044939054</v>
      </c>
      <c r="AN113" s="62">
        <f ca="1">AVERAGE(OFFSET($AM$3,0,0,'Données projet'!$E$10+1,1))-AVERAGE(OFFSET($H$3,0,0,'Données projet'!$E$10+1,1))</f>
        <v>490.96084572840579</v>
      </c>
      <c r="AO113" s="62">
        <f t="shared" si="90"/>
        <v>597.91658789908263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35.735501528303814</v>
      </c>
      <c r="AV113" s="23">
        <f>EXP(-LN(2)/25)*AV112+(1-EXP(-LN(2)/25))/(LN(2)/25)*Calculateur!AQ113*Calculateur!AS113*VLOOKUP('Données projet'!$B$10,Paramètres!$A$1:$I$89,3,0)*0.475*44/12</f>
        <v>5.6205086229583117</v>
      </c>
      <c r="AW113" s="23">
        <f>EXP(-LN(2)/2)*AW112+(1-EXP(-LN(2)/2))/(LN(2)/2)*AQ113*AT113*VLOOKUP('Données projet'!$B$10,Paramètres!$A$1:$I$89,3,0)*0.475*44/12</f>
        <v>3.5947760072149836E-11</v>
      </c>
      <c r="AX113" s="23">
        <f t="shared" si="60"/>
        <v>41.356010151298072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310.95287409903602</v>
      </c>
      <c r="T114" s="62">
        <f t="shared" si="88"/>
        <v>224.10083380795163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269.84175304210038</v>
      </c>
      <c r="AA114" s="23">
        <f>EXP(-LN(2)/25)*AA113+(1-EXP(-LN(2)/25))/(LN(2)/25)*Calculateur!V114*Calculateur!X114*VLOOKUP('Données projet'!$B$9,Paramètres!$A$1:$I$89,3,0)*0.475*44/12</f>
        <v>11.055222519714055</v>
      </c>
      <c r="AB114" s="23">
        <f>EXP(-LN(2)/2)*AB113+(1-EXP(-LN(2)/2))/(LN(2)/2)*V114*Y114*VLOOKUP('Données projet'!$B$9,Paramètres!$A$1:$I$89,3,0)*0.475*44/12</f>
        <v>1.1418603714194821E-7</v>
      </c>
      <c r="AC114" s="24">
        <f t="shared" si="57"/>
        <v>280.89697567600047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768.99999999999966</v>
      </c>
      <c r="AJ114" s="14">
        <f>AI114*VLOOKUP('Données projet'!$B$10,Paramètres!$A$1:$I$89,3,0)*VLOOKUP('Données projet'!$B$10,Paramètres!$A$1:$I$89,5,0)</f>
        <v>429.87099999999981</v>
      </c>
      <c r="AK114" s="14">
        <f t="shared" si="89"/>
        <v>97.806935594587088</v>
      </c>
      <c r="AL114" s="22">
        <f t="shared" si="58"/>
        <v>919.03907116057201</v>
      </c>
      <c r="AM114" s="62">
        <f t="shared" si="59"/>
        <v>1212.3724044939054</v>
      </c>
      <c r="AN114" s="62">
        <f ca="1">AVERAGE(OFFSET($AM$3,0,0,'Données projet'!$E$10+1,1))-AVERAGE(OFFSET($H$3,0,0,'Données projet'!$E$10+1,1))</f>
        <v>490.96084572840579</v>
      </c>
      <c r="AO114" s="62">
        <f t="shared" si="90"/>
        <v>597.91658789908263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35.034750139837485</v>
      </c>
      <c r="AV114" s="23">
        <f>EXP(-LN(2)/25)*AV113+(1-EXP(-LN(2)/25))/(LN(2)/25)*Calculateur!AQ114*Calculateur!AS114*VLOOKUP('Données projet'!$B$10,Paramètres!$A$1:$I$89,3,0)*0.475*44/12</f>
        <v>5.4668155190938137</v>
      </c>
      <c r="AW114" s="23">
        <f>EXP(-LN(2)/2)*AW113+(1-EXP(-LN(2)/2))/(LN(2)/2)*AQ114*AT114*VLOOKUP('Données projet'!$B$10,Paramètres!$A$1:$I$89,3,0)*0.475*44/12</f>
        <v>2.5418904915484164E-11</v>
      </c>
      <c r="AX114" s="23">
        <f t="shared" si="60"/>
        <v>40.501565658956714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310.95287409903602</v>
      </c>
      <c r="T115" s="62">
        <f t="shared" si="88"/>
        <v>224.10083380795163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264.55032085216249</v>
      </c>
      <c r="AA115" s="23">
        <f>EXP(-LN(2)/25)*AA114+(1-EXP(-LN(2)/25))/(LN(2)/25)*Calculateur!V115*Calculateur!X115*VLOOKUP('Données projet'!$B$9,Paramètres!$A$1:$I$89,3,0)*0.475*44/12</f>
        <v>10.752916878543589</v>
      </c>
      <c r="AB115" s="23">
        <f>EXP(-LN(2)/2)*AB114+(1-EXP(-LN(2)/2))/(LN(2)/2)*V115*Y115*VLOOKUP('Données projet'!$B$9,Paramètres!$A$1:$I$89,3,0)*0.475*44/12</f>
        <v>8.0741721179890557E-8</v>
      </c>
      <c r="AC115" s="24">
        <f t="shared" si="57"/>
        <v>275.30323781144779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768.99999999999966</v>
      </c>
      <c r="AJ115" s="14">
        <f>AI115*VLOOKUP('Données projet'!$B$10,Paramètres!$A$1:$I$89,3,0)*VLOOKUP('Données projet'!$B$10,Paramètres!$A$1:$I$89,5,0)</f>
        <v>429.87099999999981</v>
      </c>
      <c r="AK115" s="14">
        <f t="shared" si="89"/>
        <v>97.806935594587088</v>
      </c>
      <c r="AL115" s="22">
        <f t="shared" si="58"/>
        <v>919.03907116057201</v>
      </c>
      <c r="AM115" s="62">
        <f t="shared" si="59"/>
        <v>1212.3724044939054</v>
      </c>
      <c r="AN115" s="62">
        <f ca="1">AVERAGE(OFFSET($AM$3,0,0,'Données projet'!$E$10+1,1))-AVERAGE(OFFSET($H$3,0,0,'Données projet'!$E$10+1,1))</f>
        <v>490.96084572840579</v>
      </c>
      <c r="AO115" s="62">
        <f t="shared" si="90"/>
        <v>597.91658789908263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34.347740058682838</v>
      </c>
      <c r="AV115" s="23">
        <f>EXP(-LN(2)/25)*AV114+(1-EXP(-LN(2)/25))/(LN(2)/25)*Calculateur!AQ115*Calculateur!AS115*VLOOKUP('Données projet'!$B$10,Paramètres!$A$1:$I$89,3,0)*0.475*44/12</f>
        <v>5.3173251612368597</v>
      </c>
      <c r="AW115" s="23">
        <f>EXP(-LN(2)/2)*AW114+(1-EXP(-LN(2)/2))/(LN(2)/2)*AQ115*AT115*VLOOKUP('Données projet'!$B$10,Paramètres!$A$1:$I$89,3,0)*0.475*44/12</f>
        <v>1.7973880036074918E-11</v>
      </c>
      <c r="AX115" s="23">
        <f t="shared" si="60"/>
        <v>39.665065219937674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310.95287409903602</v>
      </c>
      <c r="T116" s="62">
        <f t="shared" si="88"/>
        <v>224.10083380795163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259.36265042001435</v>
      </c>
      <c r="AA116" s="23">
        <f>EXP(-LN(2)/25)*AA115+(1-EXP(-LN(2)/25))/(LN(2)/25)*Calculateur!V116*Calculateur!X116*VLOOKUP('Données projet'!$B$9,Paramètres!$A$1:$I$89,3,0)*0.475*44/12</f>
        <v>10.458877801028493</v>
      </c>
      <c r="AB116" s="23">
        <f>EXP(-LN(2)/2)*AB115+(1-EXP(-LN(2)/2))/(LN(2)/2)*V116*Y116*VLOOKUP('Données projet'!$B$9,Paramètres!$A$1:$I$89,3,0)*0.475*44/12</f>
        <v>5.7093018570974103E-8</v>
      </c>
      <c r="AC116" s="24">
        <f t="shared" si="57"/>
        <v>269.82152827813587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768.99999999999966</v>
      </c>
      <c r="AJ116" s="14">
        <f>AI116*VLOOKUP('Données projet'!$B$10,Paramètres!$A$1:$I$89,3,0)*VLOOKUP('Données projet'!$B$10,Paramètres!$A$1:$I$89,5,0)</f>
        <v>429.87099999999981</v>
      </c>
      <c r="AK116" s="14">
        <f t="shared" si="89"/>
        <v>97.806935594587088</v>
      </c>
      <c r="AL116" s="22">
        <f t="shared" si="58"/>
        <v>919.03907116057201</v>
      </c>
      <c r="AM116" s="62">
        <f t="shared" si="59"/>
        <v>1212.3724044939054</v>
      </c>
      <c r="AN116" s="62">
        <f ca="1">AVERAGE(OFFSET($AM$3,0,0,'Données projet'!$E$10+1,1))-AVERAGE(OFFSET($H$3,0,0,'Données projet'!$E$10+1,1))</f>
        <v>490.96084572840579</v>
      </c>
      <c r="AO116" s="62">
        <f t="shared" si="90"/>
        <v>597.91658789908263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33.674201826184856</v>
      </c>
      <c r="AV116" s="23">
        <f>EXP(-LN(2)/25)*AV115+(1-EXP(-LN(2)/25))/(LN(2)/25)*Calculateur!AQ116*Calculateur!AS116*VLOOKUP('Données projet'!$B$10,Paramètres!$A$1:$I$89,3,0)*0.475*44/12</f>
        <v>5.1719226250768608</v>
      </c>
      <c r="AW116" s="23">
        <f>EXP(-LN(2)/2)*AW115+(1-EXP(-LN(2)/2))/(LN(2)/2)*AQ116*AT116*VLOOKUP('Données projet'!$B$10,Paramètres!$A$1:$I$89,3,0)*0.475*44/12</f>
        <v>1.2709452457742082E-11</v>
      </c>
      <c r="AX116" s="23">
        <f t="shared" si="60"/>
        <v>38.846124451274427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310.95287409903602</v>
      </c>
      <c r="T117" s="62">
        <f t="shared" si="88"/>
        <v>224.10083380795163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254.2767070408741</v>
      </c>
      <c r="AA117" s="23">
        <f>EXP(-LN(2)/25)*AA116+(1-EXP(-LN(2)/25))/(LN(2)/25)*Calculateur!V117*Calculateur!X117*VLOOKUP('Données projet'!$B$9,Paramètres!$A$1:$I$89,3,0)*0.475*44/12</f>
        <v>10.172879237550889</v>
      </c>
      <c r="AB117" s="23">
        <f>EXP(-LN(2)/2)*AB116+(1-EXP(-LN(2)/2))/(LN(2)/2)*V117*Y117*VLOOKUP('Données projet'!$B$9,Paramètres!$A$1:$I$89,3,0)*0.475*44/12</f>
        <v>4.0370860589945279E-8</v>
      </c>
      <c r="AC117" s="24">
        <f t="shared" si="57"/>
        <v>264.44958631879587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768.99999999999966</v>
      </c>
      <c r="AJ117" s="14">
        <f>AI117*VLOOKUP('Données projet'!$B$10,Paramètres!$A$1:$I$89,3,0)*VLOOKUP('Données projet'!$B$10,Paramètres!$A$1:$I$89,5,0)</f>
        <v>429.87099999999981</v>
      </c>
      <c r="AK117" s="14">
        <f t="shared" si="89"/>
        <v>97.806935594587088</v>
      </c>
      <c r="AL117" s="22">
        <f t="shared" si="58"/>
        <v>919.03907116057201</v>
      </c>
      <c r="AM117" s="62">
        <f t="shared" si="59"/>
        <v>1212.3724044939054</v>
      </c>
      <c r="AN117" s="62">
        <f ca="1">AVERAGE(OFFSET($AM$3,0,0,'Données projet'!$E$10+1,1))-AVERAGE(OFFSET($H$3,0,0,'Données projet'!$E$10+1,1))</f>
        <v>490.96084572840579</v>
      </c>
      <c r="AO117" s="62">
        <f t="shared" si="90"/>
        <v>597.91658789908263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33.013871267608401</v>
      </c>
      <c r="AV117" s="23">
        <f>EXP(-LN(2)/25)*AV116+(1-EXP(-LN(2)/25))/(LN(2)/25)*Calculateur!AQ117*Calculateur!AS117*VLOOKUP('Données projet'!$B$10,Paramètres!$A$1:$I$89,3,0)*0.475*44/12</f>
        <v>5.0304961289145442</v>
      </c>
      <c r="AW117" s="23">
        <f>EXP(-LN(2)/2)*AW116+(1-EXP(-LN(2)/2))/(LN(2)/2)*AQ117*AT117*VLOOKUP('Données projet'!$B$10,Paramètres!$A$1:$I$89,3,0)*0.475*44/12</f>
        <v>8.9869400180374589E-12</v>
      </c>
      <c r="AX117" s="23">
        <f t="shared" si="60"/>
        <v>38.044367396531932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310.95287409903602</v>
      </c>
      <c r="T118" s="62">
        <f t="shared" si="88"/>
        <v>224.10083380795163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249.29049590927966</v>
      </c>
      <c r="AA118" s="23">
        <f>EXP(-LN(2)/25)*AA117+(1-EXP(-LN(2)/25))/(LN(2)/25)*Calculateur!V118*Calculateur!X118*VLOOKUP('Données projet'!$B$9,Paramètres!$A$1:$I$89,3,0)*0.475*44/12</f>
        <v>9.8947013198315918</v>
      </c>
      <c r="AB118" s="23">
        <f>EXP(-LN(2)/2)*AB117+(1-EXP(-LN(2)/2))/(LN(2)/2)*V118*Y118*VLOOKUP('Données projet'!$B$9,Paramètres!$A$1:$I$89,3,0)*0.475*44/12</f>
        <v>2.8546509285487052E-8</v>
      </c>
      <c r="AC118" s="24">
        <f t="shared" si="57"/>
        <v>259.18519725765776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768.99999999999966</v>
      </c>
      <c r="AJ118" s="14">
        <f>AI118*VLOOKUP('Données projet'!$B$10,Paramètres!$A$1:$I$89,3,0)*VLOOKUP('Données projet'!$B$10,Paramètres!$A$1:$I$89,5,0)</f>
        <v>429.87099999999981</v>
      </c>
      <c r="AK118" s="14">
        <f t="shared" si="89"/>
        <v>97.806935594587088</v>
      </c>
      <c r="AL118" s="22">
        <f t="shared" si="58"/>
        <v>919.03907116057201</v>
      </c>
      <c r="AM118" s="62">
        <f t="shared" si="59"/>
        <v>1212.3724044939054</v>
      </c>
      <c r="AN118" s="62">
        <f ca="1">AVERAGE(OFFSET($AM$3,0,0,'Données projet'!$E$10+1,1))-AVERAGE(OFFSET($H$3,0,0,'Données projet'!$E$10+1,1))</f>
        <v>490.96084572840579</v>
      </c>
      <c r="AO118" s="62">
        <f t="shared" si="90"/>
        <v>597.91658789908263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32.36648938852376</v>
      </c>
      <c r="AV118" s="23">
        <f>EXP(-LN(2)/25)*AV117+(1-EXP(-LN(2)/25))/(LN(2)/25)*Calculateur!AQ118*Calculateur!AS118*VLOOKUP('Données projet'!$B$10,Paramètres!$A$1:$I$89,3,0)*0.475*44/12</f>
        <v>4.8929369477270823</v>
      </c>
      <c r="AW118" s="23">
        <f>EXP(-LN(2)/2)*AW117+(1-EXP(-LN(2)/2))/(LN(2)/2)*AQ118*AT118*VLOOKUP('Données projet'!$B$10,Paramètres!$A$1:$I$89,3,0)*0.475*44/12</f>
        <v>6.354726228871041E-12</v>
      </c>
      <c r="AX118" s="23">
        <f t="shared" si="60"/>
        <v>37.259426336257192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310.95287409903602</v>
      </c>
      <c r="T119" s="62">
        <f t="shared" si="88"/>
        <v>224.10083380795163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244.40206133668727</v>
      </c>
      <c r="AA119" s="23">
        <f>EXP(-LN(2)/25)*AA118+(1-EXP(-LN(2)/25))/(LN(2)/25)*Calculateur!V119*Calculateur!X119*VLOOKUP('Données projet'!$B$9,Paramètres!$A$1:$I$89,3,0)*0.475*44/12</f>
        <v>9.6241301919010684</v>
      </c>
      <c r="AB119" s="23">
        <f>EXP(-LN(2)/2)*AB118+(1-EXP(-LN(2)/2))/(LN(2)/2)*V119*Y119*VLOOKUP('Données projet'!$B$9,Paramètres!$A$1:$I$89,3,0)*0.475*44/12</f>
        <v>2.0185430294972639E-8</v>
      </c>
      <c r="AC119" s="24">
        <f t="shared" si="57"/>
        <v>254.02619154877377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768.99999999999966</v>
      </c>
      <c r="AJ119" s="14">
        <f>AI119*VLOOKUP('Données projet'!$B$10,Paramètres!$A$1:$I$89,3,0)*VLOOKUP('Données projet'!$B$10,Paramètres!$A$1:$I$89,5,0)</f>
        <v>429.87099999999981</v>
      </c>
      <c r="AK119" s="14">
        <f t="shared" si="89"/>
        <v>97.806935594587088</v>
      </c>
      <c r="AL119" s="22">
        <f t="shared" si="58"/>
        <v>919.03907116057201</v>
      </c>
      <c r="AM119" s="62">
        <f t="shared" si="59"/>
        <v>1212.3724044939054</v>
      </c>
      <c r="AN119" s="62">
        <f ca="1">AVERAGE(OFFSET($AM$3,0,0,'Données projet'!$E$10+1,1))-AVERAGE(OFFSET($H$3,0,0,'Données projet'!$E$10+1,1))</f>
        <v>490.96084572840579</v>
      </c>
      <c r="AO119" s="62">
        <f t="shared" si="90"/>
        <v>597.91658789908263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31.731802273224016</v>
      </c>
      <c r="AV119" s="23">
        <f>EXP(-LN(2)/25)*AV118+(1-EXP(-LN(2)/25))/(LN(2)/25)*Calculateur!AQ119*Calculateur!AS119*VLOOKUP('Données projet'!$B$10,Paramètres!$A$1:$I$89,3,0)*0.475*44/12</f>
        <v>4.7591393295831139</v>
      </c>
      <c r="AW119" s="23">
        <f>EXP(-LN(2)/2)*AW118+(1-EXP(-LN(2)/2))/(LN(2)/2)*AQ119*AT119*VLOOKUP('Données projet'!$B$10,Paramètres!$A$1:$I$89,3,0)*0.475*44/12</f>
        <v>4.4934700090187295E-12</v>
      </c>
      <c r="AX119" s="23">
        <f t="shared" si="60"/>
        <v>36.490941602811617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310.95287409903602</v>
      </c>
      <c r="T120" s="62">
        <f t="shared" si="88"/>
        <v>224.10083380795163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239.60948598441274</v>
      </c>
      <c r="AA120" s="23">
        <f>EXP(-LN(2)/25)*AA119+(1-EXP(-LN(2)/25))/(LN(2)/25)*Calculateur!V120*Calculateur!X120*VLOOKUP('Données projet'!$B$9,Paramètres!$A$1:$I$89,3,0)*0.475*44/12</f>
        <v>9.3609578456925231</v>
      </c>
      <c r="AB120" s="23">
        <f>EXP(-LN(2)/2)*AB119+(1-EXP(-LN(2)/2))/(LN(2)/2)*V120*Y120*VLOOKUP('Données projet'!$B$9,Paramètres!$A$1:$I$89,3,0)*0.475*44/12</f>
        <v>1.4273254642743526E-8</v>
      </c>
      <c r="AC120" s="24">
        <f t="shared" si="57"/>
        <v>248.97044384437854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768.99999999999966</v>
      </c>
      <c r="AJ120" s="14">
        <f>AI120*VLOOKUP('Données projet'!$B$10,Paramètres!$A$1:$I$89,3,0)*VLOOKUP('Données projet'!$B$10,Paramètres!$A$1:$I$89,5,0)</f>
        <v>429.87099999999981</v>
      </c>
      <c r="AK120" s="14">
        <f t="shared" si="89"/>
        <v>97.806935594587088</v>
      </c>
      <c r="AL120" s="22">
        <f t="shared" si="58"/>
        <v>919.03907116057201</v>
      </c>
      <c r="AM120" s="62">
        <f t="shared" si="59"/>
        <v>1212.3724044939054</v>
      </c>
      <c r="AN120" s="62">
        <f ca="1">AVERAGE(OFFSET($AM$3,0,0,'Données projet'!$E$10+1,1))-AVERAGE(OFFSET($H$3,0,0,'Données projet'!$E$10+1,1))</f>
        <v>490.96084572840579</v>
      </c>
      <c r="AO120" s="62">
        <f t="shared" si="90"/>
        <v>597.91658789908263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31.109560985134383</v>
      </c>
      <c r="AV120" s="23">
        <f>EXP(-LN(2)/25)*AV119+(1-EXP(-LN(2)/25))/(LN(2)/25)*Calculateur!AQ120*Calculateur!AS120*VLOOKUP('Données projet'!$B$10,Paramètres!$A$1:$I$89,3,0)*0.475*44/12</f>
        <v>4.6290004143434036</v>
      </c>
      <c r="AW120" s="23">
        <f>EXP(-LN(2)/2)*AW119+(1-EXP(-LN(2)/2))/(LN(2)/2)*AQ120*AT120*VLOOKUP('Données projet'!$B$10,Paramètres!$A$1:$I$89,3,0)*0.475*44/12</f>
        <v>3.1773631144355205E-12</v>
      </c>
      <c r="AX120" s="23">
        <f t="shared" si="60"/>
        <v>35.738561399480965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310.95287409903602</v>
      </c>
      <c r="T121" s="62">
        <f t="shared" si="88"/>
        <v>224.10083380795163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234.91089011161401</v>
      </c>
      <c r="AA121" s="23">
        <f>EXP(-LN(2)/25)*AA120+(1-EXP(-LN(2)/25))/(LN(2)/25)*Calculateur!V121*Calculateur!X121*VLOOKUP('Données projet'!$B$9,Paramètres!$A$1:$I$89,3,0)*0.475*44/12</f>
        <v>9.104981961130683</v>
      </c>
      <c r="AB121" s="23">
        <f>EXP(-LN(2)/2)*AB120+(1-EXP(-LN(2)/2))/(LN(2)/2)*V121*Y121*VLOOKUP('Données projet'!$B$9,Paramètres!$A$1:$I$89,3,0)*0.475*44/12</f>
        <v>1.009271514748632E-8</v>
      </c>
      <c r="AC121" s="24">
        <f t="shared" si="57"/>
        <v>244.0158720828374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768.99999999999966</v>
      </c>
      <c r="AJ121" s="14">
        <f>AI121*VLOOKUP('Données projet'!$B$10,Paramètres!$A$1:$I$89,3,0)*VLOOKUP('Données projet'!$B$10,Paramètres!$A$1:$I$89,5,0)</f>
        <v>429.87099999999981</v>
      </c>
      <c r="AK121" s="14">
        <f t="shared" si="89"/>
        <v>97.806935594587088</v>
      </c>
      <c r="AL121" s="22">
        <f t="shared" si="58"/>
        <v>919.03907116057201</v>
      </c>
      <c r="AM121" s="62">
        <f t="shared" si="59"/>
        <v>1212.3724044939054</v>
      </c>
      <c r="AN121" s="62">
        <f ca="1">AVERAGE(OFFSET($AM$3,0,0,'Données projet'!$E$10+1,1))-AVERAGE(OFFSET($H$3,0,0,'Données projet'!$E$10+1,1))</f>
        <v>490.96084572840579</v>
      </c>
      <c r="AO121" s="62">
        <f t="shared" si="90"/>
        <v>597.91658789908263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30.499521469174478</v>
      </c>
      <c r="AV121" s="23">
        <f>EXP(-LN(2)/25)*AV120+(1-EXP(-LN(2)/25))/(LN(2)/25)*Calculateur!AQ121*Calculateur!AS121*VLOOKUP('Données projet'!$B$10,Paramètres!$A$1:$I$89,3,0)*0.475*44/12</f>
        <v>4.5024201545846312</v>
      </c>
      <c r="AW121" s="23">
        <f>EXP(-LN(2)/2)*AW120+(1-EXP(-LN(2)/2))/(LN(2)/2)*AQ121*AT121*VLOOKUP('Données projet'!$B$10,Paramètres!$A$1:$I$89,3,0)*0.475*44/12</f>
        <v>2.2467350045093647E-12</v>
      </c>
      <c r="AX121" s="23">
        <f t="shared" si="60"/>
        <v>35.001941623761354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310.95287409903602</v>
      </c>
      <c r="T122" s="62">
        <f t="shared" si="88"/>
        <v>224.10083380795163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230.30443083802035</v>
      </c>
      <c r="AA122" s="23">
        <f>EXP(-LN(2)/25)*AA121+(1-EXP(-LN(2)/25))/(LN(2)/25)*Calculateur!V122*Calculateur!X122*VLOOKUP('Données projet'!$B$9,Paramètres!$A$1:$I$89,3,0)*0.475*44/12</f>
        <v>8.856005750593372</v>
      </c>
      <c r="AB122" s="23">
        <f>EXP(-LN(2)/2)*AB121+(1-EXP(-LN(2)/2))/(LN(2)/2)*V122*Y122*VLOOKUP('Données projet'!$B$9,Paramètres!$A$1:$I$89,3,0)*0.475*44/12</f>
        <v>7.1366273213717629E-9</v>
      </c>
      <c r="AC122" s="24">
        <f t="shared" si="57"/>
        <v>239.16043659575035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768.99999999999966</v>
      </c>
      <c r="AJ122" s="14">
        <f>AI122*VLOOKUP('Données projet'!$B$10,Paramètres!$A$1:$I$89,3,0)*VLOOKUP('Données projet'!$B$10,Paramètres!$A$1:$I$89,5,0)</f>
        <v>429.87099999999981</v>
      </c>
      <c r="AK122" s="14">
        <f t="shared" si="89"/>
        <v>97.806935594587088</v>
      </c>
      <c r="AL122" s="22">
        <f t="shared" si="58"/>
        <v>919.03907116057201</v>
      </c>
      <c r="AM122" s="62">
        <f t="shared" si="59"/>
        <v>1212.3724044939054</v>
      </c>
      <c r="AN122" s="62">
        <f ca="1">AVERAGE(OFFSET($AM$3,0,0,'Données projet'!$E$10+1,1))-AVERAGE(OFFSET($H$3,0,0,'Données projet'!$E$10+1,1))</f>
        <v>490.96084572840579</v>
      </c>
      <c r="AO122" s="62">
        <f t="shared" si="90"/>
        <v>597.91658789908263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29.901444456035183</v>
      </c>
      <c r="AV122" s="23">
        <f>EXP(-LN(2)/25)*AV121+(1-EXP(-LN(2)/25))/(LN(2)/25)*Calculateur!AQ122*Calculateur!AS122*VLOOKUP('Données projet'!$B$10,Paramètres!$A$1:$I$89,3,0)*0.475*44/12</f>
        <v>4.379301238685529</v>
      </c>
      <c r="AW122" s="23">
        <f>EXP(-LN(2)/2)*AW121+(1-EXP(-LN(2)/2))/(LN(2)/2)*AQ122*AT122*VLOOKUP('Données projet'!$B$10,Paramètres!$A$1:$I$89,3,0)*0.475*44/12</f>
        <v>1.5886815572177603E-12</v>
      </c>
      <c r="AX122" s="23">
        <f t="shared" si="60"/>
        <v>34.280745694722306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310.95287409903602</v>
      </c>
      <c r="T123" s="62">
        <f t="shared" si="88"/>
        <v>224.10083380795163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225.78830142111914</v>
      </c>
      <c r="AA123" s="23">
        <f>EXP(-LN(2)/25)*AA122+(1-EXP(-LN(2)/25))/(LN(2)/25)*Calculateur!V123*Calculateur!X123*VLOOKUP('Données projet'!$B$9,Paramètres!$A$1:$I$89,3,0)*0.475*44/12</f>
        <v>8.6138378076262949</v>
      </c>
      <c r="AB123" s="23">
        <f>EXP(-LN(2)/2)*AB122+(1-EXP(-LN(2)/2))/(LN(2)/2)*V123*Y123*VLOOKUP('Données projet'!$B$9,Paramètres!$A$1:$I$89,3,0)*0.475*44/12</f>
        <v>5.0463575737431598E-9</v>
      </c>
      <c r="AC123" s="24">
        <f t="shared" si="57"/>
        <v>234.40213923379179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768.99999999999966</v>
      </c>
      <c r="AJ123" s="14">
        <f>AI123*VLOOKUP('Données projet'!$B$10,Paramètres!$A$1:$I$89,3,0)*VLOOKUP('Données projet'!$B$10,Paramètres!$A$1:$I$89,5,0)</f>
        <v>429.87099999999981</v>
      </c>
      <c r="AK123" s="14">
        <f t="shared" si="89"/>
        <v>97.806935594587088</v>
      </c>
      <c r="AL123" s="22">
        <f t="shared" si="58"/>
        <v>919.03907116057201</v>
      </c>
      <c r="AM123" s="62">
        <f t="shared" si="59"/>
        <v>1212.3724044939054</v>
      </c>
      <c r="AN123" s="62">
        <f ca="1">AVERAGE(OFFSET($AM$3,0,0,'Données projet'!$E$10+1,1))-AVERAGE(OFFSET($H$3,0,0,'Données projet'!$E$10+1,1))</f>
        <v>490.96084572840579</v>
      </c>
      <c r="AO123" s="62">
        <f t="shared" si="90"/>
        <v>597.91658789908263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29.315095368332589</v>
      </c>
      <c r="AV123" s="23">
        <f>EXP(-LN(2)/25)*AV122+(1-EXP(-LN(2)/25))/(LN(2)/25)*Calculateur!AQ123*Calculateur!AS123*VLOOKUP('Données projet'!$B$10,Paramètres!$A$1:$I$89,3,0)*0.475*44/12</f>
        <v>4.2595490160162299</v>
      </c>
      <c r="AW123" s="23">
        <f>EXP(-LN(2)/2)*AW122+(1-EXP(-LN(2)/2))/(LN(2)/2)*AQ123*AT123*VLOOKUP('Données projet'!$B$10,Paramètres!$A$1:$I$89,3,0)*0.475*44/12</f>
        <v>1.1233675022546824E-12</v>
      </c>
      <c r="AX123" s="23">
        <f t="shared" si="60"/>
        <v>33.574644384349938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310.95287409903602</v>
      </c>
      <c r="T124" s="62">
        <f t="shared" si="88"/>
        <v>224.10083380795163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221.36073054751643</v>
      </c>
      <c r="AA124" s="23">
        <f>EXP(-LN(2)/25)*AA123+(1-EXP(-LN(2)/25))/(LN(2)/25)*Calculateur!V124*Calculateur!X124*VLOOKUP('Données projet'!$B$9,Paramètres!$A$1:$I$89,3,0)*0.475*44/12</f>
        <v>8.3782919597947103</v>
      </c>
      <c r="AB124" s="23">
        <f>EXP(-LN(2)/2)*AB123+(1-EXP(-LN(2)/2))/(LN(2)/2)*V124*Y124*VLOOKUP('Données projet'!$B$9,Paramètres!$A$1:$I$89,3,0)*0.475*44/12</f>
        <v>3.5683136606858814E-9</v>
      </c>
      <c r="AC124" s="24">
        <f t="shared" si="57"/>
        <v>229.73902251087947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768.99999999999966</v>
      </c>
      <c r="AJ124" s="14">
        <f>AI124*VLOOKUP('Données projet'!$B$10,Paramètres!$A$1:$I$89,3,0)*VLOOKUP('Données projet'!$B$10,Paramètres!$A$1:$I$89,5,0)</f>
        <v>429.87099999999981</v>
      </c>
      <c r="AK124" s="14">
        <f t="shared" si="89"/>
        <v>97.806935594587088</v>
      </c>
      <c r="AL124" s="22">
        <f t="shared" si="58"/>
        <v>919.03907116057201</v>
      </c>
      <c r="AM124" s="62">
        <f t="shared" si="59"/>
        <v>1212.3724044939054</v>
      </c>
      <c r="AN124" s="62">
        <f ca="1">AVERAGE(OFFSET($AM$3,0,0,'Données projet'!$E$10+1,1))-AVERAGE(OFFSET($H$3,0,0,'Données projet'!$E$10+1,1))</f>
        <v>490.96084572840579</v>
      </c>
      <c r="AO124" s="62">
        <f t="shared" si="90"/>
        <v>597.91658789908263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28.740244228602215</v>
      </c>
      <c r="AV124" s="23">
        <f>EXP(-LN(2)/25)*AV123+(1-EXP(-LN(2)/25))/(LN(2)/25)*Calculateur!AQ124*Calculateur!AS124*VLOOKUP('Données projet'!$B$10,Paramètres!$A$1:$I$89,3,0)*0.475*44/12</f>
        <v>4.1430714241733186</v>
      </c>
      <c r="AW124" s="23">
        <f>EXP(-LN(2)/2)*AW123+(1-EXP(-LN(2)/2))/(LN(2)/2)*AQ124*AT124*VLOOKUP('Données projet'!$B$10,Paramètres!$A$1:$I$89,3,0)*0.475*44/12</f>
        <v>7.9434077860888013E-13</v>
      </c>
      <c r="AX124" s="23">
        <f t="shared" si="60"/>
        <v>32.883315652776332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310.95287409903602</v>
      </c>
      <c r="T125" s="62">
        <f t="shared" si="88"/>
        <v>224.10083380795163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217.01998163819346</v>
      </c>
      <c r="AA125" s="23">
        <f>EXP(-LN(2)/25)*AA124+(1-EXP(-LN(2)/25))/(LN(2)/25)*Calculateur!V125*Calculateur!X125*VLOOKUP('Données projet'!$B$9,Paramètres!$A$1:$I$89,3,0)*0.475*44/12</f>
        <v>8.1491871255588979</v>
      </c>
      <c r="AB125" s="23">
        <f>EXP(-LN(2)/2)*AB124+(1-EXP(-LN(2)/2))/(LN(2)/2)*V125*Y125*VLOOKUP('Données projet'!$B$9,Paramètres!$A$1:$I$89,3,0)*0.475*44/12</f>
        <v>2.5231787868715799E-9</v>
      </c>
      <c r="AC125" s="24">
        <f t="shared" si="57"/>
        <v>225.16916876627553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768.99999999999966</v>
      </c>
      <c r="AJ125" s="14">
        <f>AI125*VLOOKUP('Données projet'!$B$10,Paramètres!$A$1:$I$89,3,0)*VLOOKUP('Données projet'!$B$10,Paramètres!$A$1:$I$89,5,0)</f>
        <v>429.87099999999981</v>
      </c>
      <c r="AK125" s="14">
        <f t="shared" si="89"/>
        <v>97.806935594587088</v>
      </c>
      <c r="AL125" s="22">
        <f t="shared" si="58"/>
        <v>919.03907116057201</v>
      </c>
      <c r="AM125" s="62">
        <f t="shared" si="59"/>
        <v>1212.3724044939054</v>
      </c>
      <c r="AN125" s="62">
        <f ca="1">AVERAGE(OFFSET($AM$3,0,0,'Données projet'!$E$10+1,1))-AVERAGE(OFFSET($H$3,0,0,'Données projet'!$E$10+1,1))</f>
        <v>490.96084572840579</v>
      </c>
      <c r="AO125" s="62">
        <f t="shared" si="90"/>
        <v>597.91658789908263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28.176665569097381</v>
      </c>
      <c r="AV125" s="23">
        <f>EXP(-LN(2)/25)*AV124+(1-EXP(-LN(2)/25))/(LN(2)/25)*Calculateur!AQ125*Calculateur!AS125*VLOOKUP('Données projet'!$B$10,Paramètres!$A$1:$I$89,3,0)*0.475*44/12</f>
        <v>4.0297789182046424</v>
      </c>
      <c r="AW125" s="23">
        <f>EXP(-LN(2)/2)*AW124+(1-EXP(-LN(2)/2))/(LN(2)/2)*AQ125*AT125*VLOOKUP('Données projet'!$B$10,Paramètres!$A$1:$I$89,3,0)*0.475*44/12</f>
        <v>5.6168375112734118E-13</v>
      </c>
      <c r="AX125" s="23">
        <f t="shared" si="60"/>
        <v>32.206444487302583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310.95287409903602</v>
      </c>
      <c r="T126" s="62">
        <f t="shared" si="88"/>
        <v>224.10083380795163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212.76435216738693</v>
      </c>
      <c r="AA126" s="23">
        <f>EXP(-LN(2)/25)*AA125+(1-EXP(-LN(2)/25))/(LN(2)/25)*Calculateur!V126*Calculateur!X126*VLOOKUP('Données projet'!$B$9,Paramètres!$A$1:$I$89,3,0)*0.475*44/12</f>
        <v>7.9263471750633645</v>
      </c>
      <c r="AB126" s="23">
        <f>EXP(-LN(2)/2)*AB125+(1-EXP(-LN(2)/2))/(LN(2)/2)*V126*Y126*VLOOKUP('Données projet'!$B$9,Paramètres!$A$1:$I$89,3,0)*0.475*44/12</f>
        <v>1.7841568303429407E-9</v>
      </c>
      <c r="AC126" s="24">
        <f t="shared" si="57"/>
        <v>220.69069934423445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768.99999999999966</v>
      </c>
      <c r="AJ126" s="14">
        <f>AI126*VLOOKUP('Données projet'!$B$10,Paramètres!$A$1:$I$89,3,0)*VLOOKUP('Données projet'!$B$10,Paramètres!$A$1:$I$89,5,0)</f>
        <v>429.87099999999981</v>
      </c>
      <c r="AK126" s="14">
        <f t="shared" si="89"/>
        <v>97.806935594587088</v>
      </c>
      <c r="AL126" s="22">
        <f t="shared" si="58"/>
        <v>919.03907116057201</v>
      </c>
      <c r="AM126" s="62">
        <f t="shared" si="59"/>
        <v>1212.3724044939054</v>
      </c>
      <c r="AN126" s="62">
        <f ca="1">AVERAGE(OFFSET($AM$3,0,0,'Données projet'!$E$10+1,1))-AVERAGE(OFFSET($H$3,0,0,'Données projet'!$E$10+1,1))</f>
        <v>490.96084572840579</v>
      </c>
      <c r="AO126" s="62">
        <f t="shared" si="90"/>
        <v>597.91658789908263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27.624138343356396</v>
      </c>
      <c r="AV126" s="23">
        <f>EXP(-LN(2)/25)*AV125+(1-EXP(-LN(2)/25))/(LN(2)/25)*Calculateur!AQ126*Calculateur!AS126*VLOOKUP('Données projet'!$B$10,Paramètres!$A$1:$I$89,3,0)*0.475*44/12</f>
        <v>3.9195844017694732</v>
      </c>
      <c r="AW126" s="23">
        <f>EXP(-LN(2)/2)*AW125+(1-EXP(-LN(2)/2))/(LN(2)/2)*AQ126*AT126*VLOOKUP('Données projet'!$B$10,Paramètres!$A$1:$I$89,3,0)*0.475*44/12</f>
        <v>3.9717038930444007E-13</v>
      </c>
      <c r="AX126" s="23">
        <f t="shared" si="60"/>
        <v>31.543722745126267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310.95287409903602</v>
      </c>
      <c r="T127" s="62">
        <f t="shared" si="88"/>
        <v>224.10083380795163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208.59217299482523</v>
      </c>
      <c r="AA127" s="23">
        <f>EXP(-LN(2)/25)*AA126+(1-EXP(-LN(2)/25))/(LN(2)/25)*Calculateur!V127*Calculateur!X127*VLOOKUP('Données projet'!$B$9,Paramètres!$A$1:$I$89,3,0)*0.475*44/12</f>
        <v>7.7096007947327747</v>
      </c>
      <c r="AB127" s="23">
        <f>EXP(-LN(2)/2)*AB126+(1-EXP(-LN(2)/2))/(LN(2)/2)*V127*Y127*VLOOKUP('Données projet'!$B$9,Paramètres!$A$1:$I$89,3,0)*0.475*44/12</f>
        <v>1.26158939343579E-9</v>
      </c>
      <c r="AC127" s="24">
        <f t="shared" si="57"/>
        <v>216.3017737908196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768.99999999999966</v>
      </c>
      <c r="AJ127" s="14">
        <f>AI127*VLOOKUP('Données projet'!$B$10,Paramètres!$A$1:$I$89,3,0)*VLOOKUP('Données projet'!$B$10,Paramètres!$A$1:$I$89,5,0)</f>
        <v>429.87099999999981</v>
      </c>
      <c r="AK127" s="14">
        <f t="shared" si="89"/>
        <v>97.806935594587088</v>
      </c>
      <c r="AL127" s="22">
        <f t="shared" si="58"/>
        <v>919.03907116057201</v>
      </c>
      <c r="AM127" s="62">
        <f t="shared" si="59"/>
        <v>1212.3724044939054</v>
      </c>
      <c r="AN127" s="62">
        <f ca="1">AVERAGE(OFFSET($AM$3,0,0,'Données projet'!$E$10+1,1))-AVERAGE(OFFSET($H$3,0,0,'Données projet'!$E$10+1,1))</f>
        <v>490.96084572840579</v>
      </c>
      <c r="AO127" s="62">
        <f t="shared" si="90"/>
        <v>597.91658789908263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27.082445839503858</v>
      </c>
      <c r="AV127" s="23">
        <f>EXP(-LN(2)/25)*AV126+(1-EXP(-LN(2)/25))/(LN(2)/25)*Calculateur!AQ127*Calculateur!AS127*VLOOKUP('Données projet'!$B$10,Paramètres!$A$1:$I$89,3,0)*0.475*44/12</f>
        <v>3.8124031601811015</v>
      </c>
      <c r="AW127" s="23">
        <f>EXP(-LN(2)/2)*AW126+(1-EXP(-LN(2)/2))/(LN(2)/2)*AQ127*AT127*VLOOKUP('Données projet'!$B$10,Paramètres!$A$1:$I$89,3,0)*0.475*44/12</f>
        <v>2.8084187556367059E-13</v>
      </c>
      <c r="AX127" s="23">
        <f t="shared" si="60"/>
        <v>30.894848999685241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310.95287409903602</v>
      </c>
      <c r="T128" s="62">
        <f t="shared" si="88"/>
        <v>224.10083380795163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204.50180771105946</v>
      </c>
      <c r="AA128" s="23">
        <f>EXP(-LN(2)/25)*AA127+(1-EXP(-LN(2)/25))/(LN(2)/25)*Calculateur!V128*Calculateur!X128*VLOOKUP('Données projet'!$B$9,Paramètres!$A$1:$I$89,3,0)*0.475*44/12</f>
        <v>7.4987813555705216</v>
      </c>
      <c r="AB128" s="23">
        <f>EXP(-LN(2)/2)*AB127+(1-EXP(-LN(2)/2))/(LN(2)/2)*V128*Y128*VLOOKUP('Données projet'!$B$9,Paramètres!$A$1:$I$89,3,0)*0.475*44/12</f>
        <v>8.9207841517147036E-10</v>
      </c>
      <c r="AC128" s="24">
        <f t="shared" si="57"/>
        <v>212.00058906752204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768.99999999999966</v>
      </c>
      <c r="AJ128" s="14">
        <f>AI128*VLOOKUP('Données projet'!$B$10,Paramètres!$A$1:$I$89,3,0)*VLOOKUP('Données projet'!$B$10,Paramètres!$A$1:$I$89,5,0)</f>
        <v>429.87099999999981</v>
      </c>
      <c r="AK128" s="14">
        <f t="shared" si="89"/>
        <v>97.806935594587088</v>
      </c>
      <c r="AL128" s="22">
        <f t="shared" si="58"/>
        <v>919.03907116057201</v>
      </c>
      <c r="AM128" s="62">
        <f t="shared" si="59"/>
        <v>1212.3724044939054</v>
      </c>
      <c r="AN128" s="62">
        <f ca="1">AVERAGE(OFFSET($AM$3,0,0,'Données projet'!$E$10+1,1))-AVERAGE(OFFSET($H$3,0,0,'Données projet'!$E$10+1,1))</f>
        <v>490.96084572840579</v>
      </c>
      <c r="AO128" s="62">
        <f t="shared" si="90"/>
        <v>597.91658789908263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26.551375595252068</v>
      </c>
      <c r="AV128" s="23">
        <f>EXP(-LN(2)/25)*AV127+(1-EXP(-LN(2)/25))/(LN(2)/25)*Calculateur!AQ128*Calculateur!AS128*VLOOKUP('Données projet'!$B$10,Paramètres!$A$1:$I$89,3,0)*0.475*44/12</f>
        <v>3.7081527952803803</v>
      </c>
      <c r="AW128" s="23">
        <f>EXP(-LN(2)/2)*AW127+(1-EXP(-LN(2)/2))/(LN(2)/2)*AQ128*AT128*VLOOKUP('Données projet'!$B$10,Paramètres!$A$1:$I$89,3,0)*0.475*44/12</f>
        <v>1.9858519465222003E-13</v>
      </c>
      <c r="AX128" s="23">
        <f t="shared" si="60"/>
        <v>30.259528390532648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310.95287409903602</v>
      </c>
      <c r="T129" s="62">
        <f t="shared" si="88"/>
        <v>224.10083380795163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200.49165199563186</v>
      </c>
      <c r="AA129" s="23">
        <f>EXP(-LN(2)/25)*AA128+(1-EXP(-LN(2)/25))/(LN(2)/25)*Calculateur!V129*Calculateur!X129*VLOOKUP('Données projet'!$B$9,Paramètres!$A$1:$I$89,3,0)*0.475*44/12</f>
        <v>7.2937267850586727</v>
      </c>
      <c r="AB129" s="23">
        <f>EXP(-LN(2)/2)*AB128+(1-EXP(-LN(2)/2))/(LN(2)/2)*V129*Y129*VLOOKUP('Données projet'!$B$9,Paramètres!$A$1:$I$89,3,0)*0.475*44/12</f>
        <v>6.3079469671789498E-10</v>
      </c>
      <c r="AC129" s="24">
        <f t="shared" si="57"/>
        <v>207.78537878132133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768.99999999999966</v>
      </c>
      <c r="AJ129" s="14">
        <f>AI129*VLOOKUP('Données projet'!$B$10,Paramètres!$A$1:$I$89,3,0)*VLOOKUP('Données projet'!$B$10,Paramètres!$A$1:$I$89,5,0)</f>
        <v>429.87099999999981</v>
      </c>
      <c r="AK129" s="14">
        <f t="shared" si="89"/>
        <v>97.806935594587088</v>
      </c>
      <c r="AL129" s="22">
        <f t="shared" si="58"/>
        <v>919.03907116057201</v>
      </c>
      <c r="AM129" s="62">
        <f t="shared" si="59"/>
        <v>1212.3724044939054</v>
      </c>
      <c r="AN129" s="62">
        <f ca="1">AVERAGE(OFFSET($AM$3,0,0,'Données projet'!$E$10+1,1))-AVERAGE(OFFSET($H$3,0,0,'Données projet'!$E$10+1,1))</f>
        <v>490.96084572840579</v>
      </c>
      <c r="AO129" s="62">
        <f t="shared" si="90"/>
        <v>597.91658789908263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26.03071931456919</v>
      </c>
      <c r="AV129" s="23">
        <f>EXP(-LN(2)/25)*AV128+(1-EXP(-LN(2)/25))/(LN(2)/25)*Calculateur!AQ129*Calculateur!AS129*VLOOKUP('Données projet'!$B$10,Paramètres!$A$1:$I$89,3,0)*0.475*44/12</f>
        <v>3.6067531620901581</v>
      </c>
      <c r="AW129" s="23">
        <f>EXP(-LN(2)/2)*AW128+(1-EXP(-LN(2)/2))/(LN(2)/2)*AQ129*AT129*VLOOKUP('Données projet'!$B$10,Paramètres!$A$1:$I$89,3,0)*0.475*44/12</f>
        <v>1.404209377818353E-13</v>
      </c>
      <c r="AX129" s="23">
        <f t="shared" si="60"/>
        <v>29.637472476659489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310.95287409903602</v>
      </c>
      <c r="T130" s="62">
        <f t="shared" si="88"/>
        <v>224.10083380795163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196.56013298783031</v>
      </c>
      <c r="AA130" s="23">
        <f>EXP(-LN(2)/25)*AA129+(1-EXP(-LN(2)/25))/(LN(2)/25)*Calculateur!V130*Calculateur!X130*VLOOKUP('Données projet'!$B$9,Paramètres!$A$1:$I$89,3,0)*0.475*44/12</f>
        <v>7.094279442560822</v>
      </c>
      <c r="AB130" s="23">
        <f>EXP(-LN(2)/2)*AB129+(1-EXP(-LN(2)/2))/(LN(2)/2)*V130*Y130*VLOOKUP('Données projet'!$B$9,Paramètres!$A$1:$I$89,3,0)*0.475*44/12</f>
        <v>4.4603920758573518E-10</v>
      </c>
      <c r="AC130" s="24">
        <f t="shared" si="57"/>
        <v>203.6544124308372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768.99999999999966</v>
      </c>
      <c r="AJ130" s="14">
        <f>AI130*VLOOKUP('Données projet'!$B$10,Paramètres!$A$1:$I$89,3,0)*VLOOKUP('Données projet'!$B$10,Paramètres!$A$1:$I$89,5,0)</f>
        <v>429.87099999999981</v>
      </c>
      <c r="AK130" s="14">
        <f t="shared" si="89"/>
        <v>97.806935594587088</v>
      </c>
      <c r="AL130" s="22">
        <f t="shared" si="58"/>
        <v>919.03907116057201</v>
      </c>
      <c r="AM130" s="62">
        <f t="shared" si="59"/>
        <v>1212.3724044939054</v>
      </c>
      <c r="AN130" s="62">
        <f ca="1">AVERAGE(OFFSET($AM$3,0,0,'Données projet'!$E$10+1,1))-AVERAGE(OFFSET($H$3,0,0,'Données projet'!$E$10+1,1))</f>
        <v>490.96084572840579</v>
      </c>
      <c r="AO130" s="62">
        <f t="shared" si="90"/>
        <v>597.91658789908263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25.520272785981529</v>
      </c>
      <c r="AV130" s="23">
        <f>EXP(-LN(2)/25)*AV129+(1-EXP(-LN(2)/25))/(LN(2)/25)*Calculateur!AQ130*Calculateur!AS130*VLOOKUP('Données projet'!$B$10,Paramètres!$A$1:$I$89,3,0)*0.475*44/12</f>
        <v>3.5081263072018971</v>
      </c>
      <c r="AW130" s="23">
        <f>EXP(-LN(2)/2)*AW129+(1-EXP(-LN(2)/2))/(LN(2)/2)*AQ130*AT130*VLOOKUP('Données projet'!$B$10,Paramètres!$A$1:$I$89,3,0)*0.475*44/12</f>
        <v>9.9292597326110016E-14</v>
      </c>
      <c r="AX130" s="23">
        <f t="shared" si="60"/>
        <v>29.028399093183527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310.95287409903602</v>
      </c>
      <c r="T131" s="62">
        <f t="shared" si="88"/>
        <v>224.10083380795163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192.70570866978196</v>
      </c>
      <c r="AA131" s="23">
        <f>EXP(-LN(2)/25)*AA130+(1-EXP(-LN(2)/25))/(LN(2)/25)*Calculateur!V131*Calculateur!X131*VLOOKUP('Données projet'!$B$9,Paramètres!$A$1:$I$89,3,0)*0.475*44/12</f>
        <v>6.9002859981320546</v>
      </c>
      <c r="AB131" s="23">
        <f>EXP(-LN(2)/2)*AB130+(1-EXP(-LN(2)/2))/(LN(2)/2)*V131*Y131*VLOOKUP('Données projet'!$B$9,Paramètres!$A$1:$I$89,3,0)*0.475*44/12</f>
        <v>3.1539734835894749E-10</v>
      </c>
      <c r="AC131" s="24">
        <f t="shared" si="57"/>
        <v>199.60599466822941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768.99999999999966</v>
      </c>
      <c r="AJ131" s="14">
        <f>AI131*VLOOKUP('Données projet'!$B$10,Paramètres!$A$1:$I$89,3,0)*VLOOKUP('Données projet'!$B$10,Paramètres!$A$1:$I$89,5,0)</f>
        <v>429.87099999999981</v>
      </c>
      <c r="AK131" s="14">
        <f t="shared" si="89"/>
        <v>97.806935594587088</v>
      </c>
      <c r="AL131" s="22">
        <f t="shared" si="58"/>
        <v>919.03907116057201</v>
      </c>
      <c r="AM131" s="62">
        <f t="shared" si="59"/>
        <v>1212.3724044939054</v>
      </c>
      <c r="AN131" s="62">
        <f ca="1">AVERAGE(OFFSET($AM$3,0,0,'Données projet'!$E$10+1,1))-AVERAGE(OFFSET($H$3,0,0,'Données projet'!$E$10+1,1))</f>
        <v>490.96084572840579</v>
      </c>
      <c r="AO131" s="62">
        <f t="shared" si="90"/>
        <v>597.91658789908263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25.019835802477832</v>
      </c>
      <c r="AV131" s="23">
        <f>EXP(-LN(2)/25)*AV130+(1-EXP(-LN(2)/25))/(LN(2)/25)*Calculateur!AQ131*Calculateur!AS131*VLOOKUP('Données projet'!$B$10,Paramètres!$A$1:$I$89,3,0)*0.475*44/12</f>
        <v>3.4121964088471168</v>
      </c>
      <c r="AW131" s="23">
        <f>EXP(-LN(2)/2)*AW130+(1-EXP(-LN(2)/2))/(LN(2)/2)*AQ131*AT131*VLOOKUP('Données projet'!$B$10,Paramètres!$A$1:$I$89,3,0)*0.475*44/12</f>
        <v>7.0210468890917648E-14</v>
      </c>
      <c r="AX131" s="23">
        <f t="shared" si="60"/>
        <v>28.432032211325019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310.95287409903602</v>
      </c>
      <c r="T132" s="62">
        <f t="shared" si="88"/>
        <v>224.10083380795163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188.92686726164382</v>
      </c>
      <c r="AA132" s="23">
        <f>EXP(-LN(2)/25)*AA131+(1-EXP(-LN(2)/25))/(LN(2)/25)*Calculateur!V132*Calculateur!X132*VLOOKUP('Données projet'!$B$9,Paramètres!$A$1:$I$89,3,0)*0.475*44/12</f>
        <v>6.711597314642864</v>
      </c>
      <c r="AB132" s="23">
        <f>EXP(-LN(2)/2)*AB131+(1-EXP(-LN(2)/2))/(LN(2)/2)*V132*Y132*VLOOKUP('Données projet'!$B$9,Paramètres!$A$1:$I$89,3,0)*0.475*44/12</f>
        <v>2.2301960379286759E-10</v>
      </c>
      <c r="AC132" s="24">
        <f t="shared" ref="AC132:AC153" si="111">SUM(Z132:AB132)</f>
        <v>195.6384645765097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768.99999999999966</v>
      </c>
      <c r="AJ132" s="14">
        <f>AI132*VLOOKUP('Données projet'!$B$10,Paramètres!$A$1:$I$89,3,0)*VLOOKUP('Données projet'!$B$10,Paramètres!$A$1:$I$89,5,0)</f>
        <v>429.87099999999981</v>
      </c>
      <c r="AK132" s="14">
        <f t="shared" si="89"/>
        <v>97.806935594587088</v>
      </c>
      <c r="AL132" s="22">
        <f t="shared" ref="AL132:AL153" si="112">(AJ132+AK132)*0.475*44/12</f>
        <v>919.03907116057201</v>
      </c>
      <c r="AM132" s="62">
        <f t="shared" ref="AM132:AM195" si="113">AL132+(AD132+AE132)*44/12</f>
        <v>1212.3724044939054</v>
      </c>
      <c r="AN132" s="62">
        <f ca="1">AVERAGE(OFFSET($AM$3,0,0,'Données projet'!$E$10+1,1))-AVERAGE(OFFSET($H$3,0,0,'Données projet'!$E$10+1,1))</f>
        <v>490.96084572840579</v>
      </c>
      <c r="AO132" s="62">
        <f t="shared" si="90"/>
        <v>597.91658789908263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24.529212082984223</v>
      </c>
      <c r="AV132" s="23">
        <f>EXP(-LN(2)/25)*AV131+(1-EXP(-LN(2)/25))/(LN(2)/25)*Calculateur!AQ132*Calculateur!AS132*VLOOKUP('Données projet'!$B$10,Paramètres!$A$1:$I$89,3,0)*0.475*44/12</f>
        <v>3.3188897186075819</v>
      </c>
      <c r="AW132" s="23">
        <f>EXP(-LN(2)/2)*AW131+(1-EXP(-LN(2)/2))/(LN(2)/2)*AQ132*AT132*VLOOKUP('Données projet'!$B$10,Paramètres!$A$1:$I$89,3,0)*0.475*44/12</f>
        <v>4.9646298663055008E-14</v>
      </c>
      <c r="AX132" s="23">
        <f t="shared" ref="AX132:AX153" si="114">SUM(AU132:AW132)</f>
        <v>27.848101801591856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310.95287409903602</v>
      </c>
      <c r="T133" s="62">
        <f t="shared" ref="T133:T196" si="142">$T$3</f>
        <v>224.10083380795163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185.2221266286536</v>
      </c>
      <c r="AA133" s="23">
        <f>EXP(-LN(2)/25)*AA132+(1-EXP(-LN(2)/25))/(LN(2)/25)*Calculateur!V133*Calculateur!X133*VLOOKUP('Données projet'!$B$9,Paramètres!$A$1:$I$89,3,0)*0.475*44/12</f>
        <v>6.5280683331263916</v>
      </c>
      <c r="AB133" s="23">
        <f>EXP(-LN(2)/2)*AB132+(1-EXP(-LN(2)/2))/(LN(2)/2)*V133*Y133*VLOOKUP('Données projet'!$B$9,Paramètres!$A$1:$I$89,3,0)*0.475*44/12</f>
        <v>1.5769867417947375E-10</v>
      </c>
      <c r="AC133" s="24">
        <f t="shared" si="111"/>
        <v>191.75019496193769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768.99999999999966</v>
      </c>
      <c r="AJ133" s="14">
        <f>AI133*VLOOKUP('Données projet'!$B$10,Paramètres!$A$1:$I$89,3,0)*VLOOKUP('Données projet'!$B$10,Paramètres!$A$1:$I$89,5,0)</f>
        <v>429.87099999999981</v>
      </c>
      <c r="AK133" s="14">
        <f t="shared" ref="AK133:AK153" si="143">EXP(-1.0587+0.8836*LN(AJ133)+0.284)</f>
        <v>97.806935594587088</v>
      </c>
      <c r="AL133" s="22">
        <f t="shared" si="112"/>
        <v>919.03907116057201</v>
      </c>
      <c r="AM133" s="62">
        <f t="shared" si="113"/>
        <v>1212.3724044939054</v>
      </c>
      <c r="AN133" s="62">
        <f ca="1">AVERAGE(OFFSET($AM$3,0,0,'Données projet'!$E$10+1,1))-AVERAGE(OFFSET($H$3,0,0,'Données projet'!$E$10+1,1))</f>
        <v>490.96084572840579</v>
      </c>
      <c r="AO133" s="62">
        <f t="shared" ref="AO133:AO196" si="144">$AO$3</f>
        <v>597.91658789908263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24.048209195378963</v>
      </c>
      <c r="AV133" s="23">
        <f>EXP(-LN(2)/25)*AV132+(1-EXP(-LN(2)/25))/(LN(2)/25)*Calculateur!AQ133*Calculateur!AS133*VLOOKUP('Données projet'!$B$10,Paramètres!$A$1:$I$89,3,0)*0.475*44/12</f>
        <v>3.2281345047194328</v>
      </c>
      <c r="AW133" s="23">
        <f>EXP(-LN(2)/2)*AW132+(1-EXP(-LN(2)/2))/(LN(2)/2)*AQ133*AT133*VLOOKUP('Données projet'!$B$10,Paramètres!$A$1:$I$89,3,0)*0.475*44/12</f>
        <v>3.5105234445458824E-14</v>
      </c>
      <c r="AX133" s="23">
        <f t="shared" si="114"/>
        <v>27.27634370009843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310.95287409903602</v>
      </c>
      <c r="T134" s="62">
        <f t="shared" si="142"/>
        <v>224.10083380795163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181.59003369980766</v>
      </c>
      <c r="AA134" s="23">
        <f>EXP(-LN(2)/25)*AA133+(1-EXP(-LN(2)/25))/(LN(2)/25)*Calculateur!V134*Calculateur!X134*VLOOKUP('Données projet'!$B$9,Paramètres!$A$1:$I$89,3,0)*0.475*44/12</f>
        <v>6.3495579612608566</v>
      </c>
      <c r="AB134" s="23">
        <f>EXP(-LN(2)/2)*AB133+(1-EXP(-LN(2)/2))/(LN(2)/2)*V134*Y134*VLOOKUP('Données projet'!$B$9,Paramètres!$A$1:$I$89,3,0)*0.475*44/12</f>
        <v>1.1150980189643379E-10</v>
      </c>
      <c r="AC134" s="24">
        <f t="shared" si="111"/>
        <v>187.93959166118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768.99999999999966</v>
      </c>
      <c r="AJ134" s="14">
        <f>AI134*VLOOKUP('Données projet'!$B$10,Paramètres!$A$1:$I$89,3,0)*VLOOKUP('Données projet'!$B$10,Paramètres!$A$1:$I$89,5,0)</f>
        <v>429.87099999999981</v>
      </c>
      <c r="AK134" s="14">
        <f t="shared" si="143"/>
        <v>97.806935594587088</v>
      </c>
      <c r="AL134" s="22">
        <f t="shared" si="112"/>
        <v>919.03907116057201</v>
      </c>
      <c r="AM134" s="62">
        <f t="shared" si="113"/>
        <v>1212.3724044939054</v>
      </c>
      <c r="AN134" s="62">
        <f ca="1">AVERAGE(OFFSET($AM$3,0,0,'Données projet'!$E$10+1,1))-AVERAGE(OFFSET($H$3,0,0,'Données projet'!$E$10+1,1))</f>
        <v>490.96084572840579</v>
      </c>
      <c r="AO134" s="62">
        <f t="shared" si="144"/>
        <v>597.91658789908263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23.57663848101685</v>
      </c>
      <c r="AV134" s="23">
        <f>EXP(-LN(2)/25)*AV133+(1-EXP(-LN(2)/25))/(LN(2)/25)*Calculateur!AQ134*Calculateur!AS134*VLOOKUP('Données projet'!$B$10,Paramètres!$A$1:$I$89,3,0)*0.475*44/12</f>
        <v>3.1398609969276641</v>
      </c>
      <c r="AW134" s="23">
        <f>EXP(-LN(2)/2)*AW133+(1-EXP(-LN(2)/2))/(LN(2)/2)*AQ134*AT134*VLOOKUP('Données projet'!$B$10,Paramètres!$A$1:$I$89,3,0)*0.475*44/12</f>
        <v>2.4823149331527504E-14</v>
      </c>
      <c r="AX134" s="23">
        <f t="shared" si="114"/>
        <v>26.716499477944538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310.95287409903602</v>
      </c>
      <c r="T135" s="62">
        <f t="shared" si="142"/>
        <v>224.10083380795163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178.02916389793845</v>
      </c>
      <c r="AA135" s="23">
        <f>EXP(-LN(2)/25)*AA134+(1-EXP(-LN(2)/25))/(LN(2)/25)*Calculateur!V135*Calculateur!X135*VLOOKUP('Données projet'!$B$9,Paramètres!$A$1:$I$89,3,0)*0.475*44/12</f>
        <v>6.1759289649014377</v>
      </c>
      <c r="AB135" s="23">
        <f>EXP(-LN(2)/2)*AB134+(1-EXP(-LN(2)/2))/(LN(2)/2)*V135*Y135*VLOOKUP('Données projet'!$B$9,Paramètres!$A$1:$I$89,3,0)*0.475*44/12</f>
        <v>7.8849337089736873E-11</v>
      </c>
      <c r="AC135" s="24">
        <f t="shared" si="111"/>
        <v>184.20509286291872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768.99999999999966</v>
      </c>
      <c r="AJ135" s="14">
        <f>AI135*VLOOKUP('Données projet'!$B$10,Paramètres!$A$1:$I$89,3,0)*VLOOKUP('Données projet'!$B$10,Paramètres!$A$1:$I$89,5,0)</f>
        <v>429.87099999999981</v>
      </c>
      <c r="AK135" s="14">
        <f t="shared" si="143"/>
        <v>97.806935594587088</v>
      </c>
      <c r="AL135" s="22">
        <f t="shared" si="112"/>
        <v>919.03907116057201</v>
      </c>
      <c r="AM135" s="62">
        <f t="shared" si="113"/>
        <v>1212.3724044939054</v>
      </c>
      <c r="AN135" s="62">
        <f ca="1">AVERAGE(OFFSET($AM$3,0,0,'Données projet'!$E$10+1,1))-AVERAGE(OFFSET($H$3,0,0,'Données projet'!$E$10+1,1))</f>
        <v>490.96084572840579</v>
      </c>
      <c r="AO135" s="62">
        <f t="shared" si="144"/>
        <v>597.91658789908263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23.114314980733642</v>
      </c>
      <c r="AV135" s="23">
        <f>EXP(-LN(2)/25)*AV134+(1-EXP(-LN(2)/25))/(LN(2)/25)*Calculateur!AQ135*Calculateur!AS135*VLOOKUP('Données projet'!$B$10,Paramètres!$A$1:$I$89,3,0)*0.475*44/12</f>
        <v>3.0540013328485633</v>
      </c>
      <c r="AW135" s="23">
        <f>EXP(-LN(2)/2)*AW134+(1-EXP(-LN(2)/2))/(LN(2)/2)*AQ135*AT135*VLOOKUP('Données projet'!$B$10,Paramètres!$A$1:$I$89,3,0)*0.475*44/12</f>
        <v>1.7552617222729412E-14</v>
      </c>
      <c r="AX135" s="23">
        <f t="shared" si="114"/>
        <v>26.168316313582224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310.95287409903602</v>
      </c>
      <c r="T136" s="62">
        <f t="shared" si="142"/>
        <v>224.10083380795163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174.53812058096776</v>
      </c>
      <c r="AA136" s="23">
        <f>EXP(-LN(2)/25)*AA135+(1-EXP(-LN(2)/25))/(LN(2)/25)*Calculateur!V136*Calculateur!X136*VLOOKUP('Données projet'!$B$9,Paramètres!$A$1:$I$89,3,0)*0.475*44/12</f>
        <v>6.0070478625782187</v>
      </c>
      <c r="AB136" s="23">
        <f>EXP(-LN(2)/2)*AB135+(1-EXP(-LN(2)/2))/(LN(2)/2)*V136*Y136*VLOOKUP('Données projet'!$B$9,Paramètres!$A$1:$I$89,3,0)*0.475*44/12</f>
        <v>5.5754900948216897E-11</v>
      </c>
      <c r="AC136" s="24">
        <f t="shared" si="111"/>
        <v>180.54516844360174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768.99999999999966</v>
      </c>
      <c r="AJ136" s="14">
        <f>AI136*VLOOKUP('Données projet'!$B$10,Paramètres!$A$1:$I$89,3,0)*VLOOKUP('Données projet'!$B$10,Paramètres!$A$1:$I$89,5,0)</f>
        <v>429.87099999999981</v>
      </c>
      <c r="AK136" s="14">
        <f t="shared" si="143"/>
        <v>97.806935594587088</v>
      </c>
      <c r="AL136" s="22">
        <f t="shared" si="112"/>
        <v>919.03907116057201</v>
      </c>
      <c r="AM136" s="62">
        <f t="shared" si="113"/>
        <v>1212.3724044939054</v>
      </c>
      <c r="AN136" s="62">
        <f ca="1">AVERAGE(OFFSET($AM$3,0,0,'Données projet'!$E$10+1,1))-AVERAGE(OFFSET($H$3,0,0,'Données projet'!$E$10+1,1))</f>
        <v>490.96084572840579</v>
      </c>
      <c r="AO136" s="62">
        <f t="shared" si="144"/>
        <v>597.91658789908263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22.661057362301499</v>
      </c>
      <c r="AV136" s="23">
        <f>EXP(-LN(2)/25)*AV135+(1-EXP(-LN(2)/25))/(LN(2)/25)*Calculateur!AQ136*Calculateur!AS136*VLOOKUP('Données projet'!$B$10,Paramètres!$A$1:$I$89,3,0)*0.475*44/12</f>
        <v>2.9704895057988692</v>
      </c>
      <c r="AW136" s="23">
        <f>EXP(-LN(2)/2)*AW135+(1-EXP(-LN(2)/2))/(LN(2)/2)*AQ136*AT136*VLOOKUP('Données projet'!$B$10,Paramètres!$A$1:$I$89,3,0)*0.475*44/12</f>
        <v>1.2411574665763752E-14</v>
      </c>
      <c r="AX136" s="23">
        <f t="shared" si="114"/>
        <v>25.631546868100379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310.95287409903602</v>
      </c>
      <c r="T137" s="62">
        <f t="shared" si="142"/>
        <v>224.10083380795163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171.1155344941167</v>
      </c>
      <c r="AA137" s="23">
        <f>EXP(-LN(2)/25)*AA136+(1-EXP(-LN(2)/25))/(LN(2)/25)*Calculateur!V137*Calculateur!X137*VLOOKUP('Données projet'!$B$9,Paramètres!$A$1:$I$89,3,0)*0.475*44/12</f>
        <v>5.8427848228790991</v>
      </c>
      <c r="AB137" s="23">
        <f>EXP(-LN(2)/2)*AB136+(1-EXP(-LN(2)/2))/(LN(2)/2)*V137*Y137*VLOOKUP('Données projet'!$B$9,Paramètres!$A$1:$I$89,3,0)*0.475*44/12</f>
        <v>3.9424668544868436E-11</v>
      </c>
      <c r="AC137" s="24">
        <f t="shared" si="111"/>
        <v>176.95831931703523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768.99999999999966</v>
      </c>
      <c r="AJ137" s="14">
        <f>AI137*VLOOKUP('Données projet'!$B$10,Paramètres!$A$1:$I$89,3,0)*VLOOKUP('Données projet'!$B$10,Paramètres!$A$1:$I$89,5,0)</f>
        <v>429.87099999999981</v>
      </c>
      <c r="AK137" s="14">
        <f t="shared" si="143"/>
        <v>97.806935594587088</v>
      </c>
      <c r="AL137" s="22">
        <f t="shared" si="112"/>
        <v>919.03907116057201</v>
      </c>
      <c r="AM137" s="62">
        <f t="shared" si="113"/>
        <v>1212.3724044939054</v>
      </c>
      <c r="AN137" s="62">
        <f ca="1">AVERAGE(OFFSET($AM$3,0,0,'Données projet'!$E$10+1,1))-AVERAGE(OFFSET($H$3,0,0,'Données projet'!$E$10+1,1))</f>
        <v>490.96084572840579</v>
      </c>
      <c r="AO137" s="62">
        <f t="shared" si="144"/>
        <v>597.91658789908263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22.216687849306961</v>
      </c>
      <c r="AV137" s="23">
        <f>EXP(-LN(2)/25)*AV136+(1-EXP(-LN(2)/25))/(LN(2)/25)*Calculateur!AQ137*Calculateur!AS137*VLOOKUP('Données projet'!$B$10,Paramètres!$A$1:$I$89,3,0)*0.475*44/12</f>
        <v>2.8892613140515451</v>
      </c>
      <c r="AW137" s="23">
        <f>EXP(-LN(2)/2)*AW136+(1-EXP(-LN(2)/2))/(LN(2)/2)*AQ137*AT137*VLOOKUP('Données projet'!$B$10,Paramètres!$A$1:$I$89,3,0)*0.475*44/12</f>
        <v>8.776308611364706E-15</v>
      </c>
      <c r="AX137" s="23">
        <f t="shared" si="114"/>
        <v>25.105949163358513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310.95287409903602</v>
      </c>
      <c r="T138" s="62">
        <f t="shared" si="142"/>
        <v>224.10083380795163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167.76006323285742</v>
      </c>
      <c r="AA138" s="23">
        <f>EXP(-LN(2)/25)*AA137+(1-EXP(-LN(2)/25))/(LN(2)/25)*Calculateur!V138*Calculateur!X138*VLOOKUP('Données projet'!$B$9,Paramètres!$A$1:$I$89,3,0)*0.475*44/12</f>
        <v>5.6830135646387703</v>
      </c>
      <c r="AB138" s="23">
        <f>EXP(-LN(2)/2)*AB137+(1-EXP(-LN(2)/2))/(LN(2)/2)*V138*Y138*VLOOKUP('Données projet'!$B$9,Paramètres!$A$1:$I$89,3,0)*0.475*44/12</f>
        <v>2.7877450474108449E-11</v>
      </c>
      <c r="AC138" s="24">
        <f t="shared" si="111"/>
        <v>173.44307679752407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768.99999999999966</v>
      </c>
      <c r="AJ138" s="14">
        <f>AI138*VLOOKUP('Données projet'!$B$10,Paramètres!$A$1:$I$89,3,0)*VLOOKUP('Données projet'!$B$10,Paramètres!$A$1:$I$89,5,0)</f>
        <v>429.87099999999981</v>
      </c>
      <c r="AK138" s="14">
        <f t="shared" si="143"/>
        <v>97.806935594587088</v>
      </c>
      <c r="AL138" s="22">
        <f t="shared" si="112"/>
        <v>919.03907116057201</v>
      </c>
      <c r="AM138" s="62">
        <f t="shared" si="113"/>
        <v>1212.3724044939054</v>
      </c>
      <c r="AN138" s="62">
        <f ca="1">AVERAGE(OFFSET($AM$3,0,0,'Données projet'!$E$10+1,1))-AVERAGE(OFFSET($H$3,0,0,'Données projet'!$E$10+1,1))</f>
        <v>490.96084572840579</v>
      </c>
      <c r="AO138" s="62">
        <f t="shared" si="144"/>
        <v>597.91658789908263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21.781032151423606</v>
      </c>
      <c r="AV138" s="23">
        <f>EXP(-LN(2)/25)*AV137+(1-EXP(-LN(2)/25))/(LN(2)/25)*Calculateur!AQ138*Calculateur!AS138*VLOOKUP('Données projet'!$B$10,Paramètres!$A$1:$I$89,3,0)*0.475*44/12</f>
        <v>2.8102543114791567</v>
      </c>
      <c r="AW138" s="23">
        <f>EXP(-LN(2)/2)*AW137+(1-EXP(-LN(2)/2))/(LN(2)/2)*AQ138*AT138*VLOOKUP('Données projet'!$B$10,Paramètres!$A$1:$I$89,3,0)*0.475*44/12</f>
        <v>6.205787332881876E-15</v>
      </c>
      <c r="AX138" s="23">
        <f t="shared" si="114"/>
        <v>24.591286462902769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310.95287409903602</v>
      </c>
      <c r="T139" s="62">
        <f t="shared" si="142"/>
        <v>224.10083380795163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164.47039071639605</v>
      </c>
      <c r="AA139" s="23">
        <f>EXP(-LN(2)/25)*AA138+(1-EXP(-LN(2)/25))/(LN(2)/25)*Calculateur!V139*Calculateur!X139*VLOOKUP('Données projet'!$B$9,Paramètres!$A$1:$I$89,3,0)*0.475*44/12</f>
        <v>5.5276112598570286</v>
      </c>
      <c r="AB139" s="23">
        <f>EXP(-LN(2)/2)*AB138+(1-EXP(-LN(2)/2))/(LN(2)/2)*V139*Y139*VLOOKUP('Données projet'!$B$9,Paramètres!$A$1:$I$89,3,0)*0.475*44/12</f>
        <v>1.9712334272434218E-11</v>
      </c>
      <c r="AC139" s="24">
        <f t="shared" si="111"/>
        <v>169.9980019762728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768.99999999999966</v>
      </c>
      <c r="AJ139" s="14">
        <f>AI139*VLOOKUP('Données projet'!$B$10,Paramètres!$A$1:$I$89,3,0)*VLOOKUP('Données projet'!$B$10,Paramètres!$A$1:$I$89,5,0)</f>
        <v>429.87099999999981</v>
      </c>
      <c r="AK139" s="14">
        <f t="shared" si="143"/>
        <v>97.806935594587088</v>
      </c>
      <c r="AL139" s="22">
        <f t="shared" si="112"/>
        <v>919.03907116057201</v>
      </c>
      <c r="AM139" s="62">
        <f t="shared" si="113"/>
        <v>1212.3724044939054</v>
      </c>
      <c r="AN139" s="62">
        <f ca="1">AVERAGE(OFFSET($AM$3,0,0,'Données projet'!$E$10+1,1))-AVERAGE(OFFSET($H$3,0,0,'Données projet'!$E$10+1,1))</f>
        <v>490.96084572840579</v>
      </c>
      <c r="AO139" s="62">
        <f t="shared" si="144"/>
        <v>597.91658789908263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21.353919396052007</v>
      </c>
      <c r="AV139" s="23">
        <f>EXP(-LN(2)/25)*AV138+(1-EXP(-LN(2)/25))/(LN(2)/25)*Calculateur!AQ139*Calculateur!AS139*VLOOKUP('Données projet'!$B$10,Paramètres!$A$1:$I$89,3,0)*0.475*44/12</f>
        <v>2.7334077595469077</v>
      </c>
      <c r="AW139" s="23">
        <f>EXP(-LN(2)/2)*AW138+(1-EXP(-LN(2)/2))/(LN(2)/2)*AQ139*AT139*VLOOKUP('Données projet'!$B$10,Paramètres!$A$1:$I$89,3,0)*0.475*44/12</f>
        <v>4.388154305682353E-15</v>
      </c>
      <c r="AX139" s="23">
        <f t="shared" si="114"/>
        <v>24.087327155598917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310.95287409903602</v>
      </c>
      <c r="T140" s="62">
        <f t="shared" si="142"/>
        <v>224.10083380795163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161.24522667148037</v>
      </c>
      <c r="AA140" s="23">
        <f>EXP(-LN(2)/25)*AA139+(1-EXP(-LN(2)/25))/(LN(2)/25)*Calculateur!V140*Calculateur!X140*VLOOKUP('Données projet'!$B$9,Paramètres!$A$1:$I$89,3,0)*0.475*44/12</f>
        <v>5.3764584392717953</v>
      </c>
      <c r="AB140" s="23">
        <f>EXP(-LN(2)/2)*AB139+(1-EXP(-LN(2)/2))/(LN(2)/2)*V140*Y140*VLOOKUP('Données projet'!$B$9,Paramètres!$A$1:$I$89,3,0)*0.475*44/12</f>
        <v>1.3938725237054224E-11</v>
      </c>
      <c r="AC140" s="24">
        <f t="shared" si="111"/>
        <v>166.62168511076609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768.99999999999966</v>
      </c>
      <c r="AJ140" s="14">
        <f>AI140*VLOOKUP('Données projet'!$B$10,Paramètres!$A$1:$I$89,3,0)*VLOOKUP('Données projet'!$B$10,Paramètres!$A$1:$I$89,5,0)</f>
        <v>429.87099999999981</v>
      </c>
      <c r="AK140" s="14">
        <f t="shared" si="143"/>
        <v>97.806935594587088</v>
      </c>
      <c r="AL140" s="22">
        <f t="shared" si="112"/>
        <v>919.03907116057201</v>
      </c>
      <c r="AM140" s="62">
        <f t="shared" si="113"/>
        <v>1212.3724044939054</v>
      </c>
      <c r="AN140" s="62">
        <f ca="1">AVERAGE(OFFSET($AM$3,0,0,'Données projet'!$E$10+1,1))-AVERAGE(OFFSET($H$3,0,0,'Données projet'!$E$10+1,1))</f>
        <v>490.96084572840579</v>
      </c>
      <c r="AO140" s="62">
        <f t="shared" si="144"/>
        <v>597.91658789908263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20.935182061300186</v>
      </c>
      <c r="AV140" s="23">
        <f>EXP(-LN(2)/25)*AV139+(1-EXP(-LN(2)/25))/(LN(2)/25)*Calculateur!AQ140*Calculateur!AS140*VLOOKUP('Données projet'!$B$10,Paramètres!$A$1:$I$89,3,0)*0.475*44/12</f>
        <v>2.6586625806184307</v>
      </c>
      <c r="AW140" s="23">
        <f>EXP(-LN(2)/2)*AW139+(1-EXP(-LN(2)/2))/(LN(2)/2)*AQ140*AT140*VLOOKUP('Données projet'!$B$10,Paramètres!$A$1:$I$89,3,0)*0.475*44/12</f>
        <v>3.102893666440938E-15</v>
      </c>
      <c r="AX140" s="23">
        <f t="shared" si="114"/>
        <v>23.593844641918619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310.95287409903602</v>
      </c>
      <c r="T141" s="62">
        <f t="shared" si="142"/>
        <v>224.10083380795163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158.08330612632966</v>
      </c>
      <c r="AA141" s="23">
        <f>EXP(-LN(2)/25)*AA140+(1-EXP(-LN(2)/25))/(LN(2)/25)*Calculateur!V141*Calculateur!X141*VLOOKUP('Données projet'!$B$9,Paramètres!$A$1:$I$89,3,0)*0.475*44/12</f>
        <v>5.2294389005142472</v>
      </c>
      <c r="AB141" s="23">
        <f>EXP(-LN(2)/2)*AB140+(1-EXP(-LN(2)/2))/(LN(2)/2)*V141*Y141*VLOOKUP('Données projet'!$B$9,Paramètres!$A$1:$I$89,3,0)*0.475*44/12</f>
        <v>9.8561671362171091E-12</v>
      </c>
      <c r="AC141" s="24">
        <f t="shared" si="111"/>
        <v>163.31274502685378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768.99999999999966</v>
      </c>
      <c r="AJ141" s="14">
        <f>AI141*VLOOKUP('Données projet'!$B$10,Paramètres!$A$1:$I$89,3,0)*VLOOKUP('Données projet'!$B$10,Paramètres!$A$1:$I$89,5,0)</f>
        <v>429.87099999999981</v>
      </c>
      <c r="AK141" s="14">
        <f t="shared" si="143"/>
        <v>97.806935594587088</v>
      </c>
      <c r="AL141" s="22">
        <f t="shared" si="112"/>
        <v>919.03907116057201</v>
      </c>
      <c r="AM141" s="62">
        <f t="shared" si="113"/>
        <v>1212.3724044939054</v>
      </c>
      <c r="AN141" s="62">
        <f ca="1">AVERAGE(OFFSET($AM$3,0,0,'Données projet'!$E$10+1,1))-AVERAGE(OFFSET($H$3,0,0,'Données projet'!$E$10+1,1))</f>
        <v>490.96084572840579</v>
      </c>
      <c r="AO141" s="62">
        <f t="shared" si="144"/>
        <v>597.91658789908263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20.524655910278291</v>
      </c>
      <c r="AV141" s="23">
        <f>EXP(-LN(2)/25)*AV140+(1-EXP(-LN(2)/25))/(LN(2)/25)*Calculateur!AQ141*Calculateur!AS141*VLOOKUP('Données projet'!$B$10,Paramètres!$A$1:$I$89,3,0)*0.475*44/12</f>
        <v>2.5859613125384313</v>
      </c>
      <c r="AW141" s="23">
        <f>EXP(-LN(2)/2)*AW140+(1-EXP(-LN(2)/2))/(LN(2)/2)*AQ141*AT141*VLOOKUP('Données projet'!$B$10,Paramètres!$A$1:$I$89,3,0)*0.475*44/12</f>
        <v>2.1940771528411765E-15</v>
      </c>
      <c r="AX141" s="23">
        <f t="shared" si="114"/>
        <v>23.110617222816725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310.95287409903602</v>
      </c>
      <c r="T142" s="62">
        <f t="shared" si="142"/>
        <v>224.10083380795163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154.98338891448827</v>
      </c>
      <c r="AA142" s="23">
        <f>EXP(-LN(2)/25)*AA141+(1-EXP(-LN(2)/25))/(LN(2)/25)*Calculateur!V142*Calculateur!X142*VLOOKUP('Données projet'!$B$9,Paramètres!$A$1:$I$89,3,0)*0.475*44/12</f>
        <v>5.0864396187754455</v>
      </c>
      <c r="AB142" s="23">
        <f>EXP(-LN(2)/2)*AB141+(1-EXP(-LN(2)/2))/(LN(2)/2)*V142*Y142*VLOOKUP('Données projet'!$B$9,Paramètres!$A$1:$I$89,3,0)*0.475*44/12</f>
        <v>6.9693626185271122E-12</v>
      </c>
      <c r="AC142" s="24">
        <f t="shared" si="111"/>
        <v>160.06982853327068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768.99999999999966</v>
      </c>
      <c r="AJ142" s="14">
        <f>AI142*VLOOKUP('Données projet'!$B$10,Paramètres!$A$1:$I$89,3,0)*VLOOKUP('Données projet'!$B$10,Paramètres!$A$1:$I$89,5,0)</f>
        <v>429.87099999999981</v>
      </c>
      <c r="AK142" s="14">
        <f t="shared" si="143"/>
        <v>97.806935594587088</v>
      </c>
      <c r="AL142" s="22">
        <f t="shared" si="112"/>
        <v>919.03907116057201</v>
      </c>
      <c r="AM142" s="62">
        <f t="shared" si="113"/>
        <v>1212.3724044939054</v>
      </c>
      <c r="AN142" s="62">
        <f ca="1">AVERAGE(OFFSET($AM$3,0,0,'Données projet'!$E$10+1,1))-AVERAGE(OFFSET($H$3,0,0,'Données projet'!$E$10+1,1))</f>
        <v>490.96084572840579</v>
      </c>
      <c r="AO142" s="62">
        <f t="shared" si="144"/>
        <v>597.91658789908263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20.12217992668171</v>
      </c>
      <c r="AV142" s="23">
        <f>EXP(-LN(2)/25)*AV141+(1-EXP(-LN(2)/25))/(LN(2)/25)*Calculateur!AQ142*Calculateur!AS142*VLOOKUP('Données projet'!$B$10,Paramètres!$A$1:$I$89,3,0)*0.475*44/12</f>
        <v>2.5152480644572726</v>
      </c>
      <c r="AW142" s="23">
        <f>EXP(-LN(2)/2)*AW141+(1-EXP(-LN(2)/2))/(LN(2)/2)*AQ142*AT142*VLOOKUP('Données projet'!$B$10,Paramètres!$A$1:$I$89,3,0)*0.475*44/12</f>
        <v>1.551446833220469E-15</v>
      </c>
      <c r="AX142" s="23">
        <f t="shared" si="114"/>
        <v>22.637427991138981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310.95287409903602</v>
      </c>
      <c r="T143" s="62">
        <f t="shared" si="142"/>
        <v>224.10083380795163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151.94425918840827</v>
      </c>
      <c r="AA143" s="23">
        <f>EXP(-LN(2)/25)*AA142+(1-EXP(-LN(2)/25))/(LN(2)/25)*Calculateur!V143*Calculateur!X143*VLOOKUP('Données projet'!$B$9,Paramètres!$A$1:$I$89,3,0)*0.475*44/12</f>
        <v>4.9473506599157968</v>
      </c>
      <c r="AB143" s="23">
        <f>EXP(-LN(2)/2)*AB142+(1-EXP(-LN(2)/2))/(LN(2)/2)*V143*Y143*VLOOKUP('Données projet'!$B$9,Paramètres!$A$1:$I$89,3,0)*0.475*44/12</f>
        <v>4.9280835681085545E-12</v>
      </c>
      <c r="AC143" s="24">
        <f t="shared" si="111"/>
        <v>156.89160984832898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768.99999999999966</v>
      </c>
      <c r="AJ143" s="14">
        <f>AI143*VLOOKUP('Données projet'!$B$10,Paramètres!$A$1:$I$89,3,0)*VLOOKUP('Données projet'!$B$10,Paramètres!$A$1:$I$89,5,0)</f>
        <v>429.87099999999981</v>
      </c>
      <c r="AK143" s="14">
        <f t="shared" si="143"/>
        <v>97.806935594587088</v>
      </c>
      <c r="AL143" s="22">
        <f t="shared" si="112"/>
        <v>919.03907116057201</v>
      </c>
      <c r="AM143" s="62">
        <f t="shared" si="113"/>
        <v>1212.3724044939054</v>
      </c>
      <c r="AN143" s="62">
        <f ca="1">AVERAGE(OFFSET($AM$3,0,0,'Données projet'!$E$10+1,1))-AVERAGE(OFFSET($H$3,0,0,'Données projet'!$E$10+1,1))</f>
        <v>490.96084572840579</v>
      </c>
      <c r="AO143" s="62">
        <f t="shared" si="144"/>
        <v>597.91658789908263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19.727596251637348</v>
      </c>
      <c r="AV143" s="23">
        <f>EXP(-LN(2)/25)*AV142+(1-EXP(-LN(2)/25))/(LN(2)/25)*Calculateur!AQ143*Calculateur!AS143*VLOOKUP('Données projet'!$B$10,Paramètres!$A$1:$I$89,3,0)*0.475*44/12</f>
        <v>2.4464684738635416</v>
      </c>
      <c r="AW143" s="23">
        <f>EXP(-LN(2)/2)*AW142+(1-EXP(-LN(2)/2))/(LN(2)/2)*AQ143*AT143*VLOOKUP('Données projet'!$B$10,Paramètres!$A$1:$I$89,3,0)*0.475*44/12</f>
        <v>1.0970385764205882E-15</v>
      </c>
      <c r="AX143" s="23">
        <f t="shared" si="114"/>
        <v>22.174064725500891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310.95287409903602</v>
      </c>
      <c r="T144" s="62">
        <f t="shared" si="142"/>
        <v>224.10083380795163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148.9647249425706</v>
      </c>
      <c r="AA144" s="23">
        <f>EXP(-LN(2)/25)*AA143+(1-EXP(-LN(2)/25))/(LN(2)/25)*Calculateur!V144*Calculateur!X144*VLOOKUP('Données projet'!$B$9,Paramètres!$A$1:$I$89,3,0)*0.475*44/12</f>
        <v>4.8120650959505351</v>
      </c>
      <c r="AB144" s="23">
        <f>EXP(-LN(2)/2)*AB143+(1-EXP(-LN(2)/2))/(LN(2)/2)*V144*Y144*VLOOKUP('Données projet'!$B$9,Paramètres!$A$1:$I$89,3,0)*0.475*44/12</f>
        <v>3.4846813092635561E-12</v>
      </c>
      <c r="AC144" s="24">
        <f t="shared" si="111"/>
        <v>153.77679003852464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768.99999999999966</v>
      </c>
      <c r="AJ144" s="14">
        <f>AI144*VLOOKUP('Données projet'!$B$10,Paramètres!$A$1:$I$89,3,0)*VLOOKUP('Données projet'!$B$10,Paramètres!$A$1:$I$89,5,0)</f>
        <v>429.87099999999981</v>
      </c>
      <c r="AK144" s="14">
        <f t="shared" si="143"/>
        <v>97.806935594587088</v>
      </c>
      <c r="AL144" s="22">
        <f t="shared" si="112"/>
        <v>919.03907116057201</v>
      </c>
      <c r="AM144" s="62">
        <f t="shared" si="113"/>
        <v>1212.3724044939054</v>
      </c>
      <c r="AN144" s="62">
        <f ca="1">AVERAGE(OFFSET($AM$3,0,0,'Données projet'!$E$10+1,1))-AVERAGE(OFFSET($H$3,0,0,'Données projet'!$E$10+1,1))</f>
        <v>490.96084572840579</v>
      </c>
      <c r="AO144" s="62">
        <f t="shared" si="144"/>
        <v>597.91658789908263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19.340750121788329</v>
      </c>
      <c r="AV144" s="23">
        <f>EXP(-LN(2)/25)*AV143+(1-EXP(-LN(2)/25))/(LN(2)/25)*Calculateur!AQ144*Calculateur!AS144*VLOOKUP('Données projet'!$B$10,Paramètres!$A$1:$I$89,3,0)*0.475*44/12</f>
        <v>2.3795696647915574</v>
      </c>
      <c r="AW144" s="23">
        <f>EXP(-LN(2)/2)*AW143+(1-EXP(-LN(2)/2))/(LN(2)/2)*AQ144*AT144*VLOOKUP('Données projet'!$B$10,Paramètres!$A$1:$I$89,3,0)*0.475*44/12</f>
        <v>7.757234166102345E-16</v>
      </c>
      <c r="AX144" s="23">
        <f t="shared" si="114"/>
        <v>21.720319786579886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310.95287409903602</v>
      </c>
      <c r="T145" s="62">
        <f t="shared" si="142"/>
        <v>224.10083380795163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146.04361754595737</v>
      </c>
      <c r="AA145" s="23">
        <f>EXP(-LN(2)/25)*AA144+(1-EXP(-LN(2)/25))/(LN(2)/25)*Calculateur!V145*Calculateur!X145*VLOOKUP('Données projet'!$B$9,Paramètres!$A$1:$I$89,3,0)*0.475*44/12</f>
        <v>4.6804789228462624</v>
      </c>
      <c r="AB145" s="23">
        <f>EXP(-LN(2)/2)*AB144+(1-EXP(-LN(2)/2))/(LN(2)/2)*V145*Y145*VLOOKUP('Données projet'!$B$9,Paramètres!$A$1:$I$89,3,0)*0.475*44/12</f>
        <v>2.4640417840542773E-12</v>
      </c>
      <c r="AC145" s="24">
        <f t="shared" si="111"/>
        <v>150.7240964688061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768.99999999999966</v>
      </c>
      <c r="AJ145" s="14">
        <f>AI145*VLOOKUP('Données projet'!$B$10,Paramètres!$A$1:$I$89,3,0)*VLOOKUP('Données projet'!$B$10,Paramètres!$A$1:$I$89,5,0)</f>
        <v>429.87099999999981</v>
      </c>
      <c r="AK145" s="14">
        <f t="shared" si="143"/>
        <v>97.806935594587088</v>
      </c>
      <c r="AL145" s="22">
        <f t="shared" si="112"/>
        <v>919.03907116057201</v>
      </c>
      <c r="AM145" s="62">
        <f t="shared" si="113"/>
        <v>1212.3724044939054</v>
      </c>
      <c r="AN145" s="62">
        <f ca="1">AVERAGE(OFFSET($AM$3,0,0,'Données projet'!$E$10+1,1))-AVERAGE(OFFSET($H$3,0,0,'Données projet'!$E$10+1,1))</f>
        <v>490.96084572840579</v>
      </c>
      <c r="AO145" s="62">
        <f t="shared" si="144"/>
        <v>597.91658789908263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18.961489808592805</v>
      </c>
      <c r="AV145" s="23">
        <f>EXP(-LN(2)/25)*AV144+(1-EXP(-LN(2)/25))/(LN(2)/25)*Calculateur!AQ145*Calculateur!AS145*VLOOKUP('Données projet'!$B$10,Paramètres!$A$1:$I$89,3,0)*0.475*44/12</f>
        <v>2.3145002071717022</v>
      </c>
      <c r="AW145" s="23">
        <f>EXP(-LN(2)/2)*AW144+(1-EXP(-LN(2)/2))/(LN(2)/2)*AQ145*AT145*VLOOKUP('Données projet'!$B$10,Paramètres!$A$1:$I$89,3,0)*0.475*44/12</f>
        <v>5.4851928821029412E-16</v>
      </c>
      <c r="AX145" s="23">
        <f t="shared" si="114"/>
        <v>21.275990015764506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310.95287409903602</v>
      </c>
      <c r="T146" s="62">
        <f t="shared" si="142"/>
        <v>224.10083380795163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143.17979128369214</v>
      </c>
      <c r="AA146" s="23">
        <f>EXP(-LN(2)/25)*AA145+(1-EXP(-LN(2)/25))/(LN(2)/25)*Calculateur!V146*Calculateur!X146*VLOOKUP('Données projet'!$B$9,Paramètres!$A$1:$I$89,3,0)*0.475*44/12</f>
        <v>4.5524909805653424</v>
      </c>
      <c r="AB146" s="23">
        <f>EXP(-LN(2)/2)*AB145+(1-EXP(-LN(2)/2))/(LN(2)/2)*V146*Y146*VLOOKUP('Données projet'!$B$9,Paramètres!$A$1:$I$89,3,0)*0.475*44/12</f>
        <v>1.742340654631778E-12</v>
      </c>
      <c r="AC146" s="24">
        <f t="shared" si="111"/>
        <v>147.73228226425923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768.99999999999966</v>
      </c>
      <c r="AJ146" s="14">
        <f>AI146*VLOOKUP('Données projet'!$B$10,Paramètres!$A$1:$I$89,3,0)*VLOOKUP('Données projet'!$B$10,Paramètres!$A$1:$I$89,5,0)</f>
        <v>429.87099999999981</v>
      </c>
      <c r="AK146" s="14">
        <f t="shared" si="143"/>
        <v>97.806935594587088</v>
      </c>
      <c r="AL146" s="22">
        <f t="shared" si="112"/>
        <v>919.03907116057201</v>
      </c>
      <c r="AM146" s="62">
        <f t="shared" si="113"/>
        <v>1212.3724044939054</v>
      </c>
      <c r="AN146" s="62">
        <f ca="1">AVERAGE(OFFSET($AM$3,0,0,'Données projet'!$E$10+1,1))-AVERAGE(OFFSET($H$3,0,0,'Données projet'!$E$10+1,1))</f>
        <v>490.96084572840579</v>
      </c>
      <c r="AO146" s="62">
        <f t="shared" si="144"/>
        <v>597.91658789908263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18.5896665588131</v>
      </c>
      <c r="AV146" s="23">
        <f>EXP(-LN(2)/25)*AV145+(1-EXP(-LN(2)/25))/(LN(2)/25)*Calculateur!AQ146*Calculateur!AS146*VLOOKUP('Données projet'!$B$10,Paramètres!$A$1:$I$89,3,0)*0.475*44/12</f>
        <v>2.251210077292316</v>
      </c>
      <c r="AW146" s="23">
        <f>EXP(-LN(2)/2)*AW145+(1-EXP(-LN(2)/2))/(LN(2)/2)*AQ146*AT146*VLOOKUP('Données projet'!$B$10,Paramètres!$A$1:$I$89,3,0)*0.475*44/12</f>
        <v>3.8786170830511725E-16</v>
      </c>
      <c r="AX146" s="23">
        <f t="shared" si="114"/>
        <v>20.840876636105417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310.95287409903602</v>
      </c>
      <c r="T147" s="62">
        <f t="shared" si="142"/>
        <v>224.10083380795163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140.3721229076684</v>
      </c>
      <c r="AA147" s="23">
        <f>EXP(-LN(2)/25)*AA146+(1-EXP(-LN(2)/25))/(LN(2)/25)*Calculateur!V147*Calculateur!X147*VLOOKUP('Données projet'!$B$9,Paramètres!$A$1:$I$89,3,0)*0.475*44/12</f>
        <v>4.4280028752966869</v>
      </c>
      <c r="AB147" s="23">
        <f>EXP(-LN(2)/2)*AB146+(1-EXP(-LN(2)/2))/(LN(2)/2)*V147*Y147*VLOOKUP('Données projet'!$B$9,Paramètres!$A$1:$I$89,3,0)*0.475*44/12</f>
        <v>1.2320208920271386E-12</v>
      </c>
      <c r="AC147" s="24">
        <f t="shared" si="111"/>
        <v>144.80012578296632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768.99999999999966</v>
      </c>
      <c r="AJ147" s="14">
        <f>AI147*VLOOKUP('Données projet'!$B$10,Paramètres!$A$1:$I$89,3,0)*VLOOKUP('Données projet'!$B$10,Paramètres!$A$1:$I$89,5,0)</f>
        <v>429.87099999999981</v>
      </c>
      <c r="AK147" s="14">
        <f t="shared" si="143"/>
        <v>97.806935594587088</v>
      </c>
      <c r="AL147" s="22">
        <f t="shared" si="112"/>
        <v>919.03907116057201</v>
      </c>
      <c r="AM147" s="62">
        <f t="shared" si="113"/>
        <v>1212.3724044939054</v>
      </c>
      <c r="AN147" s="62">
        <f ca="1">AVERAGE(OFFSET($AM$3,0,0,'Données projet'!$E$10+1,1))-AVERAGE(OFFSET($H$3,0,0,'Données projet'!$E$10+1,1))</f>
        <v>490.96084572840579</v>
      </c>
      <c r="AO147" s="62">
        <f t="shared" si="144"/>
        <v>597.91658789908263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18.225134536171783</v>
      </c>
      <c r="AV147" s="23">
        <f>EXP(-LN(2)/25)*AV146+(1-EXP(-LN(2)/25))/(LN(2)/25)*Calculateur!AQ147*Calculateur!AS147*VLOOKUP('Données projet'!$B$10,Paramètres!$A$1:$I$89,3,0)*0.475*44/12</f>
        <v>2.1896506193427649</v>
      </c>
      <c r="AW147" s="23">
        <f>EXP(-LN(2)/2)*AW146+(1-EXP(-LN(2)/2))/(LN(2)/2)*AQ147*AT147*VLOOKUP('Données projet'!$B$10,Paramètres!$A$1:$I$89,3,0)*0.475*44/12</f>
        <v>2.7425964410514706E-16</v>
      </c>
      <c r="AX147" s="23">
        <f t="shared" si="114"/>
        <v>20.414785155514547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310.95287409903602</v>
      </c>
      <c r="T148" s="62">
        <f t="shared" si="142"/>
        <v>224.10083380795163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137.61951119598987</v>
      </c>
      <c r="AA148" s="23">
        <f>EXP(-LN(2)/25)*AA147+(1-EXP(-LN(2)/25))/(LN(2)/25)*Calculateur!V148*Calculateur!X148*VLOOKUP('Données projet'!$B$9,Paramètres!$A$1:$I$89,3,0)*0.475*44/12</f>
        <v>4.3069189038131483</v>
      </c>
      <c r="AB148" s="23">
        <f>EXP(-LN(2)/2)*AB147+(1-EXP(-LN(2)/2))/(LN(2)/2)*V148*Y148*VLOOKUP('Données projet'!$B$9,Paramètres!$A$1:$I$89,3,0)*0.475*44/12</f>
        <v>8.7117032731588902E-13</v>
      </c>
      <c r="AC148" s="24">
        <f t="shared" si="111"/>
        <v>141.92643009980389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768.99999999999966</v>
      </c>
      <c r="AJ148" s="14">
        <f>AI148*VLOOKUP('Données projet'!$B$10,Paramètres!$A$1:$I$89,3,0)*VLOOKUP('Données projet'!$B$10,Paramètres!$A$1:$I$89,5,0)</f>
        <v>429.87099999999981</v>
      </c>
      <c r="AK148" s="14">
        <f t="shared" si="143"/>
        <v>97.806935594587088</v>
      </c>
      <c r="AL148" s="22">
        <f t="shared" si="112"/>
        <v>919.03907116057201</v>
      </c>
      <c r="AM148" s="62">
        <f t="shared" si="113"/>
        <v>1212.3724044939054</v>
      </c>
      <c r="AN148" s="62">
        <f ca="1">AVERAGE(OFFSET($AM$3,0,0,'Données projet'!$E$10+1,1))-AVERAGE(OFFSET($H$3,0,0,'Données projet'!$E$10+1,1))</f>
        <v>490.96084572840579</v>
      </c>
      <c r="AO148" s="62">
        <f t="shared" si="144"/>
        <v>597.91658789908263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17.867750764151886</v>
      </c>
      <c r="AV148" s="23">
        <f>EXP(-LN(2)/25)*AV147+(1-EXP(-LN(2)/25))/(LN(2)/25)*Calculateur!AQ148*Calculateur!AS148*VLOOKUP('Données projet'!$B$10,Paramètres!$A$1:$I$89,3,0)*0.475*44/12</f>
        <v>2.1297745080081154</v>
      </c>
      <c r="AW148" s="23">
        <f>EXP(-LN(2)/2)*AW147+(1-EXP(-LN(2)/2))/(LN(2)/2)*AQ148*AT148*VLOOKUP('Données projet'!$B$10,Paramètres!$A$1:$I$89,3,0)*0.475*44/12</f>
        <v>1.9393085415255863E-16</v>
      </c>
      <c r="AX148" s="23">
        <f t="shared" si="114"/>
        <v>19.997525272160001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310.95287409903602</v>
      </c>
      <c r="T149" s="62">
        <f t="shared" si="142"/>
        <v>224.10083380795163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134.92087652104999</v>
      </c>
      <c r="AA149" s="23">
        <f>EXP(-LN(2)/25)*AA148+(1-EXP(-LN(2)/25))/(LN(2)/25)*Calculateur!V149*Calculateur!X149*VLOOKUP('Données projet'!$B$9,Paramètres!$A$1:$I$89,3,0)*0.475*44/12</f>
        <v>4.189145979897356</v>
      </c>
      <c r="AB149" s="23">
        <f>EXP(-LN(2)/2)*AB148+(1-EXP(-LN(2)/2))/(LN(2)/2)*V149*Y149*VLOOKUP('Données projet'!$B$9,Paramètres!$A$1:$I$89,3,0)*0.475*44/12</f>
        <v>6.1601044601356932E-13</v>
      </c>
      <c r="AC149" s="24">
        <f t="shared" si="111"/>
        <v>139.11002250094796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768.99999999999966</v>
      </c>
      <c r="AJ149" s="14">
        <f>AI149*VLOOKUP('Données projet'!$B$10,Paramètres!$A$1:$I$89,3,0)*VLOOKUP('Données projet'!$B$10,Paramètres!$A$1:$I$89,5,0)</f>
        <v>429.87099999999981</v>
      </c>
      <c r="AK149" s="14">
        <f t="shared" si="143"/>
        <v>97.806935594587088</v>
      </c>
      <c r="AL149" s="22">
        <f t="shared" si="112"/>
        <v>919.03907116057201</v>
      </c>
      <c r="AM149" s="62">
        <f t="shared" si="113"/>
        <v>1212.3724044939054</v>
      </c>
      <c r="AN149" s="62">
        <f ca="1">AVERAGE(OFFSET($AM$3,0,0,'Données projet'!$E$10+1,1))-AVERAGE(OFFSET($H$3,0,0,'Données projet'!$E$10+1,1))</f>
        <v>490.96084572840579</v>
      </c>
      <c r="AO149" s="62">
        <f t="shared" si="144"/>
        <v>597.91658789908263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17.517375069918721</v>
      </c>
      <c r="AV149" s="23">
        <f>EXP(-LN(2)/25)*AV148+(1-EXP(-LN(2)/25))/(LN(2)/25)*Calculateur!AQ149*Calculateur!AS149*VLOOKUP('Données projet'!$B$10,Paramètres!$A$1:$I$89,3,0)*0.475*44/12</f>
        <v>2.0715357120866598</v>
      </c>
      <c r="AW149" s="23">
        <f>EXP(-LN(2)/2)*AW148+(1-EXP(-LN(2)/2))/(LN(2)/2)*AQ149*AT149*VLOOKUP('Données projet'!$B$10,Paramètres!$A$1:$I$89,3,0)*0.475*44/12</f>
        <v>1.3712982205257353E-16</v>
      </c>
      <c r="AX149" s="23">
        <f t="shared" si="114"/>
        <v>19.588910782005382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310.95287409903602</v>
      </c>
      <c r="T150" s="62">
        <f t="shared" si="142"/>
        <v>224.10083380795163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132.27516042608107</v>
      </c>
      <c r="AA150" s="23">
        <f>EXP(-LN(2)/25)*AA149+(1-EXP(-LN(2)/25))/(LN(2)/25)*Calculateur!V150*Calculateur!X150*VLOOKUP('Données projet'!$B$9,Paramètres!$A$1:$I$89,3,0)*0.475*44/12</f>
        <v>4.0745935627794498</v>
      </c>
      <c r="AB150" s="23">
        <f>EXP(-LN(2)/2)*AB149+(1-EXP(-LN(2)/2))/(LN(2)/2)*V150*Y150*VLOOKUP('Données projet'!$B$9,Paramètres!$A$1:$I$89,3,0)*0.475*44/12</f>
        <v>4.3558516365794451E-13</v>
      </c>
      <c r="AC150" s="24">
        <f t="shared" si="111"/>
        <v>136.34975398886095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768.99999999999966</v>
      </c>
      <c r="AJ150" s="14">
        <f>AI150*VLOOKUP('Données projet'!$B$10,Paramètres!$A$1:$I$89,3,0)*VLOOKUP('Données projet'!$B$10,Paramètres!$A$1:$I$89,5,0)</f>
        <v>429.87099999999981</v>
      </c>
      <c r="AK150" s="14">
        <f t="shared" si="143"/>
        <v>97.806935594587088</v>
      </c>
      <c r="AL150" s="22">
        <f t="shared" si="112"/>
        <v>919.03907116057201</v>
      </c>
      <c r="AM150" s="62">
        <f t="shared" si="113"/>
        <v>1212.3724044939054</v>
      </c>
      <c r="AN150" s="62">
        <f ca="1">AVERAGE(OFFSET($AM$3,0,0,'Données projet'!$E$10+1,1))-AVERAGE(OFFSET($H$3,0,0,'Données projet'!$E$10+1,1))</f>
        <v>490.96084572840579</v>
      </c>
      <c r="AO150" s="62">
        <f t="shared" si="144"/>
        <v>597.91658789908263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17.173870029341398</v>
      </c>
      <c r="AV150" s="23">
        <f>EXP(-LN(2)/25)*AV149+(1-EXP(-LN(2)/25))/(LN(2)/25)*Calculateur!AQ150*Calculateur!AS150*VLOOKUP('Données projet'!$B$10,Paramètres!$A$1:$I$89,3,0)*0.475*44/12</f>
        <v>2.0148894591023216</v>
      </c>
      <c r="AW150" s="23">
        <f>EXP(-LN(2)/2)*AW149+(1-EXP(-LN(2)/2))/(LN(2)/2)*AQ150*AT150*VLOOKUP('Données projet'!$B$10,Paramètres!$A$1:$I$89,3,0)*0.475*44/12</f>
        <v>9.6965427076279313E-17</v>
      </c>
      <c r="AX150" s="23">
        <f t="shared" si="114"/>
        <v>19.188759488443718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310.95287409903602</v>
      </c>
      <c r="T151" s="62">
        <f t="shared" si="142"/>
        <v>224.10083380795163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129.681325210007</v>
      </c>
      <c r="AA151" s="23">
        <f>EXP(-LN(2)/25)*AA150+(1-EXP(-LN(2)/25))/(LN(2)/25)*Calculateur!V151*Calculateur!X151*VLOOKUP('Données projet'!$B$9,Paramètres!$A$1:$I$89,3,0)*0.475*44/12</f>
        <v>3.9631735875316831</v>
      </c>
      <c r="AB151" s="23">
        <f>EXP(-LN(2)/2)*AB150+(1-EXP(-LN(2)/2))/(LN(2)/2)*V151*Y151*VLOOKUP('Données projet'!$B$9,Paramètres!$A$1:$I$89,3,0)*0.475*44/12</f>
        <v>3.0800522300678466E-13</v>
      </c>
      <c r="AC151" s="24">
        <f t="shared" si="111"/>
        <v>133.644498797539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768.99999999999966</v>
      </c>
      <c r="AJ151" s="14">
        <f>AI151*VLOOKUP('Données projet'!$B$10,Paramètres!$A$1:$I$89,3,0)*VLOOKUP('Données projet'!$B$10,Paramètres!$A$1:$I$89,5,0)</f>
        <v>429.87099999999981</v>
      </c>
      <c r="AK151" s="14">
        <f t="shared" si="143"/>
        <v>97.806935594587088</v>
      </c>
      <c r="AL151" s="22">
        <f t="shared" si="112"/>
        <v>919.03907116057201</v>
      </c>
      <c r="AM151" s="62">
        <f t="shared" si="113"/>
        <v>1212.3724044939054</v>
      </c>
      <c r="AN151" s="62">
        <f ca="1">AVERAGE(OFFSET($AM$3,0,0,'Données projet'!$E$10+1,1))-AVERAGE(OFFSET($H$3,0,0,'Données projet'!$E$10+1,1))</f>
        <v>490.96084572840579</v>
      </c>
      <c r="AO151" s="62">
        <f t="shared" si="144"/>
        <v>597.91658789908263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16.837100913092407</v>
      </c>
      <c r="AV151" s="23">
        <f>EXP(-LN(2)/25)*AV150+(1-EXP(-LN(2)/25))/(LN(2)/25)*Calculateur!AQ151*Calculateur!AS151*VLOOKUP('Données projet'!$B$10,Paramètres!$A$1:$I$89,3,0)*0.475*44/12</f>
        <v>1.959792200884737</v>
      </c>
      <c r="AW151" s="23">
        <f>EXP(-LN(2)/2)*AW150+(1-EXP(-LN(2)/2))/(LN(2)/2)*AQ151*AT151*VLOOKUP('Données projet'!$B$10,Paramètres!$A$1:$I$89,3,0)*0.475*44/12</f>
        <v>6.8564911026286765E-17</v>
      </c>
      <c r="AX151" s="23">
        <f t="shared" si="114"/>
        <v>18.796893113977145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310.95287409903602</v>
      </c>
      <c r="T152" s="62">
        <f t="shared" si="142"/>
        <v>224.10083380795163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127.13835352043688</v>
      </c>
      <c r="AA152" s="23">
        <f>EXP(-LN(2)/25)*AA151+(1-EXP(-LN(2)/25))/(LN(2)/25)*Calculateur!V152*Calculateur!X152*VLOOKUP('Données projet'!$B$9,Paramètres!$A$1:$I$89,3,0)*0.475*44/12</f>
        <v>3.8548003973663882</v>
      </c>
      <c r="AB152" s="23">
        <f>EXP(-LN(2)/2)*AB151+(1-EXP(-LN(2)/2))/(LN(2)/2)*V152*Y152*VLOOKUP('Données projet'!$B$9,Paramètres!$A$1:$I$89,3,0)*0.475*44/12</f>
        <v>2.1779258182897226E-13</v>
      </c>
      <c r="AC152" s="24">
        <f t="shared" si="111"/>
        <v>130.99315391780348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768.99999999999966</v>
      </c>
      <c r="AJ152" s="14">
        <f>AI152*VLOOKUP('Données projet'!$B$10,Paramètres!$A$1:$I$89,3,0)*VLOOKUP('Données projet'!$B$10,Paramètres!$A$1:$I$89,5,0)</f>
        <v>429.87099999999981</v>
      </c>
      <c r="AK152" s="14">
        <f t="shared" si="143"/>
        <v>97.806935594587088</v>
      </c>
      <c r="AL152" s="22">
        <f t="shared" si="112"/>
        <v>919.03907116057201</v>
      </c>
      <c r="AM152" s="62">
        <f t="shared" si="113"/>
        <v>1212.3724044939054</v>
      </c>
      <c r="AN152" s="62">
        <f ca="1">AVERAGE(OFFSET($AM$3,0,0,'Données projet'!$E$10+1,1))-AVERAGE(OFFSET($H$3,0,0,'Données projet'!$E$10+1,1))</f>
        <v>490.96084572840579</v>
      </c>
      <c r="AO152" s="62">
        <f t="shared" si="144"/>
        <v>597.91658789908263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16.506935633804179</v>
      </c>
      <c r="AV152" s="23">
        <f>EXP(-LN(2)/25)*AV151+(1-EXP(-LN(2)/25))/(LN(2)/25)*Calculateur!AQ152*Calculateur!AS152*VLOOKUP('Données projet'!$B$10,Paramètres!$A$1:$I$89,3,0)*0.475*44/12</f>
        <v>1.9062015800905512</v>
      </c>
      <c r="AW152" s="23">
        <f>EXP(-LN(2)/2)*AW151+(1-EXP(-LN(2)/2))/(LN(2)/2)*AQ152*AT152*VLOOKUP('Données projet'!$B$10,Paramètres!$A$1:$I$89,3,0)*0.475*44/12</f>
        <v>4.8482713538139656E-17</v>
      </c>
      <c r="AX152" s="23">
        <f t="shared" si="114"/>
        <v>18.413137213894732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310.95287409903602</v>
      </c>
      <c r="T153" s="62">
        <f t="shared" si="142"/>
        <v>224.10083380795163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124.64524795463966</v>
      </c>
      <c r="AA153" s="23">
        <f>EXP(-LN(2)/25)*AA152+(1-EXP(-LN(2)/25))/(LN(2)/25)*Calculateur!V153*Calculateur!X153*VLOOKUP('Données projet'!$B$9,Paramètres!$A$1:$I$89,3,0)*0.475*44/12</f>
        <v>3.7493906777852617</v>
      </c>
      <c r="AB153" s="23">
        <f>EXP(-LN(2)/2)*AB152+(1-EXP(-LN(2)/2))/(LN(2)/2)*V153*Y153*VLOOKUP('Données projet'!$B$9,Paramètres!$A$1:$I$89,3,0)*0.475*44/12</f>
        <v>1.5400261150339233E-13</v>
      </c>
      <c r="AC153" s="24">
        <f t="shared" si="111"/>
        <v>128.39463863242506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768.99999999999966</v>
      </c>
      <c r="AJ153" s="14">
        <f>AI153*VLOOKUP('Données projet'!$B$10,Paramètres!$A$1:$I$89,3,0)*VLOOKUP('Données projet'!$B$10,Paramètres!$A$1:$I$89,5,0)</f>
        <v>429.87099999999981</v>
      </c>
      <c r="AK153" s="14">
        <f t="shared" si="143"/>
        <v>97.806935594587088</v>
      </c>
      <c r="AL153" s="22">
        <f t="shared" si="112"/>
        <v>919.03907116057201</v>
      </c>
      <c r="AM153" s="62">
        <f t="shared" si="113"/>
        <v>1212.3724044939054</v>
      </c>
      <c r="AN153" s="62">
        <f ca="1">AVERAGE(OFFSET($AM$3,0,0,'Données projet'!$E$10+1,1))-AVERAGE(OFFSET($H$3,0,0,'Données projet'!$E$10+1,1))</f>
        <v>490.96084572840579</v>
      </c>
      <c r="AO153" s="62">
        <f t="shared" si="144"/>
        <v>597.91658789908263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16.183244694261859</v>
      </c>
      <c r="AV153" s="23">
        <f>EXP(-LN(2)/25)*AV152+(1-EXP(-LN(2)/25))/(LN(2)/25)*Calculateur!AQ153*Calculateur!AS153*VLOOKUP('Données projet'!$B$10,Paramètres!$A$1:$I$89,3,0)*0.475*44/12</f>
        <v>1.8540763976401906</v>
      </c>
      <c r="AW153" s="23">
        <f>EXP(-LN(2)/2)*AW152+(1-EXP(-LN(2)/2))/(LN(2)/2)*AQ153*AT153*VLOOKUP('Données projet'!$B$10,Paramètres!$A$1:$I$89,3,0)*0.475*44/12</f>
        <v>3.4282455513143383E-17</v>
      </c>
      <c r="AX153" s="23">
        <f t="shared" si="114"/>
        <v>18.037321091902051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310.95287409903602</v>
      </c>
      <c r="T154" s="62">
        <f t="shared" si="142"/>
        <v>224.10083380795163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122.20103066834348</v>
      </c>
      <c r="AA154" s="23">
        <f>EXP(-LN(2)/25)*AA153+(1-EXP(-LN(2)/25))/(LN(2)/25)*Calculateur!V154*Calculateur!X154*VLOOKUP('Données projet'!$B$9,Paramètres!$A$1:$I$89,3,0)*0.475*44/12</f>
        <v>3.6468633925293372</v>
      </c>
      <c r="AB154" s="23">
        <f>EXP(-LN(2)/2)*AB153+(1-EXP(-LN(2)/2))/(LN(2)/2)*V154*Y154*VLOOKUP('Données projet'!$B$9,Paramètres!$A$1:$I$89,3,0)*0.475*44/12</f>
        <v>1.0889629091448613E-13</v>
      </c>
      <c r="AC154" s="24">
        <f t="shared" ref="AC154:AC203" si="163">SUM(Z154:AB154)</f>
        <v>125.84789406087293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768.99999999999966</v>
      </c>
      <c r="AJ154" s="14">
        <f>AI154*VLOOKUP('Données projet'!$B$10,Paramètres!$A$1:$I$89,3,0)*VLOOKUP('Données projet'!$B$10,Paramètres!$A$1:$I$89,5,0)</f>
        <v>429.87099999999981</v>
      </c>
      <c r="AK154" s="14">
        <f t="shared" ref="AK154:AK203" si="164">EXP(-1.0587+0.8836*LN(AJ154)+0.284)</f>
        <v>97.806935594587088</v>
      </c>
      <c r="AL154" s="22">
        <f t="shared" ref="AL154:AL203" si="165">(AJ154+AK154)*0.475*44/12</f>
        <v>919.03907116057201</v>
      </c>
      <c r="AM154" s="62">
        <f t="shared" si="113"/>
        <v>1212.3724044939054</v>
      </c>
      <c r="AN154" s="62">
        <f ca="1">AVERAGE(OFFSET($AM$3,0,0,'Données projet'!$E$10+1,1))-AVERAGE(OFFSET($H$3,0,0,'Données projet'!$E$10+1,1))</f>
        <v>490.96084572840579</v>
      </c>
      <c r="AO154" s="62">
        <f t="shared" si="144"/>
        <v>597.91658789908263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15.865901136611987</v>
      </c>
      <c r="AV154" s="23">
        <f>EXP(-LN(2)/25)*AV153+(1-EXP(-LN(2)/25))/(LN(2)/25)*Calculateur!AQ154*Calculateur!AS154*VLOOKUP('Données projet'!$B$10,Paramètres!$A$1:$I$89,3,0)*0.475*44/12</f>
        <v>1.8033765810450795</v>
      </c>
      <c r="AW154" s="23">
        <f>EXP(-LN(2)/2)*AW153+(1-EXP(-LN(2)/2))/(LN(2)/2)*AQ154*AT154*VLOOKUP('Données projet'!$B$10,Paramètres!$A$1:$I$89,3,0)*0.475*44/12</f>
        <v>2.4241356769069828E-17</v>
      </c>
      <c r="AX154" s="23">
        <f t="shared" ref="AX154:AX203" si="166">SUM(AU154:AW154)</f>
        <v>17.669277717657067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310.95287409903602</v>
      </c>
      <c r="T155" s="62">
        <f t="shared" si="142"/>
        <v>224.10083380795163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119.80474299220623</v>
      </c>
      <c r="AA155" s="23">
        <f>EXP(-LN(2)/25)*AA154+(1-EXP(-LN(2)/25))/(LN(2)/25)*Calculateur!V155*Calculateur!X155*VLOOKUP('Données projet'!$B$9,Paramètres!$A$1:$I$89,3,0)*0.475*44/12</f>
        <v>3.5471397212804119</v>
      </c>
      <c r="AB155" s="23">
        <f>EXP(-LN(2)/2)*AB154+(1-EXP(-LN(2)/2))/(LN(2)/2)*V155*Y155*VLOOKUP('Données projet'!$B$9,Paramètres!$A$1:$I$89,3,0)*0.475*44/12</f>
        <v>7.7001305751696165E-14</v>
      </c>
      <c r="AC155" s="24">
        <f t="shared" si="163"/>
        <v>123.35188271348672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768.99999999999966</v>
      </c>
      <c r="AJ155" s="14">
        <f>AI155*VLOOKUP('Données projet'!$B$10,Paramètres!$A$1:$I$89,3,0)*VLOOKUP('Données projet'!$B$10,Paramètres!$A$1:$I$89,5,0)</f>
        <v>429.87099999999981</v>
      </c>
      <c r="AK155" s="14">
        <f t="shared" si="164"/>
        <v>97.806935594587088</v>
      </c>
      <c r="AL155" s="22">
        <f t="shared" si="165"/>
        <v>919.03907116057201</v>
      </c>
      <c r="AM155" s="62">
        <f t="shared" si="113"/>
        <v>1212.3724044939054</v>
      </c>
      <c r="AN155" s="62">
        <f ca="1">AVERAGE(OFFSET($AM$3,0,0,'Données projet'!$E$10+1,1))-AVERAGE(OFFSET($H$3,0,0,'Données projet'!$E$10+1,1))</f>
        <v>490.96084572840579</v>
      </c>
      <c r="AO155" s="62">
        <f t="shared" si="144"/>
        <v>597.91658789908263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15.55478049256717</v>
      </c>
      <c r="AV155" s="23">
        <f>EXP(-LN(2)/25)*AV154+(1-EXP(-LN(2)/25))/(LN(2)/25)*Calculateur!AQ155*Calculateur!AS155*VLOOKUP('Données projet'!$B$10,Paramètres!$A$1:$I$89,3,0)*0.475*44/12</f>
        <v>1.754063153600949</v>
      </c>
      <c r="AW155" s="23">
        <f>EXP(-LN(2)/2)*AW154+(1-EXP(-LN(2)/2))/(LN(2)/2)*AQ155*AT155*VLOOKUP('Données projet'!$B$10,Paramètres!$A$1:$I$89,3,0)*0.475*44/12</f>
        <v>1.7141227756571691E-17</v>
      </c>
      <c r="AX155" s="23">
        <f t="shared" si="166"/>
        <v>17.308843646168118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310.95287409903602</v>
      </c>
      <c r="T156" s="62">
        <f t="shared" si="142"/>
        <v>224.10083380795163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117.45544505580686</v>
      </c>
      <c r="AA156" s="23">
        <f>EXP(-LN(2)/25)*AA155+(1-EXP(-LN(2)/25))/(LN(2)/25)*Calculateur!V156*Calculateur!X156*VLOOKUP('Données projet'!$B$9,Paramètres!$A$1:$I$89,3,0)*0.475*44/12</f>
        <v>3.4501429990660282</v>
      </c>
      <c r="AB156" s="23">
        <f>EXP(-LN(2)/2)*AB155+(1-EXP(-LN(2)/2))/(LN(2)/2)*V156*Y156*VLOOKUP('Données projet'!$B$9,Paramètres!$A$1:$I$89,3,0)*0.475*44/12</f>
        <v>5.4448145457243064E-14</v>
      </c>
      <c r="AC156" s="24">
        <f t="shared" si="163"/>
        <v>120.90558805487295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768.99999999999966</v>
      </c>
      <c r="AJ156" s="14">
        <f>AI156*VLOOKUP('Données projet'!$B$10,Paramètres!$A$1:$I$89,3,0)*VLOOKUP('Données projet'!$B$10,Paramètres!$A$1:$I$89,5,0)</f>
        <v>429.87099999999981</v>
      </c>
      <c r="AK156" s="14">
        <f t="shared" si="164"/>
        <v>97.806935594587088</v>
      </c>
      <c r="AL156" s="22">
        <f t="shared" si="165"/>
        <v>919.03907116057201</v>
      </c>
      <c r="AM156" s="62">
        <f t="shared" si="113"/>
        <v>1212.3724044939054</v>
      </c>
      <c r="AN156" s="62">
        <f ca="1">AVERAGE(OFFSET($AM$3,0,0,'Données projet'!$E$10+1,1))-AVERAGE(OFFSET($H$3,0,0,'Données projet'!$E$10+1,1))</f>
        <v>490.96084572840579</v>
      </c>
      <c r="AO156" s="62">
        <f t="shared" si="144"/>
        <v>597.91658789908263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15.249760734587218</v>
      </c>
      <c r="AV156" s="23">
        <f>EXP(-LN(2)/25)*AV155+(1-EXP(-LN(2)/25))/(LN(2)/25)*Calculateur!AQ156*Calculateur!AS156*VLOOKUP('Données projet'!$B$10,Paramètres!$A$1:$I$89,3,0)*0.475*44/12</f>
        <v>1.7060982044235589</v>
      </c>
      <c r="AW156" s="23">
        <f>EXP(-LN(2)/2)*AW155+(1-EXP(-LN(2)/2))/(LN(2)/2)*AQ156*AT156*VLOOKUP('Données projet'!$B$10,Paramètres!$A$1:$I$89,3,0)*0.475*44/12</f>
        <v>1.2120678384534914E-17</v>
      </c>
      <c r="AX156" s="23">
        <f t="shared" si="166"/>
        <v>16.955858939010778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310.95287409903602</v>
      </c>
      <c r="T157" s="62">
        <f t="shared" si="142"/>
        <v>224.10083380795163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115.15221541901003</v>
      </c>
      <c r="AA157" s="23">
        <f>EXP(-LN(2)/25)*AA156+(1-EXP(-LN(2)/25))/(LN(2)/25)*Calculateur!V157*Calculateur!X157*VLOOKUP('Données projet'!$B$9,Paramètres!$A$1:$I$89,3,0)*0.475*44/12</f>
        <v>3.3557986573214329</v>
      </c>
      <c r="AB157" s="23">
        <f>EXP(-LN(2)/2)*AB156+(1-EXP(-LN(2)/2))/(LN(2)/2)*V157*Y157*VLOOKUP('Données projet'!$B$9,Paramètres!$A$1:$I$89,3,0)*0.475*44/12</f>
        <v>3.8500652875848082E-14</v>
      </c>
      <c r="AC157" s="24">
        <f t="shared" si="163"/>
        <v>118.50801407633151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768.99999999999966</v>
      </c>
      <c r="AJ157" s="14">
        <f>AI157*VLOOKUP('Données projet'!$B$10,Paramètres!$A$1:$I$89,3,0)*VLOOKUP('Données projet'!$B$10,Paramètres!$A$1:$I$89,5,0)</f>
        <v>429.87099999999981</v>
      </c>
      <c r="AK157" s="14">
        <f t="shared" si="164"/>
        <v>97.806935594587088</v>
      </c>
      <c r="AL157" s="22">
        <f t="shared" si="165"/>
        <v>919.03907116057201</v>
      </c>
      <c r="AM157" s="62">
        <f t="shared" si="113"/>
        <v>1212.3724044939054</v>
      </c>
      <c r="AN157" s="62">
        <f ca="1">AVERAGE(OFFSET($AM$3,0,0,'Données projet'!$E$10+1,1))-AVERAGE(OFFSET($H$3,0,0,'Données projet'!$E$10+1,1))</f>
        <v>490.96084572840579</v>
      </c>
      <c r="AO157" s="62">
        <f t="shared" si="144"/>
        <v>597.91658789908263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14.95072222801757</v>
      </c>
      <c r="AV157" s="23">
        <f>EXP(-LN(2)/25)*AV156+(1-EXP(-LN(2)/25))/(LN(2)/25)*Calculateur!AQ157*Calculateur!AS157*VLOOKUP('Données projet'!$B$10,Paramètres!$A$1:$I$89,3,0)*0.475*44/12</f>
        <v>1.6594448593037914</v>
      </c>
      <c r="AW157" s="23">
        <f>EXP(-LN(2)/2)*AW156+(1-EXP(-LN(2)/2))/(LN(2)/2)*AQ157*AT157*VLOOKUP('Données projet'!$B$10,Paramètres!$A$1:$I$89,3,0)*0.475*44/12</f>
        <v>8.5706138782858457E-18</v>
      </c>
      <c r="AX157" s="23">
        <f t="shared" si="166"/>
        <v>16.610167087321361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310.95287409903602</v>
      </c>
      <c r="T158" s="62">
        <f t="shared" si="142"/>
        <v>224.10083380795163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112.89415071055943</v>
      </c>
      <c r="AA158" s="23">
        <f>EXP(-LN(2)/25)*AA157+(1-EXP(-LN(2)/25))/(LN(2)/25)*Calculateur!V158*Calculateur!X158*VLOOKUP('Données projet'!$B$9,Paramètres!$A$1:$I$89,3,0)*0.475*44/12</f>
        <v>3.2640341665631967</v>
      </c>
      <c r="AB158" s="23">
        <f>EXP(-LN(2)/2)*AB157+(1-EXP(-LN(2)/2))/(LN(2)/2)*V158*Y158*VLOOKUP('Données projet'!$B$9,Paramètres!$A$1:$I$89,3,0)*0.475*44/12</f>
        <v>2.7224072728621532E-14</v>
      </c>
      <c r="AC158" s="24">
        <f t="shared" si="163"/>
        <v>116.15818487712265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768.99999999999966</v>
      </c>
      <c r="AJ158" s="14">
        <f>AI158*VLOOKUP('Données projet'!$B$10,Paramètres!$A$1:$I$89,3,0)*VLOOKUP('Données projet'!$B$10,Paramètres!$A$1:$I$89,5,0)</f>
        <v>429.87099999999981</v>
      </c>
      <c r="AK158" s="14">
        <f t="shared" si="164"/>
        <v>97.806935594587088</v>
      </c>
      <c r="AL158" s="22">
        <f t="shared" si="165"/>
        <v>919.03907116057201</v>
      </c>
      <c r="AM158" s="62">
        <f t="shared" si="113"/>
        <v>1212.3724044939054</v>
      </c>
      <c r="AN158" s="62">
        <f ca="1">AVERAGE(OFFSET($AM$3,0,0,'Données projet'!$E$10+1,1))-AVERAGE(OFFSET($H$3,0,0,'Données projet'!$E$10+1,1))</f>
        <v>490.96084572840579</v>
      </c>
      <c r="AO158" s="62">
        <f t="shared" si="144"/>
        <v>597.91658789908263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14.657547684166275</v>
      </c>
      <c r="AV158" s="23">
        <f>EXP(-LN(2)/25)*AV157+(1-EXP(-LN(2)/25))/(LN(2)/25)*Calculateur!AQ158*Calculateur!AS158*VLOOKUP('Données projet'!$B$10,Paramètres!$A$1:$I$89,3,0)*0.475*44/12</f>
        <v>1.6140672523597168</v>
      </c>
      <c r="AW158" s="23">
        <f>EXP(-LN(2)/2)*AW157+(1-EXP(-LN(2)/2))/(LN(2)/2)*AQ158*AT158*VLOOKUP('Données projet'!$B$10,Paramètres!$A$1:$I$89,3,0)*0.475*44/12</f>
        <v>6.0603391922674571E-18</v>
      </c>
      <c r="AX158" s="23">
        <f t="shared" si="166"/>
        <v>16.271614936525992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310.95287409903602</v>
      </c>
      <c r="T159" s="62">
        <f t="shared" si="142"/>
        <v>224.10083380795163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110.68036527375807</v>
      </c>
      <c r="AA159" s="23">
        <f>EXP(-LN(2)/25)*AA158+(1-EXP(-LN(2)/25))/(LN(2)/25)*Calculateur!V159*Calculateur!X159*VLOOKUP('Données projet'!$B$9,Paramètres!$A$1:$I$89,3,0)*0.475*44/12</f>
        <v>3.1747789806304292</v>
      </c>
      <c r="AB159" s="23">
        <f>EXP(-LN(2)/2)*AB158+(1-EXP(-LN(2)/2))/(LN(2)/2)*V159*Y159*VLOOKUP('Données projet'!$B$9,Paramètres!$A$1:$I$89,3,0)*0.475*44/12</f>
        <v>1.9250326437924041E-14</v>
      </c>
      <c r="AC159" s="24">
        <f t="shared" si="163"/>
        <v>113.85514425438852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768.99999999999966</v>
      </c>
      <c r="AJ159" s="14">
        <f>AI159*VLOOKUP('Données projet'!$B$10,Paramètres!$A$1:$I$89,3,0)*VLOOKUP('Données projet'!$B$10,Paramètres!$A$1:$I$89,5,0)</f>
        <v>429.87099999999981</v>
      </c>
      <c r="AK159" s="14">
        <f t="shared" si="164"/>
        <v>97.806935594587088</v>
      </c>
      <c r="AL159" s="22">
        <f t="shared" si="165"/>
        <v>919.03907116057201</v>
      </c>
      <c r="AM159" s="62">
        <f t="shared" si="113"/>
        <v>1212.3724044939054</v>
      </c>
      <c r="AN159" s="62">
        <f ca="1">AVERAGE(OFFSET($AM$3,0,0,'Données projet'!$E$10+1,1))-AVERAGE(OFFSET($H$3,0,0,'Données projet'!$E$10+1,1))</f>
        <v>490.96084572840579</v>
      </c>
      <c r="AO159" s="62">
        <f t="shared" si="144"/>
        <v>597.91658789908263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14.370122114301088</v>
      </c>
      <c r="AV159" s="23">
        <f>EXP(-LN(2)/25)*AV158+(1-EXP(-LN(2)/25))/(LN(2)/25)*Calculateur!AQ159*Calculateur!AS159*VLOOKUP('Données projet'!$B$10,Paramètres!$A$1:$I$89,3,0)*0.475*44/12</f>
        <v>1.5699304984638325</v>
      </c>
      <c r="AW159" s="23">
        <f>EXP(-LN(2)/2)*AW158+(1-EXP(-LN(2)/2))/(LN(2)/2)*AQ159*AT159*VLOOKUP('Données projet'!$B$10,Paramètres!$A$1:$I$89,3,0)*0.475*44/12</f>
        <v>4.2853069391429228E-18</v>
      </c>
      <c r="AX159" s="23">
        <f t="shared" si="166"/>
        <v>15.940052612764921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310.95287409903602</v>
      </c>
      <c r="T160" s="62">
        <f t="shared" si="142"/>
        <v>224.10083380795163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108.5099908190966</v>
      </c>
      <c r="AA160" s="23">
        <f>EXP(-LN(2)/25)*AA159+(1-EXP(-LN(2)/25))/(LN(2)/25)*Calculateur!V160*Calculateur!X160*VLOOKUP('Données projet'!$B$9,Paramètres!$A$1:$I$89,3,0)*0.475*44/12</f>
        <v>3.0879644824507197</v>
      </c>
      <c r="AB160" s="23">
        <f>EXP(-LN(2)/2)*AB159+(1-EXP(-LN(2)/2))/(LN(2)/2)*V160*Y160*VLOOKUP('Données projet'!$B$9,Paramètres!$A$1:$I$89,3,0)*0.475*44/12</f>
        <v>1.3612036364310766E-14</v>
      </c>
      <c r="AC160" s="24">
        <f t="shared" si="163"/>
        <v>111.59795530154733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768.99999999999966</v>
      </c>
      <c r="AJ160" s="14">
        <f>AI160*VLOOKUP('Données projet'!$B$10,Paramètres!$A$1:$I$89,3,0)*VLOOKUP('Données projet'!$B$10,Paramètres!$A$1:$I$89,5,0)</f>
        <v>429.87099999999981</v>
      </c>
      <c r="AK160" s="14">
        <f t="shared" si="164"/>
        <v>97.806935594587088</v>
      </c>
      <c r="AL160" s="22">
        <f t="shared" si="165"/>
        <v>919.03907116057201</v>
      </c>
      <c r="AM160" s="62">
        <f t="shared" si="113"/>
        <v>1212.3724044939054</v>
      </c>
      <c r="AN160" s="62">
        <f ca="1">AVERAGE(OFFSET($AM$3,0,0,'Données projet'!$E$10+1,1))-AVERAGE(OFFSET($H$3,0,0,'Données projet'!$E$10+1,1))</f>
        <v>490.96084572840579</v>
      </c>
      <c r="AO160" s="62">
        <f t="shared" si="144"/>
        <v>597.91658789908263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14.088332784548671</v>
      </c>
      <c r="AV160" s="23">
        <f>EXP(-LN(2)/25)*AV159+(1-EXP(-LN(2)/25))/(LN(2)/25)*Calculateur!AQ160*Calculateur!AS160*VLOOKUP('Données projet'!$B$10,Paramètres!$A$1:$I$89,3,0)*0.475*44/12</f>
        <v>1.5270006664242821</v>
      </c>
      <c r="AW160" s="23">
        <f>EXP(-LN(2)/2)*AW159+(1-EXP(-LN(2)/2))/(LN(2)/2)*AQ160*AT160*VLOOKUP('Données projet'!$B$10,Paramètres!$A$1:$I$89,3,0)*0.475*44/12</f>
        <v>3.0301695961337285E-18</v>
      </c>
      <c r="AX160" s="23">
        <f t="shared" si="166"/>
        <v>15.615333450972953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310.95287409903602</v>
      </c>
      <c r="T161" s="62">
        <f t="shared" si="142"/>
        <v>224.10083380795163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106.38217608369334</v>
      </c>
      <c r="AA161" s="23">
        <f>EXP(-LN(2)/25)*AA160+(1-EXP(-LN(2)/25))/(LN(2)/25)*Calculateur!V161*Calculateur!X161*VLOOKUP('Données projet'!$B$9,Paramètres!$A$1:$I$89,3,0)*0.475*44/12</f>
        <v>3.0035239312891102</v>
      </c>
      <c r="AB161" s="23">
        <f>EXP(-LN(2)/2)*AB160+(1-EXP(-LN(2)/2))/(LN(2)/2)*V161*Y161*VLOOKUP('Données projet'!$B$9,Paramètres!$A$1:$I$89,3,0)*0.475*44/12</f>
        <v>9.6251632189620206E-15</v>
      </c>
      <c r="AC161" s="24">
        <f t="shared" si="163"/>
        <v>109.38570001498246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768.99999999999966</v>
      </c>
      <c r="AJ161" s="14">
        <f>AI161*VLOOKUP('Données projet'!$B$10,Paramètres!$A$1:$I$89,3,0)*VLOOKUP('Données projet'!$B$10,Paramètres!$A$1:$I$89,5,0)</f>
        <v>429.87099999999981</v>
      </c>
      <c r="AK161" s="14">
        <f t="shared" si="164"/>
        <v>97.806935594587088</v>
      </c>
      <c r="AL161" s="22">
        <f t="shared" si="165"/>
        <v>919.03907116057201</v>
      </c>
      <c r="AM161" s="62">
        <f t="shared" si="113"/>
        <v>1212.3724044939054</v>
      </c>
      <c r="AN161" s="62">
        <f ca="1">AVERAGE(OFFSET($AM$3,0,0,'Données projet'!$E$10+1,1))-AVERAGE(OFFSET($H$3,0,0,'Données projet'!$E$10+1,1))</f>
        <v>490.96084572840579</v>
      </c>
      <c r="AO161" s="62">
        <f t="shared" si="144"/>
        <v>597.91658789908263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13.812069171678178</v>
      </c>
      <c r="AV161" s="23">
        <f>EXP(-LN(2)/25)*AV160+(1-EXP(-LN(2)/25))/(LN(2)/25)*Calculateur!AQ161*Calculateur!AS161*VLOOKUP('Données projet'!$B$10,Paramètres!$A$1:$I$89,3,0)*0.475*44/12</f>
        <v>1.485244752899435</v>
      </c>
      <c r="AW161" s="23">
        <f>EXP(-LN(2)/2)*AW160+(1-EXP(-LN(2)/2))/(LN(2)/2)*AQ161*AT161*VLOOKUP('Données projet'!$B$10,Paramètres!$A$1:$I$89,3,0)*0.475*44/12</f>
        <v>2.1426534695714614E-18</v>
      </c>
      <c r="AX161" s="23">
        <f t="shared" si="166"/>
        <v>15.297313924577614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310.95287409903602</v>
      </c>
      <c r="T162" s="62">
        <f t="shared" si="142"/>
        <v>224.10083380795163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104.29608649741249</v>
      </c>
      <c r="AA162" s="23">
        <f>EXP(-LN(2)/25)*AA161+(1-EXP(-LN(2)/25))/(LN(2)/25)*Calculateur!V162*Calculateur!X162*VLOOKUP('Données projet'!$B$9,Paramètres!$A$1:$I$89,3,0)*0.475*44/12</f>
        <v>2.9213924114395504</v>
      </c>
      <c r="AB162" s="23">
        <f>EXP(-LN(2)/2)*AB161+(1-EXP(-LN(2)/2))/(LN(2)/2)*V162*Y162*VLOOKUP('Données projet'!$B$9,Paramètres!$A$1:$I$89,3,0)*0.475*44/12</f>
        <v>6.806018182155383E-15</v>
      </c>
      <c r="AC162" s="24">
        <f t="shared" si="163"/>
        <v>107.21747890885204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768.99999999999966</v>
      </c>
      <c r="AJ162" s="14">
        <f>AI162*VLOOKUP('Données projet'!$B$10,Paramètres!$A$1:$I$89,3,0)*VLOOKUP('Données projet'!$B$10,Paramètres!$A$1:$I$89,5,0)</f>
        <v>429.87099999999981</v>
      </c>
      <c r="AK162" s="14">
        <f t="shared" si="164"/>
        <v>97.806935594587088</v>
      </c>
      <c r="AL162" s="22">
        <f t="shared" si="165"/>
        <v>919.03907116057201</v>
      </c>
      <c r="AM162" s="62">
        <f t="shared" si="113"/>
        <v>1212.3724044939054</v>
      </c>
      <c r="AN162" s="62">
        <f ca="1">AVERAGE(OFFSET($AM$3,0,0,'Données projet'!$E$10+1,1))-AVERAGE(OFFSET($H$3,0,0,'Données projet'!$E$10+1,1))</f>
        <v>490.96084572840579</v>
      </c>
      <c r="AO162" s="62">
        <f t="shared" si="144"/>
        <v>597.91658789908263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13.541222919751911</v>
      </c>
      <c r="AV162" s="23">
        <f>EXP(-LN(2)/25)*AV161+(1-EXP(-LN(2)/25))/(LN(2)/25)*Calculateur!AQ162*Calculateur!AS162*VLOOKUP('Données projet'!$B$10,Paramètres!$A$1:$I$89,3,0)*0.475*44/12</f>
        <v>1.444630657025773</v>
      </c>
      <c r="AW162" s="23">
        <f>EXP(-LN(2)/2)*AW161+(1-EXP(-LN(2)/2))/(LN(2)/2)*AQ162*AT162*VLOOKUP('Données projet'!$B$10,Paramètres!$A$1:$I$89,3,0)*0.475*44/12</f>
        <v>1.5150847980668643E-18</v>
      </c>
      <c r="AX162" s="23">
        <f t="shared" si="166"/>
        <v>14.985853576777684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310.95287409903602</v>
      </c>
      <c r="T163" s="62">
        <f t="shared" si="142"/>
        <v>224.10083380795163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102.2509038555296</v>
      </c>
      <c r="AA163" s="23">
        <f>EXP(-LN(2)/25)*AA162+(1-EXP(-LN(2)/25))/(LN(2)/25)*Calculateur!V163*Calculateur!X163*VLOOKUP('Données projet'!$B$9,Paramètres!$A$1:$I$89,3,0)*0.475*44/12</f>
        <v>2.841506782319386</v>
      </c>
      <c r="AB163" s="23">
        <f>EXP(-LN(2)/2)*AB162+(1-EXP(-LN(2)/2))/(LN(2)/2)*V163*Y163*VLOOKUP('Données projet'!$B$9,Paramètres!$A$1:$I$89,3,0)*0.475*44/12</f>
        <v>4.8125816094810103E-15</v>
      </c>
      <c r="AC163" s="24">
        <f t="shared" si="163"/>
        <v>105.09241063784899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768.99999999999966</v>
      </c>
      <c r="AJ163" s="14">
        <f>AI163*VLOOKUP('Données projet'!$B$10,Paramètres!$A$1:$I$89,3,0)*VLOOKUP('Données projet'!$B$10,Paramètres!$A$1:$I$89,5,0)</f>
        <v>429.87099999999981</v>
      </c>
      <c r="AK163" s="14">
        <f t="shared" si="164"/>
        <v>97.806935594587088</v>
      </c>
      <c r="AL163" s="22">
        <f t="shared" si="165"/>
        <v>919.03907116057201</v>
      </c>
      <c r="AM163" s="62">
        <f t="shared" si="113"/>
        <v>1212.3724044939054</v>
      </c>
      <c r="AN163" s="62">
        <f ca="1">AVERAGE(OFFSET($AM$3,0,0,'Données projet'!$E$10+1,1))-AVERAGE(OFFSET($H$3,0,0,'Données projet'!$E$10+1,1))</f>
        <v>490.96084572840579</v>
      </c>
      <c r="AO163" s="62">
        <f t="shared" si="144"/>
        <v>597.91658789908263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13.275687797626016</v>
      </c>
      <c r="AV163" s="23">
        <f>EXP(-LN(2)/25)*AV162+(1-EXP(-LN(2)/25))/(LN(2)/25)*Calculateur!AQ163*Calculateur!AS163*VLOOKUP('Données projet'!$B$10,Paramètres!$A$1:$I$89,3,0)*0.475*44/12</f>
        <v>1.4051271557395788</v>
      </c>
      <c r="AW163" s="23">
        <f>EXP(-LN(2)/2)*AW162+(1-EXP(-LN(2)/2))/(LN(2)/2)*AQ163*AT163*VLOOKUP('Données projet'!$B$10,Paramètres!$A$1:$I$89,3,0)*0.475*44/12</f>
        <v>1.0713267347857307E-18</v>
      </c>
      <c r="AX163" s="23">
        <f t="shared" si="166"/>
        <v>14.680814953365594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310.95287409903602</v>
      </c>
      <c r="T164" s="62">
        <f t="shared" si="142"/>
        <v>224.10083380795163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100.2458259978158</v>
      </c>
      <c r="AA164" s="23">
        <f>EXP(-LN(2)/25)*AA163+(1-EXP(-LN(2)/25))/(LN(2)/25)*Calculateur!V164*Calculateur!X164*VLOOKUP('Données projet'!$B$9,Paramètres!$A$1:$I$89,3,0)*0.475*44/12</f>
        <v>2.7638056299285152</v>
      </c>
      <c r="AB164" s="23">
        <f>EXP(-LN(2)/2)*AB163+(1-EXP(-LN(2)/2))/(LN(2)/2)*V164*Y164*VLOOKUP('Données projet'!$B$9,Paramètres!$A$1:$I$89,3,0)*0.475*44/12</f>
        <v>3.4030090910776915E-15</v>
      </c>
      <c r="AC164" s="24">
        <f t="shared" si="163"/>
        <v>103.00963162774431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768.99999999999966</v>
      </c>
      <c r="AJ164" s="14">
        <f>AI164*VLOOKUP('Données projet'!$B$10,Paramètres!$A$1:$I$89,3,0)*VLOOKUP('Données projet'!$B$10,Paramètres!$A$1:$I$89,5,0)</f>
        <v>429.87099999999981</v>
      </c>
      <c r="AK164" s="14">
        <f t="shared" si="164"/>
        <v>97.806935594587088</v>
      </c>
      <c r="AL164" s="22">
        <f t="shared" si="165"/>
        <v>919.03907116057201</v>
      </c>
      <c r="AM164" s="62">
        <f t="shared" si="113"/>
        <v>1212.3724044939054</v>
      </c>
      <c r="AN164" s="62">
        <f ca="1">AVERAGE(OFFSET($AM$3,0,0,'Données projet'!$E$10+1,1))-AVERAGE(OFFSET($H$3,0,0,'Données projet'!$E$10+1,1))</f>
        <v>490.96084572840579</v>
      </c>
      <c r="AO164" s="62">
        <f t="shared" si="144"/>
        <v>597.91658789908263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13.015359657284577</v>
      </c>
      <c r="AV164" s="23">
        <f>EXP(-LN(2)/25)*AV163+(1-EXP(-LN(2)/25))/(LN(2)/25)*Calculateur!AQ164*Calculateur!AS164*VLOOKUP('Données projet'!$B$10,Paramètres!$A$1:$I$89,3,0)*0.475*44/12</f>
        <v>1.3667038797734543</v>
      </c>
      <c r="AW164" s="23">
        <f>EXP(-LN(2)/2)*AW163+(1-EXP(-LN(2)/2))/(LN(2)/2)*AQ164*AT164*VLOOKUP('Données projet'!$B$10,Paramètres!$A$1:$I$89,3,0)*0.475*44/12</f>
        <v>7.5754239903343213E-19</v>
      </c>
      <c r="AX164" s="23">
        <f t="shared" si="166"/>
        <v>14.382063537058031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310.95287409903602</v>
      </c>
      <c r="T165" s="62">
        <f t="shared" si="142"/>
        <v>224.10083380795163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98.280066493915029</v>
      </c>
      <c r="AA165" s="23">
        <f>EXP(-LN(2)/25)*AA164+(1-EXP(-LN(2)/25))/(LN(2)/25)*Calculateur!V165*Calculateur!X165*VLOOKUP('Données projet'!$B$9,Paramètres!$A$1:$I$89,3,0)*0.475*44/12</f>
        <v>2.6882292196358986</v>
      </c>
      <c r="AB165" s="23">
        <f>EXP(-LN(2)/2)*AB164+(1-EXP(-LN(2)/2))/(LN(2)/2)*V165*Y165*VLOOKUP('Données projet'!$B$9,Paramètres!$A$1:$I$89,3,0)*0.475*44/12</f>
        <v>2.4062908047405051E-15</v>
      </c>
      <c r="AC165" s="24">
        <f t="shared" si="163"/>
        <v>100.96829571355093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768.99999999999966</v>
      </c>
      <c r="AJ165" s="14">
        <f>AI165*VLOOKUP('Données projet'!$B$10,Paramètres!$A$1:$I$89,3,0)*VLOOKUP('Données projet'!$B$10,Paramètres!$A$1:$I$89,5,0)</f>
        <v>429.87099999999981</v>
      </c>
      <c r="AK165" s="14">
        <f t="shared" si="164"/>
        <v>97.806935594587088</v>
      </c>
      <c r="AL165" s="22">
        <f t="shared" si="165"/>
        <v>919.03907116057201</v>
      </c>
      <c r="AM165" s="62">
        <f t="shared" si="113"/>
        <v>1212.3724044939054</v>
      </c>
      <c r="AN165" s="62">
        <f ca="1">AVERAGE(OFFSET($AM$3,0,0,'Données projet'!$E$10+1,1))-AVERAGE(OFFSET($H$3,0,0,'Données projet'!$E$10+1,1))</f>
        <v>490.96084572840579</v>
      </c>
      <c r="AO165" s="62">
        <f t="shared" si="144"/>
        <v>597.91658789908263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12.760136392990747</v>
      </c>
      <c r="AV165" s="23">
        <f>EXP(-LN(2)/25)*AV164+(1-EXP(-LN(2)/25))/(LN(2)/25)*Calculateur!AQ165*Calculateur!AS165*VLOOKUP('Données projet'!$B$10,Paramètres!$A$1:$I$89,3,0)*0.475*44/12</f>
        <v>1.3293312903092158</v>
      </c>
      <c r="AW165" s="23">
        <f>EXP(-LN(2)/2)*AW164+(1-EXP(-LN(2)/2))/(LN(2)/2)*AQ165*AT165*VLOOKUP('Données projet'!$B$10,Paramètres!$A$1:$I$89,3,0)*0.475*44/12</f>
        <v>5.3566336739286535E-19</v>
      </c>
      <c r="AX165" s="23">
        <f t="shared" si="166"/>
        <v>14.089467683299963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310.95287409903602</v>
      </c>
      <c r="T166" s="62">
        <f t="shared" si="142"/>
        <v>224.10083380795163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96.35285433489085</v>
      </c>
      <c r="AA166" s="23">
        <f>EXP(-LN(2)/25)*AA165+(1-EXP(-LN(2)/25))/(LN(2)/25)*Calculateur!V166*Calculateur!X166*VLOOKUP('Données projet'!$B$9,Paramètres!$A$1:$I$89,3,0)*0.475*44/12</f>
        <v>2.6147194502571245</v>
      </c>
      <c r="AB166" s="23">
        <f>EXP(-LN(2)/2)*AB165+(1-EXP(-LN(2)/2))/(LN(2)/2)*V166*Y166*VLOOKUP('Données projet'!$B$9,Paramètres!$A$1:$I$89,3,0)*0.475*44/12</f>
        <v>1.7015045455388457E-15</v>
      </c>
      <c r="AC166" s="24">
        <f t="shared" si="163"/>
        <v>98.967573785147977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768.99999999999966</v>
      </c>
      <c r="AJ166" s="14">
        <f>AI166*VLOOKUP('Données projet'!$B$10,Paramètres!$A$1:$I$89,3,0)*VLOOKUP('Données projet'!$B$10,Paramètres!$A$1:$I$89,5,0)</f>
        <v>429.87099999999981</v>
      </c>
      <c r="AK166" s="14">
        <f t="shared" si="164"/>
        <v>97.806935594587088</v>
      </c>
      <c r="AL166" s="22">
        <f t="shared" si="165"/>
        <v>919.03907116057201</v>
      </c>
      <c r="AM166" s="62">
        <f t="shared" si="113"/>
        <v>1212.3724044939054</v>
      </c>
      <c r="AN166" s="62">
        <f ca="1">AVERAGE(OFFSET($AM$3,0,0,'Données projet'!$E$10+1,1))-AVERAGE(OFFSET($H$3,0,0,'Données projet'!$E$10+1,1))</f>
        <v>490.96084572840579</v>
      </c>
      <c r="AO166" s="62">
        <f t="shared" si="144"/>
        <v>597.91658789908263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12.509917901238898</v>
      </c>
      <c r="AV166" s="23">
        <f>EXP(-LN(2)/25)*AV165+(1-EXP(-LN(2)/25))/(LN(2)/25)*Calculateur!AQ166*Calculateur!AS166*VLOOKUP('Données projet'!$B$10,Paramètres!$A$1:$I$89,3,0)*0.475*44/12</f>
        <v>1.2929806562692159</v>
      </c>
      <c r="AW166" s="23">
        <f>EXP(-LN(2)/2)*AW165+(1-EXP(-LN(2)/2))/(LN(2)/2)*AQ166*AT166*VLOOKUP('Données projet'!$B$10,Paramètres!$A$1:$I$89,3,0)*0.475*44/12</f>
        <v>3.7877119951671607E-19</v>
      </c>
      <c r="AX166" s="23">
        <f t="shared" si="166"/>
        <v>13.802898557508115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310.95287409903602</v>
      </c>
      <c r="T167" s="62">
        <f t="shared" si="142"/>
        <v>224.10083380795163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94.463433630821783</v>
      </c>
      <c r="AA167" s="23">
        <f>EXP(-LN(2)/25)*AA166+(1-EXP(-LN(2)/25))/(LN(2)/25)*Calculateur!V167*Calculateur!X167*VLOOKUP('Données projet'!$B$9,Paramètres!$A$1:$I$89,3,0)*0.475*44/12</f>
        <v>2.5432198093877236</v>
      </c>
      <c r="AB167" s="23">
        <f>EXP(-LN(2)/2)*AB166+(1-EXP(-LN(2)/2))/(LN(2)/2)*V167*Y167*VLOOKUP('Données projet'!$B$9,Paramètres!$A$1:$I$89,3,0)*0.475*44/12</f>
        <v>1.2031454023702526E-15</v>
      </c>
      <c r="AC167" s="24">
        <f t="shared" si="163"/>
        <v>97.006653440209504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768.99999999999966</v>
      </c>
      <c r="AJ167" s="14">
        <f>AI167*VLOOKUP('Données projet'!$B$10,Paramètres!$A$1:$I$89,3,0)*VLOOKUP('Données projet'!$B$10,Paramètres!$A$1:$I$89,5,0)</f>
        <v>429.87099999999981</v>
      </c>
      <c r="AK167" s="14">
        <f t="shared" si="164"/>
        <v>97.806935594587088</v>
      </c>
      <c r="AL167" s="22">
        <f t="shared" si="165"/>
        <v>919.03907116057201</v>
      </c>
      <c r="AM167" s="62">
        <f t="shared" si="113"/>
        <v>1212.3724044939054</v>
      </c>
      <c r="AN167" s="62">
        <f ca="1">AVERAGE(OFFSET($AM$3,0,0,'Données projet'!$E$10+1,1))-AVERAGE(OFFSET($H$3,0,0,'Données projet'!$E$10+1,1))</f>
        <v>490.96084572840579</v>
      </c>
      <c r="AO167" s="62">
        <f t="shared" si="144"/>
        <v>597.91658789908263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12.264606041492094</v>
      </c>
      <c r="AV167" s="23">
        <f>EXP(-LN(2)/25)*AV166+(1-EXP(-LN(2)/25))/(LN(2)/25)*Calculateur!AQ167*Calculateur!AS167*VLOOKUP('Données projet'!$B$10,Paramètres!$A$1:$I$89,3,0)*0.475*44/12</f>
        <v>1.2576240322286365</v>
      </c>
      <c r="AW167" s="23">
        <f>EXP(-LN(2)/2)*AW166+(1-EXP(-LN(2)/2))/(LN(2)/2)*AQ167*AT167*VLOOKUP('Données projet'!$B$10,Paramètres!$A$1:$I$89,3,0)*0.475*44/12</f>
        <v>2.6783168369643268E-19</v>
      </c>
      <c r="AX167" s="23">
        <f t="shared" si="166"/>
        <v>13.522230073720731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310.95287409903602</v>
      </c>
      <c r="T168" s="62">
        <f t="shared" si="142"/>
        <v>224.10083380795163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92.611063314326671</v>
      </c>
      <c r="AA168" s="23">
        <f>EXP(-LN(2)/25)*AA167+(1-EXP(-LN(2)/25))/(LN(2)/25)*Calculateur!V168*Calculateur!X168*VLOOKUP('Données projet'!$B$9,Paramètres!$A$1:$I$89,3,0)*0.475*44/12</f>
        <v>2.4736753299578993</v>
      </c>
      <c r="AB168" s="23">
        <f>EXP(-LN(2)/2)*AB167+(1-EXP(-LN(2)/2))/(LN(2)/2)*V168*Y168*VLOOKUP('Données projet'!$B$9,Paramètres!$A$1:$I$89,3,0)*0.475*44/12</f>
        <v>8.5075227276942287E-16</v>
      </c>
      <c r="AC168" s="24">
        <f t="shared" si="163"/>
        <v>95.08473864428457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768.99999999999966</v>
      </c>
      <c r="AJ168" s="14">
        <f>AI168*VLOOKUP('Données projet'!$B$10,Paramètres!$A$1:$I$89,3,0)*VLOOKUP('Données projet'!$B$10,Paramètres!$A$1:$I$89,5,0)</f>
        <v>429.87099999999981</v>
      </c>
      <c r="AK168" s="14">
        <f t="shared" si="164"/>
        <v>97.806935594587088</v>
      </c>
      <c r="AL168" s="22">
        <f t="shared" si="165"/>
        <v>919.03907116057201</v>
      </c>
      <c r="AM168" s="62">
        <f t="shared" si="113"/>
        <v>1212.3724044939054</v>
      </c>
      <c r="AN168" s="62">
        <f ca="1">AVERAGE(OFFSET($AM$3,0,0,'Données projet'!$E$10+1,1))-AVERAGE(OFFSET($H$3,0,0,'Données projet'!$E$10+1,1))</f>
        <v>490.96084572840579</v>
      </c>
      <c r="AO168" s="62">
        <f t="shared" si="144"/>
        <v>597.91658789908263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12.024104597689464</v>
      </c>
      <c r="AV168" s="23">
        <f>EXP(-LN(2)/25)*AV167+(1-EXP(-LN(2)/25))/(LN(2)/25)*Calculateur!AQ168*Calculateur!AS168*VLOOKUP('Données projet'!$B$10,Paramètres!$A$1:$I$89,3,0)*0.475*44/12</f>
        <v>1.223234236931771</v>
      </c>
      <c r="AW168" s="23">
        <f>EXP(-LN(2)/2)*AW167+(1-EXP(-LN(2)/2))/(LN(2)/2)*AQ168*AT168*VLOOKUP('Données projet'!$B$10,Paramètres!$A$1:$I$89,3,0)*0.475*44/12</f>
        <v>1.8938559975835803E-19</v>
      </c>
      <c r="AX168" s="23">
        <f t="shared" si="166"/>
        <v>13.247338834621235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310.95287409903602</v>
      </c>
      <c r="T169" s="62">
        <f t="shared" si="142"/>
        <v>224.10083380795163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90.795016849903703</v>
      </c>
      <c r="AA169" s="23">
        <f>EXP(-LN(2)/25)*AA168+(1-EXP(-LN(2)/25))/(LN(2)/25)*Calculateur!V169*Calculateur!X169*VLOOKUP('Données projet'!$B$9,Paramètres!$A$1:$I$89,3,0)*0.475*44/12</f>
        <v>2.4060325479752684</v>
      </c>
      <c r="AB169" s="23">
        <f>EXP(-LN(2)/2)*AB168+(1-EXP(-LN(2)/2))/(LN(2)/2)*V169*Y169*VLOOKUP('Données projet'!$B$9,Paramètres!$A$1:$I$89,3,0)*0.475*44/12</f>
        <v>6.0157270118512629E-16</v>
      </c>
      <c r="AC169" s="24">
        <f t="shared" si="163"/>
        <v>93.201049397878975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768.99999999999966</v>
      </c>
      <c r="AJ169" s="14">
        <f>AI169*VLOOKUP('Données projet'!$B$10,Paramètres!$A$1:$I$89,3,0)*VLOOKUP('Données projet'!$B$10,Paramètres!$A$1:$I$89,5,0)</f>
        <v>429.87099999999981</v>
      </c>
      <c r="AK169" s="14">
        <f t="shared" si="164"/>
        <v>97.806935594587088</v>
      </c>
      <c r="AL169" s="22">
        <f t="shared" si="165"/>
        <v>919.03907116057201</v>
      </c>
      <c r="AM169" s="62">
        <f t="shared" si="113"/>
        <v>1212.3724044939054</v>
      </c>
      <c r="AN169" s="62">
        <f ca="1">AVERAGE(OFFSET($AM$3,0,0,'Données projet'!$E$10+1,1))-AVERAGE(OFFSET($H$3,0,0,'Données projet'!$E$10+1,1))</f>
        <v>490.96084572840579</v>
      </c>
      <c r="AO169" s="62">
        <f t="shared" si="144"/>
        <v>597.91658789908263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11.788319240508407</v>
      </c>
      <c r="AV169" s="23">
        <f>EXP(-LN(2)/25)*AV168+(1-EXP(-LN(2)/25))/(LN(2)/25)*Calculateur!AQ169*Calculateur!AS169*VLOOKUP('Données projet'!$B$10,Paramètres!$A$1:$I$89,3,0)*0.475*44/12</f>
        <v>1.1897848323957789</v>
      </c>
      <c r="AW169" s="23">
        <f>EXP(-LN(2)/2)*AW168+(1-EXP(-LN(2)/2))/(LN(2)/2)*AQ169*AT169*VLOOKUP('Données projet'!$B$10,Paramètres!$A$1:$I$89,3,0)*0.475*44/12</f>
        <v>1.3391584184821634E-19</v>
      </c>
      <c r="AX169" s="23">
        <f t="shared" si="166"/>
        <v>12.978104072904186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310.95287409903602</v>
      </c>
      <c r="T170" s="62">
        <f t="shared" si="142"/>
        <v>224.10083380795163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89.014581948969095</v>
      </c>
      <c r="AA170" s="23">
        <f>EXP(-LN(2)/25)*AA169+(1-EXP(-LN(2)/25))/(LN(2)/25)*Calculateur!V170*Calculateur!X170*VLOOKUP('Données projet'!$B$9,Paramètres!$A$1:$I$89,3,0)*0.475*44/12</f>
        <v>2.3402394614231321</v>
      </c>
      <c r="AB170" s="23">
        <f>EXP(-LN(2)/2)*AB169+(1-EXP(-LN(2)/2))/(LN(2)/2)*V170*Y170*VLOOKUP('Données projet'!$B$9,Paramètres!$A$1:$I$89,3,0)*0.475*44/12</f>
        <v>4.2537613638471144E-16</v>
      </c>
      <c r="AC170" s="24">
        <f t="shared" si="163"/>
        <v>91.354821410392233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768.99999999999966</v>
      </c>
      <c r="AJ170" s="14">
        <f>AI170*VLOOKUP('Données projet'!$B$10,Paramètres!$A$1:$I$89,3,0)*VLOOKUP('Données projet'!$B$10,Paramètres!$A$1:$I$89,5,0)</f>
        <v>429.87099999999981</v>
      </c>
      <c r="AK170" s="14">
        <f t="shared" si="164"/>
        <v>97.806935594587088</v>
      </c>
      <c r="AL170" s="22">
        <f t="shared" si="165"/>
        <v>919.03907116057201</v>
      </c>
      <c r="AM170" s="62">
        <f t="shared" si="113"/>
        <v>1212.3724044939054</v>
      </c>
      <c r="AN170" s="62">
        <f ca="1">AVERAGE(OFFSET($AM$3,0,0,'Données projet'!$E$10+1,1))-AVERAGE(OFFSET($H$3,0,0,'Données projet'!$E$10+1,1))</f>
        <v>490.96084572840579</v>
      </c>
      <c r="AO170" s="62">
        <f t="shared" si="144"/>
        <v>597.91658789908263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11.557157490366805</v>
      </c>
      <c r="AV170" s="23">
        <f>EXP(-LN(2)/25)*AV169+(1-EXP(-LN(2)/25))/(LN(2)/25)*Calculateur!AQ170*Calculateur!AS170*VLOOKUP('Données projet'!$B$10,Paramètres!$A$1:$I$89,3,0)*0.475*44/12</f>
        <v>1.1572501035858513</v>
      </c>
      <c r="AW170" s="23">
        <f>EXP(-LN(2)/2)*AW169+(1-EXP(-LN(2)/2))/(LN(2)/2)*AQ170*AT170*VLOOKUP('Données projet'!$B$10,Paramètres!$A$1:$I$89,3,0)*0.475*44/12</f>
        <v>9.4692799879179016E-20</v>
      </c>
      <c r="AX170" s="23">
        <f t="shared" si="166"/>
        <v>12.714407593952657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310.95287409903602</v>
      </c>
      <c r="T171" s="62">
        <f t="shared" si="142"/>
        <v>224.10083380795163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87.269060290483765</v>
      </c>
      <c r="AA171" s="23">
        <f>EXP(-LN(2)/25)*AA170+(1-EXP(-LN(2)/25))/(LN(2)/25)*Calculateur!V171*Calculateur!X171*VLOOKUP('Données projet'!$B$9,Paramètres!$A$1:$I$89,3,0)*0.475*44/12</f>
        <v>2.2762454902826721</v>
      </c>
      <c r="AB171" s="23">
        <f>EXP(-LN(2)/2)*AB170+(1-EXP(-LN(2)/2))/(LN(2)/2)*V171*Y171*VLOOKUP('Données projet'!$B$9,Paramètres!$A$1:$I$89,3,0)*0.475*44/12</f>
        <v>3.0078635059256314E-16</v>
      </c>
      <c r="AC171" s="24">
        <f t="shared" si="163"/>
        <v>89.545305780766441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768.99999999999966</v>
      </c>
      <c r="AJ171" s="14">
        <f>AI171*VLOOKUP('Données projet'!$B$10,Paramètres!$A$1:$I$89,3,0)*VLOOKUP('Données projet'!$B$10,Paramètres!$A$1:$I$89,5,0)</f>
        <v>429.87099999999981</v>
      </c>
      <c r="AK171" s="14">
        <f t="shared" si="164"/>
        <v>97.806935594587088</v>
      </c>
      <c r="AL171" s="22">
        <f t="shared" si="165"/>
        <v>919.03907116057201</v>
      </c>
      <c r="AM171" s="62">
        <f t="shared" si="113"/>
        <v>1212.3724044939054</v>
      </c>
      <c r="AN171" s="62">
        <f ca="1">AVERAGE(OFFSET($AM$3,0,0,'Données projet'!$E$10+1,1))-AVERAGE(OFFSET($H$3,0,0,'Données projet'!$E$10+1,1))</f>
        <v>490.96084572840579</v>
      </c>
      <c r="AO171" s="62">
        <f t="shared" si="144"/>
        <v>597.91658789908263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11.330528681150733</v>
      </c>
      <c r="AV171" s="23">
        <f>EXP(-LN(2)/25)*AV170+(1-EXP(-LN(2)/25))/(LN(2)/25)*Calculateur!AQ171*Calculateur!AS171*VLOOKUP('Données projet'!$B$10,Paramètres!$A$1:$I$89,3,0)*0.475*44/12</f>
        <v>1.1256050386461582</v>
      </c>
      <c r="AW171" s="23">
        <f>EXP(-LN(2)/2)*AW170+(1-EXP(-LN(2)/2))/(LN(2)/2)*AQ171*AT171*VLOOKUP('Données projet'!$B$10,Paramètres!$A$1:$I$89,3,0)*0.475*44/12</f>
        <v>6.6957920924108169E-20</v>
      </c>
      <c r="AX171" s="23">
        <f t="shared" si="166"/>
        <v>12.456133719796892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310.95287409903602</v>
      </c>
      <c r="T172" s="62">
        <f t="shared" si="142"/>
        <v>224.10083380795163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85.557767247058237</v>
      </c>
      <c r="AA172" s="23">
        <f>EXP(-LN(2)/25)*AA171+(1-EXP(-LN(2)/25))/(LN(2)/25)*Calculateur!V172*Calculateur!X172*VLOOKUP('Données projet'!$B$9,Paramètres!$A$1:$I$89,3,0)*0.475*44/12</f>
        <v>2.2140014376483443</v>
      </c>
      <c r="AB172" s="23">
        <f>EXP(-LN(2)/2)*AB171+(1-EXP(-LN(2)/2))/(LN(2)/2)*V172*Y172*VLOOKUP('Données projet'!$B$9,Paramètres!$A$1:$I$89,3,0)*0.475*44/12</f>
        <v>2.1268806819235572E-16</v>
      </c>
      <c r="AC172" s="24">
        <f t="shared" si="163"/>
        <v>87.771768684706586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768.99999999999966</v>
      </c>
      <c r="AJ172" s="14">
        <f>AI172*VLOOKUP('Données projet'!$B$10,Paramètres!$A$1:$I$89,3,0)*VLOOKUP('Données projet'!$B$10,Paramètres!$A$1:$I$89,5,0)</f>
        <v>429.87099999999981</v>
      </c>
      <c r="AK172" s="14">
        <f t="shared" si="164"/>
        <v>97.806935594587088</v>
      </c>
      <c r="AL172" s="22">
        <f t="shared" si="165"/>
        <v>919.03907116057201</v>
      </c>
      <c r="AM172" s="62">
        <f t="shared" si="113"/>
        <v>1212.3724044939054</v>
      </c>
      <c r="AN172" s="62">
        <f ca="1">AVERAGE(OFFSET($AM$3,0,0,'Données projet'!$E$10+1,1))-AVERAGE(OFFSET($H$3,0,0,'Données projet'!$E$10+1,1))</f>
        <v>490.96084572840579</v>
      </c>
      <c r="AO172" s="62">
        <f t="shared" si="144"/>
        <v>597.91658789908263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11.108343924653465</v>
      </c>
      <c r="AV172" s="23">
        <f>EXP(-LN(2)/25)*AV171+(1-EXP(-LN(2)/25))/(LN(2)/25)*Calculateur!AQ172*Calculateur!AS172*VLOOKUP('Données projet'!$B$10,Paramètres!$A$1:$I$89,3,0)*0.475*44/12</f>
        <v>1.0948253096713827</v>
      </c>
      <c r="AW172" s="23">
        <f>EXP(-LN(2)/2)*AW171+(1-EXP(-LN(2)/2))/(LN(2)/2)*AQ172*AT172*VLOOKUP('Données projet'!$B$10,Paramètres!$A$1:$I$89,3,0)*0.475*44/12</f>
        <v>4.7346399939589508E-20</v>
      </c>
      <c r="AX172" s="23">
        <f t="shared" si="166"/>
        <v>12.203169234324847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310.95287409903602</v>
      </c>
      <c r="T173" s="62">
        <f t="shared" si="142"/>
        <v>224.10083380795163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83.880031616428596</v>
      </c>
      <c r="AA173" s="23">
        <f>EXP(-LN(2)/25)*AA172+(1-EXP(-LN(2)/25))/(LN(2)/25)*Calculateur!V173*Calculateur!X173*VLOOKUP('Données projet'!$B$9,Paramètres!$A$1:$I$89,3,0)*0.475*44/12</f>
        <v>2.1534594519065751</v>
      </c>
      <c r="AB173" s="23">
        <f>EXP(-LN(2)/2)*AB172+(1-EXP(-LN(2)/2))/(LN(2)/2)*V173*Y173*VLOOKUP('Données projet'!$B$9,Paramètres!$A$1:$I$89,3,0)*0.475*44/12</f>
        <v>1.5039317529628157E-16</v>
      </c>
      <c r="AC173" s="24">
        <f t="shared" si="163"/>
        <v>86.033491068335167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768.99999999999966</v>
      </c>
      <c r="AJ173" s="14">
        <f>AI173*VLOOKUP('Données projet'!$B$10,Paramètres!$A$1:$I$89,3,0)*VLOOKUP('Données projet'!$B$10,Paramètres!$A$1:$I$89,5,0)</f>
        <v>429.87099999999981</v>
      </c>
      <c r="AK173" s="14">
        <f t="shared" si="164"/>
        <v>97.806935594587088</v>
      </c>
      <c r="AL173" s="22">
        <f t="shared" si="165"/>
        <v>919.03907116057201</v>
      </c>
      <c r="AM173" s="62">
        <f t="shared" si="113"/>
        <v>1212.3724044939054</v>
      </c>
      <c r="AN173" s="62">
        <f ca="1">AVERAGE(OFFSET($AM$3,0,0,'Données projet'!$E$10+1,1))-AVERAGE(OFFSET($H$3,0,0,'Données projet'!$E$10+1,1))</f>
        <v>490.96084572840579</v>
      </c>
      <c r="AO173" s="62">
        <f t="shared" si="144"/>
        <v>597.91658789908263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10.890516075711787</v>
      </c>
      <c r="AV173" s="23">
        <f>EXP(-LN(2)/25)*AV172+(1-EXP(-LN(2)/25))/(LN(2)/25)*Calculateur!AQ173*Calculateur!AS173*VLOOKUP('Données projet'!$B$10,Paramètres!$A$1:$I$89,3,0)*0.475*44/12</f>
        <v>1.0648872540040579</v>
      </c>
      <c r="AW173" s="23">
        <f>EXP(-LN(2)/2)*AW172+(1-EXP(-LN(2)/2))/(LN(2)/2)*AQ173*AT173*VLOOKUP('Données projet'!$B$10,Paramètres!$A$1:$I$89,3,0)*0.475*44/12</f>
        <v>3.3478960462054085E-20</v>
      </c>
      <c r="AX173" s="23">
        <f t="shared" si="166"/>
        <v>11.955403329715844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310.95287409903602</v>
      </c>
      <c r="T174" s="62">
        <f t="shared" si="142"/>
        <v>224.10083380795163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82.235195358197913</v>
      </c>
      <c r="AA174" s="23">
        <f>EXP(-LN(2)/25)*AA173+(1-EXP(-LN(2)/25))/(LN(2)/25)*Calculateur!V174*Calculateur!X174*VLOOKUP('Données projet'!$B$9,Paramètres!$A$1:$I$89,3,0)*0.475*44/12</f>
        <v>2.0945729899486789</v>
      </c>
      <c r="AB174" s="23">
        <f>EXP(-LN(2)/2)*AB173+(1-EXP(-LN(2)/2))/(LN(2)/2)*V174*Y174*VLOOKUP('Données projet'!$B$9,Paramètres!$A$1:$I$89,3,0)*0.475*44/12</f>
        <v>1.0634403409617786E-16</v>
      </c>
      <c r="AC174" s="24">
        <f t="shared" si="163"/>
        <v>84.329768348146587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768.99999999999966</v>
      </c>
      <c r="AJ174" s="14">
        <f>AI174*VLOOKUP('Données projet'!$B$10,Paramètres!$A$1:$I$89,3,0)*VLOOKUP('Données projet'!$B$10,Paramètres!$A$1:$I$89,5,0)</f>
        <v>429.87099999999981</v>
      </c>
      <c r="AK174" s="14">
        <f t="shared" si="164"/>
        <v>97.806935594587088</v>
      </c>
      <c r="AL174" s="22">
        <f t="shared" si="165"/>
        <v>919.03907116057201</v>
      </c>
      <c r="AM174" s="62">
        <f t="shared" si="113"/>
        <v>1212.3724044939054</v>
      </c>
      <c r="AN174" s="62">
        <f ca="1">AVERAGE(OFFSET($AM$3,0,0,'Données projet'!$E$10+1,1))-AVERAGE(OFFSET($H$3,0,0,'Données projet'!$E$10+1,1))</f>
        <v>490.96084572840579</v>
      </c>
      <c r="AO174" s="62">
        <f t="shared" si="144"/>
        <v>597.91658789908263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10.676959698025987</v>
      </c>
      <c r="AV174" s="23">
        <f>EXP(-LN(2)/25)*AV173+(1-EXP(-LN(2)/25))/(LN(2)/25)*Calculateur!AQ174*Calculateur!AS174*VLOOKUP('Données projet'!$B$10,Paramètres!$A$1:$I$89,3,0)*0.475*44/12</f>
        <v>1.0357678560433301</v>
      </c>
      <c r="AW174" s="23">
        <f>EXP(-LN(2)/2)*AW173+(1-EXP(-LN(2)/2))/(LN(2)/2)*AQ174*AT174*VLOOKUP('Données projet'!$B$10,Paramètres!$A$1:$I$89,3,0)*0.475*44/12</f>
        <v>2.3673199969794754E-20</v>
      </c>
      <c r="AX174" s="23">
        <f t="shared" si="166"/>
        <v>11.712727554069318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310.95287409903602</v>
      </c>
      <c r="T175" s="62">
        <f t="shared" si="142"/>
        <v>224.10083380795163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80.622613335740084</v>
      </c>
      <c r="AA175" s="23">
        <f>EXP(-LN(2)/25)*AA174+(1-EXP(-LN(2)/25))/(LN(2)/25)*Calculateur!V175*Calculateur!X175*VLOOKUP('Données projet'!$B$9,Paramètres!$A$1:$I$89,3,0)*0.475*44/12</f>
        <v>2.0372967813897258</v>
      </c>
      <c r="AB175" s="23">
        <f>EXP(-LN(2)/2)*AB174+(1-EXP(-LN(2)/2))/(LN(2)/2)*V175*Y175*VLOOKUP('Données projet'!$B$9,Paramètres!$A$1:$I$89,3,0)*0.475*44/12</f>
        <v>7.5196587648140786E-17</v>
      </c>
      <c r="AC175" s="24">
        <f t="shared" si="163"/>
        <v>82.659910117129812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768.99999999999966</v>
      </c>
      <c r="AJ175" s="14">
        <f>AI175*VLOOKUP('Données projet'!$B$10,Paramètres!$A$1:$I$89,3,0)*VLOOKUP('Données projet'!$B$10,Paramètres!$A$1:$I$89,5,0)</f>
        <v>429.87099999999981</v>
      </c>
      <c r="AK175" s="14">
        <f t="shared" si="164"/>
        <v>97.806935594587088</v>
      </c>
      <c r="AL175" s="22">
        <f t="shared" si="165"/>
        <v>919.03907116057201</v>
      </c>
      <c r="AM175" s="62">
        <f t="shared" si="113"/>
        <v>1212.3724044939054</v>
      </c>
      <c r="AN175" s="62">
        <f ca="1">AVERAGE(OFFSET($AM$3,0,0,'Données projet'!$E$10+1,1))-AVERAGE(OFFSET($H$3,0,0,'Données projet'!$E$10+1,1))</f>
        <v>490.96084572840579</v>
      </c>
      <c r="AO175" s="62">
        <f t="shared" si="144"/>
        <v>597.91658789908263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10.467591030650077</v>
      </c>
      <c r="AV175" s="23">
        <f>EXP(-LN(2)/25)*AV174+(1-EXP(-LN(2)/25))/(LN(2)/25)*Calculateur!AQ175*Calculateur!AS175*VLOOKUP('Données projet'!$B$10,Paramètres!$A$1:$I$89,3,0)*0.475*44/12</f>
        <v>1.007444729551161</v>
      </c>
      <c r="AW175" s="23">
        <f>EXP(-LN(2)/2)*AW174+(1-EXP(-LN(2)/2))/(LN(2)/2)*AQ175*AT175*VLOOKUP('Données projet'!$B$10,Paramètres!$A$1:$I$89,3,0)*0.475*44/12</f>
        <v>1.6739480231027042E-20</v>
      </c>
      <c r="AX175" s="23">
        <f t="shared" si="166"/>
        <v>11.475035760201237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310.95287409903602</v>
      </c>
      <c r="T176" s="62">
        <f t="shared" si="142"/>
        <v>224.10083380795163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79.04165306316473</v>
      </c>
      <c r="AA176" s="23">
        <f>EXP(-LN(2)/25)*AA175+(1-EXP(-LN(2)/25))/(LN(2)/25)*Calculateur!V176*Calculateur!X176*VLOOKUP('Données projet'!$B$9,Paramètres!$A$1:$I$89,3,0)*0.475*44/12</f>
        <v>1.9815867937658422</v>
      </c>
      <c r="AB176" s="23">
        <f>EXP(-LN(2)/2)*AB175+(1-EXP(-LN(2)/2))/(LN(2)/2)*V176*Y176*VLOOKUP('Données projet'!$B$9,Paramètres!$A$1:$I$89,3,0)*0.475*44/12</f>
        <v>5.317201704808893E-17</v>
      </c>
      <c r="AC176" s="24">
        <f t="shared" si="163"/>
        <v>81.023239856930573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768.99999999999966</v>
      </c>
      <c r="AJ176" s="14">
        <f>AI176*VLOOKUP('Données projet'!$B$10,Paramètres!$A$1:$I$89,3,0)*VLOOKUP('Données projet'!$B$10,Paramètres!$A$1:$I$89,5,0)</f>
        <v>429.87099999999981</v>
      </c>
      <c r="AK176" s="14">
        <f t="shared" si="164"/>
        <v>97.806935594587088</v>
      </c>
      <c r="AL176" s="22">
        <f t="shared" si="165"/>
        <v>919.03907116057201</v>
      </c>
      <c r="AM176" s="62">
        <f t="shared" si="113"/>
        <v>1212.3724044939054</v>
      </c>
      <c r="AN176" s="62">
        <f ca="1">AVERAGE(OFFSET($AM$3,0,0,'Données projet'!$E$10+1,1))-AVERAGE(OFFSET($H$3,0,0,'Données projet'!$E$10+1,1))</f>
        <v>490.96084572840579</v>
      </c>
      <c r="AO176" s="62">
        <f t="shared" si="144"/>
        <v>597.91658789908263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10.262327955139131</v>
      </c>
      <c r="AV176" s="23">
        <f>EXP(-LN(2)/25)*AV175+(1-EXP(-LN(2)/25))/(LN(2)/25)*Calculateur!AQ176*Calculateur!AS176*VLOOKUP('Données projet'!$B$10,Paramètres!$A$1:$I$89,3,0)*0.475*44/12</f>
        <v>0.97989610044236874</v>
      </c>
      <c r="AW176" s="23">
        <f>EXP(-LN(2)/2)*AW175+(1-EXP(-LN(2)/2))/(LN(2)/2)*AQ176*AT176*VLOOKUP('Données projet'!$B$10,Paramètres!$A$1:$I$89,3,0)*0.475*44/12</f>
        <v>1.1836599984897377E-20</v>
      </c>
      <c r="AX176" s="23">
        <f t="shared" si="166"/>
        <v>11.242224055581501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310.95287409903602</v>
      </c>
      <c r="T177" s="62">
        <f t="shared" si="142"/>
        <v>224.10083380795163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77.491694457244037</v>
      </c>
      <c r="AA177" s="23">
        <f>EXP(-LN(2)/25)*AA176+(1-EXP(-LN(2)/25))/(LN(2)/25)*Calculateur!V177*Calculateur!X177*VLOOKUP('Données projet'!$B$9,Paramètres!$A$1:$I$89,3,0)*0.475*44/12</f>
        <v>1.9274001986831948</v>
      </c>
      <c r="AB177" s="23">
        <f>EXP(-LN(2)/2)*AB176+(1-EXP(-LN(2)/2))/(LN(2)/2)*V177*Y177*VLOOKUP('Données projet'!$B$9,Paramètres!$A$1:$I$89,3,0)*0.475*44/12</f>
        <v>3.7598293824070393E-17</v>
      </c>
      <c r="AC177" s="24">
        <f t="shared" si="163"/>
        <v>79.419094655927239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768.99999999999966</v>
      </c>
      <c r="AJ177" s="14">
        <f>AI177*VLOOKUP('Données projet'!$B$10,Paramètres!$A$1:$I$89,3,0)*VLOOKUP('Données projet'!$B$10,Paramètres!$A$1:$I$89,5,0)</f>
        <v>429.87099999999981</v>
      </c>
      <c r="AK177" s="14">
        <f t="shared" si="164"/>
        <v>97.806935594587088</v>
      </c>
      <c r="AL177" s="22">
        <f t="shared" si="165"/>
        <v>919.03907116057201</v>
      </c>
      <c r="AM177" s="62">
        <f t="shared" si="113"/>
        <v>1212.3724044939054</v>
      </c>
      <c r="AN177" s="62">
        <f ca="1">AVERAGE(OFFSET($AM$3,0,0,'Données projet'!$E$10+1,1))-AVERAGE(OFFSET($H$3,0,0,'Données projet'!$E$10+1,1))</f>
        <v>490.96084572840579</v>
      </c>
      <c r="AO177" s="62">
        <f t="shared" si="144"/>
        <v>597.91658789908263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10.061089963340841</v>
      </c>
      <c r="AV177" s="23">
        <f>EXP(-LN(2)/25)*AV176+(1-EXP(-LN(2)/25))/(LN(2)/25)*Calculateur!AQ177*Calculateur!AS177*VLOOKUP('Données projet'!$B$10,Paramètres!$A$1:$I$89,3,0)*0.475*44/12</f>
        <v>0.95310079004527581</v>
      </c>
      <c r="AW177" s="23">
        <f>EXP(-LN(2)/2)*AW176+(1-EXP(-LN(2)/2))/(LN(2)/2)*AQ177*AT177*VLOOKUP('Données projet'!$B$10,Paramètres!$A$1:$I$89,3,0)*0.475*44/12</f>
        <v>8.3697401155135212E-21</v>
      </c>
      <c r="AX177" s="23">
        <f t="shared" si="166"/>
        <v>11.014190753386117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310.95287409903602</v>
      </c>
      <c r="T178" s="62">
        <f t="shared" si="142"/>
        <v>224.10083380795163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75.972129594204048</v>
      </c>
      <c r="AA178" s="23">
        <f>EXP(-LN(2)/25)*AA177+(1-EXP(-LN(2)/25))/(LN(2)/25)*Calculateur!V178*Calculateur!X178*VLOOKUP('Données projet'!$B$9,Paramètres!$A$1:$I$89,3,0)*0.475*44/12</f>
        <v>1.8746953388926315</v>
      </c>
      <c r="AB178" s="23">
        <f>EXP(-LN(2)/2)*AB177+(1-EXP(-LN(2)/2))/(LN(2)/2)*V178*Y178*VLOOKUP('Données projet'!$B$9,Paramètres!$A$1:$I$89,3,0)*0.475*44/12</f>
        <v>2.6586008524044465E-17</v>
      </c>
      <c r="AC178" s="24">
        <f t="shared" si="163"/>
        <v>77.846824933096684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768.99999999999966</v>
      </c>
      <c r="AJ178" s="14">
        <f>AI178*VLOOKUP('Données projet'!$B$10,Paramètres!$A$1:$I$89,3,0)*VLOOKUP('Données projet'!$B$10,Paramètres!$A$1:$I$89,5,0)</f>
        <v>429.87099999999981</v>
      </c>
      <c r="AK178" s="14">
        <f t="shared" si="164"/>
        <v>97.806935594587088</v>
      </c>
      <c r="AL178" s="22">
        <f t="shared" si="165"/>
        <v>919.03907116057201</v>
      </c>
      <c r="AM178" s="62">
        <f t="shared" si="113"/>
        <v>1212.3724044939054</v>
      </c>
      <c r="AN178" s="62">
        <f ca="1">AVERAGE(OFFSET($AM$3,0,0,'Données projet'!$E$10+1,1))-AVERAGE(OFFSET($H$3,0,0,'Données projet'!$E$10+1,1))</f>
        <v>490.96084572840579</v>
      </c>
      <c r="AO178" s="62">
        <f t="shared" si="144"/>
        <v>597.91658789908263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9.8637981258186596</v>
      </c>
      <c r="AV178" s="23">
        <f>EXP(-LN(2)/25)*AV177+(1-EXP(-LN(2)/25))/(LN(2)/25)*Calculateur!AQ178*Calculateur!AS178*VLOOKUP('Données projet'!$B$10,Paramètres!$A$1:$I$89,3,0)*0.475*44/12</f>
        <v>0.92703819882009553</v>
      </c>
      <c r="AW178" s="23">
        <f>EXP(-LN(2)/2)*AW177+(1-EXP(-LN(2)/2))/(LN(2)/2)*AQ178*AT178*VLOOKUP('Données projet'!$B$10,Paramètres!$A$1:$I$89,3,0)*0.475*44/12</f>
        <v>5.9182999924486885E-21</v>
      </c>
      <c r="AX178" s="23">
        <f t="shared" si="166"/>
        <v>10.790836324638756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310.95287409903602</v>
      </c>
      <c r="T179" s="62">
        <f t="shared" si="142"/>
        <v>224.10083380795163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74.482362471285214</v>
      </c>
      <c r="AA179" s="23">
        <f>EXP(-LN(2)/25)*AA178+(1-EXP(-LN(2)/25))/(LN(2)/25)*Calculateur!V179*Calculateur!X179*VLOOKUP('Données projet'!$B$9,Paramètres!$A$1:$I$89,3,0)*0.475*44/12</f>
        <v>1.8234316962646693</v>
      </c>
      <c r="AB179" s="23">
        <f>EXP(-LN(2)/2)*AB178+(1-EXP(-LN(2)/2))/(LN(2)/2)*V179*Y179*VLOOKUP('Données projet'!$B$9,Paramètres!$A$1:$I$89,3,0)*0.475*44/12</f>
        <v>1.8799146912035196E-17</v>
      </c>
      <c r="AC179" s="24">
        <f t="shared" si="163"/>
        <v>76.305794167549877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768.99999999999966</v>
      </c>
      <c r="AJ179" s="14">
        <f>AI179*VLOOKUP('Données projet'!$B$10,Paramètres!$A$1:$I$89,3,0)*VLOOKUP('Données projet'!$B$10,Paramètres!$A$1:$I$89,5,0)</f>
        <v>429.87099999999981</v>
      </c>
      <c r="AK179" s="14">
        <f t="shared" si="164"/>
        <v>97.806935594587088</v>
      </c>
      <c r="AL179" s="22">
        <f t="shared" si="165"/>
        <v>919.03907116057201</v>
      </c>
      <c r="AM179" s="62">
        <f t="shared" si="113"/>
        <v>1212.3724044939054</v>
      </c>
      <c r="AN179" s="62">
        <f ca="1">AVERAGE(OFFSET($AM$3,0,0,'Données projet'!$E$10+1,1))-AVERAGE(OFFSET($H$3,0,0,'Données projet'!$E$10+1,1))</f>
        <v>490.96084572840579</v>
      </c>
      <c r="AO179" s="62">
        <f t="shared" si="144"/>
        <v>597.91658789908263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9.6703750608941501</v>
      </c>
      <c r="AV179" s="23">
        <f>EXP(-LN(2)/25)*AV178+(1-EXP(-LN(2)/25))/(LN(2)/25)*Calculateur!AQ179*Calculateur!AS179*VLOOKUP('Données projet'!$B$10,Paramètres!$A$1:$I$89,3,0)*0.475*44/12</f>
        <v>0.90168829052253996</v>
      </c>
      <c r="AW179" s="23">
        <f>EXP(-LN(2)/2)*AW178+(1-EXP(-LN(2)/2))/(LN(2)/2)*AQ179*AT179*VLOOKUP('Données projet'!$B$10,Paramètres!$A$1:$I$89,3,0)*0.475*44/12</f>
        <v>4.1848700577567606E-21</v>
      </c>
      <c r="AX179" s="23">
        <f t="shared" si="166"/>
        <v>10.57206335141669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310.95287409903602</v>
      </c>
      <c r="T180" s="62">
        <f t="shared" si="142"/>
        <v>224.10083380795163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73.021808772978602</v>
      </c>
      <c r="AA180" s="23">
        <f>EXP(-LN(2)/25)*AA179+(1-EXP(-LN(2)/25))/(LN(2)/25)*Calculateur!V180*Calculateur!X180*VLOOKUP('Données projet'!$B$9,Paramètres!$A$1:$I$89,3,0)*0.475*44/12</f>
        <v>1.7735698606402066</v>
      </c>
      <c r="AB180" s="23">
        <f>EXP(-LN(2)/2)*AB179+(1-EXP(-LN(2)/2))/(LN(2)/2)*V180*Y180*VLOOKUP('Données projet'!$B$9,Paramètres!$A$1:$I$89,3,0)*0.475*44/12</f>
        <v>1.3293004262022232E-17</v>
      </c>
      <c r="AC180" s="24">
        <f t="shared" si="163"/>
        <v>74.79537863361881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768.99999999999966</v>
      </c>
      <c r="AJ180" s="14">
        <f>AI180*VLOOKUP('Données projet'!$B$10,Paramètres!$A$1:$I$89,3,0)*VLOOKUP('Données projet'!$B$10,Paramètres!$A$1:$I$89,5,0)</f>
        <v>429.87099999999981</v>
      </c>
      <c r="AK180" s="14">
        <f t="shared" si="164"/>
        <v>97.806935594587088</v>
      </c>
      <c r="AL180" s="22">
        <f t="shared" si="165"/>
        <v>919.03907116057201</v>
      </c>
      <c r="AM180" s="62">
        <f t="shared" si="113"/>
        <v>1212.3724044939054</v>
      </c>
      <c r="AN180" s="62">
        <f ca="1">AVERAGE(OFFSET($AM$3,0,0,'Données projet'!$E$10+1,1))-AVERAGE(OFFSET($H$3,0,0,'Données projet'!$E$10+1,1))</f>
        <v>490.96084572840579</v>
      </c>
      <c r="AO180" s="62">
        <f t="shared" si="144"/>
        <v>597.91658789908263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9.4807449042963903</v>
      </c>
      <c r="AV180" s="23">
        <f>EXP(-LN(2)/25)*AV179+(1-EXP(-LN(2)/25))/(LN(2)/25)*Calculateur!AQ180*Calculateur!AS180*VLOOKUP('Données projet'!$B$10,Paramètres!$A$1:$I$89,3,0)*0.475*44/12</f>
        <v>0.87703157680047472</v>
      </c>
      <c r="AW180" s="23">
        <f>EXP(-LN(2)/2)*AW179+(1-EXP(-LN(2)/2))/(LN(2)/2)*AQ180*AT180*VLOOKUP('Données projet'!$B$10,Paramètres!$A$1:$I$89,3,0)*0.475*44/12</f>
        <v>2.9591499962243443E-21</v>
      </c>
      <c r="AX180" s="23">
        <f t="shared" si="166"/>
        <v>10.357776481096865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310.95287409903602</v>
      </c>
      <c r="T181" s="62">
        <f t="shared" si="142"/>
        <v>224.10083380795163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71.589895641845985</v>
      </c>
      <c r="AA181" s="23">
        <f>EXP(-LN(2)/25)*AA180+(1-EXP(-LN(2)/25))/(LN(2)/25)*Calculateur!V181*Calculateur!X181*VLOOKUP('Données projet'!$B$9,Paramètres!$A$1:$I$89,3,0)*0.475*44/12</f>
        <v>1.7250714995330148</v>
      </c>
      <c r="AB181" s="23">
        <f>EXP(-LN(2)/2)*AB180+(1-EXP(-LN(2)/2))/(LN(2)/2)*V181*Y181*VLOOKUP('Données projet'!$B$9,Paramètres!$A$1:$I$89,3,0)*0.475*44/12</f>
        <v>9.3995734560175982E-18</v>
      </c>
      <c r="AC181" s="24">
        <f t="shared" si="163"/>
        <v>73.314967141379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768.99999999999966</v>
      </c>
      <c r="AJ181" s="14">
        <f>AI181*VLOOKUP('Données projet'!$B$10,Paramètres!$A$1:$I$89,3,0)*VLOOKUP('Données projet'!$B$10,Paramètres!$A$1:$I$89,5,0)</f>
        <v>429.87099999999981</v>
      </c>
      <c r="AK181" s="14">
        <f t="shared" si="164"/>
        <v>97.806935594587088</v>
      </c>
      <c r="AL181" s="22">
        <f t="shared" si="165"/>
        <v>919.03907116057201</v>
      </c>
      <c r="AM181" s="62">
        <f t="shared" si="113"/>
        <v>1212.3724044939054</v>
      </c>
      <c r="AN181" s="62">
        <f ca="1">AVERAGE(OFFSET($AM$3,0,0,'Données projet'!$E$10+1,1))-AVERAGE(OFFSET($H$3,0,0,'Données projet'!$E$10+1,1))</f>
        <v>490.96084572840579</v>
      </c>
      <c r="AO181" s="62">
        <f t="shared" si="144"/>
        <v>597.91658789908263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9.2948332794065376</v>
      </c>
      <c r="AV181" s="23">
        <f>EXP(-LN(2)/25)*AV180+(1-EXP(-LN(2)/25))/(LN(2)/25)*Calculateur!AQ181*Calculateur!AS181*VLOOKUP('Données projet'!$B$10,Paramètres!$A$1:$I$89,3,0)*0.475*44/12</f>
        <v>0.85304910221177965</v>
      </c>
      <c r="AW181" s="23">
        <f>EXP(-LN(2)/2)*AW180+(1-EXP(-LN(2)/2))/(LN(2)/2)*AQ181*AT181*VLOOKUP('Données projet'!$B$10,Paramètres!$A$1:$I$89,3,0)*0.475*44/12</f>
        <v>2.0924350288783803E-21</v>
      </c>
      <c r="AX181" s="23">
        <f t="shared" si="166"/>
        <v>10.147882381618317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310.95287409903602</v>
      </c>
      <c r="T182" s="62">
        <f t="shared" si="142"/>
        <v>224.10083380795163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70.186061453834114</v>
      </c>
      <c r="AA182" s="23">
        <f>EXP(-LN(2)/25)*AA181+(1-EXP(-LN(2)/25))/(LN(2)/25)*Calculateur!V182*Calculateur!X182*VLOOKUP('Données projet'!$B$9,Paramètres!$A$1:$I$89,3,0)*0.475*44/12</f>
        <v>1.6778993286607171</v>
      </c>
      <c r="AB182" s="23">
        <f>EXP(-LN(2)/2)*AB181+(1-EXP(-LN(2)/2))/(LN(2)/2)*V182*Y182*VLOOKUP('Données projet'!$B$9,Paramètres!$A$1:$I$89,3,0)*0.475*44/12</f>
        <v>6.6465021310111162E-18</v>
      </c>
      <c r="AC182" s="24">
        <f t="shared" si="163"/>
        <v>71.863960782494829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768.99999999999966</v>
      </c>
      <c r="AJ182" s="14">
        <f>AI182*VLOOKUP('Données projet'!$B$10,Paramètres!$A$1:$I$89,3,0)*VLOOKUP('Données projet'!$B$10,Paramètres!$A$1:$I$89,5,0)</f>
        <v>429.87099999999981</v>
      </c>
      <c r="AK182" s="14">
        <f t="shared" si="164"/>
        <v>97.806935594587088</v>
      </c>
      <c r="AL182" s="22">
        <f t="shared" si="165"/>
        <v>919.03907116057201</v>
      </c>
      <c r="AM182" s="62">
        <f t="shared" si="113"/>
        <v>1212.3724044939054</v>
      </c>
      <c r="AN182" s="62">
        <f ca="1">AVERAGE(OFFSET($AM$3,0,0,'Données projet'!$E$10+1,1))-AVERAGE(OFFSET($H$3,0,0,'Données projet'!$E$10+1,1))</f>
        <v>490.96084572840579</v>
      </c>
      <c r="AO182" s="62">
        <f t="shared" si="144"/>
        <v>597.91658789908263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9.1125672680858809</v>
      </c>
      <c r="AV182" s="23">
        <f>EXP(-LN(2)/25)*AV181+(1-EXP(-LN(2)/25))/(LN(2)/25)*Calculateur!AQ182*Calculateur!AS182*VLOOKUP('Données projet'!$B$10,Paramètres!$A$1:$I$89,3,0)*0.475*44/12</f>
        <v>0.82972242965189591</v>
      </c>
      <c r="AW182" s="23">
        <f>EXP(-LN(2)/2)*AW181+(1-EXP(-LN(2)/2))/(LN(2)/2)*AQ182*AT182*VLOOKUP('Données projet'!$B$10,Paramètres!$A$1:$I$89,3,0)*0.475*44/12</f>
        <v>1.4795749981121721E-21</v>
      </c>
      <c r="AX182" s="23">
        <f t="shared" si="166"/>
        <v>9.9422896977377775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310.95287409903602</v>
      </c>
      <c r="T183" s="62">
        <f t="shared" si="142"/>
        <v>224.10083380795163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68.809755597994851</v>
      </c>
      <c r="AA183" s="23">
        <f>EXP(-LN(2)/25)*AA182+(1-EXP(-LN(2)/25))/(LN(2)/25)*Calculateur!V183*Calculateur!X183*VLOOKUP('Données projet'!$B$9,Paramètres!$A$1:$I$89,3,0)*0.475*44/12</f>
        <v>1.632017083281599</v>
      </c>
      <c r="AB183" s="23">
        <f>EXP(-LN(2)/2)*AB182+(1-EXP(-LN(2)/2))/(LN(2)/2)*V183*Y183*VLOOKUP('Données projet'!$B$9,Paramètres!$A$1:$I$89,3,0)*0.475*44/12</f>
        <v>4.6997867280087991E-18</v>
      </c>
      <c r="AC183" s="24">
        <f t="shared" si="163"/>
        <v>70.441772681276447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768.99999999999966</v>
      </c>
      <c r="AJ183" s="14">
        <f>AI183*VLOOKUP('Données projet'!$B$10,Paramètres!$A$1:$I$89,3,0)*VLOOKUP('Données projet'!$B$10,Paramètres!$A$1:$I$89,5,0)</f>
        <v>429.87099999999981</v>
      </c>
      <c r="AK183" s="14">
        <f t="shared" si="164"/>
        <v>97.806935594587088</v>
      </c>
      <c r="AL183" s="22">
        <f t="shared" si="165"/>
        <v>919.03907116057201</v>
      </c>
      <c r="AM183" s="62">
        <f t="shared" si="113"/>
        <v>1212.3724044939054</v>
      </c>
      <c r="AN183" s="62">
        <f ca="1">AVERAGE(OFFSET($AM$3,0,0,'Données projet'!$E$10+1,1))-AVERAGE(OFFSET($H$3,0,0,'Données projet'!$E$10+1,1))</f>
        <v>490.96084572840579</v>
      </c>
      <c r="AO183" s="62">
        <f t="shared" si="144"/>
        <v>597.91658789908263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8.9338753820759322</v>
      </c>
      <c r="AV183" s="23">
        <f>EXP(-LN(2)/25)*AV182+(1-EXP(-LN(2)/25))/(LN(2)/25)*Calculateur!AQ183*Calculateur!AS183*VLOOKUP('Données projet'!$B$10,Paramètres!$A$1:$I$89,3,0)*0.475*44/12</f>
        <v>0.80703362617985863</v>
      </c>
      <c r="AW183" s="23">
        <f>EXP(-LN(2)/2)*AW182+(1-EXP(-LN(2)/2))/(LN(2)/2)*AQ183*AT183*VLOOKUP('Données projet'!$B$10,Paramètres!$A$1:$I$89,3,0)*0.475*44/12</f>
        <v>1.0462175144391901E-21</v>
      </c>
      <c r="AX183" s="23">
        <f t="shared" si="166"/>
        <v>9.740909008255791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310.95287409903602</v>
      </c>
      <c r="T184" s="62">
        <f t="shared" si="142"/>
        <v>224.10083380795163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67.46043826052491</v>
      </c>
      <c r="AA184" s="23">
        <f>EXP(-LN(2)/25)*AA183+(1-EXP(-LN(2)/25))/(LN(2)/25)*Calculateur!V184*Calculateur!X184*VLOOKUP('Données projet'!$B$9,Paramètres!$A$1:$I$89,3,0)*0.475*44/12</f>
        <v>1.5873894903152153</v>
      </c>
      <c r="AB184" s="23">
        <f>EXP(-LN(2)/2)*AB183+(1-EXP(-LN(2)/2))/(LN(2)/2)*V184*Y184*VLOOKUP('Données projet'!$B$9,Paramètres!$A$1:$I$89,3,0)*0.475*44/12</f>
        <v>3.3232510655055581E-18</v>
      </c>
      <c r="AC184" s="24">
        <f t="shared" si="163"/>
        <v>69.047827750840128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768.99999999999966</v>
      </c>
      <c r="AJ184" s="14">
        <f>AI184*VLOOKUP('Données projet'!$B$10,Paramètres!$A$1:$I$89,3,0)*VLOOKUP('Données projet'!$B$10,Paramètres!$A$1:$I$89,5,0)</f>
        <v>429.87099999999981</v>
      </c>
      <c r="AK184" s="14">
        <f t="shared" si="164"/>
        <v>97.806935594587088</v>
      </c>
      <c r="AL184" s="22">
        <f t="shared" si="165"/>
        <v>919.03907116057201</v>
      </c>
      <c r="AM184" s="62">
        <f t="shared" si="113"/>
        <v>1212.3724044939054</v>
      </c>
      <c r="AN184" s="62">
        <f ca="1">AVERAGE(OFFSET($AM$3,0,0,'Données projet'!$E$10+1,1))-AVERAGE(OFFSET($H$3,0,0,'Données projet'!$E$10+1,1))</f>
        <v>490.96084572840579</v>
      </c>
      <c r="AO184" s="62">
        <f t="shared" si="144"/>
        <v>597.91658789908263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8.7586875349593498</v>
      </c>
      <c r="AV184" s="23">
        <f>EXP(-LN(2)/25)*AV183+(1-EXP(-LN(2)/25))/(LN(2)/25)*Calculateur!AQ184*Calculateur!AS184*VLOOKUP('Données projet'!$B$10,Paramètres!$A$1:$I$89,3,0)*0.475*44/12</f>
        <v>0.78496524923191646</v>
      </c>
      <c r="AW184" s="23">
        <f>EXP(-LN(2)/2)*AW183+(1-EXP(-LN(2)/2))/(LN(2)/2)*AQ184*AT184*VLOOKUP('Données projet'!$B$10,Paramètres!$A$1:$I$89,3,0)*0.475*44/12</f>
        <v>7.3978749905608607E-22</v>
      </c>
      <c r="AX184" s="23">
        <f t="shared" si="166"/>
        <v>9.5436527841912664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310.95287409903602</v>
      </c>
      <c r="T185" s="62">
        <f t="shared" si="142"/>
        <v>224.10083380795163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66.137580213040451</v>
      </c>
      <c r="AA185" s="23">
        <f>EXP(-LN(2)/25)*AA184+(1-EXP(-LN(2)/25))/(LN(2)/25)*Calculateur!V185*Calculateur!X185*VLOOKUP('Données projet'!$B$9,Paramètres!$A$1:$I$89,3,0)*0.475*44/12</f>
        <v>1.5439822412253603</v>
      </c>
      <c r="AB185" s="23">
        <f>EXP(-LN(2)/2)*AB184+(1-EXP(-LN(2)/2))/(LN(2)/2)*V185*Y185*VLOOKUP('Données projet'!$B$9,Paramètres!$A$1:$I$89,3,0)*0.475*44/12</f>
        <v>2.3498933640043996E-18</v>
      </c>
      <c r="AC185" s="24">
        <f t="shared" si="163"/>
        <v>67.681562454265816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768.99999999999966</v>
      </c>
      <c r="AJ185" s="14">
        <f>AI185*VLOOKUP('Données projet'!$B$10,Paramètres!$A$1:$I$89,3,0)*VLOOKUP('Données projet'!$B$10,Paramètres!$A$1:$I$89,5,0)</f>
        <v>429.87099999999981</v>
      </c>
      <c r="AK185" s="14">
        <f t="shared" si="164"/>
        <v>97.806935594587088</v>
      </c>
      <c r="AL185" s="22">
        <f t="shared" si="165"/>
        <v>919.03907116057201</v>
      </c>
      <c r="AM185" s="62">
        <f t="shared" si="113"/>
        <v>1212.3724044939054</v>
      </c>
      <c r="AN185" s="62">
        <f ca="1">AVERAGE(OFFSET($AM$3,0,0,'Données projet'!$E$10+1,1))-AVERAGE(OFFSET($H$3,0,0,'Données projet'!$E$10+1,1))</f>
        <v>490.96084572840579</v>
      </c>
      <c r="AO185" s="62">
        <f t="shared" si="144"/>
        <v>597.91658789908263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8.5869350146706882</v>
      </c>
      <c r="AV185" s="23">
        <f>EXP(-LN(2)/25)*AV184+(1-EXP(-LN(2)/25))/(LN(2)/25)*Calculateur!AQ185*Calculateur!AS185*VLOOKUP('Données projet'!$B$10,Paramètres!$A$1:$I$89,3,0)*0.475*44/12</f>
        <v>0.76350033321214128</v>
      </c>
      <c r="AW185" s="23">
        <f>EXP(-LN(2)/2)*AW184+(1-EXP(-LN(2)/2))/(LN(2)/2)*AQ185*AT185*VLOOKUP('Données projet'!$B$10,Paramètres!$A$1:$I$89,3,0)*0.475*44/12</f>
        <v>5.2310875721959507E-22</v>
      </c>
      <c r="AX185" s="23">
        <f t="shared" si="166"/>
        <v>9.3504353478828293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310.95287409903602</v>
      </c>
      <c r="T186" s="62">
        <f t="shared" si="142"/>
        <v>224.10083380795163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64.840662605003416</v>
      </c>
      <c r="AA186" s="23">
        <f>EXP(-LN(2)/25)*AA185+(1-EXP(-LN(2)/25))/(LN(2)/25)*Calculateur!V186*Calculateur!X186*VLOOKUP('Données projet'!$B$9,Paramètres!$A$1:$I$89,3,0)*0.475*44/12</f>
        <v>1.5017619656445556</v>
      </c>
      <c r="AB186" s="23">
        <f>EXP(-LN(2)/2)*AB185+(1-EXP(-LN(2)/2))/(LN(2)/2)*V186*Y186*VLOOKUP('Données projet'!$B$9,Paramètres!$A$1:$I$89,3,0)*0.475*44/12</f>
        <v>1.6616255327527791E-18</v>
      </c>
      <c r="AC186" s="24">
        <f t="shared" si="163"/>
        <v>66.342424570647978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768.99999999999966</v>
      </c>
      <c r="AJ186" s="14">
        <f>AI186*VLOOKUP('Données projet'!$B$10,Paramètres!$A$1:$I$89,3,0)*VLOOKUP('Données projet'!$B$10,Paramètres!$A$1:$I$89,5,0)</f>
        <v>429.87099999999981</v>
      </c>
      <c r="AK186" s="14">
        <f t="shared" si="164"/>
        <v>97.806935594587088</v>
      </c>
      <c r="AL186" s="22">
        <f t="shared" si="165"/>
        <v>919.03907116057201</v>
      </c>
      <c r="AM186" s="62">
        <f t="shared" si="113"/>
        <v>1212.3724044939054</v>
      </c>
      <c r="AN186" s="62">
        <f ca="1">AVERAGE(OFFSET($AM$3,0,0,'Données projet'!$E$10+1,1))-AVERAGE(OFFSET($H$3,0,0,'Données projet'!$E$10+1,1))</f>
        <v>490.96084572840579</v>
      </c>
      <c r="AO186" s="62">
        <f t="shared" si="144"/>
        <v>597.91658789908263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8.4185504565461926</v>
      </c>
      <c r="AV186" s="23">
        <f>EXP(-LN(2)/25)*AV185+(1-EXP(-LN(2)/25))/(LN(2)/25)*Calculateur!AQ186*Calculateur!AS186*VLOOKUP('Données projet'!$B$10,Paramètres!$A$1:$I$89,3,0)*0.475*44/12</f>
        <v>0.74262237644971774</v>
      </c>
      <c r="AW186" s="23">
        <f>EXP(-LN(2)/2)*AW185+(1-EXP(-LN(2)/2))/(LN(2)/2)*AQ186*AT186*VLOOKUP('Données projet'!$B$10,Paramètres!$A$1:$I$89,3,0)*0.475*44/12</f>
        <v>3.6989374952804303E-22</v>
      </c>
      <c r="AX186" s="23">
        <f t="shared" si="166"/>
        <v>9.161172832995911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310.95287409903602</v>
      </c>
      <c r="T187" s="62">
        <f t="shared" si="142"/>
        <v>224.10083380795163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63.569176760218362</v>
      </c>
      <c r="AA187" s="23">
        <f>EXP(-LN(2)/25)*AA186+(1-EXP(-LN(2)/25))/(LN(2)/25)*Calculateur!V187*Calculateur!X187*VLOOKUP('Données projet'!$B$9,Paramètres!$A$1:$I$89,3,0)*0.475*44/12</f>
        <v>1.4606962057197757</v>
      </c>
      <c r="AB187" s="23">
        <f>EXP(-LN(2)/2)*AB186+(1-EXP(-LN(2)/2))/(LN(2)/2)*V187*Y187*VLOOKUP('Données projet'!$B$9,Paramètres!$A$1:$I$89,3,0)*0.475*44/12</f>
        <v>1.1749466820021998E-18</v>
      </c>
      <c r="AC187" s="24">
        <f t="shared" si="163"/>
        <v>65.029872965938139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768.99999999999966</v>
      </c>
      <c r="AJ187" s="14">
        <f>AI187*VLOOKUP('Données projet'!$B$10,Paramètres!$A$1:$I$89,3,0)*VLOOKUP('Données projet'!$B$10,Paramètres!$A$1:$I$89,5,0)</f>
        <v>429.87099999999981</v>
      </c>
      <c r="AK187" s="14">
        <f t="shared" si="164"/>
        <v>97.806935594587088</v>
      </c>
      <c r="AL187" s="22">
        <f t="shared" si="165"/>
        <v>919.03907116057201</v>
      </c>
      <c r="AM187" s="62">
        <f t="shared" si="113"/>
        <v>1212.3724044939054</v>
      </c>
      <c r="AN187" s="62">
        <f ca="1">AVERAGE(OFFSET($AM$3,0,0,'Données projet'!$E$10+1,1))-AVERAGE(OFFSET($H$3,0,0,'Données projet'!$E$10+1,1))</f>
        <v>490.96084572840579</v>
      </c>
      <c r="AO187" s="62">
        <f t="shared" si="144"/>
        <v>597.91658789908263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8.2534678169020808</v>
      </c>
      <c r="AV187" s="23">
        <f>EXP(-LN(2)/25)*AV186+(1-EXP(-LN(2)/25))/(LN(2)/25)*Calculateur!AQ187*Calculateur!AS187*VLOOKUP('Données projet'!$B$10,Paramètres!$A$1:$I$89,3,0)*0.475*44/12</f>
        <v>0.72231532851288671</v>
      </c>
      <c r="AW187" s="23">
        <f>EXP(-LN(2)/2)*AW186+(1-EXP(-LN(2)/2))/(LN(2)/2)*AQ187*AT187*VLOOKUP('Données projet'!$B$10,Paramètres!$A$1:$I$89,3,0)*0.475*44/12</f>
        <v>2.6155437860979754E-22</v>
      </c>
      <c r="AX187" s="23">
        <f t="shared" si="166"/>
        <v>8.975783145414967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310.95287409903602</v>
      </c>
      <c r="T188" s="62">
        <f t="shared" si="142"/>
        <v>224.10083380795163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62.322623977319751</v>
      </c>
      <c r="AA188" s="23">
        <f>EXP(-LN(2)/25)*AA187+(1-EXP(-LN(2)/25))/(LN(2)/25)*Calculateur!V188*Calculateur!X188*VLOOKUP('Données projet'!$B$9,Paramètres!$A$1:$I$89,3,0)*0.475*44/12</f>
        <v>1.4207533911596935</v>
      </c>
      <c r="AB188" s="23">
        <f>EXP(-LN(2)/2)*AB187+(1-EXP(-LN(2)/2))/(LN(2)/2)*V188*Y188*VLOOKUP('Données projet'!$B$9,Paramètres!$A$1:$I$89,3,0)*0.475*44/12</f>
        <v>8.3081276637638953E-19</v>
      </c>
      <c r="AC188" s="24">
        <f t="shared" si="163"/>
        <v>63.743377368479443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768.99999999999966</v>
      </c>
      <c r="AJ188" s="14">
        <f>AI188*VLOOKUP('Données projet'!$B$10,Paramètres!$A$1:$I$89,3,0)*VLOOKUP('Données projet'!$B$10,Paramètres!$A$1:$I$89,5,0)</f>
        <v>429.87099999999981</v>
      </c>
      <c r="AK188" s="14">
        <f t="shared" si="164"/>
        <v>97.806935594587088</v>
      </c>
      <c r="AL188" s="22">
        <f t="shared" si="165"/>
        <v>919.03907116057201</v>
      </c>
      <c r="AM188" s="62">
        <f t="shared" si="113"/>
        <v>1212.3724044939054</v>
      </c>
      <c r="AN188" s="62">
        <f ca="1">AVERAGE(OFFSET($AM$3,0,0,'Données projet'!$E$10+1,1))-AVERAGE(OFFSET($H$3,0,0,'Données projet'!$E$10+1,1))</f>
        <v>490.96084572840579</v>
      </c>
      <c r="AO188" s="62">
        <f t="shared" si="144"/>
        <v>597.91658789908263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8.0916223471309205</v>
      </c>
      <c r="AV188" s="23">
        <f>EXP(-LN(2)/25)*AV187+(1-EXP(-LN(2)/25))/(LN(2)/25)*Calculateur!AQ188*Calculateur!AS188*VLOOKUP('Données projet'!$B$10,Paramètres!$A$1:$I$89,3,0)*0.475*44/12</f>
        <v>0.70256357786978962</v>
      </c>
      <c r="AW188" s="23">
        <f>EXP(-LN(2)/2)*AW187+(1-EXP(-LN(2)/2))/(LN(2)/2)*AQ188*AT188*VLOOKUP('Données projet'!$B$10,Paramètres!$A$1:$I$89,3,0)*0.475*44/12</f>
        <v>1.8494687476402152E-22</v>
      </c>
      <c r="AX188" s="23">
        <f t="shared" si="166"/>
        <v>8.7941859250007095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310.95287409903602</v>
      </c>
      <c r="T189" s="62">
        <f t="shared" si="142"/>
        <v>224.10083380795163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61.100515334171661</v>
      </c>
      <c r="AA189" s="23">
        <f>EXP(-LN(2)/25)*AA188+(1-EXP(-LN(2)/25))/(LN(2)/25)*Calculateur!V189*Calculateur!X189*VLOOKUP('Données projet'!$B$9,Paramètres!$A$1:$I$89,3,0)*0.475*44/12</f>
        <v>1.381902814964258</v>
      </c>
      <c r="AB189" s="23">
        <f>EXP(-LN(2)/2)*AB188+(1-EXP(-LN(2)/2))/(LN(2)/2)*V189*Y189*VLOOKUP('Données projet'!$B$9,Paramètres!$A$1:$I$89,3,0)*0.475*44/12</f>
        <v>5.8747334100109989E-19</v>
      </c>
      <c r="AC189" s="24">
        <f t="shared" si="163"/>
        <v>62.482418149135917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768.99999999999966</v>
      </c>
      <c r="AJ189" s="14">
        <f>AI189*VLOOKUP('Données projet'!$B$10,Paramètres!$A$1:$I$89,3,0)*VLOOKUP('Données projet'!$B$10,Paramètres!$A$1:$I$89,5,0)</f>
        <v>429.87099999999981</v>
      </c>
      <c r="AK189" s="14">
        <f t="shared" si="164"/>
        <v>97.806935594587088</v>
      </c>
      <c r="AL189" s="22">
        <f t="shared" si="165"/>
        <v>919.03907116057201</v>
      </c>
      <c r="AM189" s="62">
        <f t="shared" si="113"/>
        <v>1212.3724044939054</v>
      </c>
      <c r="AN189" s="62">
        <f ca="1">AVERAGE(OFFSET($AM$3,0,0,'Données projet'!$E$10+1,1))-AVERAGE(OFFSET($H$3,0,0,'Données projet'!$E$10+1,1))</f>
        <v>490.96084572840579</v>
      </c>
      <c r="AO189" s="62">
        <f t="shared" si="144"/>
        <v>597.91658789908263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7.9329505683059844</v>
      </c>
      <c r="AV189" s="23">
        <f>EXP(-LN(2)/25)*AV188+(1-EXP(-LN(2)/25))/(LN(2)/25)*Calculateur!AQ189*Calculateur!AS189*VLOOKUP('Données projet'!$B$10,Paramètres!$A$1:$I$89,3,0)*0.475*44/12</f>
        <v>0.68335193988672738</v>
      </c>
      <c r="AW189" s="23">
        <f>EXP(-LN(2)/2)*AW188+(1-EXP(-LN(2)/2))/(LN(2)/2)*AQ189*AT189*VLOOKUP('Données projet'!$B$10,Paramètres!$A$1:$I$89,3,0)*0.475*44/12</f>
        <v>1.3077718930489877E-22</v>
      </c>
      <c r="AX189" s="23">
        <f t="shared" si="166"/>
        <v>8.616302508192712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310.95287409903602</v>
      </c>
      <c r="T190" s="62">
        <f t="shared" si="142"/>
        <v>224.10083380795163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59.902371496103036</v>
      </c>
      <c r="AA190" s="23">
        <f>EXP(-LN(2)/25)*AA189+(1-EXP(-LN(2)/25))/(LN(2)/25)*Calculateur!V190*Calculateur!X190*VLOOKUP('Données projet'!$B$9,Paramètres!$A$1:$I$89,3,0)*0.475*44/12</f>
        <v>1.3441146098179497</v>
      </c>
      <c r="AB190" s="23">
        <f>EXP(-LN(2)/2)*AB189+(1-EXP(-LN(2)/2))/(LN(2)/2)*V190*Y190*VLOOKUP('Données projet'!$B$9,Paramètres!$A$1:$I$89,3,0)*0.475*44/12</f>
        <v>4.1540638318819476E-19</v>
      </c>
      <c r="AC190" s="24">
        <f t="shared" si="163"/>
        <v>61.246486105920987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768.99999999999966</v>
      </c>
      <c r="AJ190" s="14">
        <f>AI190*VLOOKUP('Données projet'!$B$10,Paramètres!$A$1:$I$89,3,0)*VLOOKUP('Données projet'!$B$10,Paramètres!$A$1:$I$89,5,0)</f>
        <v>429.87099999999981</v>
      </c>
      <c r="AK190" s="14">
        <f t="shared" si="164"/>
        <v>97.806935594587088</v>
      </c>
      <c r="AL190" s="22">
        <f t="shared" si="165"/>
        <v>919.03907116057201</v>
      </c>
      <c r="AM190" s="62">
        <f t="shared" si="113"/>
        <v>1212.3724044939054</v>
      </c>
      <c r="AN190" s="62">
        <f ca="1">AVERAGE(OFFSET($AM$3,0,0,'Données projet'!$E$10+1,1))-AVERAGE(OFFSET($H$3,0,0,'Données projet'!$E$10+1,1))</f>
        <v>490.96084572840579</v>
      </c>
      <c r="AO190" s="62">
        <f t="shared" si="144"/>
        <v>597.91658789908263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7.7773902462835762</v>
      </c>
      <c r="AV190" s="23">
        <f>EXP(-LN(2)/25)*AV189+(1-EXP(-LN(2)/25))/(LN(2)/25)*Calculateur!AQ190*Calculateur!AS190*VLOOKUP('Données projet'!$B$10,Paramètres!$A$1:$I$89,3,0)*0.475*44/12</f>
        <v>0.66466564515460813</v>
      </c>
      <c r="AW190" s="23">
        <f>EXP(-LN(2)/2)*AW189+(1-EXP(-LN(2)/2))/(LN(2)/2)*AQ190*AT190*VLOOKUP('Données projet'!$B$10,Paramètres!$A$1:$I$89,3,0)*0.475*44/12</f>
        <v>9.2473437382010758E-23</v>
      </c>
      <c r="AX190" s="23">
        <f t="shared" si="166"/>
        <v>8.4420558914381836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310.95287409903602</v>
      </c>
      <c r="T191" s="62">
        <f t="shared" si="142"/>
        <v>224.10083380795163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58.727722527903353</v>
      </c>
      <c r="AA191" s="23">
        <f>EXP(-LN(2)/25)*AA190+(1-EXP(-LN(2)/25))/(LN(2)/25)*Calculateur!V191*Calculateur!X191*VLOOKUP('Données projet'!$B$9,Paramètres!$A$1:$I$89,3,0)*0.475*44/12</f>
        <v>1.3073597251285625</v>
      </c>
      <c r="AB191" s="23">
        <f>EXP(-LN(2)/2)*AB190+(1-EXP(-LN(2)/2))/(LN(2)/2)*V191*Y191*VLOOKUP('Données projet'!$B$9,Paramètres!$A$1:$I$89,3,0)*0.475*44/12</f>
        <v>2.9373667050054994E-19</v>
      </c>
      <c r="AC191" s="24">
        <f t="shared" si="163"/>
        <v>60.035082253031916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768.99999999999966</v>
      </c>
      <c r="AJ191" s="14">
        <f>AI191*VLOOKUP('Données projet'!$B$10,Paramètres!$A$1:$I$89,3,0)*VLOOKUP('Données projet'!$B$10,Paramètres!$A$1:$I$89,5,0)</f>
        <v>429.87099999999981</v>
      </c>
      <c r="AK191" s="14">
        <f t="shared" si="164"/>
        <v>97.806935594587088</v>
      </c>
      <c r="AL191" s="22">
        <f t="shared" si="165"/>
        <v>919.03907116057201</v>
      </c>
      <c r="AM191" s="62">
        <f t="shared" si="113"/>
        <v>1212.3724044939054</v>
      </c>
      <c r="AN191" s="62">
        <f ca="1">AVERAGE(OFFSET($AM$3,0,0,'Données projet'!$E$10+1,1))-AVERAGE(OFFSET($H$3,0,0,'Données projet'!$E$10+1,1))</f>
        <v>490.96084572840579</v>
      </c>
      <c r="AO191" s="62">
        <f t="shared" si="144"/>
        <v>597.91658789908263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7.6248803672936001</v>
      </c>
      <c r="AV191" s="23">
        <f>EXP(-LN(2)/25)*AV190+(1-EXP(-LN(2)/25))/(LN(2)/25)*Calculateur!AQ191*Calculateur!AS191*VLOOKUP('Données projet'!$B$10,Paramètres!$A$1:$I$89,3,0)*0.475*44/12</f>
        <v>0.64649032813460816</v>
      </c>
      <c r="AW191" s="23">
        <f>EXP(-LN(2)/2)*AW190+(1-EXP(-LN(2)/2))/(LN(2)/2)*AQ191*AT191*VLOOKUP('Données projet'!$B$10,Paramètres!$A$1:$I$89,3,0)*0.475*44/12</f>
        <v>6.5388594652449384E-23</v>
      </c>
      <c r="AX191" s="23">
        <f t="shared" si="166"/>
        <v>8.2713706954282085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310.95287409903602</v>
      </c>
      <c r="T192" s="62">
        <f t="shared" si="142"/>
        <v>224.10083380795163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57.576107709504939</v>
      </c>
      <c r="AA192" s="23">
        <f>EXP(-LN(2)/25)*AA191+(1-EXP(-LN(2)/25))/(LN(2)/25)*Calculateur!V192*Calculateur!X192*VLOOKUP('Données projet'!$B$9,Paramètres!$A$1:$I$89,3,0)*0.475*44/12</f>
        <v>1.271609904693862</v>
      </c>
      <c r="AB192" s="23">
        <f>EXP(-LN(2)/2)*AB191+(1-EXP(-LN(2)/2))/(LN(2)/2)*V192*Y192*VLOOKUP('Données projet'!$B$9,Paramètres!$A$1:$I$89,3,0)*0.475*44/12</f>
        <v>2.0770319159409738E-19</v>
      </c>
      <c r="AC192" s="24">
        <f t="shared" si="163"/>
        <v>58.8477176141988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768.99999999999966</v>
      </c>
      <c r="AJ192" s="14">
        <f>AI192*VLOOKUP('Données projet'!$B$10,Paramètres!$A$1:$I$89,3,0)*VLOOKUP('Données projet'!$B$10,Paramètres!$A$1:$I$89,5,0)</f>
        <v>429.87099999999981</v>
      </c>
      <c r="AK192" s="14">
        <f t="shared" si="164"/>
        <v>97.806935594587088</v>
      </c>
      <c r="AL192" s="22">
        <f t="shared" si="165"/>
        <v>919.03907116057201</v>
      </c>
      <c r="AM192" s="62">
        <f t="shared" si="113"/>
        <v>1212.3724044939054</v>
      </c>
      <c r="AN192" s="62">
        <f ca="1">AVERAGE(OFFSET($AM$3,0,0,'Données projet'!$E$10+1,1))-AVERAGE(OFFSET($H$3,0,0,'Données projet'!$E$10+1,1))</f>
        <v>490.96084572840579</v>
      </c>
      <c r="AO192" s="62">
        <f t="shared" si="144"/>
        <v>597.91658789908263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7.4753611140087761</v>
      </c>
      <c r="AV192" s="23">
        <f>EXP(-LN(2)/25)*AV191+(1-EXP(-LN(2)/25))/(LN(2)/25)*Calculateur!AQ192*Calculateur!AS192*VLOOKUP('Données projet'!$B$10,Paramètres!$A$1:$I$89,3,0)*0.475*44/12</f>
        <v>0.62881201611431847</v>
      </c>
      <c r="AW192" s="23">
        <f>EXP(-LN(2)/2)*AW191+(1-EXP(-LN(2)/2))/(LN(2)/2)*AQ192*AT192*VLOOKUP('Données projet'!$B$10,Paramètres!$A$1:$I$89,3,0)*0.475*44/12</f>
        <v>4.6236718691005379E-23</v>
      </c>
      <c r="AX192" s="23">
        <f t="shared" si="166"/>
        <v>8.1041731301230939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310.95287409903602</v>
      </c>
      <c r="T193" s="62">
        <f t="shared" si="142"/>
        <v>224.10083380795163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56.447075355279637</v>
      </c>
      <c r="AA193" s="23">
        <f>EXP(-LN(2)/25)*AA192+(1-EXP(-LN(2)/25))/(LN(2)/25)*Calculateur!V193*Calculateur!X193*VLOOKUP('Données projet'!$B$9,Paramètres!$A$1:$I$89,3,0)*0.475*44/12</f>
        <v>1.2368376649789499</v>
      </c>
      <c r="AB193" s="23">
        <f>EXP(-LN(2)/2)*AB192+(1-EXP(-LN(2)/2))/(LN(2)/2)*V193*Y193*VLOOKUP('Données projet'!$B$9,Paramètres!$A$1:$I$89,3,0)*0.475*44/12</f>
        <v>1.4686833525027497E-19</v>
      </c>
      <c r="AC193" s="24">
        <f t="shared" si="163"/>
        <v>57.683913020258586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768.99999999999966</v>
      </c>
      <c r="AJ193" s="14">
        <f>AI193*VLOOKUP('Données projet'!$B$10,Paramètres!$A$1:$I$89,3,0)*VLOOKUP('Données projet'!$B$10,Paramètres!$A$1:$I$89,5,0)</f>
        <v>429.87099999999981</v>
      </c>
      <c r="AK193" s="14">
        <f t="shared" si="164"/>
        <v>97.806935594587088</v>
      </c>
      <c r="AL193" s="22">
        <f t="shared" si="165"/>
        <v>919.03907116057201</v>
      </c>
      <c r="AM193" s="62">
        <f t="shared" si="113"/>
        <v>1212.3724044939054</v>
      </c>
      <c r="AN193" s="62">
        <f ca="1">AVERAGE(OFFSET($AM$3,0,0,'Données projet'!$E$10+1,1))-AVERAGE(OFFSET($H$3,0,0,'Données projet'!$E$10+1,1))</f>
        <v>490.96084572840579</v>
      </c>
      <c r="AO193" s="62">
        <f t="shared" si="144"/>
        <v>597.91658789908263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7.3287738420831285</v>
      </c>
      <c r="AV193" s="23">
        <f>EXP(-LN(2)/25)*AV192+(1-EXP(-LN(2)/25))/(LN(2)/25)*Calculateur!AQ193*Calculateur!AS193*VLOOKUP('Données projet'!$B$10,Paramètres!$A$1:$I$89,3,0)*0.475*44/12</f>
        <v>0.61161711846588562</v>
      </c>
      <c r="AW193" s="23">
        <f>EXP(-LN(2)/2)*AW192+(1-EXP(-LN(2)/2))/(LN(2)/2)*AQ193*AT193*VLOOKUP('Données projet'!$B$10,Paramètres!$A$1:$I$89,3,0)*0.475*44/12</f>
        <v>3.2694297326224692E-23</v>
      </c>
      <c r="AX193" s="23">
        <f t="shared" si="166"/>
        <v>7.9403909605490144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310.95287409903602</v>
      </c>
      <c r="T194" s="62">
        <f t="shared" si="142"/>
        <v>224.10083380795163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55.340182636878957</v>
      </c>
      <c r="AA194" s="23">
        <f>EXP(-LN(2)/25)*AA193+(1-EXP(-LN(2)/25))/(LN(2)/25)*Calculateur!V194*Calculateur!X194*VLOOKUP('Données projet'!$B$9,Paramètres!$A$1:$I$89,3,0)*0.475*44/12</f>
        <v>1.2030162739876344</v>
      </c>
      <c r="AB194" s="23">
        <f>EXP(-LN(2)/2)*AB193+(1-EXP(-LN(2)/2))/(LN(2)/2)*V194*Y194*VLOOKUP('Données projet'!$B$9,Paramètres!$A$1:$I$89,3,0)*0.475*44/12</f>
        <v>1.0385159579704869E-19</v>
      </c>
      <c r="AC194" s="24">
        <f t="shared" si="163"/>
        <v>56.543198910866593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768.99999999999966</v>
      </c>
      <c r="AJ194" s="14">
        <f>AI194*VLOOKUP('Données projet'!$B$10,Paramètres!$A$1:$I$89,3,0)*VLOOKUP('Données projet'!$B$10,Paramètres!$A$1:$I$89,5,0)</f>
        <v>429.87099999999981</v>
      </c>
      <c r="AK194" s="14">
        <f t="shared" si="164"/>
        <v>97.806935594587088</v>
      </c>
      <c r="AL194" s="22">
        <f t="shared" si="165"/>
        <v>919.03907116057201</v>
      </c>
      <c r="AM194" s="62">
        <f t="shared" si="113"/>
        <v>1212.3724044939054</v>
      </c>
      <c r="AN194" s="62">
        <f ca="1">AVERAGE(OFFSET($AM$3,0,0,'Données projet'!$E$10+1,1))-AVERAGE(OFFSET($H$3,0,0,'Données projet'!$E$10+1,1))</f>
        <v>490.96084572840579</v>
      </c>
      <c r="AO194" s="62">
        <f t="shared" si="144"/>
        <v>597.91658789908263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7.1850610571505351</v>
      </c>
      <c r="AV194" s="23">
        <f>EXP(-LN(2)/25)*AV193+(1-EXP(-LN(2)/25))/(LN(2)/25)*Calculateur!AQ194*Calculateur!AS194*VLOOKUP('Données projet'!$B$10,Paramètres!$A$1:$I$89,3,0)*0.475*44/12</f>
        <v>0.59489241619788957</v>
      </c>
      <c r="AW194" s="23">
        <f>EXP(-LN(2)/2)*AW193+(1-EXP(-LN(2)/2))/(LN(2)/2)*AQ194*AT194*VLOOKUP('Données projet'!$B$10,Paramètres!$A$1:$I$89,3,0)*0.475*44/12</f>
        <v>2.311835934550269E-23</v>
      </c>
      <c r="AX194" s="23">
        <f t="shared" si="166"/>
        <v>7.7799534733484244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310.95287409903602</v>
      </c>
      <c r="T195" s="62">
        <f t="shared" si="142"/>
        <v>224.10083380795163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54.254995409548222</v>
      </c>
      <c r="AA195" s="23">
        <f>EXP(-LN(2)/25)*AA194+(1-EXP(-LN(2)/25))/(LN(2)/25)*Calculateur!V195*Calculateur!X195*VLOOKUP('Données projet'!$B$9,Paramètres!$A$1:$I$89,3,0)*0.475*44/12</f>
        <v>1.1701197307115663</v>
      </c>
      <c r="AB195" s="23">
        <f>EXP(-LN(2)/2)*AB194+(1-EXP(-LN(2)/2))/(LN(2)/2)*V195*Y195*VLOOKUP('Données projet'!$B$9,Paramètres!$A$1:$I$89,3,0)*0.475*44/12</f>
        <v>7.3434167625137486E-20</v>
      </c>
      <c r="AC195" s="24">
        <f t="shared" si="163"/>
        <v>55.425115140259791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768.99999999999966</v>
      </c>
      <c r="AJ195" s="14">
        <f>AI195*VLOOKUP('Données projet'!$B$10,Paramètres!$A$1:$I$89,3,0)*VLOOKUP('Données projet'!$B$10,Paramètres!$A$1:$I$89,5,0)</f>
        <v>429.87099999999981</v>
      </c>
      <c r="AK195" s="14">
        <f t="shared" si="164"/>
        <v>97.806935594587088</v>
      </c>
      <c r="AL195" s="22">
        <f t="shared" si="165"/>
        <v>919.03907116057201</v>
      </c>
      <c r="AM195" s="62">
        <f t="shared" si="113"/>
        <v>1212.3724044939054</v>
      </c>
      <c r="AN195" s="62">
        <f ca="1">AVERAGE(OFFSET($AM$3,0,0,'Données projet'!$E$10+1,1))-AVERAGE(OFFSET($H$3,0,0,'Données projet'!$E$10+1,1))</f>
        <v>490.96084572840579</v>
      </c>
      <c r="AO195" s="62">
        <f t="shared" si="144"/>
        <v>597.91658789908263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7.0441663922743265</v>
      </c>
      <c r="AV195" s="23">
        <f>EXP(-LN(2)/25)*AV194+(1-EXP(-LN(2)/25))/(LN(2)/25)*Calculateur!AQ195*Calculateur!AS195*VLOOKUP('Données projet'!$B$10,Paramètres!$A$1:$I$89,3,0)*0.475*44/12</f>
        <v>0.57862505179292578</v>
      </c>
      <c r="AW195" s="23">
        <f>EXP(-LN(2)/2)*AW194+(1-EXP(-LN(2)/2))/(LN(2)/2)*AQ195*AT195*VLOOKUP('Données projet'!$B$10,Paramètres!$A$1:$I$89,3,0)*0.475*44/12</f>
        <v>1.6347148663112346E-23</v>
      </c>
      <c r="AX195" s="23">
        <f t="shared" si="166"/>
        <v>7.6227914440672526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310.95287409903602</v>
      </c>
      <c r="T196" s="62">
        <f t="shared" si="142"/>
        <v>224.10083380795163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53.191088041846591</v>
      </c>
      <c r="AA196" s="23">
        <f>EXP(-LN(2)/25)*AA195+(1-EXP(-LN(2)/25))/(LN(2)/25)*Calculateur!V196*Calculateur!X196*VLOOKUP('Données projet'!$B$9,Paramètres!$A$1:$I$89,3,0)*0.475*44/12</f>
        <v>1.1381227451413363</v>
      </c>
      <c r="AB196" s="23">
        <f>EXP(-LN(2)/2)*AB195+(1-EXP(-LN(2)/2))/(LN(2)/2)*V196*Y196*VLOOKUP('Données projet'!$B$9,Paramètres!$A$1:$I$89,3,0)*0.475*44/12</f>
        <v>5.1925797898524345E-20</v>
      </c>
      <c r="AC196" s="24">
        <f t="shared" si="163"/>
        <v>54.329210786987929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768.99999999999966</v>
      </c>
      <c r="AJ196" s="14">
        <f>AI196*VLOOKUP('Données projet'!$B$10,Paramètres!$A$1:$I$89,3,0)*VLOOKUP('Données projet'!$B$10,Paramètres!$A$1:$I$89,5,0)</f>
        <v>429.87099999999981</v>
      </c>
      <c r="AK196" s="14">
        <f t="shared" si="164"/>
        <v>97.806935594587088</v>
      </c>
      <c r="AL196" s="22">
        <f t="shared" si="165"/>
        <v>919.03907116057201</v>
      </c>
      <c r="AM196" s="62">
        <f t="shared" ref="AM196:AM203" si="193">AL196+(AD196+AE196)*44/12</f>
        <v>1212.3724044939054</v>
      </c>
      <c r="AN196" s="62">
        <f ca="1">AVERAGE(OFFSET($AM$3,0,0,'Données projet'!$E$10+1,1))-AVERAGE(OFFSET($H$3,0,0,'Données projet'!$E$10+1,1))</f>
        <v>490.96084572840579</v>
      </c>
      <c r="AO196" s="62">
        <f t="shared" si="144"/>
        <v>597.91658789908263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6.9060345858390804</v>
      </c>
      <c r="AV196" s="23">
        <f>EXP(-LN(2)/25)*AV195+(1-EXP(-LN(2)/25))/(LN(2)/25)*Calculateur!AQ196*Calculateur!AS196*VLOOKUP('Données projet'!$B$10,Paramètres!$A$1:$I$89,3,0)*0.475*44/12</f>
        <v>0.56280251932307923</v>
      </c>
      <c r="AW196" s="23">
        <f>EXP(-LN(2)/2)*AW195+(1-EXP(-LN(2)/2))/(LN(2)/2)*AQ196*AT196*VLOOKUP('Données projet'!$B$10,Paramètres!$A$1:$I$89,3,0)*0.475*44/12</f>
        <v>1.1559179672751345E-23</v>
      </c>
      <c r="AX196" s="23">
        <f t="shared" si="166"/>
        <v>7.4688371051621596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310.95287409903602</v>
      </c>
      <c r="T197" s="62">
        <f t="shared" ref="T197:T203" si="204">$T$3</f>
        <v>224.10083380795163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52.148043248706166</v>
      </c>
      <c r="AA197" s="23">
        <f>EXP(-LN(2)/25)*AA196+(1-EXP(-LN(2)/25))/(LN(2)/25)*Calculateur!V197*Calculateur!X197*VLOOKUP('Données projet'!$B$9,Paramètres!$A$1:$I$89,3,0)*0.475*44/12</f>
        <v>1.1070007188241724</v>
      </c>
      <c r="AB197" s="23">
        <f>EXP(-LN(2)/2)*AB196+(1-EXP(-LN(2)/2))/(LN(2)/2)*V197*Y197*VLOOKUP('Données projet'!$B$9,Paramètres!$A$1:$I$89,3,0)*0.475*44/12</f>
        <v>3.6717083812568743E-20</v>
      </c>
      <c r="AC197" s="24">
        <f t="shared" si="163"/>
        <v>53.255043967530341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768.99999999999966</v>
      </c>
      <c r="AJ197" s="14">
        <f>AI197*VLOOKUP('Données projet'!$B$10,Paramètres!$A$1:$I$89,3,0)*VLOOKUP('Données projet'!$B$10,Paramètres!$A$1:$I$89,5,0)</f>
        <v>429.87099999999981</v>
      </c>
      <c r="AK197" s="14">
        <f t="shared" si="164"/>
        <v>97.806935594587088</v>
      </c>
      <c r="AL197" s="22">
        <f t="shared" si="165"/>
        <v>919.03907116057201</v>
      </c>
      <c r="AM197" s="62">
        <f t="shared" si="193"/>
        <v>1212.3724044939054</v>
      </c>
      <c r="AN197" s="62">
        <f ca="1">AVERAGE(OFFSET($AM$3,0,0,'Données projet'!$E$10+1,1))-AVERAGE(OFFSET($H$3,0,0,'Données projet'!$E$10+1,1))</f>
        <v>490.96084572840579</v>
      </c>
      <c r="AO197" s="62">
        <f t="shared" ref="AO197:AO203" si="205">$AO$3</f>
        <v>597.91658789908263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6.7706114598759468</v>
      </c>
      <c r="AV197" s="23">
        <f>EXP(-LN(2)/25)*AV196+(1-EXP(-LN(2)/25))/(LN(2)/25)*Calculateur!AQ197*Calculateur!AS197*VLOOKUP('Données projet'!$B$10,Paramètres!$A$1:$I$89,3,0)*0.475*44/12</f>
        <v>0.54741265483569146</v>
      </c>
      <c r="AW197" s="23">
        <f>EXP(-LN(2)/2)*AW196+(1-EXP(-LN(2)/2))/(LN(2)/2)*AQ197*AT197*VLOOKUP('Données projet'!$B$10,Paramètres!$A$1:$I$89,3,0)*0.475*44/12</f>
        <v>8.173574331556173E-24</v>
      </c>
      <c r="AX197" s="23">
        <f t="shared" si="166"/>
        <v>7.3180241147116387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310.95287409903602</v>
      </c>
      <c r="T198" s="62">
        <f t="shared" si="204"/>
        <v>224.10083380795163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51.125451927764722</v>
      </c>
      <c r="AA198" s="23">
        <f>EXP(-LN(2)/25)*AA197+(1-EXP(-LN(2)/25))/(LN(2)/25)*Calculateur!V198*Calculateur!X198*VLOOKUP('Données projet'!$B$9,Paramètres!$A$1:$I$89,3,0)*0.475*44/12</f>
        <v>1.0767297259532878</v>
      </c>
      <c r="AB198" s="23">
        <f>EXP(-LN(2)/2)*AB197+(1-EXP(-LN(2)/2))/(LN(2)/2)*V198*Y198*VLOOKUP('Données projet'!$B$9,Paramètres!$A$1:$I$89,3,0)*0.475*44/12</f>
        <v>2.5962898949262173E-20</v>
      </c>
      <c r="AC198" s="24">
        <f t="shared" si="163"/>
        <v>52.202181653718007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768.99999999999966</v>
      </c>
      <c r="AJ198" s="14">
        <f>AI198*VLOOKUP('Données projet'!$B$10,Paramètres!$A$1:$I$89,3,0)*VLOOKUP('Données projet'!$B$10,Paramètres!$A$1:$I$89,5,0)</f>
        <v>429.87099999999981</v>
      </c>
      <c r="AK198" s="14">
        <f t="shared" si="164"/>
        <v>97.806935594587088</v>
      </c>
      <c r="AL198" s="22">
        <f t="shared" si="165"/>
        <v>919.03907116057201</v>
      </c>
      <c r="AM198" s="62">
        <f t="shared" si="193"/>
        <v>1212.3724044939054</v>
      </c>
      <c r="AN198" s="62">
        <f ca="1">AVERAGE(OFFSET($AM$3,0,0,'Données projet'!$E$10+1,1))-AVERAGE(OFFSET($H$3,0,0,'Données projet'!$E$10+1,1))</f>
        <v>490.96084572840579</v>
      </c>
      <c r="AO198" s="62">
        <f t="shared" si="205"/>
        <v>597.91658789908263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6.6378438988129993</v>
      </c>
      <c r="AV198" s="23">
        <f>EXP(-LN(2)/25)*AV197+(1-EXP(-LN(2)/25))/(LN(2)/25)*Calculateur!AQ198*Calculateur!AS198*VLOOKUP('Données projet'!$B$10,Paramètres!$A$1:$I$89,3,0)*0.475*44/12</f>
        <v>0.53244362700202907</v>
      </c>
      <c r="AW198" s="23">
        <f>EXP(-LN(2)/2)*AW197+(1-EXP(-LN(2)/2))/(LN(2)/2)*AQ198*AT198*VLOOKUP('Données projet'!$B$10,Paramètres!$A$1:$I$89,3,0)*0.475*44/12</f>
        <v>5.7795898363756724E-24</v>
      </c>
      <c r="AX198" s="23">
        <f t="shared" si="166"/>
        <v>7.170287525815028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310.95287409903602</v>
      </c>
      <c r="T199" s="62">
        <f t="shared" si="204"/>
        <v>224.10083380795163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50.122912998907822</v>
      </c>
      <c r="AA199" s="23">
        <f>EXP(-LN(2)/25)*AA198+(1-EXP(-LN(2)/25))/(LN(2)/25)*Calculateur!V199*Calculateur!X199*VLOOKUP('Données projet'!$B$9,Paramètres!$A$1:$I$89,3,0)*0.475*44/12</f>
        <v>1.0472864949743397</v>
      </c>
      <c r="AB199" s="23">
        <f>EXP(-LN(2)/2)*AB198+(1-EXP(-LN(2)/2))/(LN(2)/2)*V199*Y199*VLOOKUP('Données projet'!$B$9,Paramètres!$A$1:$I$89,3,0)*0.475*44/12</f>
        <v>1.8358541906284372E-20</v>
      </c>
      <c r="AC199" s="24">
        <f t="shared" si="163"/>
        <v>51.170199493882158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768.99999999999966</v>
      </c>
      <c r="AJ199" s="14">
        <f>AI199*VLOOKUP('Données projet'!$B$10,Paramètres!$A$1:$I$89,3,0)*VLOOKUP('Données projet'!$B$10,Paramètres!$A$1:$I$89,5,0)</f>
        <v>429.87099999999981</v>
      </c>
      <c r="AK199" s="14">
        <f t="shared" si="164"/>
        <v>97.806935594587088</v>
      </c>
      <c r="AL199" s="22">
        <f t="shared" si="165"/>
        <v>919.03907116057201</v>
      </c>
      <c r="AM199" s="62">
        <f t="shared" si="193"/>
        <v>1212.3724044939054</v>
      </c>
      <c r="AN199" s="62">
        <f ca="1">AVERAGE(OFFSET($AM$3,0,0,'Données projet'!$E$10+1,1))-AVERAGE(OFFSET($H$3,0,0,'Données projet'!$E$10+1,1))</f>
        <v>490.96084572840579</v>
      </c>
      <c r="AO199" s="62">
        <f t="shared" si="205"/>
        <v>597.91658789908263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6.5076798286422806</v>
      </c>
      <c r="AV199" s="23">
        <f>EXP(-LN(2)/25)*AV198+(1-EXP(-LN(2)/25))/(LN(2)/25)*Calculateur!AQ199*Calculateur!AS199*VLOOKUP('Données projet'!$B$10,Paramètres!$A$1:$I$89,3,0)*0.475*44/12</f>
        <v>0.51788392802166516</v>
      </c>
      <c r="AW199" s="23">
        <f>EXP(-LN(2)/2)*AW198+(1-EXP(-LN(2)/2))/(LN(2)/2)*AQ199*AT199*VLOOKUP('Données projet'!$B$10,Paramètres!$A$1:$I$89,3,0)*0.475*44/12</f>
        <v>4.0867871657780865E-24</v>
      </c>
      <c r="AX199" s="23">
        <f t="shared" si="166"/>
        <v>7.0255637566639457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310.95287409903602</v>
      </c>
      <c r="T200" s="62">
        <f t="shared" si="204"/>
        <v>224.10083380795163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49.140033246957437</v>
      </c>
      <c r="AA200" s="23">
        <f>EXP(-LN(2)/25)*AA199+(1-EXP(-LN(2)/25))/(LN(2)/25)*Calculateur!V200*Calculateur!X200*VLOOKUP('Données projet'!$B$9,Paramètres!$A$1:$I$89,3,0)*0.475*44/12</f>
        <v>1.0186483906948631</v>
      </c>
      <c r="AB200" s="23">
        <f>EXP(-LN(2)/2)*AB199+(1-EXP(-LN(2)/2))/(LN(2)/2)*V200*Y200*VLOOKUP('Données projet'!$B$9,Paramètres!$A$1:$I$89,3,0)*0.475*44/12</f>
        <v>1.2981449474631086E-20</v>
      </c>
      <c r="AC200" s="24">
        <f t="shared" si="163"/>
        <v>50.1586816376523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768.99999999999966</v>
      </c>
      <c r="AJ200" s="14">
        <f>AI200*VLOOKUP('Données projet'!$B$10,Paramètres!$A$1:$I$89,3,0)*VLOOKUP('Données projet'!$B$10,Paramètres!$A$1:$I$89,5,0)</f>
        <v>429.87099999999981</v>
      </c>
      <c r="AK200" s="14">
        <f t="shared" si="164"/>
        <v>97.806935594587088</v>
      </c>
      <c r="AL200" s="22">
        <f t="shared" si="165"/>
        <v>919.03907116057201</v>
      </c>
      <c r="AM200" s="62">
        <f t="shared" si="193"/>
        <v>1212.3724044939054</v>
      </c>
      <c r="AN200" s="62">
        <f ca="1">AVERAGE(OFFSET($AM$3,0,0,'Données projet'!$E$10+1,1))-AVERAGE(OFFSET($H$3,0,0,'Données projet'!$E$10+1,1))</f>
        <v>490.96084572840579</v>
      </c>
      <c r="AO200" s="62">
        <f t="shared" si="205"/>
        <v>597.91658789908263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6.3800681964953654</v>
      </c>
      <c r="AV200" s="23">
        <f>EXP(-LN(2)/25)*AV199+(1-EXP(-LN(2)/25))/(LN(2)/25)*Calculateur!AQ200*Calculateur!AS200*VLOOKUP('Données projet'!$B$10,Paramètres!$A$1:$I$89,3,0)*0.475*44/12</f>
        <v>0.50372236477558063</v>
      </c>
      <c r="AW200" s="23">
        <f>EXP(-LN(2)/2)*AW199+(1-EXP(-LN(2)/2))/(LN(2)/2)*AQ200*AT200*VLOOKUP('Données projet'!$B$10,Paramètres!$A$1:$I$89,3,0)*0.475*44/12</f>
        <v>2.8897949181878362E-24</v>
      </c>
      <c r="AX200" s="23">
        <f t="shared" si="166"/>
        <v>6.8837905612709456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310.95287409903602</v>
      </c>
      <c r="T201" s="62">
        <f t="shared" si="204"/>
        <v>224.10083380795163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48.176427167445347</v>
      </c>
      <c r="AA201" s="23">
        <f>EXP(-LN(2)/25)*AA200+(1-EXP(-LN(2)/25))/(LN(2)/25)*Calculateur!V201*Calculateur!X201*VLOOKUP('Données projet'!$B$9,Paramètres!$A$1:$I$89,3,0)*0.475*44/12</f>
        <v>0.99079339688292134</v>
      </c>
      <c r="AB201" s="23">
        <f>EXP(-LN(2)/2)*AB200+(1-EXP(-LN(2)/2))/(LN(2)/2)*V201*Y201*VLOOKUP('Données projet'!$B$9,Paramètres!$A$1:$I$89,3,0)*0.475*44/12</f>
        <v>9.1792709531421858E-21</v>
      </c>
      <c r="AC201" s="24">
        <f t="shared" si="163"/>
        <v>49.167220564328268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768.99999999999966</v>
      </c>
      <c r="AJ201" s="14">
        <f>AI201*VLOOKUP('Données projet'!$B$10,Paramètres!$A$1:$I$89,3,0)*VLOOKUP('Données projet'!$B$10,Paramètres!$A$1:$I$89,5,0)</f>
        <v>429.87099999999981</v>
      </c>
      <c r="AK201" s="14">
        <f t="shared" si="164"/>
        <v>97.806935594587088</v>
      </c>
      <c r="AL201" s="22">
        <f t="shared" si="165"/>
        <v>919.03907116057201</v>
      </c>
      <c r="AM201" s="62">
        <f t="shared" si="193"/>
        <v>1212.3724044939054</v>
      </c>
      <c r="AN201" s="62">
        <f ca="1">AVERAGE(OFFSET($AM$3,0,0,'Données projet'!$E$10+1,1))-AVERAGE(OFFSET($H$3,0,0,'Données projet'!$E$10+1,1))</f>
        <v>490.96084572840579</v>
      </c>
      <c r="AO201" s="62">
        <f t="shared" si="205"/>
        <v>597.91658789908263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6.2549589506194421</v>
      </c>
      <c r="AV201" s="23">
        <f>EXP(-LN(2)/25)*AV200+(1-EXP(-LN(2)/25))/(LN(2)/25)*Calculateur!AQ201*Calculateur!AS201*VLOOKUP('Données projet'!$B$10,Paramètres!$A$1:$I$89,3,0)*0.475*44/12</f>
        <v>0.48994805022118448</v>
      </c>
      <c r="AW201" s="23">
        <f>EXP(-LN(2)/2)*AW200+(1-EXP(-LN(2)/2))/(LN(2)/2)*AQ201*AT201*VLOOKUP('Données projet'!$B$10,Paramètres!$A$1:$I$89,3,0)*0.475*44/12</f>
        <v>2.0433935828890433E-24</v>
      </c>
      <c r="AX201" s="23">
        <f t="shared" si="166"/>
        <v>6.7449070008406267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310.95287409903602</v>
      </c>
      <c r="T202" s="62">
        <f t="shared" si="204"/>
        <v>224.10083380795163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47.231716815410813</v>
      </c>
      <c r="AA202" s="23">
        <f>EXP(-LN(2)/25)*AA201+(1-EXP(-LN(2)/25))/(LN(2)/25)*Calculateur!V202*Calculateur!X202*VLOOKUP('Données projet'!$B$9,Paramètres!$A$1:$I$89,3,0)*0.475*44/12</f>
        <v>0.96370009934159762</v>
      </c>
      <c r="AB202" s="23">
        <f>EXP(-LN(2)/2)*AB201+(1-EXP(-LN(2)/2))/(LN(2)/2)*V202*Y202*VLOOKUP('Données projet'!$B$9,Paramètres!$A$1:$I$89,3,0)*0.475*44/12</f>
        <v>6.4907247373155432E-21</v>
      </c>
      <c r="AC202" s="24">
        <f t="shared" si="163"/>
        <v>48.195416914752414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768.99999999999966</v>
      </c>
      <c r="AJ202" s="14">
        <f>AI202*VLOOKUP('Données projet'!$B$10,Paramètres!$A$1:$I$89,3,0)*VLOOKUP('Données projet'!$B$10,Paramètres!$A$1:$I$89,5,0)</f>
        <v>429.87099999999981</v>
      </c>
      <c r="AK202" s="14">
        <f t="shared" si="164"/>
        <v>97.806935594587088</v>
      </c>
      <c r="AL202" s="22">
        <f t="shared" si="165"/>
        <v>919.03907116057201</v>
      </c>
      <c r="AM202" s="62">
        <f t="shared" si="193"/>
        <v>1212.3724044939054</v>
      </c>
      <c r="AN202" s="62">
        <f ca="1">AVERAGE(OFFSET($AM$3,0,0,'Données projet'!$E$10+1,1))-AVERAGE(OFFSET($H$3,0,0,'Données projet'!$E$10+1,1))</f>
        <v>490.96084572840579</v>
      </c>
      <c r="AO202" s="62">
        <f t="shared" si="205"/>
        <v>597.91658789908263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6.1323030207460398</v>
      </c>
      <c r="AV202" s="23">
        <f>EXP(-LN(2)/25)*AV201+(1-EXP(-LN(2)/25))/(LN(2)/25)*Calculateur!AQ202*Calculateur!AS202*VLOOKUP('Données projet'!$B$10,Paramètres!$A$1:$I$89,3,0)*0.475*44/12</f>
        <v>0.47655039502263802</v>
      </c>
      <c r="AW202" s="23">
        <f>EXP(-LN(2)/2)*AW201+(1-EXP(-LN(2)/2))/(LN(2)/2)*AQ202*AT202*VLOOKUP('Données projet'!$B$10,Paramètres!$A$1:$I$89,3,0)*0.475*44/12</f>
        <v>1.4448974590939181E-24</v>
      </c>
      <c r="AX202" s="23">
        <f t="shared" si="166"/>
        <v>6.608853415768678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310.95287409903602</v>
      </c>
      <c r="T203" s="62">
        <f t="shared" si="204"/>
        <v>224.10083380795163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46.305531657163264</v>
      </c>
      <c r="AA203" s="23">
        <f>EXP(-LN(2)/25)*AA202+(1-EXP(-LN(2)/25))/(LN(2)/25)*Calculateur!V203*Calculateur!X203*VLOOKUP('Données projet'!$B$9,Paramètres!$A$1:$I$89,3,0)*0.475*44/12</f>
        <v>0.93734766944631598</v>
      </c>
      <c r="AB203" s="23">
        <f>EXP(-LN(2)/2)*AB202+(1-EXP(-LN(2)/2))/(LN(2)/2)*V203*Y203*VLOOKUP('Données projet'!$B$9,Paramètres!$A$1:$I$89,3,0)*0.475*44/12</f>
        <v>4.5896354765710929E-21</v>
      </c>
      <c r="AC203" s="24">
        <f t="shared" si="163"/>
        <v>47.242879326609582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768.99999999999966</v>
      </c>
      <c r="AJ203" s="14">
        <f>AI203*VLOOKUP('Données projet'!$B$10,Paramètres!$A$1:$I$89,3,0)*VLOOKUP('Données projet'!$B$10,Paramètres!$A$1:$I$89,5,0)</f>
        <v>429.87099999999981</v>
      </c>
      <c r="AK203" s="14">
        <f t="shared" si="164"/>
        <v>97.806935594587088</v>
      </c>
      <c r="AL203" s="22">
        <f t="shared" si="165"/>
        <v>919.03907116057201</v>
      </c>
      <c r="AM203" s="62">
        <f t="shared" si="193"/>
        <v>1212.3724044939054</v>
      </c>
      <c r="AN203" s="62">
        <f ca="1">AVERAGE(OFFSET($AM$3,0,0,'Données projet'!$E$10+1,1))-AVERAGE(OFFSET($H$3,0,0,'Données projet'!$E$10+1,1))</f>
        <v>490.96084572840579</v>
      </c>
      <c r="AO203" s="62">
        <f t="shared" si="205"/>
        <v>597.91658789908263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6.0120522988447256</v>
      </c>
      <c r="AV203" s="23">
        <f>EXP(-LN(2)/25)*AV202+(1-EXP(-LN(2)/25))/(LN(2)/25)*Calculateur!AQ203*Calculateur!AS203*VLOOKUP('Données projet'!$B$10,Paramètres!$A$1:$I$89,3,0)*0.475*44/12</f>
        <v>0.46351909941004787</v>
      </c>
      <c r="AW203" s="23">
        <f>EXP(-LN(2)/2)*AW202+(1-EXP(-LN(2)/2))/(LN(2)/2)*AQ203*AT203*VLOOKUP('Données projet'!$B$10,Paramètres!$A$1:$I$89,3,0)*0.475*44/12</f>
        <v>1.0216967914445216E-24</v>
      </c>
      <c r="AX203" s="23">
        <f t="shared" si="166"/>
        <v>6.4755713982547736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1.4037863041747067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N28" sqref="N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5.0549999999999997</v>
      </c>
      <c r="C6" s="156">
        <f ca="1">IF(OR('Données projet'!B9="",'Données projet'!C9="",'Données projet'!C9=0%),0,Calculateur!S3)</f>
        <v>310.95287409903602</v>
      </c>
      <c r="D6" s="156">
        <f>IF(OR('Données projet'!B9="",'Données projet'!C9="",'Données projet'!C9=0%),0,Calculateur!T3)</f>
        <v>224.10083380795163</v>
      </c>
      <c r="E6" s="156">
        <f ca="1">MIN(C6,D6)</f>
        <v>224.10083380795163</v>
      </c>
      <c r="F6" s="156">
        <f ca="1">E6*B6</f>
        <v>1132.8297148991953</v>
      </c>
      <c r="G6" s="156">
        <f ca="1">F6*(100%-'Données projet'!$C$24)*(100%-'Données projet'!$C$25)*(100%-'Données projet'!$C$26)*(100%-'Données projet'!$C$27)</f>
        <v>917.59206906834822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917.59206906834822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5.0549999999999997</v>
      </c>
      <c r="C7" s="156">
        <f ca="1">IF(OR('Données projet'!B10="",'Données projet'!C10="",'Données projet'!C10=0%),0,Calculateur!AN3)</f>
        <v>490.96084572840579</v>
      </c>
      <c r="D7" s="156">
        <f>IF(OR('Données projet'!B10="",'Données projet'!C10="",'Données projet'!C10=0%),0,Calculateur!AO3)</f>
        <v>597.91658789908263</v>
      </c>
      <c r="E7" s="156">
        <f t="shared" ref="E7:E15" ca="1" si="0">MIN(C7,D7)</f>
        <v>490.96084572840579</v>
      </c>
      <c r="F7" s="156">
        <f t="shared" ref="F7:F15" ca="1" si="1">E7*B7</f>
        <v>2481.8070751570913</v>
      </c>
      <c r="G7" s="156">
        <f ca="1">F7*(100%-'Données projet'!$C$24)*(100%-'Données projet'!$C$25)*(100%-'Données projet'!$C$26)*(100%-'Données projet'!$C$27)</f>
        <v>2010.2637308772441</v>
      </c>
      <c r="H7" s="164">
        <f>IF(OR('Données projet'!B10="",'Données projet'!C10="",'Données projet'!C10=0%),0,AVERAGE(Calculateur!$AX$3:$AX$33)*B7)</f>
        <v>50.69702054930729</v>
      </c>
      <c r="I7" s="158">
        <f>H7*(100%-'Données projet'!$C$24)*(100%-'Données projet'!$C$25)*(100%-'Données projet'!$C$26)*(100%-'Données projet'!$C$27)</f>
        <v>41.064586644938906</v>
      </c>
      <c r="J7" s="159">
        <f>IF(OR('Données projet'!B10="",'Données projet'!C10="",'Données projet'!C10=0%),0,SUM(Calculateur!$AQ$3:$AQ$33)*VLOOKUP('Données projet'!$B$10,Paramètres!$A$1:$I$89,9,0)*B7)</f>
        <v>419.51444999999995</v>
      </c>
      <c r="K7" s="160">
        <f>J7*(100%-'Données projet'!$C$24)*(100%-'Données projet'!$C$25)*(100%-'Données projet'!$C$26)*(100%-'Données projet'!$C$27)</f>
        <v>339.80670449999997</v>
      </c>
      <c r="L7" s="161">
        <f t="shared" ref="L7:L15" ca="1" si="2">G7+I7+K7</f>
        <v>2391.135022022183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3614.6367900562864</v>
      </c>
      <c r="G16" s="175">
        <f t="shared" ca="1" si="3"/>
        <v>2927.8557999455925</v>
      </c>
      <c r="H16" s="176">
        <f t="shared" si="3"/>
        <v>50.69702054930729</v>
      </c>
      <c r="I16" s="176">
        <f t="shared" si="3"/>
        <v>41.064586644938906</v>
      </c>
      <c r="J16" s="177">
        <f t="shared" si="3"/>
        <v>419.51444999999995</v>
      </c>
      <c r="K16" s="177">
        <f t="shared" si="3"/>
        <v>339.80670449999997</v>
      </c>
      <c r="L16" s="178">
        <f t="shared" ca="1" si="3"/>
        <v>3308.7270910905313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L16" zoomScale="90" zoomScaleNormal="90" workbookViewId="0">
      <selection activeCell="C32" sqref="C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2211.4392251977151</v>
      </c>
      <c r="U10" s="190">
        <f>'Données projet'!D9</f>
        <v>5.0549999999999997</v>
      </c>
      <c r="V10" s="189">
        <f>U10*T10</f>
        <v>11178.82528337445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4686.2573935526207</v>
      </c>
      <c r="U11" s="190">
        <f>'Données projet'!D10</f>
        <v>5.0549999999999997</v>
      </c>
      <c r="V11" s="189">
        <f t="shared" ref="V11" si="0">U11*T11</f>
        <v>23689.031124408495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70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4900.0000000000082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13212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817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550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10</v>
      </c>
      <c r="D23" s="194">
        <f>B23*C23</f>
        <v>0</v>
      </c>
      <c r="E23" s="206"/>
      <c r="F23" s="261"/>
      <c r="H23" s="203">
        <v>3</v>
      </c>
      <c r="I23" s="204">
        <v>650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-129073.5896224957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20</v>
      </c>
      <c r="D24" s="194">
        <f t="shared" ref="D24:D42" si="2">B24*C24</f>
        <v>0</v>
      </c>
      <c r="E24" s="206"/>
      <c r="F24" s="264"/>
      <c r="H24" s="203">
        <v>4</v>
      </c>
      <c r="I24" s="204">
        <v>700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2274.0861035620551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30</v>
      </c>
      <c r="D25" s="194">
        <f t="shared" si="2"/>
        <v>2640</v>
      </c>
      <c r="E25" s="206"/>
      <c r="F25" s="264"/>
      <c r="G25" s="1"/>
      <c r="H25" s="203">
        <v>5</v>
      </c>
      <c r="I25" s="204">
        <v>700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-131347.67572605776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40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50</v>
      </c>
      <c r="D27" s="194">
        <f t="shared" si="2"/>
        <v>5100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60</v>
      </c>
      <c r="D28" s="194">
        <f t="shared" si="2"/>
        <v>6780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65</v>
      </c>
      <c r="D29" s="194">
        <f t="shared" si="2"/>
        <v>8060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70</v>
      </c>
      <c r="D30" s="194">
        <f t="shared" si="2"/>
        <v>9450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75</v>
      </c>
      <c r="D31" s="194">
        <f t="shared" si="2"/>
        <v>54225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>
        <v>10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43</v>
      </c>
      <c r="C55" s="204">
        <v>20</v>
      </c>
      <c r="D55" s="191">
        <f t="shared" ref="D55:D73" si="4">B55*C55</f>
        <v>860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60</v>
      </c>
      <c r="C56" s="204">
        <v>30</v>
      </c>
      <c r="D56" s="191">
        <f t="shared" si="4"/>
        <v>1800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90</v>
      </c>
      <c r="C57" s="204">
        <v>40</v>
      </c>
      <c r="D57" s="191">
        <f t="shared" si="4"/>
        <v>3600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72</v>
      </c>
      <c r="C58" s="204">
        <v>50</v>
      </c>
      <c r="D58" s="191">
        <f t="shared" si="4"/>
        <v>3600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77</v>
      </c>
      <c r="C59" s="204">
        <v>60</v>
      </c>
      <c r="D59" s="191">
        <f t="shared" si="4"/>
        <v>4620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64</v>
      </c>
      <c r="C60" s="204">
        <v>65</v>
      </c>
      <c r="D60" s="191">
        <f t="shared" si="4"/>
        <v>4160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62</v>
      </c>
      <c r="C61" s="204">
        <v>70</v>
      </c>
      <c r="D61" s="191">
        <f t="shared" si="4"/>
        <v>4340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46</v>
      </c>
      <c r="C62" s="204">
        <v>75</v>
      </c>
      <c r="D62" s="191">
        <f t="shared" si="4"/>
        <v>3450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35</v>
      </c>
      <c r="C63" s="204">
        <v>80</v>
      </c>
      <c r="D63" s="191">
        <f t="shared" si="4"/>
        <v>2800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2023-06-12T09:23:26Z</dcterms:modified>
</cp:coreProperties>
</file>