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196-R-COSYLVA11-OCC(81)-PRINCE-Rollin-Cambounès&amp;LeBez/"/>
    </mc:Choice>
  </mc:AlternateContent>
  <xr:revisionPtr revIDLastSave="0" documentId="13_ncr:1_{2CD389C2-D508-2340-9957-89925A090179}" xr6:coauthVersionLast="47" xr6:coauthVersionMax="47" xr10:uidLastSave="{00000000-0000-0000-0000-000000000000}"/>
  <bookViews>
    <workbookView xWindow="0" yWindow="76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6" l="1"/>
  <c r="C56" i="6"/>
  <c r="C57" i="6"/>
  <c r="C58" i="6"/>
  <c r="C59" i="6"/>
  <c r="C60" i="6"/>
  <c r="C54" i="6"/>
  <c r="C24" i="6"/>
  <c r="C25" i="6"/>
  <c r="C26" i="6"/>
  <c r="C27" i="6"/>
  <c r="C28" i="6"/>
  <c r="C29" i="6"/>
  <c r="C30" i="6"/>
  <c r="C31" i="6"/>
  <c r="C32" i="6"/>
  <c r="C33" i="6"/>
  <c r="C34" i="6"/>
  <c r="C23" i="6"/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35" i="6"/>
  <c r="C36" i="6"/>
  <c r="C37" i="6"/>
  <c r="C38" i="6"/>
  <c r="C39" i="6"/>
  <c r="C40" i="6"/>
  <c r="C41" i="6"/>
  <c r="C42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<sst xmlns="http://schemas.openxmlformats.org/spreadsheetml/2006/main" count="1171" uniqueCount="324">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</sst>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2.0460469017056964</c:v>
                </c:pt>
                <c:pt idx="2">
                  <c:v>2.6995991230950414</c:v>
                </c:pt>
                <c:pt idx="3">
                  <c:v>3.562771444498678</c:v>
                </c:pt>
                <c:pt idx="4">
                  <c:v>4.7030577575577004</c:v>
                </c:pt>
                <c:pt idx="5">
                  <c:v>6.2097621939282925</c:v>
                </c:pt>
                <c:pt idx="6">
                  <c:v>8.2010704976533066</c:v>
                </c:pt>
                <c:pt idx="7">
                  <c:v>10.833421128289144</c:v>
                </c:pt>
                <c:pt idx="8">
                  <c:v>14.313926101367471</c:v>
                </c:pt>
                <c:pt idx="9">
                  <c:v>18.916836793120535</c:v>
                </c:pt>
                <c:pt idx="10">
                  <c:v>25.00537551768484</c:v>
                </c:pt>
                <c:pt idx="11">
                  <c:v>33.060686016670395</c:v>
                </c:pt>
                <c:pt idx="12">
                  <c:v>43.720230154476248</c:v>
                </c:pt>
                <c:pt idx="13">
                  <c:v>57.828720702515874</c:v>
                </c:pt>
                <c:pt idx="14">
                  <c:v>76.505693084340137</c:v>
                </c:pt>
                <c:pt idx="15">
                  <c:v>101.2351647140362</c:v>
                </c:pt>
                <c:pt idx="16">
                  <c:v>121.42282776908787</c:v>
                </c:pt>
                <c:pt idx="17">
                  <c:v>141.52862557478466</c:v>
                </c:pt>
                <c:pt idx="18">
                  <c:v>161.5658510210931</c:v>
                </c:pt>
                <c:pt idx="19">
                  <c:v>181.54421568397308</c:v>
                </c:pt>
                <c:pt idx="20">
                  <c:v>201.47111266072739</c:v>
                </c:pt>
                <c:pt idx="21">
                  <c:v>170.13474046014434</c:v>
                </c:pt>
                <c:pt idx="22">
                  <c:v>193.19565270231035</c:v>
                </c:pt>
                <c:pt idx="23">
                  <c:v>216.19250449808783</c:v>
                </c:pt>
                <c:pt idx="24">
                  <c:v>239.13306994162625</c:v>
                </c:pt>
                <c:pt idx="25">
                  <c:v>262.02350754857292</c:v>
                </c:pt>
                <c:pt idx="26">
                  <c:v>223.15764021827408</c:v>
                </c:pt>
                <c:pt idx="27">
                  <c:v>247.36882925179316</c:v>
                </c:pt>
                <c:pt idx="28">
                  <c:v>271.52622115220447</c:v>
                </c:pt>
                <c:pt idx="29">
                  <c:v>295.6352733311474</c:v>
                </c:pt>
                <c:pt idx="30">
                  <c:v>319.70048005131201</c:v>
                </c:pt>
                <c:pt idx="31">
                  <c:v>281.27798254904388</c:v>
                </c:pt>
                <c:pt idx="32">
                  <c:v>305.62486594574449</c:v>
                </c:pt>
                <c:pt idx="33">
                  <c:v>329.92863915898096</c:v>
                </c:pt>
                <c:pt idx="34">
                  <c:v>354.19292214702432</c:v>
                </c:pt>
                <c:pt idx="35">
                  <c:v>378.42079852394386</c:v>
                </c:pt>
                <c:pt idx="36">
                  <c:v>339.63890781505705</c:v>
                </c:pt>
                <c:pt idx="37">
                  <c:v>363.3781441249842</c:v>
                </c:pt>
                <c:pt idx="38">
                  <c:v>387.08350012671559</c:v>
                </c:pt>
                <c:pt idx="39">
                  <c:v>410.75734075793372</c:v>
                </c:pt>
                <c:pt idx="40">
                  <c:v>434.40173626523733</c:v>
                </c:pt>
                <c:pt idx="41">
                  <c:v>394.72356117692362</c:v>
                </c:pt>
                <c:pt idx="42">
                  <c:v>417.37048455983546</c:v>
                </c:pt>
                <c:pt idx="43">
                  <c:v>439.99093116362383</c:v>
                </c:pt>
                <c:pt idx="44">
                  <c:v>462.58645250591309</c:v>
                </c:pt>
                <c:pt idx="45">
                  <c:v>485.15843628013289</c:v>
                </c:pt>
                <c:pt idx="46">
                  <c:v>443.8008717585447</c:v>
                </c:pt>
                <c:pt idx="47">
                  <c:v>464.61633817298008</c:v>
                </c:pt>
                <c:pt idx="48">
                  <c:v>485.41192522927469</c:v>
                </c:pt>
                <c:pt idx="49">
                  <c:v>506.18860374788687</c:v>
                </c:pt>
                <c:pt idx="50">
                  <c:v>526.94725841435593</c:v>
                </c:pt>
                <c:pt idx="51">
                  <c:v>489.21392307779769</c:v>
                </c:pt>
                <c:pt idx="52">
                  <c:v>508.46785799243236</c:v>
                </c:pt>
                <c:pt idx="53">
                  <c:v>527.70639025693515</c:v>
                </c:pt>
                <c:pt idx="54">
                  <c:v>546.93016002956938</c:v>
                </c:pt>
                <c:pt idx="55">
                  <c:v>566.13975883115916</c:v>
                </c:pt>
                <c:pt idx="56">
                  <c:v>535.29645007879719</c:v>
                </c:pt>
                <c:pt idx="57">
                  <c:v>552.49226569260554</c:v>
                </c:pt>
                <c:pt idx="58">
                  <c:v>569.67686766286602</c:v>
                </c:pt>
                <c:pt idx="59">
                  <c:v>586.85064166689392</c:v>
                </c:pt>
                <c:pt idx="60">
                  <c:v>604.01394898353101</c:v>
                </c:pt>
                <c:pt idx="61">
                  <c:v>578.26508503610535</c:v>
                </c:pt>
                <c:pt idx="62">
                  <c:v>594.17154727265427</c:v>
                </c:pt>
                <c:pt idx="63">
                  <c:v>610.06915202133928</c:v>
                </c:pt>
                <c:pt idx="64">
                  <c:v>625.95816246292077</c:v>
                </c:pt>
                <c:pt idx="65">
                  <c:v>641.8388273366063</c:v>
                </c:pt>
                <c:pt idx="66">
                  <c:v>619.14962265257543</c:v>
                </c:pt>
                <c:pt idx="67">
                  <c:v>633.01725176689297</c:v>
                </c:pt>
                <c:pt idx="68">
                  <c:v>646.87860139839086</c:v>
                </c:pt>
                <c:pt idx="69">
                  <c:v>660.73382499079889</c:v>
                </c:pt>
                <c:pt idx="70">
                  <c:v>674.58306903151447</c:v>
                </c:pt>
                <c:pt idx="71">
                  <c:v>5.2667878847729083E-12</c:v>
                </c:pt>
                <c:pt idx="72">
                  <c:v>5.2667878847729083E-12</c:v>
                </c:pt>
                <c:pt idx="73">
                  <c:v>5.2667878847729083E-12</c:v>
                </c:pt>
                <c:pt idx="74">
                  <c:v>5.2667878847729083E-12</c:v>
                </c:pt>
                <c:pt idx="75">
                  <c:v>5.2667878847729083E-12</c:v>
                </c:pt>
                <c:pt idx="76">
                  <c:v>5.2667878847729083E-12</c:v>
                </c:pt>
                <c:pt idx="77">
                  <c:v>5.2667878847729083E-12</c:v>
                </c:pt>
                <c:pt idx="78">
                  <c:v>5.2667878847729083E-12</c:v>
                </c:pt>
                <c:pt idx="79">
                  <c:v>5.2667878847729083E-12</c:v>
                </c:pt>
                <c:pt idx="80">
                  <c:v>5.2667878847729083E-12</c:v>
                </c:pt>
                <c:pt idx="81">
                  <c:v>5.2667878847729083E-12</c:v>
                </c:pt>
                <c:pt idx="82">
                  <c:v>5.2667878847729083E-12</c:v>
                </c:pt>
                <c:pt idx="83">
                  <c:v>5.2667878847729083E-12</c:v>
                </c:pt>
                <c:pt idx="84">
                  <c:v>5.2667878847729083E-12</c:v>
                </c:pt>
                <c:pt idx="85">
                  <c:v>5.2667878847729083E-12</c:v>
                </c:pt>
                <c:pt idx="86">
                  <c:v>5.2667878847729083E-12</c:v>
                </c:pt>
                <c:pt idx="87">
                  <c:v>5.2667878847729083E-12</c:v>
                </c:pt>
                <c:pt idx="88">
                  <c:v>5.2667878847729083E-12</c:v>
                </c:pt>
                <c:pt idx="89">
                  <c:v>5.2667878847729083E-12</c:v>
                </c:pt>
                <c:pt idx="90">
                  <c:v>5.2667878847729083E-12</c:v>
                </c:pt>
                <c:pt idx="91">
                  <c:v>5.2667878847729083E-12</c:v>
                </c:pt>
                <c:pt idx="92">
                  <c:v>5.2667878847729083E-12</c:v>
                </c:pt>
                <c:pt idx="93">
                  <c:v>5.2667878847729083E-12</c:v>
                </c:pt>
                <c:pt idx="94">
                  <c:v>5.2667878847729083E-12</c:v>
                </c:pt>
                <c:pt idx="95">
                  <c:v>5.2667878847729083E-12</c:v>
                </c:pt>
                <c:pt idx="96">
                  <c:v>5.2667878847729083E-12</c:v>
                </c:pt>
                <c:pt idx="97">
                  <c:v>5.2667878847729083E-12</c:v>
                </c:pt>
                <c:pt idx="98">
                  <c:v>5.2667878847729083E-12</c:v>
                </c:pt>
                <c:pt idx="99">
                  <c:v>5.2667878847729083E-12</c:v>
                </c:pt>
                <c:pt idx="100">
                  <c:v>5.2667878847729083E-12</c:v>
                </c:pt>
                <c:pt idx="101">
                  <c:v>5.2667878847729083E-12</c:v>
                </c:pt>
                <c:pt idx="102">
                  <c:v>5.2667878847729083E-12</c:v>
                </c:pt>
                <c:pt idx="103">
                  <c:v>5.2667878847729083E-12</c:v>
                </c:pt>
                <c:pt idx="104">
                  <c:v>5.2667878847729083E-12</c:v>
                </c:pt>
                <c:pt idx="105">
                  <c:v>5.2667878847729083E-12</c:v>
                </c:pt>
                <c:pt idx="106">
                  <c:v>5.2667878847729083E-12</c:v>
                </c:pt>
                <c:pt idx="107">
                  <c:v>5.2667878847729083E-12</c:v>
                </c:pt>
                <c:pt idx="108">
                  <c:v>5.2667878847729083E-12</c:v>
                </c:pt>
                <c:pt idx="109">
                  <c:v>5.2667878847729083E-12</c:v>
                </c:pt>
                <c:pt idx="110">
                  <c:v>5.2667878847729083E-12</c:v>
                </c:pt>
                <c:pt idx="111">
                  <c:v>5.2667878847729083E-12</c:v>
                </c:pt>
                <c:pt idx="112">
                  <c:v>5.2667878847729083E-12</c:v>
                </c:pt>
                <c:pt idx="113">
                  <c:v>5.2667878847729083E-12</c:v>
                </c:pt>
                <c:pt idx="114">
                  <c:v>5.2667878847729083E-12</c:v>
                </c:pt>
                <c:pt idx="115">
                  <c:v>5.2667878847729083E-12</c:v>
                </c:pt>
                <c:pt idx="116">
                  <c:v>5.2667878847729083E-12</c:v>
                </c:pt>
                <c:pt idx="117">
                  <c:v>5.2667878847729083E-12</c:v>
                </c:pt>
                <c:pt idx="118">
                  <c:v>5.2667878847729083E-12</c:v>
                </c:pt>
                <c:pt idx="119">
                  <c:v>5.2667878847729083E-12</c:v>
                </c:pt>
                <c:pt idx="120">
                  <c:v>5.2667878847729083E-12</c:v>
                </c:pt>
                <c:pt idx="121">
                  <c:v>5.2667878847729083E-12</c:v>
                </c:pt>
                <c:pt idx="122">
                  <c:v>5.2667878847729083E-12</c:v>
                </c:pt>
                <c:pt idx="123">
                  <c:v>5.2667878847729083E-12</c:v>
                </c:pt>
                <c:pt idx="124">
                  <c:v>5.2667878847729083E-12</c:v>
                </c:pt>
                <c:pt idx="125">
                  <c:v>5.2667878847729083E-12</c:v>
                </c:pt>
                <c:pt idx="126">
                  <c:v>5.2667878847729083E-12</c:v>
                </c:pt>
                <c:pt idx="127">
                  <c:v>5.2667878847729083E-12</c:v>
                </c:pt>
                <c:pt idx="128">
                  <c:v>5.2667878847729083E-12</c:v>
                </c:pt>
                <c:pt idx="129">
                  <c:v>5.2667878847729083E-12</c:v>
                </c:pt>
                <c:pt idx="130">
                  <c:v>5.2667878847729083E-12</c:v>
                </c:pt>
                <c:pt idx="131">
                  <c:v>5.2667878847729083E-12</c:v>
                </c:pt>
                <c:pt idx="132">
                  <c:v>5.2667878847729083E-12</c:v>
                </c:pt>
                <c:pt idx="133">
                  <c:v>5.2667878847729083E-12</c:v>
                </c:pt>
                <c:pt idx="134">
                  <c:v>5.2667878847729083E-12</c:v>
                </c:pt>
                <c:pt idx="135">
                  <c:v>5.2667878847729083E-12</c:v>
                </c:pt>
                <c:pt idx="136">
                  <c:v>5.2667878847729083E-12</c:v>
                </c:pt>
                <c:pt idx="137">
                  <c:v>5.2667878847729083E-12</c:v>
                </c:pt>
                <c:pt idx="138">
                  <c:v>5.2667878847729083E-12</c:v>
                </c:pt>
                <c:pt idx="139">
                  <c:v>5.2667878847729083E-12</c:v>
                </c:pt>
                <c:pt idx="140">
                  <c:v>5.2667878847729083E-12</c:v>
                </c:pt>
                <c:pt idx="141">
                  <c:v>5.2667878847729083E-12</c:v>
                </c:pt>
                <c:pt idx="142">
                  <c:v>5.2667878847729083E-12</c:v>
                </c:pt>
                <c:pt idx="143">
                  <c:v>5.2667878847729083E-12</c:v>
                </c:pt>
                <c:pt idx="144">
                  <c:v>5.2667878847729083E-12</c:v>
                </c:pt>
                <c:pt idx="145">
                  <c:v>5.2667878847729083E-12</c:v>
                </c:pt>
                <c:pt idx="146">
                  <c:v>5.2667878847729083E-12</c:v>
                </c:pt>
                <c:pt idx="147">
                  <c:v>5.2667878847729083E-12</c:v>
                </c:pt>
                <c:pt idx="148">
                  <c:v>5.2667878847729083E-12</c:v>
                </c:pt>
                <c:pt idx="149">
                  <c:v>5.2667878847729083E-12</c:v>
                </c:pt>
                <c:pt idx="150">
                  <c:v>5.2667878847729083E-12</c:v>
                </c:pt>
                <c:pt idx="151">
                  <c:v>5.2667878847729083E-12</c:v>
                </c:pt>
                <c:pt idx="152">
                  <c:v>5.2667878847729083E-12</c:v>
                </c:pt>
                <c:pt idx="153">
                  <c:v>5.2667878847729083E-12</c:v>
                </c:pt>
                <c:pt idx="154">
                  <c:v>5.2667878847729083E-12</c:v>
                </c:pt>
                <c:pt idx="155">
                  <c:v>5.2667878847729083E-12</c:v>
                </c:pt>
                <c:pt idx="156">
                  <c:v>5.2667878847729083E-12</c:v>
                </c:pt>
                <c:pt idx="157">
                  <c:v>5.2667878847729083E-12</c:v>
                </c:pt>
                <c:pt idx="158">
                  <c:v>5.2667878847729083E-12</c:v>
                </c:pt>
                <c:pt idx="159">
                  <c:v>5.2667878847729083E-12</c:v>
                </c:pt>
                <c:pt idx="160">
                  <c:v>5.2667878847729083E-12</c:v>
                </c:pt>
                <c:pt idx="161">
                  <c:v>5.2667878847729083E-12</c:v>
                </c:pt>
                <c:pt idx="162">
                  <c:v>5.2667878847729083E-12</c:v>
                </c:pt>
                <c:pt idx="163">
                  <c:v>5.2667878847729083E-12</c:v>
                </c:pt>
                <c:pt idx="164">
                  <c:v>5.2667878847729083E-12</c:v>
                </c:pt>
                <c:pt idx="165">
                  <c:v>5.2667878847729083E-12</c:v>
                </c:pt>
                <c:pt idx="166">
                  <c:v>5.2667878847729083E-12</c:v>
                </c:pt>
                <c:pt idx="167">
                  <c:v>5.2667878847729083E-12</c:v>
                </c:pt>
                <c:pt idx="168">
                  <c:v>5.2667878847729083E-12</c:v>
                </c:pt>
                <c:pt idx="169">
                  <c:v>5.2667878847729083E-12</c:v>
                </c:pt>
                <c:pt idx="170">
                  <c:v>5.2667878847729083E-12</c:v>
                </c:pt>
                <c:pt idx="171">
                  <c:v>5.2667878847729083E-12</c:v>
                </c:pt>
                <c:pt idx="172">
                  <c:v>5.2667878847729083E-12</c:v>
                </c:pt>
                <c:pt idx="173">
                  <c:v>5.2667878847729083E-12</c:v>
                </c:pt>
                <c:pt idx="174">
                  <c:v>5.2667878847729083E-12</c:v>
                </c:pt>
                <c:pt idx="175">
                  <c:v>5.2667878847729083E-12</c:v>
                </c:pt>
                <c:pt idx="176">
                  <c:v>5.2667878847729083E-12</c:v>
                </c:pt>
                <c:pt idx="177">
                  <c:v>5.2667878847729083E-12</c:v>
                </c:pt>
                <c:pt idx="178">
                  <c:v>5.2667878847729083E-12</c:v>
                </c:pt>
                <c:pt idx="179">
                  <c:v>5.2667878847729083E-12</c:v>
                </c:pt>
                <c:pt idx="180">
                  <c:v>5.2667878847729083E-12</c:v>
                </c:pt>
                <c:pt idx="181">
                  <c:v>5.2667878847729083E-12</c:v>
                </c:pt>
                <c:pt idx="182">
                  <c:v>5.2667878847729083E-12</c:v>
                </c:pt>
                <c:pt idx="183">
                  <c:v>5.2667878847729083E-12</c:v>
                </c:pt>
                <c:pt idx="184">
                  <c:v>5.2667878847729083E-12</c:v>
                </c:pt>
                <c:pt idx="185">
                  <c:v>5.2667878847729083E-12</c:v>
                </c:pt>
                <c:pt idx="186">
                  <c:v>5.2667878847729083E-12</c:v>
                </c:pt>
                <c:pt idx="187">
                  <c:v>5.2667878847729083E-12</c:v>
                </c:pt>
                <c:pt idx="188">
                  <c:v>5.2667878847729083E-12</c:v>
                </c:pt>
                <c:pt idx="189">
                  <c:v>5.2667878847729083E-12</c:v>
                </c:pt>
                <c:pt idx="190">
                  <c:v>5.2667878847729083E-12</c:v>
                </c:pt>
                <c:pt idx="191">
                  <c:v>5.2667878847729083E-12</c:v>
                </c:pt>
                <c:pt idx="192">
                  <c:v>5.2667878847729083E-12</c:v>
                </c:pt>
                <c:pt idx="193">
                  <c:v>5.2667878847729083E-12</c:v>
                </c:pt>
                <c:pt idx="194">
                  <c:v>5.2667878847729083E-12</c:v>
                </c:pt>
                <c:pt idx="195">
                  <c:v>5.2667878847729083E-12</c:v>
                </c:pt>
                <c:pt idx="196">
                  <c:v>5.2667878847729083E-12</c:v>
                </c:pt>
                <c:pt idx="197">
                  <c:v>5.2667878847729083E-12</c:v>
                </c:pt>
                <c:pt idx="198">
                  <c:v>5.2667878847729083E-12</c:v>
                </c:pt>
                <c:pt idx="199">
                  <c:v>5.2667878847729083E-12</c:v>
                </c:pt>
                <c:pt idx="200">
                  <c:v>5.2667878847729083E-12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1.5540203492146427</c:v>
                </c:pt>
                <c:pt idx="2">
                  <c:v>1.9710595943294553</c:v>
                </c:pt>
                <c:pt idx="3">
                  <c:v>2.5004677305616276</c:v>
                </c:pt>
                <c:pt idx="4">
                  <c:v>3.1726370094050123</c:v>
                </c:pt>
                <c:pt idx="5">
                  <c:v>4.0262090389534713</c:v>
                </c:pt>
                <c:pt idx="6">
                  <c:v>5.1103212885242639</c:v>
                </c:pt>
                <c:pt idx="7">
                  <c:v>6.4874672329145193</c:v>
                </c:pt>
                <c:pt idx="8">
                  <c:v>8.2371382210826081</c:v>
                </c:pt>
                <c:pt idx="9">
                  <c:v>10.460461311885025</c:v>
                </c:pt>
                <c:pt idx="10">
                  <c:v>13.286106181967314</c:v>
                </c:pt>
                <c:pt idx="11">
                  <c:v>16.877809282139697</c:v>
                </c:pt>
                <c:pt idx="12">
                  <c:v>21.443959171001595</c:v>
                </c:pt>
                <c:pt idx="13">
                  <c:v>27.249809096973291</c:v>
                </c:pt>
                <c:pt idx="14">
                  <c:v>34.633038719647061</c:v>
                </c:pt>
                <c:pt idx="15">
                  <c:v>44.023585661760478</c:v>
                </c:pt>
                <c:pt idx="16">
                  <c:v>55.968921241788202</c:v>
                </c:pt>
                <c:pt idx="17">
                  <c:v>71.166268419669663</c:v>
                </c:pt>
                <c:pt idx="18">
                  <c:v>90.503673059387893</c:v>
                </c:pt>
                <c:pt idx="19">
                  <c:v>115.11236680064013</c:v>
                </c:pt>
                <c:pt idx="20">
                  <c:v>146.43353271796309</c:v>
                </c:pt>
                <c:pt idx="21">
                  <c:v>116.8026363404107</c:v>
                </c:pt>
                <c:pt idx="22">
                  <c:v>128.06116259946739</c:v>
                </c:pt>
                <c:pt idx="23">
                  <c:v>139.29572121624975</c:v>
                </c:pt>
                <c:pt idx="24">
                  <c:v>150.5085198437738</c:v>
                </c:pt>
                <c:pt idx="25">
                  <c:v>161.70140970029556</c:v>
                </c:pt>
                <c:pt idx="26">
                  <c:v>172.87596436429328</c:v>
                </c:pt>
                <c:pt idx="27">
                  <c:v>184.03353707055848</c:v>
                </c:pt>
                <c:pt idx="28">
                  <c:v>195.17530334919044</c:v>
                </c:pt>
                <c:pt idx="29">
                  <c:v>206.30229339751153</c:v>
                </c:pt>
                <c:pt idx="30">
                  <c:v>217.41541708927389</c:v>
                </c:pt>
                <c:pt idx="31">
                  <c:v>180.99217685858619</c:v>
                </c:pt>
                <c:pt idx="32">
                  <c:v>195.17530334919044</c:v>
                </c:pt>
                <c:pt idx="33">
                  <c:v>209.33448475693987</c:v>
                </c:pt>
                <c:pt idx="34">
                  <c:v>223.47156942353161</c:v>
                </c:pt>
                <c:pt idx="35">
                  <c:v>237.58815254200749</c:v>
                </c:pt>
                <c:pt idx="36">
                  <c:v>251.68562413487288</c:v>
                </c:pt>
                <c:pt idx="37">
                  <c:v>265.76520570407024</c:v>
                </c:pt>
                <c:pt idx="38">
                  <c:v>279.82797869837384</c:v>
                </c:pt>
                <c:pt idx="39">
                  <c:v>293.8749069529452</c:v>
                </c:pt>
                <c:pt idx="40">
                  <c:v>307.90685461043864</c:v>
                </c:pt>
                <c:pt idx="41">
                  <c:v>271.79410793232609</c:v>
                </c:pt>
                <c:pt idx="42">
                  <c:v>285.8499784841336</c:v>
                </c:pt>
                <c:pt idx="43">
                  <c:v>299.89038593700792</c:v>
                </c:pt>
                <c:pt idx="44">
                  <c:v>313.91615631143901</c:v>
                </c:pt>
                <c:pt idx="45">
                  <c:v>327.92803577212442</c:v>
                </c:pt>
                <c:pt idx="46">
                  <c:v>341.92670150246295</c:v>
                </c:pt>
                <c:pt idx="47">
                  <c:v>355.91277070439509</c:v>
                </c:pt>
                <c:pt idx="48">
                  <c:v>369.88680810922136</c:v>
                </c:pt>
                <c:pt idx="49">
                  <c:v>383.84933229384137</c:v>
                </c:pt>
                <c:pt idx="50">
                  <c:v>397.80082102983079</c:v>
                </c:pt>
                <c:pt idx="51">
                  <c:v>360.90485169292782</c:v>
                </c:pt>
                <c:pt idx="52">
                  <c:v>373.87725393504803</c:v>
                </c:pt>
                <c:pt idx="53">
                  <c:v>386.83985045971798</c:v>
                </c:pt>
                <c:pt idx="54">
                  <c:v>399.79301616201769</c:v>
                </c:pt>
                <c:pt idx="55">
                  <c:v>412.73709966044299</c:v>
                </c:pt>
                <c:pt idx="56">
                  <c:v>425.67242592235567</c:v>
                </c:pt>
                <c:pt idx="57">
                  <c:v>438.59929855364618</c:v>
                </c:pt>
                <c:pt idx="58">
                  <c:v>451.51800180438869</c:v>
                </c:pt>
                <c:pt idx="59">
                  <c:v>464.4288023329982</c:v>
                </c:pt>
                <c:pt idx="60">
                  <c:v>477.33195076400972</c:v>
                </c:pt>
                <c:pt idx="61">
                  <c:v>449.53102985794368</c:v>
                </c:pt>
                <c:pt idx="62">
                  <c:v>461.45007488733671</c:v>
                </c:pt>
                <c:pt idx="63">
                  <c:v>473.36255181121783</c:v>
                </c:pt>
                <c:pt idx="64">
                  <c:v>485.26864921222455</c:v>
                </c:pt>
                <c:pt idx="65">
                  <c:v>497.16854566479356</c:v>
                </c:pt>
                <c:pt idx="66">
                  <c:v>509.06241049820727</c:v>
                </c:pt>
                <c:pt idx="67">
                  <c:v>520.9504044846235</c:v>
                </c:pt>
                <c:pt idx="68">
                  <c:v>532.83268046104365</c:v>
                </c:pt>
                <c:pt idx="69">
                  <c:v>544.7093838929228</c:v>
                </c:pt>
                <c:pt idx="70">
                  <c:v>556.58065338607753</c:v>
                </c:pt>
                <c:pt idx="71">
                  <c:v>526.89224796595806</c:v>
                </c:pt>
                <c:pt idx="72">
                  <c:v>536.792193795402</c:v>
                </c:pt>
                <c:pt idx="73">
                  <c:v>546.68830251799864</c:v>
                </c:pt>
                <c:pt idx="74">
                  <c:v>556.58065338607753</c:v>
                </c:pt>
                <c:pt idx="75">
                  <c:v>566.46932260506071</c:v>
                </c:pt>
                <c:pt idx="76">
                  <c:v>576.35438350288371</c:v>
                </c:pt>
                <c:pt idx="77">
                  <c:v>586.23590668718828</c:v>
                </c:pt>
                <c:pt idx="78">
                  <c:v>596.11396019137055</c:v>
                </c:pt>
                <c:pt idx="79">
                  <c:v>605.98860961044409</c:v>
                </c:pt>
                <c:pt idx="80">
                  <c:v>615.85991822759104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C6" sqref="C6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3.4058999999999999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35</v>
      </c>
      <c r="C9" s="32">
        <v>0.5</v>
      </c>
      <c r="D9" s="33">
        <f t="shared" ref="D9:D18" si="0">C9*$C$5</f>
        <v>1.70295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164</v>
      </c>
      <c r="C10" s="32">
        <v>0.5</v>
      </c>
      <c r="D10" s="33">
        <f t="shared" si="0"/>
        <v>1.70295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3.4058999999999999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laricio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15</v>
      </c>
      <c r="B36" s="60">
        <v>75</v>
      </c>
      <c r="C36" s="60">
        <v>1</v>
      </c>
      <c r="D36" s="60">
        <v>0</v>
      </c>
      <c r="E36" s="51">
        <v>0</v>
      </c>
      <c r="F36" s="51">
        <v>0.56000000000000005</v>
      </c>
      <c r="G36" s="51">
        <v>0.44</v>
      </c>
      <c r="H36" s="51"/>
      <c r="I36" s="49">
        <f>IFERROR(B36/A36,"")</f>
        <v>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20</v>
      </c>
      <c r="B37" s="60">
        <v>152</v>
      </c>
      <c r="C37" s="60">
        <v>2</v>
      </c>
      <c r="D37" s="60">
        <v>42</v>
      </c>
      <c r="E37" s="51">
        <v>0</v>
      </c>
      <c r="F37" s="51">
        <v>0.56000000000000005</v>
      </c>
      <c r="G37" s="51">
        <v>0.44</v>
      </c>
      <c r="H37" s="51"/>
      <c r="I37" s="53">
        <f t="shared" ref="I37:I55" si="1">IF(A37&lt;&gt;0,(B37-(B36-D36))/(A37-A36),"")</f>
        <v>15.4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25</v>
      </c>
      <c r="B38" s="60">
        <v>199</v>
      </c>
      <c r="C38" s="60">
        <v>3</v>
      </c>
      <c r="D38" s="60">
        <v>49</v>
      </c>
      <c r="E38" s="51">
        <v>0</v>
      </c>
      <c r="F38" s="51">
        <v>0.56000000000000005</v>
      </c>
      <c r="G38" s="51">
        <v>0.44</v>
      </c>
      <c r="H38" s="51"/>
      <c r="I38" s="53">
        <f t="shared" si="1"/>
        <v>17.8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30</v>
      </c>
      <c r="B39" s="60">
        <v>244</v>
      </c>
      <c r="C39" s="60">
        <v>4</v>
      </c>
      <c r="D39" s="60">
        <v>49</v>
      </c>
      <c r="E39" s="51">
        <v>0.3</v>
      </c>
      <c r="F39" s="51">
        <v>0.39</v>
      </c>
      <c r="G39" s="51">
        <v>0.31</v>
      </c>
      <c r="H39" s="51"/>
      <c r="I39" s="49">
        <f t="shared" si="1"/>
        <v>18.8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35</v>
      </c>
      <c r="B40" s="60">
        <v>290</v>
      </c>
      <c r="C40" s="60">
        <v>5</v>
      </c>
      <c r="D40" s="60">
        <v>49</v>
      </c>
      <c r="E40" s="51">
        <v>0.3</v>
      </c>
      <c r="F40" s="51">
        <v>0.39</v>
      </c>
      <c r="G40" s="51">
        <v>0.31</v>
      </c>
      <c r="H40" s="51"/>
      <c r="I40" s="49">
        <f t="shared" si="1"/>
        <v>19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40</v>
      </c>
      <c r="B41" s="60">
        <v>334</v>
      </c>
      <c r="C41" s="60">
        <v>6</v>
      </c>
      <c r="D41" s="60">
        <v>49</v>
      </c>
      <c r="E41" s="51">
        <v>0.4</v>
      </c>
      <c r="F41" s="51">
        <v>0.34</v>
      </c>
      <c r="G41" s="51">
        <v>0.26</v>
      </c>
      <c r="H41" s="51"/>
      <c r="I41" s="53">
        <f t="shared" si="1"/>
        <v>18.600000000000001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45</v>
      </c>
      <c r="B42" s="60">
        <v>374</v>
      </c>
      <c r="C42" s="60">
        <v>7</v>
      </c>
      <c r="D42" s="60">
        <v>49</v>
      </c>
      <c r="E42" s="51">
        <v>0.5</v>
      </c>
      <c r="F42" s="51">
        <v>0.28000000000000003</v>
      </c>
      <c r="G42" s="51">
        <v>0.22</v>
      </c>
      <c r="H42" s="51"/>
      <c r="I42" s="53">
        <f t="shared" si="1"/>
        <v>17.8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50</v>
      </c>
      <c r="B43" s="60">
        <v>407</v>
      </c>
      <c r="C43" s="60">
        <v>8</v>
      </c>
      <c r="D43" s="60">
        <v>45</v>
      </c>
      <c r="E43" s="51">
        <v>0.5</v>
      </c>
      <c r="F43" s="51">
        <v>0.28000000000000003</v>
      </c>
      <c r="G43" s="51">
        <v>0.22</v>
      </c>
      <c r="H43" s="51"/>
      <c r="I43" s="49">
        <f t="shared" si="1"/>
        <v>16.399999999999999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55</v>
      </c>
      <c r="B44" s="60">
        <v>438</v>
      </c>
      <c r="C44" s="60">
        <v>9</v>
      </c>
      <c r="D44" s="60">
        <v>38</v>
      </c>
      <c r="E44" s="51">
        <v>0.6</v>
      </c>
      <c r="F44" s="51">
        <v>0.22</v>
      </c>
      <c r="G44" s="51">
        <v>0.18</v>
      </c>
      <c r="H44" s="51"/>
      <c r="I44" s="49">
        <f t="shared" si="1"/>
        <v>15.2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60</v>
      </c>
      <c r="B45" s="60">
        <v>468</v>
      </c>
      <c r="C45" s="60">
        <v>10</v>
      </c>
      <c r="D45" s="60">
        <v>33</v>
      </c>
      <c r="E45" s="51">
        <v>0.6</v>
      </c>
      <c r="F45" s="51">
        <v>0.22</v>
      </c>
      <c r="G45" s="51">
        <v>0.18</v>
      </c>
      <c r="H45" s="51"/>
      <c r="I45" s="49">
        <f t="shared" si="1"/>
        <v>13.6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65</v>
      </c>
      <c r="B46" s="60">
        <v>498</v>
      </c>
      <c r="C46" s="60">
        <v>11</v>
      </c>
      <c r="D46" s="60">
        <v>29</v>
      </c>
      <c r="E46" s="51">
        <v>0.7</v>
      </c>
      <c r="F46" s="51">
        <v>0.17</v>
      </c>
      <c r="G46" s="51">
        <v>0.13</v>
      </c>
      <c r="H46" s="51"/>
      <c r="I46" s="49">
        <f t="shared" si="1"/>
        <v>12.6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70</v>
      </c>
      <c r="B47" s="60">
        <v>524</v>
      </c>
      <c r="C47" s="60">
        <v>12</v>
      </c>
      <c r="D47" s="60">
        <v>524</v>
      </c>
      <c r="E47" s="51">
        <v>0.7</v>
      </c>
      <c r="F47" s="51">
        <v>0.17</v>
      </c>
      <c r="G47" s="51">
        <v>0.13</v>
      </c>
      <c r="H47" s="51"/>
      <c r="I47" s="49">
        <f t="shared" si="1"/>
        <v>11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Cèdre de l'Atlas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20</v>
      </c>
      <c r="B62" s="60">
        <v>140</v>
      </c>
      <c r="C62" s="60">
        <v>1</v>
      </c>
      <c r="D62" s="60">
        <v>40</v>
      </c>
      <c r="E62" s="51">
        <v>0</v>
      </c>
      <c r="F62" s="51">
        <v>0.56000000000000005</v>
      </c>
      <c r="G62" s="51">
        <v>0.44</v>
      </c>
      <c r="H62" s="51"/>
      <c r="I62" s="53">
        <f>IFERROR(B62/A62,"")</f>
        <v>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30</v>
      </c>
      <c r="B63" s="60">
        <v>210</v>
      </c>
      <c r="C63" s="60">
        <v>2</v>
      </c>
      <c r="D63" s="60">
        <v>50</v>
      </c>
      <c r="E63" s="51">
        <v>0.2</v>
      </c>
      <c r="F63" s="51">
        <v>0.56000000000000005</v>
      </c>
      <c r="G63" s="51">
        <v>0.35</v>
      </c>
      <c r="H63" s="51"/>
      <c r="I63" s="49">
        <f>IF(A63&lt;&gt;0,(B63-(B62-D62))/(A63-A62),"")</f>
        <v>11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40</v>
      </c>
      <c r="B64" s="60">
        <v>300</v>
      </c>
      <c r="C64" s="60">
        <v>3</v>
      </c>
      <c r="D64" s="60">
        <v>50</v>
      </c>
      <c r="E64" s="51">
        <v>0.3</v>
      </c>
      <c r="F64" s="51">
        <v>0.39</v>
      </c>
      <c r="G64" s="51">
        <v>0.31</v>
      </c>
      <c r="H64" s="51"/>
      <c r="I64" s="49">
        <f>IF(A64&lt;&gt;0,(B64-(B63-D63))/(A64-A63),"")</f>
        <v>14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50</v>
      </c>
      <c r="B65" s="60">
        <v>390</v>
      </c>
      <c r="C65" s="60">
        <v>4</v>
      </c>
      <c r="D65" s="60">
        <v>50</v>
      </c>
      <c r="E65" s="51">
        <v>0.4</v>
      </c>
      <c r="F65" s="51">
        <v>0.34</v>
      </c>
      <c r="G65" s="51">
        <v>0.26</v>
      </c>
      <c r="H65" s="51"/>
      <c r="I65" s="49">
        <f>IF(A65&lt;&gt;0,(B65-(B64-D64))/(A65-A64),"")</f>
        <v>14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60</v>
      </c>
      <c r="B66" s="60">
        <v>470</v>
      </c>
      <c r="C66" s="60">
        <v>5</v>
      </c>
      <c r="D66" s="60">
        <v>40</v>
      </c>
      <c r="E66" s="51">
        <v>0.5</v>
      </c>
      <c r="F66" s="51">
        <v>0.28000000000000003</v>
      </c>
      <c r="G66" s="51">
        <v>0.22</v>
      </c>
      <c r="H66" s="51"/>
      <c r="I66" s="49">
        <f t="shared" ref="I66:I81" si="2">IF(A66&lt;&gt;0,(B66-(B65-D65))/(A66-A65),"")</f>
        <v>13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70</v>
      </c>
      <c r="B67" s="60">
        <v>550</v>
      </c>
      <c r="C67" s="60">
        <v>6</v>
      </c>
      <c r="D67" s="60">
        <v>40</v>
      </c>
      <c r="E67" s="51">
        <v>0.6</v>
      </c>
      <c r="F67" s="51">
        <v>0.22</v>
      </c>
      <c r="G67" s="51">
        <v>0.18</v>
      </c>
      <c r="H67" s="51"/>
      <c r="I67" s="49">
        <f t="shared" si="2"/>
        <v>12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80</v>
      </c>
      <c r="B68" s="60">
        <v>610</v>
      </c>
      <c r="C68" s="60">
        <v>7</v>
      </c>
      <c r="D68" s="60">
        <v>610</v>
      </c>
      <c r="E68" s="51">
        <v>0.7</v>
      </c>
      <c r="F68" s="51">
        <v>0.17</v>
      </c>
      <c r="G68" s="51">
        <v>0.13</v>
      </c>
      <c r="H68" s="51"/>
      <c r="I68" s="49">
        <f t="shared" si="2"/>
        <v>10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laricio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Cèdre de l'Atlas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288.98981546396209</v>
      </c>
      <c r="T3" s="59">
        <f>IF('Données projet'!E9&gt;30,$R$33-$H$33,LOOKUP('Données projet'!$E$9,$A$3:$A$203,R3:R203)-LOOKUP('Données projet'!$E$9,$A$3:$A$203,$H$3:$H$203))</f>
        <v>281.67720096117085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234.95901223517041</v>
      </c>
      <c r="AO3" s="59">
        <f>IF('Données projet'!E10&gt;30,$AM$33-$H$33,LOOKUP('Données projet'!$E$10,$A$3:$A$203,AM3:AM203)-LOOKUP('Données projet'!$E$10,$A$3:$A$203,$H$3:$H$203))</f>
        <v>179.39213799913273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</v>
      </c>
      <c r="N4" s="13">
        <f>IF('Données projet'!$A$36&gt;35,N3+M4-V3,IF(A4&lt;'Données projet'!$A$36,$K$205^A4,IF(A4='Données projet'!$A$36,'Données projet'!$B$36,N3+M4-V3)))</f>
        <v>1.3335339730287799</v>
      </c>
      <c r="O4" s="13">
        <f>N4*VLOOKUP('Données projet'!$B$9,Paramètres!$A$1:$I$89,3,0)*VLOOKUP('Données projet'!$B$9,Paramètres!$A$1:$I$89,5,0)</f>
        <v>0.79745331587121038</v>
      </c>
      <c r="P4" s="13">
        <f>EXP(-1.0587+0.8836*LN(O4)+0.284)</f>
        <v>0.37731045544306524</v>
      </c>
      <c r="Q4" s="20">
        <f t="shared" ref="Q4:Q34" si="2">(O4+P4)*0.475*44/12</f>
        <v>2.0460469017056964</v>
      </c>
      <c r="R4" s="59">
        <f t="shared" si="0"/>
        <v>295.37938023503904</v>
      </c>
      <c r="S4" s="59">
        <f ca="1">AVERAGE(OFFSET($R$3,0,0,'Données projet'!$E$9+1,1))-AVERAGE(OFFSET($H$3,0,0,'Données projet'!$E$9+1,1))</f>
        <v>288.98981546396209</v>
      </c>
      <c r="T4" s="59">
        <f>$T$3</f>
        <v>281.67720096117085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</v>
      </c>
      <c r="AI4" s="13">
        <f>IF('Données projet'!$A$62&gt;35,AI3+AH4-AQ3,IF(A4&lt;'Données projet'!$A$62,$AF$205^A4,IF(A4='Données projet'!$A$62,'Données projet'!$B$62,AI3+AH4-AQ3)))</f>
        <v>1.2802842468510145</v>
      </c>
      <c r="AJ4" s="13">
        <f>AI4*VLOOKUP('Données projet'!$B$10,Paramètres!$A$1:$I$89,3,0)*VLOOKUP('Données projet'!$B$10,Paramètres!$A$1:$I$89,5,0)</f>
        <v>0.59917302752627477</v>
      </c>
      <c r="AK4" s="13">
        <f>EXP(-1.0587+0.8836*LN(AJ4)+0.284)</f>
        <v>0.29308746006107994</v>
      </c>
      <c r="AL4" s="20">
        <f t="shared" ref="AL4:AL67" si="4">(AJ4+AK4)*0.475*44/12</f>
        <v>1.5540203492146427</v>
      </c>
      <c r="AM4" s="59">
        <f t="shared" ref="AM4:AM67" si="5">AL4+(AD4+AE4)*44/12</f>
        <v>294.88735368254794</v>
      </c>
      <c r="AN4" s="59">
        <f ca="1">AVERAGE(OFFSET($AM$3,0,0,'Données projet'!$E$10+1,1))-AVERAGE(OFFSET($H$3,0,0,'Données projet'!$E$10+1,1))</f>
        <v>234.95901223517041</v>
      </c>
      <c r="AO4" s="59">
        <f>$AO$3</f>
        <v>179.39213799913273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</v>
      </c>
      <c r="N5" s="13">
        <f>IF('Données projet'!$A$36&gt;35,N4+M5-V4,IF(A5&lt;'Données projet'!$A$36,$K$205^A5,IF(A5='Données projet'!$A$36,'Données projet'!$B$36,N4+M5-V4)))</f>
        <v>1.7783128572219224</v>
      </c>
      <c r="O5" s="13">
        <f>N5*VLOOKUP('Données projet'!$B$9,Paramètres!$A$1:$I$89,3,0)*VLOOKUP('Données projet'!$B$9,Paramètres!$A$1:$I$89,5,0)</f>
        <v>1.0634310886187097</v>
      </c>
      <c r="P5" s="13">
        <f t="shared" ref="P5:P68" si="33">EXP(-1.0587+0.8836*LN(O5)+0.284)</f>
        <v>0.48657797727318047</v>
      </c>
      <c r="Q5" s="20">
        <f t="shared" si="2"/>
        <v>2.6995991230950414</v>
      </c>
      <c r="R5" s="59">
        <f t="shared" si="0"/>
        <v>296.03293245642834</v>
      </c>
      <c r="S5" s="59">
        <f ca="1">AVERAGE(OFFSET($R$3,0,0,'Données projet'!$E$9+1,1))-AVERAGE(OFFSET($H$3,0,0,'Données projet'!$E$9+1,1))</f>
        <v>288.98981546396209</v>
      </c>
      <c r="T5" s="59">
        <f t="shared" ref="T5:T68" si="34">$T$3</f>
        <v>281.67720096117085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</v>
      </c>
      <c r="AI5" s="13">
        <f>IF('Données projet'!$A$62&gt;35,AI4+AH5-AQ4,IF(A5&lt;'Données projet'!$A$62,$AF$205^A5,IF(A5='Données projet'!$A$62,'Données projet'!$B$62,AI4+AH5-AQ4)))</f>
        <v>1.6391277527348693</v>
      </c>
      <c r="AJ5" s="13">
        <f>AI5*VLOOKUP('Données projet'!$B$10,Paramètres!$A$1:$I$89,3,0)*VLOOKUP('Données projet'!$B$10,Paramètres!$A$1:$I$89,5,0)</f>
        <v>0.76711178827991888</v>
      </c>
      <c r="AK5" s="13">
        <f t="shared" ref="AK5:AK68" si="35">EXP(-1.0587+0.8836*LN(AJ5)+0.284)</f>
        <v>0.36459706970828532</v>
      </c>
      <c r="AL5" s="20">
        <f t="shared" si="4"/>
        <v>1.9710595943294553</v>
      </c>
      <c r="AM5" s="59">
        <f t="shared" si="5"/>
        <v>295.30439292766278</v>
      </c>
      <c r="AN5" s="59">
        <f ca="1">AVERAGE(OFFSET($AM$3,0,0,'Données projet'!$E$10+1,1))-AVERAGE(OFFSET($H$3,0,0,'Données projet'!$E$10+1,1))</f>
        <v>234.95901223517041</v>
      </c>
      <c r="AO5" s="59">
        <f t="shared" ref="AO5:AO68" si="36">$AO$3</f>
        <v>179.39213799913273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</v>
      </c>
      <c r="N6" s="13">
        <f>IF('Données projet'!$A$36&gt;35,N5+M6-V5,IF(A6&lt;'Données projet'!$A$36,$K$205^A6,IF(A6='Données projet'!$A$36,'Données projet'!$B$36,N5+M6-V5)))</f>
        <v>2.3714406097793117</v>
      </c>
      <c r="O6" s="13">
        <f>N6*VLOOKUP('Données projet'!$B$9,Paramètres!$A$1:$I$89,3,0)*VLOOKUP('Données projet'!$B$9,Paramètres!$A$1:$I$89,5,0)</f>
        <v>1.4181214846480283</v>
      </c>
      <c r="P6" s="13">
        <f t="shared" si="33"/>
        <v>0.62748891410719376</v>
      </c>
      <c r="Q6" s="20">
        <f t="shared" si="2"/>
        <v>3.562771444498678</v>
      </c>
      <c r="R6" s="59">
        <f t="shared" si="0"/>
        <v>296.89610477783197</v>
      </c>
      <c r="S6" s="59">
        <f ca="1">AVERAGE(OFFSET($R$3,0,0,'Données projet'!$E$9+1,1))-AVERAGE(OFFSET($H$3,0,0,'Données projet'!$E$9+1,1))</f>
        <v>288.98981546396209</v>
      </c>
      <c r="T6" s="59">
        <f t="shared" si="34"/>
        <v>281.67720096117085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</v>
      </c>
      <c r="AI6" s="13">
        <f>IF('Données projet'!$A$62&gt;35,AI5+AH6-AQ5,IF(A6&lt;'Données projet'!$A$62,$AF$205^A6,IF(A6='Données projet'!$A$62,'Données projet'!$B$62,AI5+AH6-AQ5)))</f>
        <v>2.098549440402758</v>
      </c>
      <c r="AJ6" s="13">
        <f>AI6*VLOOKUP('Données projet'!$B$10,Paramètres!$A$1:$I$89,3,0)*VLOOKUP('Données projet'!$B$10,Paramètres!$A$1:$I$89,5,0)</f>
        <v>0.98212113810849078</v>
      </c>
      <c r="AK6" s="13">
        <f t="shared" si="35"/>
        <v>0.453554113888616</v>
      </c>
      <c r="AL6" s="20">
        <f t="shared" si="4"/>
        <v>2.5004677305616276</v>
      </c>
      <c r="AM6" s="59">
        <f t="shared" si="5"/>
        <v>295.83380106389495</v>
      </c>
      <c r="AN6" s="59">
        <f ca="1">AVERAGE(OFFSET($AM$3,0,0,'Données projet'!$E$10+1,1))-AVERAGE(OFFSET($H$3,0,0,'Données projet'!$E$10+1,1))</f>
        <v>234.95901223517041</v>
      </c>
      <c r="AO6" s="59">
        <f t="shared" si="36"/>
        <v>179.39213799913273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</v>
      </c>
      <c r="N7" s="13">
        <f>IF('Données projet'!$A$36&gt;35,N6+M7-V6,IF(A7&lt;'Données projet'!$A$36,$K$205^A7,IF(A7='Données projet'!$A$36,'Données projet'!$B$36,N6+M7-V6)))</f>
        <v>3.1623966181607974</v>
      </c>
      <c r="O7" s="13">
        <f>N7*VLOOKUP('Données projet'!$B$9,Paramètres!$A$1:$I$89,3,0)*VLOOKUP('Données projet'!$B$9,Paramètres!$A$1:$I$89,5,0)</f>
        <v>1.8911131776601571</v>
      </c>
      <c r="P7" s="13">
        <f t="shared" si="33"/>
        <v>0.80920706591364211</v>
      </c>
      <c r="Q7" s="20">
        <f t="shared" si="2"/>
        <v>4.7030577575577004</v>
      </c>
      <c r="R7" s="59">
        <f t="shared" si="0"/>
        <v>298.03639109089102</v>
      </c>
      <c r="S7" s="59">
        <f ca="1">AVERAGE(OFFSET($R$3,0,0,'Données projet'!$E$9+1,1))-AVERAGE(OFFSET($H$3,0,0,'Données projet'!$E$9+1,1))</f>
        <v>288.98981546396209</v>
      </c>
      <c r="T7" s="59">
        <f t="shared" si="34"/>
        <v>281.67720096117085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</v>
      </c>
      <c r="AI7" s="13">
        <f>IF('Données projet'!$A$62&gt;35,AI6+AH7-AQ6,IF(A7&lt;'Données projet'!$A$62,$AF$205^A7,IF(A7='Données projet'!$A$62,'Données projet'!$B$62,AI6+AH7-AQ6)))</f>
        <v>2.6867397897856629</v>
      </c>
      <c r="AJ7" s="13">
        <f>AI7*VLOOKUP('Données projet'!$B$10,Paramètres!$A$1:$I$89,3,0)*VLOOKUP('Données projet'!$B$10,Paramètres!$A$1:$I$89,5,0)</f>
        <v>1.2573942216196903</v>
      </c>
      <c r="AK7" s="13">
        <f t="shared" si="35"/>
        <v>0.56421554454586698</v>
      </c>
      <c r="AL7" s="20">
        <f t="shared" si="4"/>
        <v>3.1726370094050123</v>
      </c>
      <c r="AM7" s="59">
        <f t="shared" si="5"/>
        <v>296.50597034273835</v>
      </c>
      <c r="AN7" s="59">
        <f ca="1">AVERAGE(OFFSET($AM$3,0,0,'Données projet'!$E$10+1,1))-AVERAGE(OFFSET($H$3,0,0,'Données projet'!$E$10+1,1))</f>
        <v>234.95901223517041</v>
      </c>
      <c r="AO7" s="59">
        <f t="shared" si="36"/>
        <v>179.39213799913273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</v>
      </c>
      <c r="N8" s="13">
        <f>IF('Données projet'!$A$36&gt;35,N7+M8-V7,IF(A8&lt;'Données projet'!$A$36,$K$205^A8,IF(A8='Données projet'!$A$36,'Données projet'!$B$36,N7+M8-V7)))</f>
        <v>4.2171633265087456</v>
      </c>
      <c r="O8" s="13">
        <f>N8*VLOOKUP('Données projet'!$B$9,Paramètres!$A$1:$I$89,3,0)*VLOOKUP('Données projet'!$B$9,Paramètres!$A$1:$I$89,5,0)</f>
        <v>2.5218636692522298</v>
      </c>
      <c r="P8" s="13">
        <f t="shared" si="33"/>
        <v>1.0435500306109049</v>
      </c>
      <c r="Q8" s="20">
        <f t="shared" si="2"/>
        <v>6.2097621939282925</v>
      </c>
      <c r="R8" s="59">
        <f t="shared" si="0"/>
        <v>299.54309552726158</v>
      </c>
      <c r="S8" s="59">
        <f ca="1">AVERAGE(OFFSET($R$3,0,0,'Données projet'!$E$9+1,1))-AVERAGE(OFFSET($H$3,0,0,'Données projet'!$E$9+1,1))</f>
        <v>288.98981546396209</v>
      </c>
      <c r="T8" s="59">
        <f t="shared" si="34"/>
        <v>281.67720096117085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</v>
      </c>
      <c r="AI8" s="13">
        <f>IF('Données projet'!$A$62&gt;35,AI7+AH8-AQ7,IF(A8&lt;'Données projet'!$A$62,$AF$205^A8,IF(A8='Données projet'!$A$62,'Données projet'!$B$62,AI7+AH8-AQ7)))</f>
        <v>3.4397906282503903</v>
      </c>
      <c r="AJ8" s="13">
        <f>AI8*VLOOKUP('Données projet'!$B$10,Paramètres!$A$1:$I$89,3,0)*VLOOKUP('Données projet'!$B$10,Paramètres!$A$1:$I$89,5,0)</f>
        <v>1.6098220140211825</v>
      </c>
      <c r="AK8" s="13">
        <f t="shared" si="35"/>
        <v>0.70187695571286812</v>
      </c>
      <c r="AL8" s="20">
        <f t="shared" si="4"/>
        <v>4.0262090389534713</v>
      </c>
      <c r="AM8" s="59">
        <f t="shared" si="5"/>
        <v>297.3595423722868</v>
      </c>
      <c r="AN8" s="59">
        <f ca="1">AVERAGE(OFFSET($AM$3,0,0,'Données projet'!$E$10+1,1))-AVERAGE(OFFSET($H$3,0,0,'Données projet'!$E$10+1,1))</f>
        <v>234.95901223517041</v>
      </c>
      <c r="AO8" s="59">
        <f t="shared" si="36"/>
        <v>179.39213799913273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</v>
      </c>
      <c r="N9" s="13">
        <f>IF('Données projet'!$A$36&gt;35,N8+M9-V8,IF(A9&lt;'Données projet'!$A$36,$K$205^A9,IF(A9='Données projet'!$A$36,'Données projet'!$B$36,N8+M9-V8)))</f>
        <v>5.6237305657104724</v>
      </c>
      <c r="O9" s="13">
        <f>N9*VLOOKUP('Données projet'!$B$9,Paramètres!$A$1:$I$89,3,0)*VLOOKUP('Données projet'!$B$9,Paramètres!$A$1:$I$89,5,0)</f>
        <v>3.3629908782948625</v>
      </c>
      <c r="P9" s="13">
        <f t="shared" si="33"/>
        <v>1.3457577327979455</v>
      </c>
      <c r="Q9" s="20">
        <f t="shared" si="2"/>
        <v>8.2010704976533066</v>
      </c>
      <c r="R9" s="59">
        <f t="shared" si="0"/>
        <v>301.53440383098661</v>
      </c>
      <c r="S9" s="59">
        <f ca="1">AVERAGE(OFFSET($R$3,0,0,'Données projet'!$E$9+1,1))-AVERAGE(OFFSET($H$3,0,0,'Données projet'!$E$9+1,1))</f>
        <v>288.98981546396209</v>
      </c>
      <c r="T9" s="59">
        <f t="shared" si="34"/>
        <v>281.67720096117085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</v>
      </c>
      <c r="AI9" s="13">
        <f>IF('Données projet'!$A$62&gt;35,AI8+AH9-AQ8,IF(A9&lt;'Données projet'!$A$62,$AF$205^A9,IF(A9='Données projet'!$A$62,'Données projet'!$B$62,AI8+AH9-AQ8)))</f>
        <v>4.4039097538147285</v>
      </c>
      <c r="AJ9" s="13">
        <f>AI9*VLOOKUP('Données projet'!$B$10,Paramètres!$A$1:$I$89,3,0)*VLOOKUP('Données projet'!$B$10,Paramètres!$A$1:$I$89,5,0)</f>
        <v>2.0610297647852929</v>
      </c>
      <c r="AK9" s="13">
        <f t="shared" si="35"/>
        <v>0.87312599896069631</v>
      </c>
      <c r="AL9" s="20">
        <f t="shared" si="4"/>
        <v>5.1103212885242639</v>
      </c>
      <c r="AM9" s="59">
        <f t="shared" si="5"/>
        <v>298.4436546218576</v>
      </c>
      <c r="AN9" s="59">
        <f ca="1">AVERAGE(OFFSET($AM$3,0,0,'Données projet'!$E$10+1,1))-AVERAGE(OFFSET($H$3,0,0,'Données projet'!$E$10+1,1))</f>
        <v>234.95901223517041</v>
      </c>
      <c r="AO9" s="59">
        <f t="shared" si="36"/>
        <v>179.39213799913273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</v>
      </c>
      <c r="N10" s="13">
        <f>IF('Données projet'!$A$36&gt;35,N9+M10-V9,IF(A10&lt;'Données projet'!$A$36,$K$205^A10,IF(A10='Données projet'!$A$36,'Données projet'!$B$36,N9+M10-V9)))</f>
        <v>7.4994357645352743</v>
      </c>
      <c r="O10" s="13">
        <f>N10*VLOOKUP('Données projet'!$B$9,Paramètres!$A$1:$I$89,3,0)*VLOOKUP('Données projet'!$B$9,Paramètres!$A$1:$I$89,5,0)</f>
        <v>4.4846625871920942</v>
      </c>
      <c r="P10" s="13">
        <f t="shared" si="33"/>
        <v>1.7354835151748795</v>
      </c>
      <c r="Q10" s="20">
        <f t="shared" si="2"/>
        <v>10.833421128289144</v>
      </c>
      <c r="R10" s="59">
        <f t="shared" si="0"/>
        <v>304.16675446162247</v>
      </c>
      <c r="S10" s="59">
        <f ca="1">AVERAGE(OFFSET($R$3,0,0,'Données projet'!$E$9+1,1))-AVERAGE(OFFSET($H$3,0,0,'Données projet'!$E$9+1,1))</f>
        <v>288.98981546396209</v>
      </c>
      <c r="T10" s="59">
        <f t="shared" si="34"/>
        <v>281.67720096117085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</v>
      </c>
      <c r="AI10" s="13">
        <f>IF('Données projet'!$A$62&gt;35,AI9+AH10-AQ9,IF(A10&lt;'Données projet'!$A$62,$AF$205^A10,IF(A10='Données projet'!$A$62,'Données projet'!$B$62,AI9+AH10-AQ9)))</f>
        <v>5.6382562823625264</v>
      </c>
      <c r="AJ10" s="13">
        <f>AI10*VLOOKUP('Données projet'!$B$10,Paramètres!$A$1:$I$89,3,0)*VLOOKUP('Données projet'!$B$10,Paramètres!$A$1:$I$89,5,0)</f>
        <v>2.6387039401456627</v>
      </c>
      <c r="AK10" s="13">
        <f t="shared" si="35"/>
        <v>1.0861576289918606</v>
      </c>
      <c r="AL10" s="20">
        <f t="shared" si="4"/>
        <v>6.4874672329145193</v>
      </c>
      <c r="AM10" s="59">
        <f t="shared" si="5"/>
        <v>299.82080056624784</v>
      </c>
      <c r="AN10" s="59">
        <f ca="1">AVERAGE(OFFSET($AM$3,0,0,'Données projet'!$E$10+1,1))-AVERAGE(OFFSET($H$3,0,0,'Données projet'!$E$10+1,1))</f>
        <v>234.95901223517041</v>
      </c>
      <c r="AO10" s="59">
        <f t="shared" si="36"/>
        <v>179.39213799913273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</v>
      </c>
      <c r="N11" s="13">
        <f>IF('Données projet'!$A$36&gt;35,N10+M11-V10,IF(A11&lt;'Données projet'!$A$36,$K$205^A11,IF(A11='Données projet'!$A$36,'Données projet'!$B$36,N10+M11-V10)))</f>
        <v>10.000752370554848</v>
      </c>
      <c r="O11" s="13">
        <f>N11*VLOOKUP('Données projet'!$B$9,Paramètres!$A$1:$I$89,3,0)*VLOOKUP('Données projet'!$B$9,Paramètres!$A$1:$I$89,5,0)</f>
        <v>5.9804499175917991</v>
      </c>
      <c r="P11" s="13">
        <f t="shared" si="33"/>
        <v>2.238072245872778</v>
      </c>
      <c r="Q11" s="20">
        <f t="shared" si="2"/>
        <v>14.313926101367471</v>
      </c>
      <c r="R11" s="59">
        <f t="shared" si="0"/>
        <v>307.6472594347008</v>
      </c>
      <c r="S11" s="59">
        <f ca="1">AVERAGE(OFFSET($R$3,0,0,'Données projet'!$E$9+1,1))-AVERAGE(OFFSET($H$3,0,0,'Données projet'!$E$9+1,1))</f>
        <v>288.98981546396209</v>
      </c>
      <c r="T11" s="59">
        <f t="shared" si="34"/>
        <v>281.67720096117085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</v>
      </c>
      <c r="AI11" s="13">
        <f>IF('Données projet'!$A$62&gt;35,AI10+AH11-AQ10,IF(A11&lt;'Données projet'!$A$62,$AF$205^A11,IF(A11='Données projet'!$A$62,'Données projet'!$B$62,AI10+AH11-AQ10)))</f>
        <v>7.2185706980175075</v>
      </c>
      <c r="AJ11" s="13">
        <f>AI11*VLOOKUP('Données projet'!$B$10,Paramètres!$A$1:$I$89,3,0)*VLOOKUP('Données projet'!$B$10,Paramètres!$A$1:$I$89,5,0)</f>
        <v>3.3782910866721938</v>
      </c>
      <c r="AK11" s="13">
        <f t="shared" si="35"/>
        <v>1.3511662651455716</v>
      </c>
      <c r="AL11" s="20">
        <f t="shared" si="4"/>
        <v>8.2371382210826081</v>
      </c>
      <c r="AM11" s="59">
        <f t="shared" si="5"/>
        <v>301.57047155441592</v>
      </c>
      <c r="AN11" s="59">
        <f ca="1">AVERAGE(OFFSET($AM$3,0,0,'Données projet'!$E$10+1,1))-AVERAGE(OFFSET($H$3,0,0,'Données projet'!$E$10+1,1))</f>
        <v>234.95901223517041</v>
      </c>
      <c r="AO11" s="59">
        <f t="shared" si="36"/>
        <v>179.39213799913273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</v>
      </c>
      <c r="N12" s="13">
        <f>IF('Données projet'!$A$36&gt;35,N11+M12-V11,IF(A12&lt;'Données projet'!$A$36,$K$205^A12,IF(A12='Données projet'!$A$36,'Données projet'!$B$36,N11+M12-V11)))</f>
        <v>13.336343041982994</v>
      </c>
      <c r="O12" s="13">
        <f>N12*VLOOKUP('Données projet'!$B$9,Paramètres!$A$1:$I$89,3,0)*VLOOKUP('Données projet'!$B$9,Paramètres!$A$1:$I$89,5,0)</f>
        <v>7.9751331391058313</v>
      </c>
      <c r="P12" s="13">
        <f t="shared" si="33"/>
        <v>2.8862085602935181</v>
      </c>
      <c r="Q12" s="20">
        <f t="shared" si="2"/>
        <v>18.916836793120535</v>
      </c>
      <c r="R12" s="59">
        <f t="shared" si="0"/>
        <v>312.25017012645384</v>
      </c>
      <c r="S12" s="59">
        <f ca="1">AVERAGE(OFFSET($R$3,0,0,'Données projet'!$E$9+1,1))-AVERAGE(OFFSET($H$3,0,0,'Données projet'!$E$9+1,1))</f>
        <v>288.98981546396209</v>
      </c>
      <c r="T12" s="59">
        <f t="shared" si="34"/>
        <v>281.67720096117085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</v>
      </c>
      <c r="AI12" s="13">
        <f>IF('Données projet'!$A$62&gt;35,AI11+AH12-AQ11,IF(A12&lt;'Données projet'!$A$62,$AF$205^A12,IF(A12='Données projet'!$A$62,'Données projet'!$B$62,AI11+AH12-AQ11)))</f>
        <v>9.2418223494521463</v>
      </c>
      <c r="AJ12" s="13">
        <f>AI12*VLOOKUP('Données projet'!$B$10,Paramètres!$A$1:$I$89,3,0)*VLOOKUP('Données projet'!$B$10,Paramètres!$A$1:$I$89,5,0)</f>
        <v>4.3251728595436045</v>
      </c>
      <c r="AK12" s="13">
        <f t="shared" si="35"/>
        <v>1.6808336353186117</v>
      </c>
      <c r="AL12" s="20">
        <f t="shared" si="4"/>
        <v>10.460461311885025</v>
      </c>
      <c r="AM12" s="59">
        <f t="shared" si="5"/>
        <v>303.79379464521833</v>
      </c>
      <c r="AN12" s="59">
        <f ca="1">AVERAGE(OFFSET($AM$3,0,0,'Données projet'!$E$10+1,1))-AVERAGE(OFFSET($H$3,0,0,'Données projet'!$E$10+1,1))</f>
        <v>234.95901223517041</v>
      </c>
      <c r="AO12" s="59">
        <f t="shared" si="36"/>
        <v>179.39213799913273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</v>
      </c>
      <c r="N13" s="13">
        <f>IF('Données projet'!$A$36&gt;35,N12+M13-V12,IF(A13&lt;'Données projet'!$A$36,$K$205^A13,IF(A13='Données projet'!$A$36,'Données projet'!$B$36,N12+M13-V12)))</f>
        <v>17.784466522450305</v>
      </c>
      <c r="O13" s="13">
        <f>N13*VLOOKUP('Données projet'!$B$9,Paramètres!$A$1:$I$89,3,0)*VLOOKUP('Données projet'!$B$9,Paramètres!$A$1:$I$89,5,0)</f>
        <v>10.635110980425283</v>
      </c>
      <c r="P13" s="13">
        <f t="shared" si="33"/>
        <v>3.7220424268578798</v>
      </c>
      <c r="Q13" s="20">
        <f t="shared" si="2"/>
        <v>25.00537551768484</v>
      </c>
      <c r="R13" s="59">
        <f t="shared" si="0"/>
        <v>318.33870885101817</v>
      </c>
      <c r="S13" s="59">
        <f ca="1">AVERAGE(OFFSET($R$3,0,0,'Données projet'!$E$9+1,1))-AVERAGE(OFFSET($H$3,0,0,'Données projet'!$E$9+1,1))</f>
        <v>288.98981546396209</v>
      </c>
      <c r="T13" s="59">
        <f t="shared" si="34"/>
        <v>281.67720096117085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</v>
      </c>
      <c r="AI13" s="13">
        <f>IF('Données projet'!$A$62&gt;35,AI12+AH13-AQ12,IF(A13&lt;'Données projet'!$A$62,$AF$205^A13,IF(A13='Données projet'!$A$62,'Données projet'!$B$62,AI12+AH13-AQ12)))</f>
        <v>11.832159566199214</v>
      </c>
      <c r="AJ13" s="13">
        <f>AI13*VLOOKUP('Données projet'!$B$10,Paramètres!$A$1:$I$89,3,0)*VLOOKUP('Données projet'!$B$10,Paramètres!$A$1:$I$89,5,0)</f>
        <v>5.5374506769812326</v>
      </c>
      <c r="AK13" s="13">
        <f t="shared" si="35"/>
        <v>2.090935647593303</v>
      </c>
      <c r="AL13" s="20">
        <f t="shared" si="4"/>
        <v>13.286106181967314</v>
      </c>
      <c r="AM13" s="59">
        <f t="shared" si="5"/>
        <v>306.61943951530066</v>
      </c>
      <c r="AN13" s="59">
        <f ca="1">AVERAGE(OFFSET($AM$3,0,0,'Données projet'!$E$10+1,1))-AVERAGE(OFFSET($H$3,0,0,'Données projet'!$E$10+1,1))</f>
        <v>234.95901223517041</v>
      </c>
      <c r="AO13" s="59">
        <f t="shared" si="36"/>
        <v>179.39213799913273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</v>
      </c>
      <c r="N14" s="13">
        <f>IF('Données projet'!$A$36&gt;35,N13+M14-V13,IF(A14&lt;'Données projet'!$A$36,$K$205^A14,IF(A14='Données projet'!$A$36,'Données projet'!$B$36,N13+M14-V13)))</f>
        <v>23.716190299880484</v>
      </c>
      <c r="O14" s="13">
        <f>N14*VLOOKUP('Données projet'!$B$9,Paramètres!$A$1:$I$89,3,0)*VLOOKUP('Données projet'!$B$9,Paramètres!$A$1:$I$89,5,0)</f>
        <v>14.182281799328532</v>
      </c>
      <c r="P14" s="13">
        <f t="shared" si="33"/>
        <v>4.7999302676592546</v>
      </c>
      <c r="Q14" s="20">
        <f t="shared" si="2"/>
        <v>33.060686016670395</v>
      </c>
      <c r="R14" s="59">
        <f t="shared" si="0"/>
        <v>326.3940193500037</v>
      </c>
      <c r="S14" s="59">
        <f ca="1">AVERAGE(OFFSET($R$3,0,0,'Données projet'!$E$9+1,1))-AVERAGE(OFFSET($H$3,0,0,'Données projet'!$E$9+1,1))</f>
        <v>288.98981546396209</v>
      </c>
      <c r="T14" s="59">
        <f t="shared" si="34"/>
        <v>281.67720096117085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</v>
      </c>
      <c r="AI14" s="13">
        <f>IF('Données projet'!$A$62&gt;35,AI13+AH14-AQ13,IF(A14&lt;'Données projet'!$A$62,$AF$205^A14,IF(A14='Données projet'!$A$62,'Données projet'!$B$62,AI13+AH14-AQ13)))</f>
        <v>15.148527498832387</v>
      </c>
      <c r="AJ14" s="13">
        <f>AI14*VLOOKUP('Données projet'!$B$10,Paramètres!$A$1:$I$89,3,0)*VLOOKUP('Données projet'!$B$10,Paramètres!$A$1:$I$89,5,0)</f>
        <v>7.0895108694535569</v>
      </c>
      <c r="AK14" s="13">
        <f t="shared" si="35"/>
        <v>2.6010973308180407</v>
      </c>
      <c r="AL14" s="20">
        <f t="shared" si="4"/>
        <v>16.877809282139697</v>
      </c>
      <c r="AM14" s="59">
        <f t="shared" si="5"/>
        <v>310.21114261547302</v>
      </c>
      <c r="AN14" s="59">
        <f ca="1">AVERAGE(OFFSET($AM$3,0,0,'Données projet'!$E$10+1,1))-AVERAGE(OFFSET($H$3,0,0,'Données projet'!$E$10+1,1))</f>
        <v>234.95901223517041</v>
      </c>
      <c r="AO14" s="59">
        <f t="shared" si="36"/>
        <v>179.39213799913273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</v>
      </c>
      <c r="N15" s="13">
        <f>IF('Données projet'!$A$36&gt;35,N14+M15-V14,IF(A15&lt;'Données projet'!$A$36,$K$205^A15,IF(A15='Données projet'!$A$36,'Données projet'!$B$36,N14+M15-V14)))</f>
        <v>31.626345475706227</v>
      </c>
      <c r="O15" s="13">
        <f>N15*VLOOKUP('Données projet'!$B$9,Paramètres!$A$1:$I$89,3,0)*VLOOKUP('Données projet'!$B$9,Paramètres!$A$1:$I$89,5,0)</f>
        <v>18.912554594472326</v>
      </c>
      <c r="P15" s="13">
        <f t="shared" si="33"/>
        <v>6.1899698961360441</v>
      </c>
      <c r="Q15" s="20">
        <f t="shared" si="2"/>
        <v>43.720230154476248</v>
      </c>
      <c r="R15" s="59">
        <f t="shared" si="0"/>
        <v>337.05356348780958</v>
      </c>
      <c r="S15" s="59">
        <f ca="1">AVERAGE(OFFSET($R$3,0,0,'Données projet'!$E$9+1,1))-AVERAGE(OFFSET($H$3,0,0,'Données projet'!$E$9+1,1))</f>
        <v>288.98981546396209</v>
      </c>
      <c r="T15" s="59">
        <f t="shared" si="34"/>
        <v>281.67720096117085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</v>
      </c>
      <c r="AI15" s="13">
        <f>IF('Données projet'!$A$62&gt;35,AI14+AH15-AQ14,IF(A15&lt;'Données projet'!$A$62,$AF$205^A15,IF(A15='Données projet'!$A$62,'Données projet'!$B$62,AI14+AH15-AQ14)))</f>
        <v>19.394421119744504</v>
      </c>
      <c r="AJ15" s="13">
        <f>AI15*VLOOKUP('Données projet'!$B$10,Paramètres!$A$1:$I$89,3,0)*VLOOKUP('Données projet'!$B$10,Paramètres!$A$1:$I$89,5,0)</f>
        <v>9.0765890840404282</v>
      </c>
      <c r="AK15" s="13">
        <f t="shared" si="35"/>
        <v>3.2357319710801056</v>
      </c>
      <c r="AL15" s="20">
        <f t="shared" si="4"/>
        <v>21.443959171001595</v>
      </c>
      <c r="AM15" s="59">
        <f t="shared" si="5"/>
        <v>314.77729250433492</v>
      </c>
      <c r="AN15" s="59">
        <f ca="1">AVERAGE(OFFSET($AM$3,0,0,'Données projet'!$E$10+1,1))-AVERAGE(OFFSET($H$3,0,0,'Données projet'!$E$10+1,1))</f>
        <v>234.95901223517041</v>
      </c>
      <c r="AO15" s="59">
        <f t="shared" si="36"/>
        <v>179.39213799913273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</v>
      </c>
      <c r="N16" s="13">
        <f>IF('Données projet'!$A$36&gt;35,N15+M16-V15,IF(A16&lt;'Données projet'!$A$36,$K$205^A16,IF(A16='Données projet'!$A$36,'Données projet'!$B$36,N15+M16-V15)))</f>
        <v>42.174806134599301</v>
      </c>
      <c r="O16" s="13">
        <f>N16*VLOOKUP('Données projet'!$B$9,Paramètres!$A$1:$I$89,3,0)*VLOOKUP('Données projet'!$B$9,Paramètres!$A$1:$I$89,5,0)</f>
        <v>25.22053406849038</v>
      </c>
      <c r="P16" s="13">
        <f t="shared" si="33"/>
        <v>7.9825591578345199</v>
      </c>
      <c r="Q16" s="20">
        <f t="shared" si="2"/>
        <v>57.828720702515874</v>
      </c>
      <c r="R16" s="59">
        <f t="shared" si="0"/>
        <v>351.16205403584917</v>
      </c>
      <c r="S16" s="59">
        <f ca="1">AVERAGE(OFFSET($R$3,0,0,'Données projet'!$E$9+1,1))-AVERAGE(OFFSET($H$3,0,0,'Données projet'!$E$9+1,1))</f>
        <v>288.98981546396209</v>
      </c>
      <c r="T16" s="59">
        <f t="shared" si="34"/>
        <v>281.67720096117085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</v>
      </c>
      <c r="AI16" s="13">
        <f>IF('Données projet'!$A$62&gt;35,AI15+AH16-AQ15,IF(A16&lt;'Données projet'!$A$62,$AF$205^A16,IF(A16='Données projet'!$A$62,'Données projet'!$B$62,AI15+AH16-AQ15)))</f>
        <v>24.830371836403501</v>
      </c>
      <c r="AJ16" s="13">
        <f>AI16*VLOOKUP('Données projet'!$B$10,Paramètres!$A$1:$I$89,3,0)*VLOOKUP('Données projet'!$B$10,Paramètres!$A$1:$I$89,5,0)</f>
        <v>11.620614019436839</v>
      </c>
      <c r="AK16" s="13">
        <f t="shared" si="35"/>
        <v>4.0252093855239011</v>
      </c>
      <c r="AL16" s="20">
        <f t="shared" si="4"/>
        <v>27.249809096973291</v>
      </c>
      <c r="AM16" s="59">
        <f t="shared" si="5"/>
        <v>320.58314243030662</v>
      </c>
      <c r="AN16" s="59">
        <f ca="1">AVERAGE(OFFSET($AM$3,0,0,'Données projet'!$E$10+1,1))-AVERAGE(OFFSET($H$3,0,0,'Données projet'!$E$10+1,1))</f>
        <v>234.95901223517041</v>
      </c>
      <c r="AO16" s="59">
        <f t="shared" si="36"/>
        <v>179.39213799913273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</v>
      </c>
      <c r="N17" s="13">
        <f>IF('Données projet'!$A$36&gt;35,N16+M17-V16,IF(A17&lt;'Données projet'!$A$36,$K$205^A17,IF(A17='Données projet'!$A$36,'Données projet'!$B$36,N16+M17-V16)))</f>
        <v>56.24153678639076</v>
      </c>
      <c r="O17" s="13">
        <f>N17*VLOOKUP('Données projet'!$B$9,Paramètres!$A$1:$I$89,3,0)*VLOOKUP('Données projet'!$B$9,Paramètres!$A$1:$I$89,5,0)</f>
        <v>33.632438998261676</v>
      </c>
      <c r="P17" s="13">
        <f t="shared" si="33"/>
        <v>10.294274734373817</v>
      </c>
      <c r="Q17" s="20">
        <f t="shared" si="2"/>
        <v>76.505693084340137</v>
      </c>
      <c r="R17" s="59">
        <f t="shared" si="0"/>
        <v>369.83902641767344</v>
      </c>
      <c r="S17" s="59">
        <f ca="1">AVERAGE(OFFSET($R$3,0,0,'Données projet'!$E$9+1,1))-AVERAGE(OFFSET($H$3,0,0,'Données projet'!$E$9+1,1))</f>
        <v>288.98981546396209</v>
      </c>
      <c r="T17" s="59">
        <f t="shared" si="34"/>
        <v>281.67720096117085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</v>
      </c>
      <c r="AI17" s="13">
        <f>IF('Données projet'!$A$62&gt;35,AI16+AH17-AQ16,IF(A17&lt;'Données projet'!$A$62,$AF$205^A17,IF(A17='Données projet'!$A$62,'Données projet'!$B$62,AI16+AH17-AQ16)))</f>
        <v>31.789933905600495</v>
      </c>
      <c r="AJ17" s="13">
        <f>AI17*VLOOKUP('Données projet'!$B$10,Paramètres!$A$1:$I$89,3,0)*VLOOKUP('Données projet'!$B$10,Paramètres!$A$1:$I$89,5,0)</f>
        <v>14.877689067821033</v>
      </c>
      <c r="AK17" s="13">
        <f t="shared" si="35"/>
        <v>5.0073092401102919</v>
      </c>
      <c r="AL17" s="20">
        <f t="shared" si="4"/>
        <v>34.633038719647061</v>
      </c>
      <c r="AM17" s="59">
        <f t="shared" si="5"/>
        <v>327.96637205298038</v>
      </c>
      <c r="AN17" s="59">
        <f ca="1">AVERAGE(OFFSET($AM$3,0,0,'Données projet'!$E$10+1,1))-AVERAGE(OFFSET($H$3,0,0,'Données projet'!$E$10+1,1))</f>
        <v>234.95901223517041</v>
      </c>
      <c r="AO17" s="59">
        <f t="shared" si="36"/>
        <v>179.39213799913273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75</v>
      </c>
      <c r="L18" s="12">
        <f>VLOOKUP(A18,'Données projet'!$A$35:$I$55,9,0)</f>
        <v>5</v>
      </c>
      <c r="M18" s="12">
        <f t="array" ref="M18">INDEX(L:L,MIN(IF(ISNUMBER(L18:L214),ROW(L18:L214),"")))</f>
        <v>5</v>
      </c>
      <c r="N18" s="13">
        <f>IF('Données projet'!$A$36&gt;35,N17+M18-V17,IF(A18&lt;'Données projet'!$A$36,$K$205^A18,IF(A18='Données projet'!$A$36,'Données projet'!$B$36,N17+M18-V17)))</f>
        <v>75</v>
      </c>
      <c r="O18" s="13">
        <f>N18*VLOOKUP('Données projet'!$B$9,Paramètres!$A$1:$I$89,3,0)*VLOOKUP('Données projet'!$B$9,Paramètres!$A$1:$I$89,5,0)</f>
        <v>44.85</v>
      </c>
      <c r="P18" s="13">
        <f t="shared" si="33"/>
        <v>13.275453424327006</v>
      </c>
      <c r="Q18" s="20">
        <f t="shared" si="2"/>
        <v>101.2351647140362</v>
      </c>
      <c r="R18" s="59">
        <f t="shared" si="0"/>
        <v>394.56849804736953</v>
      </c>
      <c r="S18" s="59">
        <f ca="1">AVERAGE(OFFSET($R$3,0,0,'Données projet'!$E$9+1,1))-AVERAGE(OFFSET($H$3,0,0,'Données projet'!$E$9+1,1))</f>
        <v>288.98981546396209</v>
      </c>
      <c r="T18" s="59">
        <f t="shared" si="34"/>
        <v>281.67720096117085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</v>
      </c>
      <c r="AI18" s="13">
        <f>IF('Données projet'!$A$62&gt;35,AI17+AH18-AQ17,IF(A18&lt;'Données projet'!$A$62,$AF$205^A18,IF(A18='Données projet'!$A$62,'Données projet'!$B$62,AI17+AH18-AQ17)))</f>
        <v>40.70015158777526</v>
      </c>
      <c r="AJ18" s="13">
        <f>AI18*VLOOKUP('Données projet'!$B$10,Paramètres!$A$1:$I$89,3,0)*VLOOKUP('Données projet'!$B$10,Paramètres!$A$1:$I$89,5,0)</f>
        <v>19.04767094307882</v>
      </c>
      <c r="AK18" s="13">
        <f t="shared" si="35"/>
        <v>6.2290289584104483</v>
      </c>
      <c r="AL18" s="20">
        <f t="shared" si="4"/>
        <v>44.023585661760478</v>
      </c>
      <c r="AM18" s="59">
        <f t="shared" si="5"/>
        <v>337.35691899509379</v>
      </c>
      <c r="AN18" s="59">
        <f ca="1">AVERAGE(OFFSET($AM$3,0,0,'Données projet'!$E$10+1,1))-AVERAGE(OFFSET($H$3,0,0,'Données projet'!$E$10+1,1))</f>
        <v>234.95901223517041</v>
      </c>
      <c r="AO18" s="59">
        <f t="shared" si="36"/>
        <v>179.39213799913273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15.4</v>
      </c>
      <c r="N19" s="13">
        <f>IF('Données projet'!$A$36&gt;35,N18+M19-V18,IF(A19&lt;'Données projet'!$A$36,$K$205^A19,IF(A19='Données projet'!$A$36,'Données projet'!$B$36,N18+M19-V18)))</f>
        <v>90.4</v>
      </c>
      <c r="O19" s="13">
        <f>N19*VLOOKUP('Données projet'!$B$9,Paramètres!$A$1:$I$89,3,0)*VLOOKUP('Données projet'!$B$9,Paramètres!$A$1:$I$89,5,0)</f>
        <v>54.059200000000004</v>
      </c>
      <c r="P19" s="13">
        <f t="shared" si="33"/>
        <v>15.657256135361452</v>
      </c>
      <c r="Q19" s="20">
        <f t="shared" si="2"/>
        <v>121.42282776908787</v>
      </c>
      <c r="R19" s="59">
        <f t="shared" si="0"/>
        <v>414.75616110242117</v>
      </c>
      <c r="S19" s="59">
        <f ca="1">AVERAGE(OFFSET($R$3,0,0,'Données projet'!$E$9+1,1))-AVERAGE(OFFSET($H$3,0,0,'Données projet'!$E$9+1,1))</f>
        <v>288.98981546396209</v>
      </c>
      <c r="T19" s="59">
        <f t="shared" si="34"/>
        <v>281.67720096117085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</v>
      </c>
      <c r="AI19" s="13">
        <f>IF('Données projet'!$A$62&gt;35,AI18+AH19-AQ18,IF(A19&lt;'Données projet'!$A$62,$AF$205^A19,IF(A19='Données projet'!$A$62,'Données projet'!$B$62,AI18+AH19-AQ18)))</f>
        <v>52.107762922276969</v>
      </c>
      <c r="AJ19" s="13">
        <f>AI19*VLOOKUP('Données projet'!$B$10,Paramètres!$A$1:$I$89,3,0)*VLOOKUP('Données projet'!$B$10,Paramètres!$A$1:$I$89,5,0)</f>
        <v>24.386433047625623</v>
      </c>
      <c r="AK19" s="13">
        <f t="shared" si="35"/>
        <v>7.7488327371331547</v>
      </c>
      <c r="AL19" s="20">
        <f t="shared" si="4"/>
        <v>55.968921241788202</v>
      </c>
      <c r="AM19" s="59">
        <f t="shared" si="5"/>
        <v>349.30225457512154</v>
      </c>
      <c r="AN19" s="59">
        <f ca="1">AVERAGE(OFFSET($AM$3,0,0,'Données projet'!$E$10+1,1))-AVERAGE(OFFSET($H$3,0,0,'Données projet'!$E$10+1,1))</f>
        <v>234.95901223517041</v>
      </c>
      <c r="AO19" s="59">
        <f t="shared" si="36"/>
        <v>179.39213799913273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15.4</v>
      </c>
      <c r="N20" s="13">
        <f>IF('Données projet'!$A$36&gt;35,N19+M20-V19,IF(A20&lt;'Données projet'!$A$36,$K$205^A20,IF(A20='Données projet'!$A$36,'Données projet'!$B$36,N19+M20-V19)))</f>
        <v>105.80000000000001</v>
      </c>
      <c r="O20" s="13">
        <f>N20*VLOOKUP('Données projet'!$B$9,Paramètres!$A$1:$I$89,3,0)*VLOOKUP('Données projet'!$B$9,Paramètres!$A$1:$I$89,5,0)</f>
        <v>63.268400000000014</v>
      </c>
      <c r="P20" s="13">
        <f t="shared" si="33"/>
        <v>17.992054875474441</v>
      </c>
      <c r="Q20" s="20">
        <f t="shared" si="2"/>
        <v>141.52862557478466</v>
      </c>
      <c r="R20" s="59">
        <f t="shared" si="0"/>
        <v>434.86195890811797</v>
      </c>
      <c r="S20" s="59">
        <f ca="1">AVERAGE(OFFSET($R$3,0,0,'Données projet'!$E$9+1,1))-AVERAGE(OFFSET($H$3,0,0,'Données projet'!$E$9+1,1))</f>
        <v>288.98981546396209</v>
      </c>
      <c r="T20" s="59">
        <f t="shared" si="34"/>
        <v>281.67720096117085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</v>
      </c>
      <c r="AI20" s="13">
        <f>IF('Données projet'!$A$62&gt;35,AI19+AH20-AQ19,IF(A20&lt;'Données projet'!$A$62,$AF$205^A20,IF(A20='Données projet'!$A$62,'Données projet'!$B$62,AI19+AH20-AQ19)))</f>
        <v>66.712748008038588</v>
      </c>
      <c r="AJ20" s="13">
        <f>AI20*VLOOKUP('Données projet'!$B$10,Paramètres!$A$1:$I$89,3,0)*VLOOKUP('Données projet'!$B$10,Paramètres!$A$1:$I$89,5,0)</f>
        <v>31.221566067762058</v>
      </c>
      <c r="AK20" s="13">
        <f t="shared" si="35"/>
        <v>9.6394492928138327</v>
      </c>
      <c r="AL20" s="20">
        <f t="shared" si="4"/>
        <v>71.166268419669663</v>
      </c>
      <c r="AM20" s="59">
        <f t="shared" si="5"/>
        <v>364.49960175300299</v>
      </c>
      <c r="AN20" s="59">
        <f ca="1">AVERAGE(OFFSET($AM$3,0,0,'Données projet'!$E$10+1,1))-AVERAGE(OFFSET($H$3,0,0,'Données projet'!$E$10+1,1))</f>
        <v>234.95901223517041</v>
      </c>
      <c r="AO20" s="59">
        <f t="shared" si="36"/>
        <v>179.39213799913273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15.4</v>
      </c>
      <c r="N21" s="13">
        <f>IF('Données projet'!$A$36&gt;35,N20+M21-V20,IF(A21&lt;'Données projet'!$A$36,$K$205^A21,IF(A21='Données projet'!$A$36,'Données projet'!$B$36,N20+M21-V20)))</f>
        <v>121.20000000000002</v>
      </c>
      <c r="O21" s="13">
        <f>N21*VLOOKUP('Données projet'!$B$9,Paramètres!$A$1:$I$89,3,0)*VLOOKUP('Données projet'!$B$9,Paramètres!$A$1:$I$89,5,0)</f>
        <v>72.47760000000001</v>
      </c>
      <c r="P21" s="13">
        <f t="shared" si="33"/>
        <v>20.287481925986448</v>
      </c>
      <c r="Q21" s="20">
        <f t="shared" si="2"/>
        <v>161.5658510210931</v>
      </c>
      <c r="R21" s="59">
        <f t="shared" si="0"/>
        <v>454.89918435442644</v>
      </c>
      <c r="S21" s="59">
        <f ca="1">AVERAGE(OFFSET($R$3,0,0,'Données projet'!$E$9+1,1))-AVERAGE(OFFSET($H$3,0,0,'Données projet'!$E$9+1,1))</f>
        <v>288.98981546396209</v>
      </c>
      <c r="T21" s="59">
        <f t="shared" si="34"/>
        <v>281.67720096117085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</v>
      </c>
      <c r="AI21" s="13">
        <f>IF('Données projet'!$A$62&gt;35,AI20+AH21-AQ20,IF(A21&lt;'Données projet'!$A$62,$AF$205^A21,IF(A21='Données projet'!$A$62,'Données projet'!$B$62,AI20+AH21-AQ20)))</f>
        <v>85.411280338833194</v>
      </c>
      <c r="AJ21" s="13">
        <f>AI21*VLOOKUP('Données projet'!$B$10,Paramètres!$A$1:$I$89,3,0)*VLOOKUP('Données projet'!$B$10,Paramètres!$A$1:$I$89,5,0)</f>
        <v>39.972479198573936</v>
      </c>
      <c r="AK21" s="13">
        <f t="shared" si="35"/>
        <v>11.991352223084183</v>
      </c>
      <c r="AL21" s="20">
        <f t="shared" si="4"/>
        <v>90.503673059387893</v>
      </c>
      <c r="AM21" s="59">
        <f t="shared" si="5"/>
        <v>383.83700639272121</v>
      </c>
      <c r="AN21" s="59">
        <f ca="1">AVERAGE(OFFSET($AM$3,0,0,'Données projet'!$E$10+1,1))-AVERAGE(OFFSET($H$3,0,0,'Données projet'!$E$10+1,1))</f>
        <v>234.95901223517041</v>
      </c>
      <c r="AO21" s="59">
        <f t="shared" si="36"/>
        <v>179.39213799913273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15.4</v>
      </c>
      <c r="N22" s="13">
        <f>IF('Données projet'!$A$36&gt;35,N21+M22-V21,IF(A22&lt;'Données projet'!$A$36,$K$205^A22,IF(A22='Données projet'!$A$36,'Données projet'!$B$36,N21+M22-V21)))</f>
        <v>136.60000000000002</v>
      </c>
      <c r="O22" s="13">
        <f>N22*VLOOKUP('Données projet'!$B$9,Paramètres!$A$1:$I$89,3,0)*VLOOKUP('Données projet'!$B$9,Paramètres!$A$1:$I$89,5,0)</f>
        <v>81.686800000000019</v>
      </c>
      <c r="P22" s="13">
        <f t="shared" si="33"/>
        <v>22.549113311372079</v>
      </c>
      <c r="Q22" s="20">
        <f t="shared" si="2"/>
        <v>181.54421568397308</v>
      </c>
      <c r="R22" s="59">
        <f t="shared" si="0"/>
        <v>474.87754901730636</v>
      </c>
      <c r="S22" s="59">
        <f ca="1">AVERAGE(OFFSET($R$3,0,0,'Données projet'!$E$9+1,1))-AVERAGE(OFFSET($H$3,0,0,'Données projet'!$E$9+1,1))</f>
        <v>288.98981546396209</v>
      </c>
      <c r="T22" s="59">
        <f t="shared" si="34"/>
        <v>281.67720096117085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</v>
      </c>
      <c r="AI22" s="13">
        <f>IF('Données projet'!$A$62&gt;35,AI21+AH22-AQ21,IF(A22&lt;'Données projet'!$A$62,$AF$205^A22,IF(A22='Données projet'!$A$62,'Données projet'!$B$62,AI21+AH22-AQ21)))</f>
        <v>109.35071672118391</v>
      </c>
      <c r="AJ22" s="13">
        <f>AI22*VLOOKUP('Données projet'!$B$10,Paramètres!$A$1:$I$89,3,0)*VLOOKUP('Données projet'!$B$10,Paramètres!$A$1:$I$89,5,0)</f>
        <v>51.176135425514076</v>
      </c>
      <c r="AK22" s="13">
        <f t="shared" si="35"/>
        <v>14.917089531791261</v>
      </c>
      <c r="AL22" s="20">
        <f t="shared" si="4"/>
        <v>115.11236680064013</v>
      </c>
      <c r="AM22" s="59">
        <f t="shared" si="5"/>
        <v>408.44570013397345</v>
      </c>
      <c r="AN22" s="59">
        <f ca="1">AVERAGE(OFFSET($AM$3,0,0,'Données projet'!$E$10+1,1))-AVERAGE(OFFSET($H$3,0,0,'Données projet'!$E$10+1,1))</f>
        <v>234.95901223517041</v>
      </c>
      <c r="AO22" s="59">
        <f t="shared" si="36"/>
        <v>179.39213799913273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152</v>
      </c>
      <c r="L23" s="12">
        <f>VLOOKUP(A23,'Données projet'!$A$35:$I$55,9,0)</f>
        <v>15.4</v>
      </c>
      <c r="M23" s="12">
        <f t="array" ref="M23">INDEX(L:L,MIN(IF(ISNUMBER(L23:L219),ROW(L23:L219),"")))</f>
        <v>15.4</v>
      </c>
      <c r="N23" s="13">
        <f>IF('Données projet'!$A$36&gt;35,N22+M23-V22,IF(A23&lt;'Données projet'!$A$36,$K$205^A23,IF(A23='Données projet'!$A$36,'Données projet'!$B$36,N22+M23-V22)))</f>
        <v>152.00000000000003</v>
      </c>
      <c r="O23" s="13">
        <f>N23*VLOOKUP('Données projet'!$B$9,Paramètres!$A$1:$I$89,3,0)*VLOOKUP('Données projet'!$B$9,Paramètres!$A$1:$I$89,5,0)</f>
        <v>90.896000000000029</v>
      </c>
      <c r="P23" s="13">
        <f t="shared" si="33"/>
        <v>24.781193872187952</v>
      </c>
      <c r="Q23" s="20">
        <f t="shared" si="2"/>
        <v>201.47111266072739</v>
      </c>
      <c r="R23" s="59">
        <f t="shared" si="0"/>
        <v>494.8044459940607</v>
      </c>
      <c r="S23" s="59">
        <f ca="1">AVERAGE(OFFSET($R$3,0,0,'Données projet'!$E$9+1,1))-AVERAGE(OFFSET($H$3,0,0,'Données projet'!$E$9+1,1))</f>
        <v>288.98981546396209</v>
      </c>
      <c r="T23" s="59">
        <f t="shared" si="34"/>
        <v>281.67720096117085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42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8.3630754219015397</v>
      </c>
      <c r="AB23" s="21">
        <f>EXP(-LN(2)/2)*AB22+(1-EXP(-LN(2)/2))/(LN(2)/2)*V23*Y23*VLOOKUP('Données projet'!$B$9,Paramètres!$A$1:$I$89,3,0)*0.475*44/12</f>
        <v>12.512344409256876</v>
      </c>
      <c r="AC23" s="22">
        <f t="shared" si="3"/>
        <v>20.875419831158418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140</v>
      </c>
      <c r="AG23" s="12">
        <f>VLOOKUP(A23,'Données projet'!$A$61:$I$81,9,0)</f>
        <v>7</v>
      </c>
      <c r="AH23" s="12">
        <f t="array" ref="AH23">INDEX(AG:AG,MIN(IF(ISNUMBER(AG23:AG219),ROW(AG23:AG219),"")))</f>
        <v>7</v>
      </c>
      <c r="AI23" s="13">
        <f>IF('Données projet'!$A$62&gt;35,AI22+AH23-AQ22,IF(A23&lt;'Données projet'!$A$62,$AF$205^A23,IF(A23='Données projet'!$A$62,'Données projet'!$B$62,AI22+AH23-AQ22)))</f>
        <v>140</v>
      </c>
      <c r="AJ23" s="13">
        <f>AI23*VLOOKUP('Données projet'!$B$10,Paramètres!$A$1:$I$89,3,0)*VLOOKUP('Données projet'!$B$10,Paramètres!$A$1:$I$89,5,0)</f>
        <v>65.52</v>
      </c>
      <c r="AK23" s="13">
        <f t="shared" si="35"/>
        <v>18.556669503136725</v>
      </c>
      <c r="AL23" s="20">
        <f t="shared" si="4"/>
        <v>146.43353271796309</v>
      </c>
      <c r="AM23" s="59">
        <f t="shared" si="5"/>
        <v>439.7668660512964</v>
      </c>
      <c r="AN23" s="59">
        <f ca="1">AVERAGE(OFFSET($AM$3,0,0,'Données projet'!$E$10+1,1))-AVERAGE(OFFSET($H$3,0,0,'Données projet'!$E$10+1,1))</f>
        <v>234.95901223517041</v>
      </c>
      <c r="AO23" s="59">
        <f t="shared" si="36"/>
        <v>179.39213799913273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0.30800000000000005</v>
      </c>
      <c r="AT23" s="16">
        <f>IF(ISNA(VLOOKUP(A23,'Données projet'!$A$61:$I$81,7,0)),0%,VLOOKUP(A23,'Données projet'!$A$61:$I$81,7,0))</f>
        <v>0.44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7.6185366162250032</v>
      </c>
      <c r="AW23" s="21">
        <f>EXP(-LN(2)/2)*AW22+(1-EXP(-LN(2)/2))/(LN(2)/2)*AQ23*AT23*VLOOKUP('Données projet'!$B$10,Paramètres!$A$1:$I$89,3,0)*0.475*44/12</f>
        <v>9.3259709882659934</v>
      </c>
      <c r="AX23" s="21">
        <f t="shared" si="6"/>
        <v>16.944507604490997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17.8</v>
      </c>
      <c r="N24" s="13">
        <f>IF('Données projet'!$A$36&gt;35,N23+M24-V23,IF(A24&lt;'Données projet'!$A$36,$K$205^A24,IF(A24='Données projet'!$A$36,'Données projet'!$B$36,N23+M24-V23)))</f>
        <v>127.80000000000004</v>
      </c>
      <c r="O24" s="13">
        <f>N24*VLOOKUP('Données projet'!$B$9,Paramètres!$A$1:$I$89,3,0)*VLOOKUP('Données projet'!$B$9,Paramètres!$A$1:$I$89,5,0)</f>
        <v>76.42440000000002</v>
      </c>
      <c r="P24" s="13">
        <f t="shared" si="33"/>
        <v>21.260618446015872</v>
      </c>
      <c r="Q24" s="20">
        <f t="shared" si="2"/>
        <v>170.13474046014434</v>
      </c>
      <c r="R24" s="59">
        <f t="shared" si="0"/>
        <v>463.46807379347763</v>
      </c>
      <c r="S24" s="59">
        <f ca="1">AVERAGE(OFFSET($R$3,0,0,'Données projet'!$E$9+1,1))-AVERAGE(OFFSET($H$3,0,0,'Données projet'!$E$9+1,1))</f>
        <v>288.98981546396209</v>
      </c>
      <c r="T24" s="59">
        <f t="shared" si="34"/>
        <v>281.67720096117085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8.1343866846946202</v>
      </c>
      <c r="AB24" s="21">
        <f>EXP(-LN(2)/2)*AB23+(1-EXP(-LN(2)/2))/(LN(2)/2)*V24*Y24*VLOOKUP('Données projet'!$B$9,Paramètres!$A$1:$I$89,3,0)*0.475*44/12</f>
        <v>8.8475635803271242</v>
      </c>
      <c r="AC24" s="22">
        <f t="shared" si="3"/>
        <v>16.981950265021744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11</v>
      </c>
      <c r="AI24" s="13">
        <f>IF('Données projet'!$A$62&gt;35,AI23+AH24-AQ23,IF(A24&lt;'Données projet'!$A$62,$AF$205^A24,IF(A24='Données projet'!$A$62,'Données projet'!$B$62,AI23+AH24-AQ23)))</f>
        <v>111</v>
      </c>
      <c r="AJ24" s="13">
        <f>AI24*VLOOKUP('Données projet'!$B$10,Paramètres!$A$1:$I$89,3,0)*VLOOKUP('Données projet'!$B$10,Paramètres!$A$1:$I$89,5,0)</f>
        <v>51.948</v>
      </c>
      <c r="AK24" s="13">
        <f t="shared" si="35"/>
        <v>15.115714645211892</v>
      </c>
      <c r="AL24" s="20">
        <f t="shared" si="4"/>
        <v>116.8026363404107</v>
      </c>
      <c r="AM24" s="59">
        <f t="shared" si="5"/>
        <v>410.135969673744</v>
      </c>
      <c r="AN24" s="59">
        <f ca="1">AVERAGE(OFFSET($AM$3,0,0,'Données projet'!$E$10+1,1))-AVERAGE(OFFSET($H$3,0,0,'Données projet'!$E$10+1,1))</f>
        <v>234.95901223517041</v>
      </c>
      <c r="AO24" s="59">
        <f t="shared" si="36"/>
        <v>179.39213799913273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7.4102073318129023</v>
      </c>
      <c r="AW24" s="21">
        <f>EXP(-LN(2)/2)*AW23+(1-EXP(-LN(2)/2))/(LN(2)/2)*AQ24*AT24*VLOOKUP('Données projet'!$B$10,Paramètres!$A$1:$I$89,3,0)*0.475*44/12</f>
        <v>6.5944573269518925</v>
      </c>
      <c r="AX24" s="21">
        <f t="shared" si="6"/>
        <v>14.004664658764796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17.8</v>
      </c>
      <c r="N25" s="13">
        <f>IF('Données projet'!$A$36&gt;35,N24+M25-V24,IF(A25&lt;'Données projet'!$A$36,$K$205^A25,IF(A25='Données projet'!$A$36,'Données projet'!$B$36,N24+M25-V24)))</f>
        <v>145.60000000000005</v>
      </c>
      <c r="O25" s="13">
        <f>N25*VLOOKUP('Données projet'!$B$9,Paramètres!$A$1:$I$89,3,0)*VLOOKUP('Données projet'!$B$9,Paramètres!$A$1:$I$89,5,0)</f>
        <v>87.068800000000039</v>
      </c>
      <c r="P25" s="13">
        <f t="shared" si="33"/>
        <v>23.856933608981997</v>
      </c>
      <c r="Q25" s="20">
        <f t="shared" si="2"/>
        <v>193.19565270231035</v>
      </c>
      <c r="R25" s="59">
        <f t="shared" si="0"/>
        <v>486.5289860356437</v>
      </c>
      <c r="S25" s="59">
        <f ca="1">AVERAGE(OFFSET($R$3,0,0,'Données projet'!$E$9+1,1))-AVERAGE(OFFSET($H$3,0,0,'Données projet'!$E$9+1,1))</f>
        <v>288.98981546396209</v>
      </c>
      <c r="T25" s="59">
        <f t="shared" si="34"/>
        <v>281.67720096117085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7.9119514530328416</v>
      </c>
      <c r="AB25" s="21">
        <f>EXP(-LN(2)/2)*AB24+(1-EXP(-LN(2)/2))/(LN(2)/2)*V25*Y25*VLOOKUP('Données projet'!$B$9,Paramètres!$A$1:$I$89,3,0)*0.475*44/12</f>
        <v>6.2561722046284389</v>
      </c>
      <c r="AC25" s="22">
        <f t="shared" si="3"/>
        <v>14.16812365766128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11</v>
      </c>
      <c r="AI25" s="13">
        <f>IF('Données projet'!$A$62&gt;35,AI24+AH25-AQ24,IF(A25&lt;'Données projet'!$A$62,$AF$205^A25,IF(A25='Données projet'!$A$62,'Données projet'!$B$62,AI24+AH25-AQ24)))</f>
        <v>122</v>
      </c>
      <c r="AJ25" s="13">
        <f>AI25*VLOOKUP('Données projet'!$B$10,Paramètres!$A$1:$I$89,3,0)*VLOOKUP('Données projet'!$B$10,Paramètres!$A$1:$I$89,5,0)</f>
        <v>57.096000000000004</v>
      </c>
      <c r="AK25" s="13">
        <f t="shared" si="35"/>
        <v>16.431940248498016</v>
      </c>
      <c r="AL25" s="20">
        <f t="shared" si="4"/>
        <v>128.06116259946739</v>
      </c>
      <c r="AM25" s="59">
        <f t="shared" si="5"/>
        <v>421.39449593280074</v>
      </c>
      <c r="AN25" s="59">
        <f ca="1">AVERAGE(OFFSET($AM$3,0,0,'Données projet'!$E$10+1,1))-AVERAGE(OFFSET($H$3,0,0,'Données projet'!$E$10+1,1))</f>
        <v>234.95901223517041</v>
      </c>
      <c r="AO25" s="59">
        <f t="shared" si="36"/>
        <v>179.39213799913273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7.2075748226386107</v>
      </c>
      <c r="AW25" s="21">
        <f>EXP(-LN(2)/2)*AW24+(1-EXP(-LN(2)/2))/(LN(2)/2)*AQ25*AT25*VLOOKUP('Données projet'!$B$10,Paramètres!$A$1:$I$89,3,0)*0.475*44/12</f>
        <v>4.6629854941329976</v>
      </c>
      <c r="AX25" s="21">
        <f t="shared" si="6"/>
        <v>11.870560316771609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17.8</v>
      </c>
      <c r="N26" s="13">
        <f>IF('Données projet'!$A$36&gt;35,N25+M26-V25,IF(A26&lt;'Données projet'!$A$36,$K$205^A26,IF(A26='Données projet'!$A$36,'Données projet'!$B$36,N25+M26-V25)))</f>
        <v>163.40000000000006</v>
      </c>
      <c r="O26" s="13">
        <f>N26*VLOOKUP('Données projet'!$B$9,Paramètres!$A$1:$I$89,3,0)*VLOOKUP('Données projet'!$B$9,Paramètres!$A$1:$I$89,5,0)</f>
        <v>97.713200000000043</v>
      </c>
      <c r="P26" s="13">
        <f t="shared" si="33"/>
        <v>26.416467654404475</v>
      </c>
      <c r="Q26" s="20">
        <f t="shared" si="2"/>
        <v>216.19250449808783</v>
      </c>
      <c r="R26" s="59">
        <f t="shared" si="0"/>
        <v>509.52583783142114</v>
      </c>
      <c r="S26" s="59">
        <f ca="1">AVERAGE(OFFSET($R$3,0,0,'Données projet'!$E$9+1,1))-AVERAGE(OFFSET($H$3,0,0,'Données projet'!$E$9+1,1))</f>
        <v>288.98981546396209</v>
      </c>
      <c r="T26" s="59">
        <f t="shared" si="34"/>
        <v>281.67720096117085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7.6955987244782147</v>
      </c>
      <c r="AB26" s="21">
        <f>EXP(-LN(2)/2)*AB25+(1-EXP(-LN(2)/2))/(LN(2)/2)*V26*Y26*VLOOKUP('Données projet'!$B$9,Paramètres!$A$1:$I$89,3,0)*0.475*44/12</f>
        <v>4.4237817901635621</v>
      </c>
      <c r="AC26" s="22">
        <f t="shared" si="3"/>
        <v>12.119380514641776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11</v>
      </c>
      <c r="AI26" s="13">
        <f>IF('Données projet'!$A$62&gt;35,AI25+AH26-AQ25,IF(A26&lt;'Données projet'!$A$62,$AF$205^A26,IF(A26='Données projet'!$A$62,'Données projet'!$B$62,AI25+AH26-AQ25)))</f>
        <v>133</v>
      </c>
      <c r="AJ26" s="13">
        <f>AI26*VLOOKUP('Données projet'!$B$10,Paramètres!$A$1:$I$89,3,0)*VLOOKUP('Données projet'!$B$10,Paramètres!$A$1:$I$89,5,0)</f>
        <v>62.243999999999993</v>
      </c>
      <c r="AK26" s="13">
        <f t="shared" si="35"/>
        <v>17.734404526076432</v>
      </c>
      <c r="AL26" s="20">
        <f t="shared" si="4"/>
        <v>139.29572121624975</v>
      </c>
      <c r="AM26" s="59">
        <f t="shared" si="5"/>
        <v>432.62905454958309</v>
      </c>
      <c r="AN26" s="59">
        <f ca="1">AVERAGE(OFFSET($AM$3,0,0,'Données projet'!$E$10+1,1))-AVERAGE(OFFSET($H$3,0,0,'Données projet'!$E$10+1,1))</f>
        <v>234.95901223517041</v>
      </c>
      <c r="AO26" s="59">
        <f t="shared" si="36"/>
        <v>179.39213799913273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7.0104833100836714</v>
      </c>
      <c r="AW26" s="21">
        <f>EXP(-LN(2)/2)*AW25+(1-EXP(-LN(2)/2))/(LN(2)/2)*AQ26*AT26*VLOOKUP('Données projet'!$B$10,Paramètres!$A$1:$I$89,3,0)*0.475*44/12</f>
        <v>3.2972286634759471</v>
      </c>
      <c r="AX26" s="21">
        <f t="shared" si="6"/>
        <v>10.307711973559618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17.8</v>
      </c>
      <c r="N27" s="13">
        <f>IF('Données projet'!$A$36&gt;35,N26+M27-V26,IF(A27&lt;'Données projet'!$A$36,$K$205^A27,IF(A27='Données projet'!$A$36,'Données projet'!$B$36,N26+M27-V26)))</f>
        <v>181.20000000000007</v>
      </c>
      <c r="O27" s="13">
        <f>N27*VLOOKUP('Données projet'!$B$9,Paramètres!$A$1:$I$89,3,0)*VLOOKUP('Données projet'!$B$9,Paramètres!$A$1:$I$89,5,0)</f>
        <v>108.35760000000005</v>
      </c>
      <c r="P27" s="13">
        <f t="shared" si="33"/>
        <v>28.943684177010258</v>
      </c>
      <c r="Q27" s="20">
        <f t="shared" si="2"/>
        <v>239.13306994162625</v>
      </c>
      <c r="R27" s="59">
        <f t="shared" si="0"/>
        <v>532.46640327495959</v>
      </c>
      <c r="S27" s="59">
        <f ca="1">AVERAGE(OFFSET($R$3,0,0,'Données projet'!$E$9+1,1))-AVERAGE(OFFSET($H$3,0,0,'Données projet'!$E$9+1,1))</f>
        <v>288.98981546396209</v>
      </c>
      <c r="T27" s="59">
        <f t="shared" si="34"/>
        <v>281.67720096117085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7.4851621726634097</v>
      </c>
      <c r="AB27" s="21">
        <f>EXP(-LN(2)/2)*AB26+(1-EXP(-LN(2)/2))/(LN(2)/2)*V27*Y27*VLOOKUP('Données projet'!$B$9,Paramètres!$A$1:$I$89,3,0)*0.475*44/12</f>
        <v>3.1280861023142195</v>
      </c>
      <c r="AC27" s="22">
        <f t="shared" si="3"/>
        <v>10.613248274977629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11</v>
      </c>
      <c r="AI27" s="13">
        <f>IF('Données projet'!$A$62&gt;35,AI26+AH27-AQ26,IF(A27&lt;'Données projet'!$A$62,$AF$205^A27,IF(A27='Données projet'!$A$62,'Données projet'!$B$62,AI26+AH27-AQ26)))</f>
        <v>144</v>
      </c>
      <c r="AJ27" s="13">
        <f>AI27*VLOOKUP('Données projet'!$B$10,Paramètres!$A$1:$I$89,3,0)*VLOOKUP('Données projet'!$B$10,Paramètres!$A$1:$I$89,5,0)</f>
        <v>67.391999999999996</v>
      </c>
      <c r="AK27" s="13">
        <f t="shared" si="35"/>
        <v>19.02437502991798</v>
      </c>
      <c r="AL27" s="20">
        <f t="shared" si="4"/>
        <v>150.5085198437738</v>
      </c>
      <c r="AM27" s="59">
        <f t="shared" si="5"/>
        <v>443.84185317710711</v>
      </c>
      <c r="AN27" s="59">
        <f ca="1">AVERAGE(OFFSET($AM$3,0,0,'Données projet'!$E$10+1,1))-AVERAGE(OFFSET($H$3,0,0,'Données projet'!$E$10+1,1))</f>
        <v>234.95901223517041</v>
      </c>
      <c r="AO27" s="59">
        <f t="shared" si="36"/>
        <v>179.39213799913273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6.818781275304139</v>
      </c>
      <c r="AW27" s="21">
        <f>EXP(-LN(2)/2)*AW26+(1-EXP(-LN(2)/2))/(LN(2)/2)*AQ27*AT27*VLOOKUP('Données projet'!$B$10,Paramètres!$A$1:$I$89,3,0)*0.475*44/12</f>
        <v>2.3314927470664992</v>
      </c>
      <c r="AX27" s="21">
        <f t="shared" si="6"/>
        <v>9.1502740223706382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199</v>
      </c>
      <c r="L28" s="12">
        <f>VLOOKUP(A28,'Données projet'!$A$35:$I$55,9,0)</f>
        <v>17.8</v>
      </c>
      <c r="M28" s="12">
        <f t="array" ref="M28">INDEX(L:L,MIN(IF(ISNUMBER(L28:L224),ROW(L28:L224),"")))</f>
        <v>17.8</v>
      </c>
      <c r="N28" s="13">
        <f>IF('Données projet'!$A$36&gt;35,N27+M28-V27,IF(A28&lt;'Données projet'!$A$36,$K$205^A28,IF(A28='Données projet'!$A$36,'Données projet'!$B$36,N27+M28-V27)))</f>
        <v>199.00000000000009</v>
      </c>
      <c r="O28" s="13">
        <f>N28*VLOOKUP('Données projet'!$B$9,Paramètres!$A$1:$I$89,3,0)*VLOOKUP('Données projet'!$B$9,Paramètres!$A$1:$I$89,5,0)</f>
        <v>119.00200000000007</v>
      </c>
      <c r="P28" s="13">
        <f t="shared" si="33"/>
        <v>31.442119166644687</v>
      </c>
      <c r="Q28" s="20">
        <f t="shared" si="2"/>
        <v>262.02350754857292</v>
      </c>
      <c r="R28" s="59">
        <f t="shared" si="0"/>
        <v>555.35684088190624</v>
      </c>
      <c r="S28" s="59">
        <f ca="1">AVERAGE(OFFSET($R$3,0,0,'Données projet'!$E$9+1,1))-AVERAGE(OFFSET($H$3,0,0,'Données projet'!$E$9+1,1))</f>
        <v>288.98981546396209</v>
      </c>
      <c r="T28" s="59">
        <f t="shared" si="34"/>
        <v>281.67720096117085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49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17.037401344976153</v>
      </c>
      <c r="AB28" s="21">
        <f>EXP(-LN(2)/2)*AB27+(1-EXP(-LN(2)/2))/(LN(2)/2)*V28*Y28*VLOOKUP('Données projet'!$B$9,Paramètres!$A$1:$I$89,3,0)*0.475*44/12</f>
        <v>16.809626039214798</v>
      </c>
      <c r="AC28" s="22">
        <f t="shared" si="3"/>
        <v>33.847027384190952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11</v>
      </c>
      <c r="AI28" s="13">
        <f>IF('Données projet'!$A$62&gt;35,AI27+AH28-AQ27,IF(A28&lt;'Données projet'!$A$62,$AF$205^A28,IF(A28='Données projet'!$A$62,'Données projet'!$B$62,AI27+AH28-AQ27)))</f>
        <v>155</v>
      </c>
      <c r="AJ28" s="13">
        <f>AI28*VLOOKUP('Données projet'!$B$10,Paramètres!$A$1:$I$89,3,0)*VLOOKUP('Données projet'!$B$10,Paramètres!$A$1:$I$89,5,0)</f>
        <v>72.539999999999992</v>
      </c>
      <c r="AK28" s="13">
        <f t="shared" si="35"/>
        <v>20.302914660456786</v>
      </c>
      <c r="AL28" s="20">
        <f t="shared" si="4"/>
        <v>161.70140970029556</v>
      </c>
      <c r="AM28" s="59">
        <f t="shared" si="5"/>
        <v>455.03474303362884</v>
      </c>
      <c r="AN28" s="59">
        <f ca="1">AVERAGE(OFFSET($AM$3,0,0,'Données projet'!$E$10+1,1))-AVERAGE(OFFSET($H$3,0,0,'Données projet'!$E$10+1,1))</f>
        <v>234.95901223517041</v>
      </c>
      <c r="AO28" s="59">
        <f t="shared" si="36"/>
        <v>179.39213799913273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6.6323213427468248</v>
      </c>
      <c r="AW28" s="21">
        <f>EXP(-LN(2)/2)*AW27+(1-EXP(-LN(2)/2))/(LN(2)/2)*AQ28*AT28*VLOOKUP('Données projet'!$B$10,Paramètres!$A$1:$I$89,3,0)*0.475*44/12</f>
        <v>1.6486143317379738</v>
      </c>
      <c r="AX28" s="21">
        <f t="shared" si="6"/>
        <v>8.2809356744847982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18.8</v>
      </c>
      <c r="N29" s="13">
        <f>IF('Données projet'!$A$36&gt;35,N28+M29-V28,IF(A29&lt;'Données projet'!$A$36,$K$205^A29,IF(A29='Données projet'!$A$36,'Données projet'!$B$36,N28+M29-V28)))</f>
        <v>168.8000000000001</v>
      </c>
      <c r="O29" s="13">
        <f>N29*VLOOKUP('Données projet'!$B$9,Paramètres!$A$1:$I$89,3,0)*VLOOKUP('Données projet'!$B$9,Paramètres!$A$1:$I$89,5,0)</f>
        <v>100.94240000000008</v>
      </c>
      <c r="P29" s="13">
        <f t="shared" si="33"/>
        <v>27.186388642071176</v>
      </c>
      <c r="Q29" s="20">
        <f t="shared" si="2"/>
        <v>223.15764021827408</v>
      </c>
      <c r="R29" s="59">
        <f t="shared" si="0"/>
        <v>516.49097355160734</v>
      </c>
      <c r="S29" s="59">
        <f ca="1">AVERAGE(OFFSET($R$3,0,0,'Données projet'!$E$9+1,1))-AVERAGE(OFFSET($H$3,0,0,'Données projet'!$E$9+1,1))</f>
        <v>288.98981546396209</v>
      </c>
      <c r="T29" s="59">
        <f t="shared" si="34"/>
        <v>281.67720096117085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16.571512709239784</v>
      </c>
      <c r="AB29" s="21">
        <f>EXP(-LN(2)/2)*AB28+(1-EXP(-LN(2)/2))/(LN(2)/2)*V29*Y29*VLOOKUP('Données projet'!$B$9,Paramètres!$A$1:$I$89,3,0)*0.475*44/12</f>
        <v>11.88620056153875</v>
      </c>
      <c r="AC29" s="22">
        <f t="shared" si="3"/>
        <v>28.457713270778534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</v>
      </c>
      <c r="AI29" s="13">
        <f>IF('Données projet'!$A$62&gt;35,AI28+AH29-AQ28,IF(A29&lt;'Données projet'!$A$62,$AF$205^A29,IF(A29='Données projet'!$A$62,'Données projet'!$B$62,AI28+AH29-AQ28)))</f>
        <v>166</v>
      </c>
      <c r="AJ29" s="13">
        <f>AI29*VLOOKUP('Données projet'!$B$10,Paramètres!$A$1:$I$89,3,0)*VLOOKUP('Données projet'!$B$10,Paramètres!$A$1:$I$89,5,0)</f>
        <v>77.688000000000002</v>
      </c>
      <c r="AK29" s="13">
        <f t="shared" si="35"/>
        <v>21.570926907728207</v>
      </c>
      <c r="AL29" s="20">
        <f t="shared" si="4"/>
        <v>172.87596436429328</v>
      </c>
      <c r="AM29" s="59">
        <f t="shared" si="5"/>
        <v>466.2092976976266</v>
      </c>
      <c r="AN29" s="59">
        <f ca="1">AVERAGE(OFFSET($AM$3,0,0,'Données projet'!$E$10+1,1))-AVERAGE(OFFSET($H$3,0,0,'Données projet'!$E$10+1,1))</f>
        <v>234.95901223517041</v>
      </c>
      <c r="AO29" s="59">
        <f t="shared" si="36"/>
        <v>179.39213799913273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6.4509601668507921</v>
      </c>
      <c r="AW29" s="21">
        <f>EXP(-LN(2)/2)*AW28+(1-EXP(-LN(2)/2))/(LN(2)/2)*AQ29*AT29*VLOOKUP('Données projet'!$B$10,Paramètres!$A$1:$I$89,3,0)*0.475*44/12</f>
        <v>1.1657463735332498</v>
      </c>
      <c r="AX29" s="21">
        <f t="shared" si="6"/>
        <v>7.6167065403840422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18.8</v>
      </c>
      <c r="N30" s="13">
        <f>IF('Données projet'!$A$36&gt;35,N29+M30-V29,IF(A30&lt;'Données projet'!$A$36,$K$205^A30,IF(A30='Données projet'!$A$36,'Données projet'!$B$36,N29+M30-V29)))</f>
        <v>187.60000000000011</v>
      </c>
      <c r="O30" s="13">
        <f>N30*VLOOKUP('Données projet'!$B$9,Paramètres!$A$1:$I$89,3,0)*VLOOKUP('Données projet'!$B$9,Paramètres!$A$1:$I$89,5,0)</f>
        <v>112.18480000000007</v>
      </c>
      <c r="P30" s="13">
        <f t="shared" si="33"/>
        <v>29.845149809641946</v>
      </c>
      <c r="Q30" s="20">
        <f t="shared" si="2"/>
        <v>247.36882925179316</v>
      </c>
      <c r="R30" s="59">
        <f t="shared" si="0"/>
        <v>540.70216258512642</v>
      </c>
      <c r="S30" s="59">
        <f ca="1">AVERAGE(OFFSET($R$3,0,0,'Données projet'!$E$9+1,1))-AVERAGE(OFFSET($H$3,0,0,'Données projet'!$E$9+1,1))</f>
        <v>288.98981546396209</v>
      </c>
      <c r="T30" s="59">
        <f t="shared" si="34"/>
        <v>281.67720096117085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16.118363822747643</v>
      </c>
      <c r="AB30" s="21">
        <f>EXP(-LN(2)/2)*AB29+(1-EXP(-LN(2)/2))/(LN(2)/2)*V30*Y30*VLOOKUP('Données projet'!$B$9,Paramètres!$A$1:$I$89,3,0)*0.475*44/12</f>
        <v>8.4048130196073991</v>
      </c>
      <c r="AC30" s="22">
        <f t="shared" si="3"/>
        <v>24.523176842355042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</v>
      </c>
      <c r="AI30" s="13">
        <f>IF('Données projet'!$A$62&gt;35,AI29+AH30-AQ29,IF(A30&lt;'Données projet'!$A$62,$AF$205^A30,IF(A30='Données projet'!$A$62,'Données projet'!$B$62,AI29+AH30-AQ29)))</f>
        <v>177</v>
      </c>
      <c r="AJ30" s="13">
        <f>AI30*VLOOKUP('Données projet'!$B$10,Paramètres!$A$1:$I$89,3,0)*VLOOKUP('Données projet'!$B$10,Paramètres!$A$1:$I$89,5,0)</f>
        <v>82.835999999999999</v>
      </c>
      <c r="AK30" s="13">
        <f t="shared" si="35"/>
        <v>22.829188748646022</v>
      </c>
      <c r="AL30" s="20">
        <f t="shared" si="4"/>
        <v>184.03353707055848</v>
      </c>
      <c r="AM30" s="59">
        <f t="shared" si="5"/>
        <v>477.36687040389177</v>
      </c>
      <c r="AN30" s="59">
        <f ca="1">AVERAGE(OFFSET($AM$3,0,0,'Données projet'!$E$10+1,1))-AVERAGE(OFFSET($H$3,0,0,'Données projet'!$E$10+1,1))</f>
        <v>234.95901223517041</v>
      </c>
      <c r="AO30" s="59">
        <f t="shared" si="36"/>
        <v>179.39213799913273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6.2745583218470058</v>
      </c>
      <c r="AW30" s="21">
        <f>EXP(-LN(2)/2)*AW29+(1-EXP(-LN(2)/2))/(LN(2)/2)*AQ30*AT30*VLOOKUP('Données projet'!$B$10,Paramètres!$A$1:$I$89,3,0)*0.475*44/12</f>
        <v>0.824307165868987</v>
      </c>
      <c r="AX30" s="21">
        <f t="shared" si="6"/>
        <v>7.0988654877159929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18.8</v>
      </c>
      <c r="N31" s="13">
        <f>IF('Données projet'!$A$36&gt;35,N30+M31-V30,IF(A31&lt;'Données projet'!$A$36,$K$205^A31,IF(A31='Données projet'!$A$36,'Données projet'!$B$36,N30+M31-V30)))</f>
        <v>206.40000000000012</v>
      </c>
      <c r="O31" s="13">
        <f>N31*VLOOKUP('Données projet'!$B$9,Paramètres!$A$1:$I$89,3,0)*VLOOKUP('Données projet'!$B$9,Paramètres!$A$1:$I$89,5,0)</f>
        <v>123.42720000000008</v>
      </c>
      <c r="P31" s="13">
        <f t="shared" si="33"/>
        <v>32.473022671122109</v>
      </c>
      <c r="Q31" s="20">
        <f t="shared" si="2"/>
        <v>271.52622115220447</v>
      </c>
      <c r="R31" s="59">
        <f t="shared" si="0"/>
        <v>564.85955448553773</v>
      </c>
      <c r="S31" s="59">
        <f ca="1">AVERAGE(OFFSET($R$3,0,0,'Données projet'!$E$9+1,1))-AVERAGE(OFFSET($H$3,0,0,'Données projet'!$E$9+1,1))</f>
        <v>288.98981546396209</v>
      </c>
      <c r="T31" s="59">
        <f t="shared" si="34"/>
        <v>281.67720096117085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15.677606316386694</v>
      </c>
      <c r="AB31" s="21">
        <f>EXP(-LN(2)/2)*AB30+(1-EXP(-LN(2)/2))/(LN(2)/2)*V31*Y31*VLOOKUP('Données projet'!$B$9,Paramètres!$A$1:$I$89,3,0)*0.475*44/12</f>
        <v>5.9431002807693751</v>
      </c>
      <c r="AC31" s="22">
        <f t="shared" si="3"/>
        <v>21.620706597156069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</v>
      </c>
      <c r="AI31" s="13">
        <f>IF('Données projet'!$A$62&gt;35,AI30+AH31-AQ30,IF(A31&lt;'Données projet'!$A$62,$AF$205^A31,IF(A31='Données projet'!$A$62,'Données projet'!$B$62,AI30+AH31-AQ30)))</f>
        <v>188</v>
      </c>
      <c r="AJ31" s="13">
        <f>AI31*VLOOKUP('Données projet'!$B$10,Paramètres!$A$1:$I$89,3,0)*VLOOKUP('Données projet'!$B$10,Paramètres!$A$1:$I$89,5,0)</f>
        <v>87.983999999999995</v>
      </c>
      <c r="AK31" s="13">
        <f t="shared" si="35"/>
        <v>24.078375128721785</v>
      </c>
      <c r="AL31" s="20">
        <f t="shared" si="4"/>
        <v>195.17530334919044</v>
      </c>
      <c r="AM31" s="59">
        <f t="shared" si="5"/>
        <v>488.50863668252373</v>
      </c>
      <c r="AN31" s="59">
        <f ca="1">AVERAGE(OFFSET($AM$3,0,0,'Données projet'!$E$10+1,1))-AVERAGE(OFFSET($H$3,0,0,'Données projet'!$E$10+1,1))</f>
        <v>234.95901223517041</v>
      </c>
      <c r="AO31" s="59">
        <f t="shared" si="36"/>
        <v>179.39213799913273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6.1029801945714182</v>
      </c>
      <c r="AW31" s="21">
        <f>EXP(-LN(2)/2)*AW30+(1-EXP(-LN(2)/2))/(LN(2)/2)*AQ31*AT31*VLOOKUP('Données projet'!$B$10,Paramètres!$A$1:$I$89,3,0)*0.475*44/12</f>
        <v>0.58287318676662492</v>
      </c>
      <c r="AX31" s="21">
        <f t="shared" si="6"/>
        <v>6.6858533813380427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18.8</v>
      </c>
      <c r="N32" s="13">
        <f>IF('Données projet'!$A$36&gt;35,N31+M32-V31,IF(A32&lt;'Données projet'!$A$36,$K$205^A32,IF(A32='Données projet'!$A$36,'Données projet'!$B$36,N31+M32-V31)))</f>
        <v>225.20000000000013</v>
      </c>
      <c r="O32" s="13">
        <f>N32*VLOOKUP('Données projet'!$B$9,Paramètres!$A$1:$I$89,3,0)*VLOOKUP('Données projet'!$B$9,Paramètres!$A$1:$I$89,5,0)</f>
        <v>134.66960000000009</v>
      </c>
      <c r="P32" s="13">
        <f t="shared" si="33"/>
        <v>35.073140668601305</v>
      </c>
      <c r="Q32" s="20">
        <f t="shared" si="2"/>
        <v>295.6352733311474</v>
      </c>
      <c r="R32" s="59">
        <f t="shared" si="0"/>
        <v>588.96860666448072</v>
      </c>
      <c r="S32" s="59">
        <f ca="1">AVERAGE(OFFSET($R$3,0,0,'Données projet'!$E$9+1,1))-AVERAGE(OFFSET($H$3,0,0,'Données projet'!$E$9+1,1))</f>
        <v>288.98981546396209</v>
      </c>
      <c r="T32" s="59">
        <f t="shared" si="34"/>
        <v>281.67720096117085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15.248901347215615</v>
      </c>
      <c r="AB32" s="21">
        <f>EXP(-LN(2)/2)*AB31+(1-EXP(-LN(2)/2))/(LN(2)/2)*V32*Y32*VLOOKUP('Données projet'!$B$9,Paramètres!$A$1:$I$89,3,0)*0.475*44/12</f>
        <v>4.2024065098036996</v>
      </c>
      <c r="AC32" s="22">
        <f t="shared" si="3"/>
        <v>19.451307857019316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</v>
      </c>
      <c r="AI32" s="13">
        <f>IF('Données projet'!$A$62&gt;35,AI31+AH32-AQ31,IF(A32&lt;'Données projet'!$A$62,$AF$205^A32,IF(A32='Données projet'!$A$62,'Données projet'!$B$62,AI31+AH32-AQ31)))</f>
        <v>199</v>
      </c>
      <c r="AJ32" s="13">
        <f>AI32*VLOOKUP('Données projet'!$B$10,Paramètres!$A$1:$I$89,3,0)*VLOOKUP('Données projet'!$B$10,Paramètres!$A$1:$I$89,5,0)</f>
        <v>93.132000000000005</v>
      </c>
      <c r="AK32" s="13">
        <f t="shared" si="35"/>
        <v>25.319077548810455</v>
      </c>
      <c r="AL32" s="20">
        <f t="shared" si="4"/>
        <v>206.30229339751153</v>
      </c>
      <c r="AM32" s="59">
        <f t="shared" si="5"/>
        <v>499.63562673084482</v>
      </c>
      <c r="AN32" s="59">
        <f ca="1">AVERAGE(OFFSET($AM$3,0,0,'Données projet'!$E$10+1,1))-AVERAGE(OFFSET($H$3,0,0,'Données projet'!$E$10+1,1))</f>
        <v>234.95901223517041</v>
      </c>
      <c r="AO32" s="59">
        <f t="shared" si="36"/>
        <v>179.39213799913273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5.936093880209083</v>
      </c>
      <c r="AW32" s="21">
        <f>EXP(-LN(2)/2)*AW31+(1-EXP(-LN(2)/2))/(LN(2)/2)*AQ32*AT32*VLOOKUP('Données projet'!$B$10,Paramètres!$A$1:$I$89,3,0)*0.475*44/12</f>
        <v>0.4121535829344935</v>
      </c>
      <c r="AX32" s="21">
        <f t="shared" si="6"/>
        <v>6.3482474631435766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244</v>
      </c>
      <c r="L33" s="12">
        <f>VLOOKUP(A33,'Données projet'!$A$35:$I$55,9,0)</f>
        <v>18.8</v>
      </c>
      <c r="M33" s="12">
        <f t="array" ref="M33">INDEX(L:L,MIN(IF(ISNUMBER(L33:L229),ROW(L33:L229),"")))</f>
        <v>18.8</v>
      </c>
      <c r="N33" s="13">
        <f>IF('Données projet'!$A$36&gt;35,N32+M33-V32,IF(A33&lt;'Données projet'!$A$36,$K$205^A33,IF(A33='Données projet'!$A$36,'Données projet'!$B$36,N32+M33-V32)))</f>
        <v>244.00000000000014</v>
      </c>
      <c r="O33" s="13">
        <f>N33*VLOOKUP('Données projet'!$B$9,Paramètres!$A$1:$I$89,3,0)*VLOOKUP('Données projet'!$B$9,Paramètres!$A$1:$I$89,5,0)</f>
        <v>145.91200000000009</v>
      </c>
      <c r="P33" s="13">
        <f t="shared" si="33"/>
        <v>37.648084239987661</v>
      </c>
      <c r="Q33" s="20">
        <f t="shared" si="2"/>
        <v>319.70048005131201</v>
      </c>
      <c r="R33" s="59">
        <f t="shared" si="0"/>
        <v>613.03381338464533</v>
      </c>
      <c r="S33" s="59">
        <f ca="1">AVERAGE(OFFSET($R$3,0,0,'Données projet'!$E$9+1,1))-AVERAGE(OFFSET($H$3,0,0,'Données projet'!$E$9+1,1))</f>
        <v>288.98981546396209</v>
      </c>
      <c r="T33" s="59">
        <f t="shared" si="34"/>
        <v>281.67720096117085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49</v>
      </c>
      <c r="W33" s="16">
        <f>IF(ISNA(VLOOKUP(A33,'Données projet'!$A$35:$I$55,5,0)),0%,VLOOKUP(A33,'Données projet'!$A$35:$I$55,5,0)*VLOOKUP('Données projet'!$B$9,Paramètres!$A$1:$I$89,7,0))</f>
        <v>0.13500000000000001</v>
      </c>
      <c r="X33" s="16">
        <f>IF(ISNA(VLOOKUP(A33,'Données projet'!$A$35:$I$55,6,0)),0%,VLOOKUP(A33,'Données projet'!$A$35:$I$55,6,0)*VLOOKUP('Données projet'!$B$9,Paramètres!$A$1:$I$89,7,0))</f>
        <v>0.17550000000000002</v>
      </c>
      <c r="Y33" s="16">
        <f>IF(ISNA(VLOOKUP(A33,'Données projet'!$A$35:$I$55,7,0)),0%,VLOOKUP(A33,'Données projet'!$A$35:$I$55,7,0))</f>
        <v>0.31</v>
      </c>
      <c r="Z33" s="21">
        <f>EXP(-LN(2)/35)*Z32+(1-EXP(-LN(2)/35))/(LN(2)/35)*V33*W33*VLOOKUP('Données projet'!$B$9,Paramètres!$A$1:$I$89,3,0)*0.475*44/12</f>
        <v>5.2475838758940698</v>
      </c>
      <c r="AA33" s="21">
        <f>EXP(-LN(2)/25)*AA32+(1-EXP(-LN(2)/25))/(LN(2)/25)*Calculateur!V33*Calculateur!X33*VLOOKUP('Données projet'!$B$9,Paramètres!$A$1:$I$89,3,0)*0.475*44/12</f>
        <v>21.626918118266133</v>
      </c>
      <c r="AB33" s="21">
        <f>EXP(-LN(2)/2)*AB32+(1-EXP(-LN(2)/2))/(LN(2)/2)*V33*Y33*VLOOKUP('Données projet'!$B$9,Paramètres!$A$1:$I$89,3,0)*0.475*44/12</f>
        <v>13.256318082842043</v>
      </c>
      <c r="AC33" s="22">
        <f t="shared" si="3"/>
        <v>40.130820077002241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210</v>
      </c>
      <c r="AG33" s="12">
        <f>VLOOKUP(A33,'Données projet'!$A$61:$I$81,9,0)</f>
        <v>11</v>
      </c>
      <c r="AH33" s="12">
        <f t="array" ref="AH33">INDEX(AG:AG,MIN(IF(ISNUMBER(AG33:AG229),ROW(AG33:AG229),"")))</f>
        <v>11</v>
      </c>
      <c r="AI33" s="13">
        <f>IF('Données projet'!$A$62&gt;35,AI32+AH33-AQ32,IF(A33&lt;'Données projet'!$A$62,$AF$205^A33,IF(A33='Données projet'!$A$62,'Données projet'!$B$62,AI32+AH33-AQ32)))</f>
        <v>210</v>
      </c>
      <c r="AJ33" s="13">
        <f>AI33*VLOOKUP('Données projet'!$B$10,Paramètres!$A$1:$I$89,3,0)*VLOOKUP('Données projet'!$B$10,Paramètres!$A$1:$I$89,5,0)</f>
        <v>98.28</v>
      </c>
      <c r="AK33" s="13">
        <f t="shared" si="35"/>
        <v>26.551818424463473</v>
      </c>
      <c r="AL33" s="20">
        <f t="shared" si="4"/>
        <v>217.41541708927389</v>
      </c>
      <c r="AM33" s="59">
        <f t="shared" si="5"/>
        <v>510.7487504226072</v>
      </c>
      <c r="AN33" s="59">
        <f ca="1">AVERAGE(OFFSET($AM$3,0,0,'Données projet'!$E$10+1,1))-AVERAGE(OFFSET($H$3,0,0,'Données projet'!$E$10+1,1))</f>
        <v>234.95901223517041</v>
      </c>
      <c r="AO33" s="59">
        <f t="shared" si="36"/>
        <v>179.39213799913273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50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0.30800000000000005</v>
      </c>
      <c r="AT33" s="16">
        <f>IF(ISNA(VLOOKUP(A33,'Données projet'!$A$61:$I$81,7,0)),0%,VLOOKUP(A33,'Données projet'!$A$61:$I$81,7,0))</f>
        <v>0.35</v>
      </c>
      <c r="AU33" s="21">
        <f>EXP(-LN(2)/35)*AU32+(1-EXP(-LN(2)/35))/(LN(2)/35)*AQ33*AR33*VLOOKUP('Données projet'!$B$10,Paramètres!$A$1:$I$89,3,0)*0.475*44/12</f>
        <v>3.4145769083013771</v>
      </c>
      <c r="AV33" s="21">
        <f>EXP(-LN(2)/25)*AV32+(1-EXP(-LN(2)/25))/(LN(2)/25)*Calculateur!AQ33*Calculateur!AS33*VLOOKUP('Données projet'!$B$10,Paramètres!$A$1:$I$89,3,0)*0.475*44/12</f>
        <v>15.296941851170409</v>
      </c>
      <c r="AW33" s="21">
        <f>EXP(-LN(2)/2)*AW32+(1-EXP(-LN(2)/2))/(LN(2)/2)*AQ33*AT33*VLOOKUP('Données projet'!$B$10,Paramètres!$A$1:$I$89,3,0)*0.475*44/12</f>
        <v>9.5644191101250673</v>
      </c>
      <c r="AX33" s="21">
        <f t="shared" si="6"/>
        <v>28.275937869596852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</v>
      </c>
      <c r="N34" s="13">
        <f>IF('Données projet'!$A$36&gt;35,N33+M34-V33,IF(A34&lt;'Données projet'!$A$36,$K$205^A34,IF(A34='Données projet'!$A$36,'Données projet'!$B$36,N33+M34-V33)))</f>
        <v>214.00000000000011</v>
      </c>
      <c r="O34" s="13">
        <f>N34*VLOOKUP('Données projet'!$B$9,Paramètres!$A$1:$I$89,3,0)*VLOOKUP('Données projet'!$B$9,Paramètres!$A$1:$I$89,5,0)</f>
        <v>127.97200000000008</v>
      </c>
      <c r="P34" s="13">
        <f t="shared" si="33"/>
        <v>33.527320123852874</v>
      </c>
      <c r="Q34" s="20">
        <f t="shared" si="2"/>
        <v>281.27798254904388</v>
      </c>
      <c r="R34" s="59">
        <f t="shared" si="0"/>
        <v>574.6113158823772</v>
      </c>
      <c r="S34" s="59">
        <f ca="1">AVERAGE(OFFSET($R$3,0,0,'Données projet'!$E$9+1,1))-AVERAGE(OFFSET($H$3,0,0,'Données projet'!$E$9+1,1))</f>
        <v>288.98981546396209</v>
      </c>
      <c r="T34" s="59">
        <f t="shared" si="34"/>
        <v>281.67720096117085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5.1446819567979079</v>
      </c>
      <c r="AA34" s="21">
        <f>EXP(-LN(2)/25)*AA33+(1-EXP(-LN(2)/25))/(LN(2)/25)*Calculateur!V34*Calculateur!X34*VLOOKUP('Données projet'!$B$9,Paramètres!$A$1:$I$89,3,0)*0.475*44/12</f>
        <v>21.035528905011951</v>
      </c>
      <c r="AB34" s="21">
        <f>EXP(-LN(2)/2)*AB33+(1-EXP(-LN(2)/2))/(LN(2)/2)*V34*Y34*VLOOKUP('Données projet'!$B$9,Paramètres!$A$1:$I$89,3,0)*0.475*44/12</f>
        <v>9.3736324099434629</v>
      </c>
      <c r="AC34" s="22">
        <f t="shared" si="3"/>
        <v>35.553843271753323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</v>
      </c>
      <c r="AI34" s="13">
        <f>IF('Données projet'!$A$62&gt;35,AI33+AH34-AQ33,IF(A34&lt;'Données projet'!$A$62,$AF$205^A34,IF(A34='Données projet'!$A$62,'Données projet'!$B$62,AI33+AH34-AQ33)))</f>
        <v>174</v>
      </c>
      <c r="AJ34" s="13">
        <f>AI34*VLOOKUP('Données projet'!$B$10,Paramètres!$A$1:$I$89,3,0)*VLOOKUP('Données projet'!$B$10,Paramètres!$A$1:$I$89,5,0)</f>
        <v>81.432000000000002</v>
      </c>
      <c r="AK34" s="13">
        <f t="shared" si="35"/>
        <v>22.486953220240881</v>
      </c>
      <c r="AL34" s="20">
        <f t="shared" si="4"/>
        <v>180.99217685858619</v>
      </c>
      <c r="AM34" s="59">
        <f t="shared" si="5"/>
        <v>474.32551019191953</v>
      </c>
      <c r="AN34" s="59">
        <f ca="1">AVERAGE(OFFSET($AM$3,0,0,'Données projet'!$E$10+1,1))-AVERAGE(OFFSET($H$3,0,0,'Données projet'!$E$10+1,1))</f>
        <v>234.95901223517041</v>
      </c>
      <c r="AO34" s="59">
        <f t="shared" si="36"/>
        <v>179.39213799913273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3.3476191378158529</v>
      </c>
      <c r="AV34" s="21">
        <f>EXP(-LN(2)/25)*AV33+(1-EXP(-LN(2)/25))/(LN(2)/25)*Calculateur!AQ34*Calculateur!AS34*VLOOKUP('Données projet'!$B$10,Paramètres!$A$1:$I$89,3,0)*0.475*44/12</f>
        <v>14.878646171818945</v>
      </c>
      <c r="AW34" s="21">
        <f>EXP(-LN(2)/2)*AW33+(1-EXP(-LN(2)/2))/(LN(2)/2)*AQ34*AT34*VLOOKUP('Données projet'!$B$10,Paramètres!$A$1:$I$89,3,0)*0.475*44/12</f>
        <v>6.7630656108796403</v>
      </c>
      <c r="AX34" s="21">
        <f t="shared" si="6"/>
        <v>24.989330920514437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19</v>
      </c>
      <c r="N35" s="13">
        <f>IF('Données projet'!$A$36&gt;35,N34+M35-V34,IF(A35&lt;'Données projet'!$A$36,$K$205^A35,IF(A35='Données projet'!$A$36,'Données projet'!$B$36,N34+M35-V34)))</f>
        <v>233.00000000000011</v>
      </c>
      <c r="O35" s="13">
        <f>N35*VLOOKUP('Données projet'!$B$9,Paramètres!$A$1:$I$89,3,0)*VLOOKUP('Données projet'!$B$9,Paramètres!$A$1:$I$89,5,0)</f>
        <v>139.33400000000009</v>
      </c>
      <c r="P35" s="13">
        <f t="shared" si="33"/>
        <v>36.144391930570897</v>
      </c>
      <c r="Q35" s="20">
        <f t="shared" ref="Q35:Q66" si="53">(O35+P35)*0.475*44/12</f>
        <v>305.62486594574449</v>
      </c>
      <c r="R35" s="59">
        <f t="shared" si="0"/>
        <v>598.9581992790778</v>
      </c>
      <c r="S35" s="59">
        <f ca="1">AVERAGE(OFFSET($R$3,0,0,'Données projet'!$E$9+1,1))-AVERAGE(OFFSET($H$3,0,0,'Données projet'!$E$9+1,1))</f>
        <v>288.98981546396209</v>
      </c>
      <c r="T35" s="59">
        <f t="shared" si="34"/>
        <v>281.67720096117085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5.0437978815712476</v>
      </c>
      <c r="AA35" s="21">
        <f>EXP(-LN(2)/25)*AA34+(1-EXP(-LN(2)/25))/(LN(2)/25)*Calculateur!V35*Calculateur!X35*VLOOKUP('Données projet'!$B$9,Paramètres!$A$1:$I$89,3,0)*0.475*44/12</f>
        <v>20.460311260894013</v>
      </c>
      <c r="AB35" s="21">
        <f>EXP(-LN(2)/2)*AB34+(1-EXP(-LN(2)/2))/(LN(2)/2)*V35*Y35*VLOOKUP('Données projet'!$B$9,Paramètres!$A$1:$I$89,3,0)*0.475*44/12</f>
        <v>6.6281590414210232</v>
      </c>
      <c r="AC35" s="22">
        <f t="shared" si="3"/>
        <v>32.132268183886282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</v>
      </c>
      <c r="AI35" s="13">
        <f>IF('Données projet'!$A$62&gt;35,AI34+AH35-AQ34,IF(A35&lt;'Données projet'!$A$62,$AF$205^A35,IF(A35='Données projet'!$A$62,'Données projet'!$B$62,AI34+AH35-AQ34)))</f>
        <v>188</v>
      </c>
      <c r="AJ35" s="13">
        <f>AI35*VLOOKUP('Données projet'!$B$10,Paramètres!$A$1:$I$89,3,0)*VLOOKUP('Données projet'!$B$10,Paramètres!$A$1:$I$89,5,0)</f>
        <v>87.983999999999995</v>
      </c>
      <c r="AK35" s="13">
        <f t="shared" si="35"/>
        <v>24.078375128721785</v>
      </c>
      <c r="AL35" s="20">
        <f t="shared" si="4"/>
        <v>195.17530334919044</v>
      </c>
      <c r="AM35" s="59">
        <f t="shared" si="5"/>
        <v>488.50863668252373</v>
      </c>
      <c r="AN35" s="59">
        <f ca="1">AVERAGE(OFFSET($AM$3,0,0,'Données projet'!$E$10+1,1))-AVERAGE(OFFSET($H$3,0,0,'Données projet'!$E$10+1,1))</f>
        <v>234.95901223517041</v>
      </c>
      <c r="AO35" s="59">
        <f t="shared" si="36"/>
        <v>179.39213799913273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3.2819743683693425</v>
      </c>
      <c r="AV35" s="21">
        <f>EXP(-LN(2)/25)*AV34+(1-EXP(-LN(2)/25))/(LN(2)/25)*Calculateur!AQ35*Calculateur!AS35*VLOOKUP('Données projet'!$B$10,Paramètres!$A$1:$I$89,3,0)*0.475*44/12</f>
        <v>14.471788809816559</v>
      </c>
      <c r="AW35" s="21">
        <f>EXP(-LN(2)/2)*AW34+(1-EXP(-LN(2)/2))/(LN(2)/2)*AQ35*AT35*VLOOKUP('Données projet'!$B$10,Paramètres!$A$1:$I$89,3,0)*0.475*44/12</f>
        <v>4.7822095550625345</v>
      </c>
      <c r="AX35" s="21">
        <f t="shared" si="6"/>
        <v>22.535972733248435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19</v>
      </c>
      <c r="N36" s="13">
        <f>IF('Données projet'!$A$36&gt;35,N35+M36-V35,IF(A36&lt;'Données projet'!$A$36,$K$205^A36,IF(A36='Données projet'!$A$36,'Données projet'!$B$36,N35+M36-V35)))</f>
        <v>252.00000000000011</v>
      </c>
      <c r="O36" s="13">
        <f>N36*VLOOKUP('Données projet'!$B$9,Paramètres!$A$1:$I$89,3,0)*VLOOKUP('Données projet'!$B$9,Paramètres!$A$1:$I$89,5,0)</f>
        <v>150.69600000000008</v>
      </c>
      <c r="P36" s="13">
        <f t="shared" si="33"/>
        <v>38.736711478840668</v>
      </c>
      <c r="Q36" s="20">
        <f t="shared" si="53"/>
        <v>329.92863915898096</v>
      </c>
      <c r="R36" s="59">
        <f t="shared" si="0"/>
        <v>623.26197249231427</v>
      </c>
      <c r="S36" s="59">
        <f ca="1">AVERAGE(OFFSET($R$3,0,0,'Données projet'!$E$9+1,1))-AVERAGE(OFFSET($H$3,0,0,'Données projet'!$E$9+1,1))</f>
        <v>288.98981546396209</v>
      </c>
      <c r="T36" s="59">
        <f t="shared" si="34"/>
        <v>281.67720096117085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4.9448920815265724</v>
      </c>
      <c r="AA36" s="21">
        <f>EXP(-LN(2)/25)*AA35+(1-EXP(-LN(2)/25))/(LN(2)/25)*Calculateur!V36*Calculateur!X36*VLOOKUP('Données projet'!$B$9,Paramètres!$A$1:$I$89,3,0)*0.475*44/12</f>
        <v>19.90082297350386</v>
      </c>
      <c r="AB36" s="21">
        <f>EXP(-LN(2)/2)*AB35+(1-EXP(-LN(2)/2))/(LN(2)/2)*V36*Y36*VLOOKUP('Données projet'!$B$9,Paramètres!$A$1:$I$89,3,0)*0.475*44/12</f>
        <v>4.6868162049717323</v>
      </c>
      <c r="AC36" s="22">
        <f t="shared" si="3"/>
        <v>29.532531260002166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</v>
      </c>
      <c r="AI36" s="13">
        <f>IF('Données projet'!$A$62&gt;35,AI35+AH36-AQ35,IF(A36&lt;'Données projet'!$A$62,$AF$205^A36,IF(A36='Données projet'!$A$62,'Données projet'!$B$62,AI35+AH36-AQ35)))</f>
        <v>202</v>
      </c>
      <c r="AJ36" s="13">
        <f>AI36*VLOOKUP('Données projet'!$B$10,Paramètres!$A$1:$I$89,3,0)*VLOOKUP('Données projet'!$B$10,Paramètres!$A$1:$I$89,5,0)</f>
        <v>94.536000000000001</v>
      </c>
      <c r="AK36" s="13">
        <f t="shared" si="35"/>
        <v>25.656048664271697</v>
      </c>
      <c r="AL36" s="20">
        <f t="shared" si="4"/>
        <v>209.33448475693987</v>
      </c>
      <c r="AM36" s="59">
        <f t="shared" si="5"/>
        <v>502.66781809027316</v>
      </c>
      <c r="AN36" s="59">
        <f ca="1">AVERAGE(OFFSET($AM$3,0,0,'Données projet'!$E$10+1,1))-AVERAGE(OFFSET($H$3,0,0,'Données projet'!$E$10+1,1))</f>
        <v>234.95901223517041</v>
      </c>
      <c r="AO36" s="59">
        <f t="shared" si="36"/>
        <v>179.39213799913273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3.2176168528123226</v>
      </c>
      <c r="AV36" s="21">
        <f>EXP(-LN(2)/25)*AV35+(1-EXP(-LN(2)/25))/(LN(2)/25)*Calculateur!AQ36*Calculateur!AS36*VLOOKUP('Données projet'!$B$10,Paramètres!$A$1:$I$89,3,0)*0.475*44/12</f>
        <v>14.076056983773828</v>
      </c>
      <c r="AW36" s="21">
        <f>EXP(-LN(2)/2)*AW35+(1-EXP(-LN(2)/2))/(LN(2)/2)*AQ36*AT36*VLOOKUP('Données projet'!$B$10,Paramètres!$A$1:$I$89,3,0)*0.475*44/12</f>
        <v>3.3815328054398206</v>
      </c>
      <c r="AX36" s="21">
        <f t="shared" si="6"/>
        <v>20.675206642025973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19</v>
      </c>
      <c r="N37" s="13">
        <f>IF('Données projet'!$A$36&gt;35,N36+M37-V36,IF(A37&lt;'Données projet'!$A$36,$K$205^A37,IF(A37='Données projet'!$A$36,'Données projet'!$B$36,N36+M37-V36)))</f>
        <v>271.00000000000011</v>
      </c>
      <c r="O37" s="13">
        <f>N37*VLOOKUP('Données projet'!$B$9,Paramètres!$A$1:$I$89,3,0)*VLOOKUP('Données projet'!$B$9,Paramètres!$A$1:$I$89,5,0)</f>
        <v>162.05800000000008</v>
      </c>
      <c r="P37" s="13">
        <f t="shared" si="33"/>
        <v>41.306357213602411</v>
      </c>
      <c r="Q37" s="20">
        <f t="shared" si="53"/>
        <v>354.19292214702432</v>
      </c>
      <c r="R37" s="59">
        <f t="shared" si="0"/>
        <v>647.52625548035758</v>
      </c>
      <c r="S37" s="59">
        <f ca="1">AVERAGE(OFFSET($R$3,0,0,'Données projet'!$E$9+1,1))-AVERAGE(OFFSET($H$3,0,0,'Données projet'!$E$9+1,1))</f>
        <v>288.98981546396209</v>
      </c>
      <c r="T37" s="59">
        <f t="shared" si="34"/>
        <v>281.67720096117085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4.8479257638941924</v>
      </c>
      <c r="AA37" s="21">
        <f>EXP(-LN(2)/25)*AA36+(1-EXP(-LN(2)/25))/(LN(2)/25)*Calculateur!V37*Calculateur!X37*VLOOKUP('Données projet'!$B$9,Paramètres!$A$1:$I$89,3,0)*0.475*44/12</f>
        <v>19.3566339227546</v>
      </c>
      <c r="AB37" s="21">
        <f>EXP(-LN(2)/2)*AB36+(1-EXP(-LN(2)/2))/(LN(2)/2)*V37*Y37*VLOOKUP('Données projet'!$B$9,Paramètres!$A$1:$I$89,3,0)*0.475*44/12</f>
        <v>3.314079520710512</v>
      </c>
      <c r="AC37" s="22">
        <f t="shared" si="3"/>
        <v>27.518639207359303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</v>
      </c>
      <c r="AI37" s="13">
        <f>IF('Données projet'!$A$62&gt;35,AI36+AH37-AQ36,IF(A37&lt;'Données projet'!$A$62,$AF$205^A37,IF(A37='Données projet'!$A$62,'Données projet'!$B$62,AI36+AH37-AQ36)))</f>
        <v>216</v>
      </c>
      <c r="AJ37" s="13">
        <f>AI37*VLOOKUP('Données projet'!$B$10,Paramètres!$A$1:$I$89,3,0)*VLOOKUP('Données projet'!$B$10,Paramètres!$A$1:$I$89,5,0)</f>
        <v>101.08799999999999</v>
      </c>
      <c r="AK37" s="13">
        <f t="shared" si="35"/>
        <v>27.221035075711939</v>
      </c>
      <c r="AL37" s="20">
        <f t="shared" si="4"/>
        <v>223.47156942353161</v>
      </c>
      <c r="AM37" s="59">
        <f t="shared" si="5"/>
        <v>516.80490275686498</v>
      </c>
      <c r="AN37" s="59">
        <f ca="1">AVERAGE(OFFSET($AM$3,0,0,'Données projet'!$E$10+1,1))-AVERAGE(OFFSET($H$3,0,0,'Données projet'!$E$10+1,1))</f>
        <v>234.95901223517041</v>
      </c>
      <c r="AO37" s="59">
        <f t="shared" si="36"/>
        <v>179.39213799913273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3.154521348881167</v>
      </c>
      <c r="AV37" s="21">
        <f>EXP(-LN(2)/25)*AV36+(1-EXP(-LN(2)/25))/(LN(2)/25)*Calculateur!AQ37*Calculateur!AS37*VLOOKUP('Données projet'!$B$10,Paramètres!$A$1:$I$89,3,0)*0.475*44/12</f>
        <v>13.691146465324866</v>
      </c>
      <c r="AW37" s="21">
        <f>EXP(-LN(2)/2)*AW36+(1-EXP(-LN(2)/2))/(LN(2)/2)*AQ37*AT37*VLOOKUP('Données projet'!$B$10,Paramètres!$A$1:$I$89,3,0)*0.475*44/12</f>
        <v>2.3911047775312677</v>
      </c>
      <c r="AX37" s="21">
        <f t="shared" si="6"/>
        <v>19.236772591737303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290</v>
      </c>
      <c r="L38" s="12">
        <f>VLOOKUP(A38,'Données projet'!$A$35:$I$55,9,0)</f>
        <v>19</v>
      </c>
      <c r="M38" s="12">
        <f t="array" ref="M38">INDEX(L:L,MIN(IF(ISNUMBER(L38:L234),ROW(L38:L234),"")))</f>
        <v>19</v>
      </c>
      <c r="N38" s="13">
        <f>IF('Données projet'!$A$36&gt;35,N37+M38-V37,IF(A38&lt;'Données projet'!$A$36,$K$205^A38,IF(A38='Données projet'!$A$36,'Données projet'!$B$36,N37+M38-V37)))</f>
        <v>290.00000000000011</v>
      </c>
      <c r="O38" s="13">
        <f>N38*VLOOKUP('Données projet'!$B$9,Paramètres!$A$1:$I$89,3,0)*VLOOKUP('Données projet'!$B$9,Paramètres!$A$1:$I$89,5,0)</f>
        <v>173.4200000000001</v>
      </c>
      <c r="P38" s="13">
        <f t="shared" si="33"/>
        <v>43.85509963097244</v>
      </c>
      <c r="Q38" s="20">
        <f t="shared" si="53"/>
        <v>378.42079852394386</v>
      </c>
      <c r="R38" s="59">
        <f t="shared" si="0"/>
        <v>671.75413185727712</v>
      </c>
      <c r="S38" s="59">
        <f ca="1">AVERAGE(OFFSET($R$3,0,0,'Données projet'!$E$9+1,1))-AVERAGE(OFFSET($H$3,0,0,'Données projet'!$E$9+1,1))</f>
        <v>288.98981546396209</v>
      </c>
      <c r="T38" s="59">
        <f t="shared" si="34"/>
        <v>281.67720096117085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49</v>
      </c>
      <c r="W38" s="16">
        <f>IF(ISNA(VLOOKUP(A38,'Données projet'!$A$35:$I$55,5,0)),0%,VLOOKUP(A38,'Données projet'!$A$35:$I$55,5,0)*VLOOKUP('Données projet'!$B$9,Paramètres!$A$1:$I$89,7,0))</f>
        <v>0.13500000000000001</v>
      </c>
      <c r="X38" s="16">
        <f>IF(ISNA(VLOOKUP(A38,'Données projet'!$A$35:$I$55,6,0)),0%,VLOOKUP(A38,'Données projet'!$A$35:$I$55,6,0)*VLOOKUP('Données projet'!$B$9,Paramètres!$A$1:$I$89,7,0))</f>
        <v>0.17550000000000002</v>
      </c>
      <c r="Y38" s="16">
        <f>IF(ISNA(VLOOKUP(A38,'Données projet'!$A$35:$I$55,7,0)),0%,VLOOKUP(A38,'Données projet'!$A$35:$I$55,7,0))</f>
        <v>0.31</v>
      </c>
      <c r="Z38" s="21">
        <f>EXP(-LN(2)/35)*Z37+(1-EXP(-LN(2)/35))/(LN(2)/35)*V38*W38*VLOOKUP('Données projet'!$B$9,Paramètres!$A$1:$I$89,3,0)*0.475*44/12</f>
        <v>10.000444772501039</v>
      </c>
      <c r="AA38" s="21">
        <f>EXP(-LN(2)/25)*AA37+(1-EXP(-LN(2)/25))/(LN(2)/25)*Calculateur!V38*Calculateur!X38*VLOOKUP('Données projet'!$B$9,Paramètres!$A$1:$I$89,3,0)*0.475*44/12</f>
        <v>25.622324530510738</v>
      </c>
      <c r="AB38" s="21">
        <f>EXP(-LN(2)/2)*AB37+(1-EXP(-LN(2)/2))/(LN(2)/2)*V38*Y38*VLOOKUP('Données projet'!$B$9,Paramètres!$A$1:$I$89,3,0)*0.475*44/12</f>
        <v>12.628176044943222</v>
      </c>
      <c r="AC38" s="22">
        <f t="shared" si="3"/>
        <v>48.250945347955003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</v>
      </c>
      <c r="AI38" s="13">
        <f>IF('Données projet'!$A$62&gt;35,AI37+AH38-AQ37,IF(A38&lt;'Données projet'!$A$62,$AF$205^A38,IF(A38='Données projet'!$A$62,'Données projet'!$B$62,AI37+AH38-AQ37)))</f>
        <v>230</v>
      </c>
      <c r="AJ38" s="13">
        <f>AI38*VLOOKUP('Données projet'!$B$10,Paramètres!$A$1:$I$89,3,0)*VLOOKUP('Données projet'!$B$10,Paramètres!$A$1:$I$89,5,0)</f>
        <v>107.64</v>
      </c>
      <c r="AK38" s="13">
        <f t="shared" si="35"/>
        <v>28.774250263353583</v>
      </c>
      <c r="AL38" s="20">
        <f t="shared" si="4"/>
        <v>237.58815254200749</v>
      </c>
      <c r="AM38" s="59">
        <f t="shared" si="5"/>
        <v>530.92148587534075</v>
      </c>
      <c r="AN38" s="59">
        <f ca="1">AVERAGE(OFFSET($AM$3,0,0,'Données projet'!$E$10+1,1))-AVERAGE(OFFSET($H$3,0,0,'Données projet'!$E$10+1,1))</f>
        <v>234.95901223517041</v>
      </c>
      <c r="AO38" s="59">
        <f t="shared" si="36"/>
        <v>179.39213799913273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3.0926631092976442</v>
      </c>
      <c r="AV38" s="21">
        <f>EXP(-LN(2)/25)*AV37+(1-EXP(-LN(2)/25))/(LN(2)/25)*Calculateur!AQ38*Calculateur!AS38*VLOOKUP('Données projet'!$B$10,Paramètres!$A$1:$I$89,3,0)*0.475*44/12</f>
        <v>13.316761345244457</v>
      </c>
      <c r="AW38" s="21">
        <f>EXP(-LN(2)/2)*AW37+(1-EXP(-LN(2)/2))/(LN(2)/2)*AQ38*AT38*VLOOKUP('Données projet'!$B$10,Paramètres!$A$1:$I$89,3,0)*0.475*44/12</f>
        <v>1.6907664027199105</v>
      </c>
      <c r="AX38" s="21">
        <f t="shared" si="6"/>
        <v>18.10019085726201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18.600000000000001</v>
      </c>
      <c r="N39" s="13">
        <f>IF('Données projet'!$A$36&gt;35,N38+M39-V38,IF(A39&lt;'Données projet'!$A$36,$K$205^A39,IF(A39='Données projet'!$A$36,'Données projet'!$B$36,N38+M39-V38)))</f>
        <v>259.60000000000014</v>
      </c>
      <c r="O39" s="13">
        <f>N39*VLOOKUP('Données projet'!$B$9,Paramètres!$A$1:$I$89,3,0)*VLOOKUP('Données projet'!$B$9,Paramètres!$A$1:$I$89,5,0)</f>
        <v>155.24080000000009</v>
      </c>
      <c r="P39" s="13">
        <f t="shared" si="33"/>
        <v>39.767185348358026</v>
      </c>
      <c r="Q39" s="20">
        <f t="shared" si="53"/>
        <v>339.63890781505705</v>
      </c>
      <c r="R39" s="59">
        <f t="shared" si="0"/>
        <v>632.97224114839037</v>
      </c>
      <c r="S39" s="59">
        <f ca="1">AVERAGE(OFFSET($R$3,0,0,'Données projet'!$E$9+1,1))-AVERAGE(OFFSET($H$3,0,0,'Données projet'!$E$9+1,1))</f>
        <v>288.98981546396209</v>
      </c>
      <c r="T39" s="59">
        <f t="shared" si="34"/>
        <v>281.67720096117085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9.8043421501813128</v>
      </c>
      <c r="AA39" s="21">
        <f>EXP(-LN(2)/25)*AA38+(1-EXP(-LN(2)/25))/(LN(2)/25)*Calculateur!V39*Calculateur!X39*VLOOKUP('Données projet'!$B$9,Paramètres!$A$1:$I$89,3,0)*0.475*44/12</f>
        <v>24.921680718804435</v>
      </c>
      <c r="AB39" s="21">
        <f>EXP(-LN(2)/2)*AB38+(1-EXP(-LN(2)/2))/(LN(2)/2)*V39*Y39*VLOOKUP('Données projet'!$B$9,Paramètres!$A$1:$I$89,3,0)*0.475*44/12</f>
        <v>8.9294689153968694</v>
      </c>
      <c r="AC39" s="22">
        <f t="shared" si="3"/>
        <v>43.655491784382619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</v>
      </c>
      <c r="AI39" s="13">
        <f>IF('Données projet'!$A$62&gt;35,AI38+AH39-AQ38,IF(A39&lt;'Données projet'!$A$62,$AF$205^A39,IF(A39='Données projet'!$A$62,'Données projet'!$B$62,AI38+AH39-AQ38)))</f>
        <v>244</v>
      </c>
      <c r="AJ39" s="13">
        <f>AI39*VLOOKUP('Données projet'!$B$10,Paramètres!$A$1:$I$89,3,0)*VLOOKUP('Données projet'!$B$10,Paramètres!$A$1:$I$89,5,0)</f>
        <v>114.19200000000001</v>
      </c>
      <c r="AK39" s="13">
        <f t="shared" si="35"/>
        <v>30.316492326242802</v>
      </c>
      <c r="AL39" s="20">
        <f t="shared" si="4"/>
        <v>251.68562413487288</v>
      </c>
      <c r="AM39" s="59">
        <f t="shared" si="5"/>
        <v>545.01895746820617</v>
      </c>
      <c r="AN39" s="59">
        <f ca="1">AVERAGE(OFFSET($AM$3,0,0,'Données projet'!$E$10+1,1))-AVERAGE(OFFSET($H$3,0,0,'Données projet'!$E$10+1,1))</f>
        <v>234.95901223517041</v>
      </c>
      <c r="AO39" s="59">
        <f t="shared" si="36"/>
        <v>179.39213799913273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3.0320178720625535</v>
      </c>
      <c r="AV39" s="21">
        <f>EXP(-LN(2)/25)*AV38+(1-EXP(-LN(2)/25))/(LN(2)/25)*Calculateur!AQ39*Calculateur!AS39*VLOOKUP('Données projet'!$B$10,Paramètres!$A$1:$I$89,3,0)*0.475*44/12</f>
        <v>12.952613805960704</v>
      </c>
      <c r="AW39" s="21">
        <f>EXP(-LN(2)/2)*AW38+(1-EXP(-LN(2)/2))/(LN(2)/2)*AQ39*AT39*VLOOKUP('Données projet'!$B$10,Paramètres!$A$1:$I$89,3,0)*0.475*44/12</f>
        <v>1.1955523887656339</v>
      </c>
      <c r="AX39" s="21">
        <f t="shared" si="6"/>
        <v>17.18018406678889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18.600000000000001</v>
      </c>
      <c r="N40" s="13">
        <f>IF('Données projet'!$A$36&gt;35,N39+M40-V39,IF(A40&lt;'Données projet'!$A$36,$K$205^A40,IF(A40='Données projet'!$A$36,'Données projet'!$B$36,N39+M40-V39)))</f>
        <v>278.20000000000016</v>
      </c>
      <c r="O40" s="13">
        <f>N40*VLOOKUP('Données projet'!$B$9,Paramètres!$A$1:$I$89,3,0)*VLOOKUP('Données projet'!$B$9,Paramètres!$A$1:$I$89,5,0)</f>
        <v>166.3636000000001</v>
      </c>
      <c r="P40" s="13">
        <f t="shared" si="33"/>
        <v>42.274568875588933</v>
      </c>
      <c r="Q40" s="20">
        <f t="shared" si="53"/>
        <v>363.3781441249842</v>
      </c>
      <c r="R40" s="59">
        <f t="shared" si="0"/>
        <v>656.71147745831752</v>
      </c>
      <c r="S40" s="59">
        <f ca="1">AVERAGE(OFFSET($R$3,0,0,'Données projet'!$E$9+1,1))-AVERAGE(OFFSET($H$3,0,0,'Données projet'!$E$9+1,1))</f>
        <v>288.98981546396209</v>
      </c>
      <c r="T40" s="59">
        <f t="shared" si="34"/>
        <v>281.67720096117085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9.6120849806744868</v>
      </c>
      <c r="AA40" s="21">
        <f>EXP(-LN(2)/25)*AA39+(1-EXP(-LN(2)/25))/(LN(2)/25)*Calculateur!V40*Calculateur!X40*VLOOKUP('Données projet'!$B$9,Paramètres!$A$1:$I$89,3,0)*0.475*44/12</f>
        <v>24.240196048974497</v>
      </c>
      <c r="AB40" s="21">
        <f>EXP(-LN(2)/2)*AB39+(1-EXP(-LN(2)/2))/(LN(2)/2)*V40*Y40*VLOOKUP('Données projet'!$B$9,Paramètres!$A$1:$I$89,3,0)*0.475*44/12</f>
        <v>6.314088022471612</v>
      </c>
      <c r="AC40" s="22">
        <f t="shared" si="3"/>
        <v>40.166369052120601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</v>
      </c>
      <c r="AI40" s="13">
        <f>IF('Données projet'!$A$62&gt;35,AI39+AH40-AQ39,IF(A40&lt;'Données projet'!$A$62,$AF$205^A40,IF(A40='Données projet'!$A$62,'Données projet'!$B$62,AI39+AH40-AQ39)))</f>
        <v>258</v>
      </c>
      <c r="AJ40" s="13">
        <f>AI40*VLOOKUP('Données projet'!$B$10,Paramètres!$A$1:$I$89,3,0)*VLOOKUP('Données projet'!$B$10,Paramètres!$A$1:$I$89,5,0)</f>
        <v>120.744</v>
      </c>
      <c r="AK40" s="13">
        <f t="shared" si="35"/>
        <v>31.848462605207807</v>
      </c>
      <c r="AL40" s="20">
        <f t="shared" si="4"/>
        <v>265.76520570407024</v>
      </c>
      <c r="AM40" s="59">
        <f t="shared" si="5"/>
        <v>559.0985390374035</v>
      </c>
      <c r="AN40" s="59">
        <f ca="1">AVERAGE(OFFSET($AM$3,0,0,'Données projet'!$E$10+1,1))-AVERAGE(OFFSET($H$3,0,0,'Données projet'!$E$10+1,1))</f>
        <v>234.95901223517041</v>
      </c>
      <c r="AO40" s="59">
        <f t="shared" si="36"/>
        <v>179.39213799913273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2.9725618509397007</v>
      </c>
      <c r="AV40" s="21">
        <f>EXP(-LN(2)/25)*AV39+(1-EXP(-LN(2)/25))/(LN(2)/25)*Calculateur!AQ40*Calculateur!AS40*VLOOKUP('Données projet'!$B$10,Paramètres!$A$1:$I$89,3,0)*0.475*44/12</f>
        <v>12.598423900288353</v>
      </c>
      <c r="AW40" s="21">
        <f>EXP(-LN(2)/2)*AW39+(1-EXP(-LN(2)/2))/(LN(2)/2)*AQ40*AT40*VLOOKUP('Données projet'!$B$10,Paramètres!$A$1:$I$89,3,0)*0.475*44/12</f>
        <v>0.84538320135995526</v>
      </c>
      <c r="AX40" s="21">
        <f t="shared" si="6"/>
        <v>16.416368952588009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18.600000000000001</v>
      </c>
      <c r="N41" s="13">
        <f>IF('Données projet'!$A$36&gt;35,N40+M41-V40,IF(A41&lt;'Données projet'!$A$36,$K$205^A41,IF(A41='Données projet'!$A$36,'Données projet'!$B$36,N40+M41-V40)))</f>
        <v>296.80000000000018</v>
      </c>
      <c r="O41" s="13">
        <f>N41*VLOOKUP('Données projet'!$B$9,Paramètres!$A$1:$I$89,3,0)*VLOOKUP('Données projet'!$B$9,Paramètres!$A$1:$I$89,5,0)</f>
        <v>177.48640000000012</v>
      </c>
      <c r="P41" s="13">
        <f t="shared" si="33"/>
        <v>44.762499594286361</v>
      </c>
      <c r="Q41" s="20">
        <f t="shared" si="53"/>
        <v>387.08350012671559</v>
      </c>
      <c r="R41" s="59">
        <f t="shared" si="0"/>
        <v>680.41683346004891</v>
      </c>
      <c r="S41" s="59">
        <f ca="1">AVERAGE(OFFSET($R$3,0,0,'Données projet'!$E$9+1,1))-AVERAGE(OFFSET($H$3,0,0,'Données projet'!$E$9+1,1))</f>
        <v>288.98981546396209</v>
      </c>
      <c r="T41" s="59">
        <f t="shared" si="34"/>
        <v>281.67720096117085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9.4235978569963947</v>
      </c>
      <c r="AA41" s="21">
        <f>EXP(-LN(2)/25)*AA40+(1-EXP(-LN(2)/25))/(LN(2)/25)*Calculateur!V41*Calculateur!X41*VLOOKUP('Données projet'!$B$9,Paramètres!$A$1:$I$89,3,0)*0.475*44/12</f>
        <v>23.577346613278781</v>
      </c>
      <c r="AB41" s="21">
        <f>EXP(-LN(2)/2)*AB40+(1-EXP(-LN(2)/2))/(LN(2)/2)*V41*Y41*VLOOKUP('Données projet'!$B$9,Paramètres!$A$1:$I$89,3,0)*0.475*44/12</f>
        <v>4.4647344576984347</v>
      </c>
      <c r="AC41" s="22">
        <f t="shared" si="3"/>
        <v>37.465678927973606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</v>
      </c>
      <c r="AI41" s="13">
        <f>IF('Données projet'!$A$62&gt;35,AI40+AH41-AQ40,IF(A41&lt;'Données projet'!$A$62,$AF$205^A41,IF(A41='Données projet'!$A$62,'Données projet'!$B$62,AI40+AH41-AQ40)))</f>
        <v>272</v>
      </c>
      <c r="AJ41" s="13">
        <f>AI41*VLOOKUP('Données projet'!$B$10,Paramètres!$A$1:$I$89,3,0)*VLOOKUP('Données projet'!$B$10,Paramètres!$A$1:$I$89,5,0)</f>
        <v>127.29600000000001</v>
      </c>
      <c r="AK41" s="13">
        <f t="shared" si="35"/>
        <v>33.370782027774453</v>
      </c>
      <c r="AL41" s="20">
        <f t="shared" si="4"/>
        <v>279.82797869837384</v>
      </c>
      <c r="AM41" s="59">
        <f t="shared" si="5"/>
        <v>573.16131203170721</v>
      </c>
      <c r="AN41" s="59">
        <f ca="1">AVERAGE(OFFSET($AM$3,0,0,'Données projet'!$E$10+1,1))-AVERAGE(OFFSET($H$3,0,0,'Données projet'!$E$10+1,1))</f>
        <v>234.95901223517041</v>
      </c>
      <c r="AO41" s="59">
        <f t="shared" si="36"/>
        <v>179.39213799913273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2.9142717261264752</v>
      </c>
      <c r="AV41" s="21">
        <f>EXP(-LN(2)/25)*AV40+(1-EXP(-LN(2)/25))/(LN(2)/25)*Calculateur!AQ41*Calculateur!AS41*VLOOKUP('Données projet'!$B$10,Paramètres!$A$1:$I$89,3,0)*0.475*44/12</f>
        <v>12.253919336212649</v>
      </c>
      <c r="AW41" s="21">
        <f>EXP(-LN(2)/2)*AW40+(1-EXP(-LN(2)/2))/(LN(2)/2)*AQ41*AT41*VLOOKUP('Données projet'!$B$10,Paramètres!$A$1:$I$89,3,0)*0.475*44/12</f>
        <v>0.59777619438281693</v>
      </c>
      <c r="AX41" s="21">
        <f t="shared" si="6"/>
        <v>15.765967256721941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18.600000000000001</v>
      </c>
      <c r="N42" s="13">
        <f>IF('Données projet'!$A$36&gt;35,N41+M42-V41,IF(A42&lt;'Données projet'!$A$36,$K$205^A42,IF(A42='Données projet'!$A$36,'Données projet'!$B$36,N41+M42-V41)))</f>
        <v>315.4000000000002</v>
      </c>
      <c r="O42" s="13">
        <f>N42*VLOOKUP('Données projet'!$B$9,Paramètres!$A$1:$I$89,3,0)*VLOOKUP('Données projet'!$B$9,Paramètres!$A$1:$I$89,5,0)</f>
        <v>188.60920000000013</v>
      </c>
      <c r="P42" s="13">
        <f t="shared" si="33"/>
        <v>47.232335363406804</v>
      </c>
      <c r="Q42" s="20">
        <f t="shared" si="53"/>
        <v>410.75734075793372</v>
      </c>
      <c r="R42" s="59">
        <f t="shared" si="0"/>
        <v>704.09067409126703</v>
      </c>
      <c r="S42" s="59">
        <f ca="1">AVERAGE(OFFSET($R$3,0,0,'Données projet'!$E$9+1,1))-AVERAGE(OFFSET($H$3,0,0,'Données projet'!$E$9+1,1))</f>
        <v>288.98981546396209</v>
      </c>
      <c r="T42" s="59">
        <f t="shared" si="34"/>
        <v>281.67720096117085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9.2388068508478369</v>
      </c>
      <c r="AA42" s="21">
        <f>EXP(-LN(2)/25)*AA41+(1-EXP(-LN(2)/25))/(LN(2)/25)*Calculateur!V42*Calculateur!X42*VLOOKUP('Données projet'!$B$9,Paramètres!$A$1:$I$89,3,0)*0.475*44/12</f>
        <v>22.932622830259902</v>
      </c>
      <c r="AB42" s="21">
        <f>EXP(-LN(2)/2)*AB41+(1-EXP(-LN(2)/2))/(LN(2)/2)*V42*Y42*VLOOKUP('Données projet'!$B$9,Paramètres!$A$1:$I$89,3,0)*0.475*44/12</f>
        <v>3.157044011235806</v>
      </c>
      <c r="AC42" s="22">
        <f t="shared" si="3"/>
        <v>35.328473692343543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</v>
      </c>
      <c r="AI42" s="13">
        <f>IF('Données projet'!$A$62&gt;35,AI41+AH42-AQ41,IF(A42&lt;'Données projet'!$A$62,$AF$205^A42,IF(A42='Données projet'!$A$62,'Données projet'!$B$62,AI41+AH42-AQ41)))</f>
        <v>286</v>
      </c>
      <c r="AJ42" s="13">
        <f>AI42*VLOOKUP('Données projet'!$B$10,Paramètres!$A$1:$I$89,3,0)*VLOOKUP('Données projet'!$B$10,Paramètres!$A$1:$I$89,5,0)</f>
        <v>133.84799999999998</v>
      </c>
      <c r="AK42" s="13">
        <f t="shared" si="35"/>
        <v>34.884003992121656</v>
      </c>
      <c r="AL42" s="20">
        <f t="shared" si="4"/>
        <v>293.8749069529452</v>
      </c>
      <c r="AM42" s="59">
        <f t="shared" si="5"/>
        <v>587.20824028627851</v>
      </c>
      <c r="AN42" s="59">
        <f ca="1">AVERAGE(OFFSET($AM$3,0,0,'Données projet'!$E$10+1,1))-AVERAGE(OFFSET($H$3,0,0,'Données projet'!$E$10+1,1))</f>
        <v>234.95901223517041</v>
      </c>
      <c r="AO42" s="59">
        <f t="shared" si="36"/>
        <v>179.39213799913273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2.8571246351073714</v>
      </c>
      <c r="AV42" s="21">
        <f>EXP(-LN(2)/25)*AV41+(1-EXP(-LN(2)/25))/(LN(2)/25)*Calculateur!AQ42*Calculateur!AS42*VLOOKUP('Données projet'!$B$10,Paramètres!$A$1:$I$89,3,0)*0.475*44/12</f>
        <v>11.918835267558302</v>
      </c>
      <c r="AW42" s="21">
        <f>EXP(-LN(2)/2)*AW41+(1-EXP(-LN(2)/2))/(LN(2)/2)*AQ42*AT42*VLOOKUP('Données projet'!$B$10,Paramètres!$A$1:$I$89,3,0)*0.475*44/12</f>
        <v>0.42269160067997763</v>
      </c>
      <c r="AX42" s="21">
        <f t="shared" si="6"/>
        <v>15.198651503345651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334</v>
      </c>
      <c r="L43" s="12">
        <f>VLOOKUP(A43,'Données projet'!$A$35:$I$55,9,0)</f>
        <v>18.600000000000001</v>
      </c>
      <c r="M43" s="12">
        <f t="array" ref="M43">INDEX(L:L,MIN(IF(ISNUMBER(L43:L239),ROW(L43:L239),"")))</f>
        <v>18.600000000000001</v>
      </c>
      <c r="N43" s="13">
        <f>IF('Données projet'!$A$36&gt;35,N42+M43-V42,IF(A43&lt;'Données projet'!$A$36,$K$205^A43,IF(A43='Données projet'!$A$36,'Données projet'!$B$36,N42+M43-V42)))</f>
        <v>334.00000000000023</v>
      </c>
      <c r="O43" s="13">
        <f>N43*VLOOKUP('Données projet'!$B$9,Paramètres!$A$1:$I$89,3,0)*VLOOKUP('Données projet'!$B$9,Paramètres!$A$1:$I$89,5,0)</f>
        <v>199.73200000000014</v>
      </c>
      <c r="P43" s="13">
        <f t="shared" si="33"/>
        <v>49.685264841284457</v>
      </c>
      <c r="Q43" s="20">
        <f t="shared" si="53"/>
        <v>434.40173626523733</v>
      </c>
      <c r="R43" s="59">
        <f t="shared" si="0"/>
        <v>727.73506959857059</v>
      </c>
      <c r="S43" s="59">
        <f ca="1">AVERAGE(OFFSET($R$3,0,0,'Données projet'!$E$9+1,1))-AVERAGE(OFFSET($H$3,0,0,'Données projet'!$E$9+1,1))</f>
        <v>288.98981546396209</v>
      </c>
      <c r="T43" s="59">
        <f t="shared" si="34"/>
        <v>281.67720096117085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49</v>
      </c>
      <c r="W43" s="16">
        <f>IF(ISNA(VLOOKUP(A43,'Données projet'!$A$35:$I$55,5,0)),0%,VLOOKUP(A43,'Données projet'!$A$35:$I$55,5,0)*VLOOKUP('Données projet'!$B$9,Paramètres!$A$1:$I$89,7,0))</f>
        <v>0.18000000000000002</v>
      </c>
      <c r="X43" s="16">
        <f>IF(ISNA(VLOOKUP(A43,'Données projet'!$A$35:$I$55,6,0)),0%,VLOOKUP(A43,'Données projet'!$A$35:$I$55,6,0)*VLOOKUP('Données projet'!$B$9,Paramètres!$A$1:$I$89,7,0))</f>
        <v>0.15300000000000002</v>
      </c>
      <c r="Y43" s="16">
        <f>IF(ISNA(VLOOKUP(A43,'Données projet'!$A$35:$I$55,7,0)),0%,VLOOKUP(A43,'Données projet'!$A$35:$I$55,7,0))</f>
        <v>0.26</v>
      </c>
      <c r="Z43" s="21">
        <f>EXP(-LN(2)/35)*Z42+(1-EXP(-LN(2)/35))/(LN(2)/35)*V43*W43*VLOOKUP('Données projet'!$B$9,Paramètres!$A$1:$I$89,3,0)*0.475*44/12</f>
        <v>16.054417984810563</v>
      </c>
      <c r="AA43" s="21">
        <f>EXP(-LN(2)/25)*AA42+(1-EXP(-LN(2)/25))/(LN(2)/25)*Calculateur!V43*Calculateur!X43*VLOOKUP('Données projet'!$B$9,Paramètres!$A$1:$I$89,3,0)*0.475*44/12</f>
        <v>28.229374143505815</v>
      </c>
      <c r="AB43" s="21">
        <f>EXP(-LN(2)/2)*AB42+(1-EXP(-LN(2)/2))/(LN(2)/2)*V43*Y43*VLOOKUP('Données projet'!$B$9,Paramètres!$A$1:$I$89,3,0)*0.475*44/12</f>
        <v>10.858301632200547</v>
      </c>
      <c r="AC43" s="22">
        <f t="shared" si="3"/>
        <v>55.142093760516929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300</v>
      </c>
      <c r="AG43" s="12">
        <f>VLOOKUP(A43,'Données projet'!$A$61:$I$81,9,0)</f>
        <v>14</v>
      </c>
      <c r="AH43" s="12">
        <f t="array" ref="AH43">INDEX(AG:AG,MIN(IF(ISNUMBER(AG43:AG239),ROW(AG43:AG239),"")))</f>
        <v>14</v>
      </c>
      <c r="AI43" s="13">
        <f>IF('Données projet'!$A$62&gt;35,AI42+AH43-AQ42,IF(A43&lt;'Données projet'!$A$62,$AF$205^A43,IF(A43='Données projet'!$A$62,'Données projet'!$B$62,AI42+AH43-AQ42)))</f>
        <v>300</v>
      </c>
      <c r="AJ43" s="13">
        <f>AI43*VLOOKUP('Données projet'!$B$10,Paramètres!$A$1:$I$89,3,0)*VLOOKUP('Données projet'!$B$10,Paramètres!$A$1:$I$89,5,0)</f>
        <v>140.4</v>
      </c>
      <c r="AK43" s="13">
        <f t="shared" si="35"/>
        <v>36.388624656711201</v>
      </c>
      <c r="AL43" s="20">
        <f t="shared" si="4"/>
        <v>307.90685461043864</v>
      </c>
      <c r="AM43" s="59">
        <f t="shared" si="5"/>
        <v>601.24018794377196</v>
      </c>
      <c r="AN43" s="59">
        <f ca="1">AVERAGE(OFFSET($AM$3,0,0,'Données projet'!$E$10+1,1))-AVERAGE(OFFSET($H$3,0,0,'Données projet'!$E$10+1,1))</f>
        <v>234.95901223517041</v>
      </c>
      <c r="AO43" s="59">
        <f t="shared" si="36"/>
        <v>179.39213799913273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50</v>
      </c>
      <c r="AR43" s="16">
        <f>IF(ISNA(VLOOKUP(A43,'Données projet'!$A$61:$I$81,5,0)),0%,VLOOKUP(A43,'Données projet'!$A$61:$I$81,5,0)*VLOOKUP('Données projet'!$B$10,Paramètres!$A$1:$I$89,7,0))</f>
        <v>0.16500000000000001</v>
      </c>
      <c r="AS43" s="16">
        <f>IF(ISNA(VLOOKUP(A43,'Données projet'!$A$61:$I$81,6,0)),0%,VLOOKUP(A43,'Données projet'!$A$61:$I$81,6,0)*VLOOKUP('Données projet'!$B$10,Paramètres!$A$1:$I$89,7,0))</f>
        <v>0.21450000000000002</v>
      </c>
      <c r="AT43" s="16">
        <f>IF(ISNA(VLOOKUP(A43,'Données projet'!$A$61:$I$81,7,0)),0%,VLOOKUP(A43,'Données projet'!$A$61:$I$81,7,0))</f>
        <v>0.31</v>
      </c>
      <c r="AU43" s="21">
        <f>EXP(-LN(2)/35)*AU42+(1-EXP(-LN(2)/35))/(LN(2)/35)*AQ43*AR43*VLOOKUP('Données projet'!$B$10,Paramètres!$A$1:$I$89,3,0)*0.475*44/12</f>
        <v>7.9229635261389344</v>
      </c>
      <c r="AV43" s="21">
        <f>EXP(-LN(2)/25)*AV42+(1-EXP(-LN(2)/25))/(LN(2)/25)*Calculateur!AQ43*Calculateur!AS43*VLOOKUP('Données projet'!$B$10,Paramètres!$A$1:$I$89,3,0)*0.475*44/12</f>
        <v>18.225122305399918</v>
      </c>
      <c r="AW43" s="21">
        <f>EXP(-LN(2)/2)*AW42+(1-EXP(-LN(2)/2))/(LN(2)/2)*AQ43*AT43*VLOOKUP('Données projet'!$B$10,Paramètres!$A$1:$I$89,3,0)*0.475*44/12</f>
        <v>8.5121011834483884</v>
      </c>
      <c r="AX43" s="21">
        <f t="shared" si="6"/>
        <v>34.660187014987237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17.8</v>
      </c>
      <c r="N44" s="13">
        <f>IF('Données projet'!$A$36&gt;35,N43+M44-V43,IF(A44&lt;'Données projet'!$A$36,$K$205^A44,IF(A44='Données projet'!$A$36,'Données projet'!$B$36,N43+M44-V43)))</f>
        <v>302.80000000000024</v>
      </c>
      <c r="O44" s="13">
        <f>N44*VLOOKUP('Données projet'!$B$9,Paramètres!$A$1:$I$89,3,0)*VLOOKUP('Données projet'!$B$9,Paramètres!$A$1:$I$89,5,0)</f>
        <v>181.07440000000017</v>
      </c>
      <c r="P44" s="13">
        <f t="shared" si="33"/>
        <v>45.561137517850739</v>
      </c>
      <c r="Q44" s="20">
        <f t="shared" si="53"/>
        <v>394.72356117692362</v>
      </c>
      <c r="R44" s="59">
        <f t="shared" si="0"/>
        <v>688.05689451025694</v>
      </c>
      <c r="S44" s="59">
        <f ca="1">AVERAGE(OFFSET($R$3,0,0,'Données projet'!$E$9+1,1))-AVERAGE(OFFSET($H$3,0,0,'Données projet'!$E$9+1,1))</f>
        <v>288.98981546396209</v>
      </c>
      <c r="T44" s="59">
        <f t="shared" si="34"/>
        <v>281.67720096117085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15.739600640356496</v>
      </c>
      <c r="AA44" s="21">
        <f>EXP(-LN(2)/25)*AA43+(1-EXP(-LN(2)/25))/(LN(2)/25)*Calculateur!V44*Calculateur!X44*VLOOKUP('Données projet'!$B$9,Paramètres!$A$1:$I$89,3,0)*0.475*44/12</f>
        <v>27.457440423033383</v>
      </c>
      <c r="AB44" s="21">
        <f>EXP(-LN(2)/2)*AB43+(1-EXP(-LN(2)/2))/(LN(2)/2)*V44*Y44*VLOOKUP('Données projet'!$B$9,Paramètres!$A$1:$I$89,3,0)*0.475*44/12</f>
        <v>7.6779787162979645</v>
      </c>
      <c r="AC44" s="22">
        <f t="shared" si="3"/>
        <v>50.87501977968784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14</v>
      </c>
      <c r="AI44" s="13">
        <f>IF('Données projet'!$A$62&gt;35,AI43+AH44-AQ43,IF(A44&lt;'Données projet'!$A$62,$AF$205^A44,IF(A44='Données projet'!$A$62,'Données projet'!$B$62,AI43+AH44-AQ43)))</f>
        <v>264</v>
      </c>
      <c r="AJ44" s="13">
        <f>AI44*VLOOKUP('Données projet'!$B$10,Paramètres!$A$1:$I$89,3,0)*VLOOKUP('Données projet'!$B$10,Paramètres!$A$1:$I$89,5,0)</f>
        <v>123.55199999999999</v>
      </c>
      <c r="AK44" s="13">
        <f t="shared" si="35"/>
        <v>32.502033262579566</v>
      </c>
      <c r="AL44" s="20">
        <f t="shared" si="4"/>
        <v>271.79410793232609</v>
      </c>
      <c r="AM44" s="59">
        <f t="shared" si="5"/>
        <v>565.1274412656594</v>
      </c>
      <c r="AN44" s="59">
        <f ca="1">AVERAGE(OFFSET($AM$3,0,0,'Données projet'!$E$10+1,1))-AVERAGE(OFFSET($H$3,0,0,'Données projet'!$E$10+1,1))</f>
        <v>234.95901223517041</v>
      </c>
      <c r="AO44" s="59">
        <f t="shared" si="36"/>
        <v>179.39213799913273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7.767599043921928</v>
      </c>
      <c r="AV44" s="21">
        <f>EXP(-LN(2)/25)*AV43+(1-EXP(-LN(2)/25))/(LN(2)/25)*Calculateur!AQ44*Calculateur!AS44*VLOOKUP('Données projet'!$B$10,Paramètres!$A$1:$I$89,3,0)*0.475*44/12</f>
        <v>17.726755377541227</v>
      </c>
      <c r="AW44" s="21">
        <f>EXP(-LN(2)/2)*AW43+(1-EXP(-LN(2)/2))/(LN(2)/2)*AQ44*AT44*VLOOKUP('Données projet'!$B$10,Paramètres!$A$1:$I$89,3,0)*0.475*44/12</f>
        <v>6.018964468962392</v>
      </c>
      <c r="AX44" s="21">
        <f t="shared" si="6"/>
        <v>31.513318890425548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17.8</v>
      </c>
      <c r="N45" s="13">
        <f>IF('Données projet'!$A$36&gt;35,N44+M45-V44,IF(A45&lt;'Données projet'!$A$36,$K$205^A45,IF(A45='Données projet'!$A$36,'Données projet'!$B$36,N44+M45-V44)))</f>
        <v>320.60000000000025</v>
      </c>
      <c r="O45" s="13">
        <f>N45*VLOOKUP('Données projet'!$B$9,Paramètres!$A$1:$I$89,3,0)*VLOOKUP('Données projet'!$B$9,Paramètres!$A$1:$I$89,5,0)</f>
        <v>191.71880000000016</v>
      </c>
      <c r="P45" s="13">
        <f t="shared" si="33"/>
        <v>47.919755728135037</v>
      </c>
      <c r="Q45" s="20">
        <f t="shared" si="53"/>
        <v>417.37048455983546</v>
      </c>
      <c r="R45" s="59">
        <f t="shared" si="0"/>
        <v>710.70381789316878</v>
      </c>
      <c r="S45" s="59">
        <f ca="1">AVERAGE(OFFSET($R$3,0,0,'Données projet'!$E$9+1,1))-AVERAGE(OFFSET($H$3,0,0,'Données projet'!$E$9+1,1))</f>
        <v>288.98981546396209</v>
      </c>
      <c r="T45" s="59">
        <f t="shared" si="34"/>
        <v>281.67720096117085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15.430956672007554</v>
      </c>
      <c r="AA45" s="21">
        <f>EXP(-LN(2)/25)*AA44+(1-EXP(-LN(2)/25))/(LN(2)/25)*Calculateur!V45*Calculateur!X45*VLOOKUP('Données projet'!$B$9,Paramètres!$A$1:$I$89,3,0)*0.475*44/12</f>
        <v>26.706615270741498</v>
      </c>
      <c r="AB45" s="21">
        <f>EXP(-LN(2)/2)*AB44+(1-EXP(-LN(2)/2))/(LN(2)/2)*V45*Y45*VLOOKUP('Données projet'!$B$9,Paramètres!$A$1:$I$89,3,0)*0.475*44/12</f>
        <v>5.4291508161002744</v>
      </c>
      <c r="AC45" s="22">
        <f t="shared" si="3"/>
        <v>47.566722758849323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14</v>
      </c>
      <c r="AI45" s="13">
        <f>IF('Données projet'!$A$62&gt;35,AI44+AH45-AQ44,IF(A45&lt;'Données projet'!$A$62,$AF$205^A45,IF(A45='Données projet'!$A$62,'Données projet'!$B$62,AI44+AH45-AQ44)))</f>
        <v>278</v>
      </c>
      <c r="AJ45" s="13">
        <f>AI45*VLOOKUP('Données projet'!$B$10,Paramètres!$A$1:$I$89,3,0)*VLOOKUP('Données projet'!$B$10,Paramètres!$A$1:$I$89,5,0)</f>
        <v>130.10400000000001</v>
      </c>
      <c r="AK45" s="13">
        <f t="shared" si="35"/>
        <v>34.020389560268086</v>
      </c>
      <c r="AL45" s="20">
        <f t="shared" si="4"/>
        <v>285.8499784841336</v>
      </c>
      <c r="AM45" s="59">
        <f t="shared" si="5"/>
        <v>579.18331181746692</v>
      </c>
      <c r="AN45" s="59">
        <f ca="1">AVERAGE(OFFSET($AM$3,0,0,'Données projet'!$E$10+1,1))-AVERAGE(OFFSET($H$3,0,0,'Données projet'!$E$10+1,1))</f>
        <v>234.95901223517041</v>
      </c>
      <c r="AO45" s="59">
        <f t="shared" si="36"/>
        <v>179.39213799913273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7.6152811644382199</v>
      </c>
      <c r="AV45" s="21">
        <f>EXP(-LN(2)/25)*AV44+(1-EXP(-LN(2)/25))/(LN(2)/25)*Calculateur!AQ45*Calculateur!AS45*VLOOKUP('Données projet'!$B$10,Paramètres!$A$1:$I$89,3,0)*0.475*44/12</f>
        <v>17.242016319532812</v>
      </c>
      <c r="AW45" s="21">
        <f>EXP(-LN(2)/2)*AW44+(1-EXP(-LN(2)/2))/(LN(2)/2)*AQ45*AT45*VLOOKUP('Données projet'!$B$10,Paramètres!$A$1:$I$89,3,0)*0.475*44/12</f>
        <v>4.2560505917241942</v>
      </c>
      <c r="AX45" s="21">
        <f t="shared" si="6"/>
        <v>29.113348075695225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17.8</v>
      </c>
      <c r="N46" s="13">
        <f>IF('Données projet'!$A$36&gt;35,N45+M46-V45,IF(A46&lt;'Données projet'!$A$36,$K$205^A46,IF(A46='Données projet'!$A$36,'Données projet'!$B$36,N45+M46-V45)))</f>
        <v>338.40000000000026</v>
      </c>
      <c r="O46" s="13">
        <f>N46*VLOOKUP('Données projet'!$B$9,Paramètres!$A$1:$I$89,3,0)*VLOOKUP('Données projet'!$B$9,Paramètres!$A$1:$I$89,5,0)</f>
        <v>202.36320000000018</v>
      </c>
      <c r="P46" s="13">
        <f t="shared" si="33"/>
        <v>50.263171959975224</v>
      </c>
      <c r="Q46" s="20">
        <f t="shared" si="53"/>
        <v>439.99093116362383</v>
      </c>
      <c r="R46" s="59">
        <f t="shared" si="0"/>
        <v>733.32426449695708</v>
      </c>
      <c r="S46" s="59">
        <f ca="1">AVERAGE(OFFSET($R$3,0,0,'Données projet'!$E$9+1,1))-AVERAGE(OFFSET($H$3,0,0,'Données projet'!$E$9+1,1))</f>
        <v>288.98981546396209</v>
      </c>
      <c r="T46" s="59">
        <f t="shared" si="34"/>
        <v>281.67720096117085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15.128365023623703</v>
      </c>
      <c r="AA46" s="21">
        <f>EXP(-LN(2)/25)*AA45+(1-EXP(-LN(2)/25))/(LN(2)/25)*Calculateur!V46*Calculateur!X46*VLOOKUP('Données projet'!$B$9,Paramètres!$A$1:$I$89,3,0)*0.475*44/12</f>
        <v>25.976321471723214</v>
      </c>
      <c r="AB46" s="21">
        <f>EXP(-LN(2)/2)*AB45+(1-EXP(-LN(2)/2))/(LN(2)/2)*V46*Y46*VLOOKUP('Données projet'!$B$9,Paramètres!$A$1:$I$89,3,0)*0.475*44/12</f>
        <v>3.8389893581489831</v>
      </c>
      <c r="AC46" s="22">
        <f t="shared" si="3"/>
        <v>44.943675853495904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</v>
      </c>
      <c r="AI46" s="13">
        <f>IF('Données projet'!$A$62&gt;35,AI45+AH46-AQ45,IF(A46&lt;'Données projet'!$A$62,$AF$205^A46,IF(A46='Données projet'!$A$62,'Données projet'!$B$62,AI45+AH46-AQ45)))</f>
        <v>292</v>
      </c>
      <c r="AJ46" s="13">
        <f>AI46*VLOOKUP('Données projet'!$B$10,Paramètres!$A$1:$I$89,3,0)*VLOOKUP('Données projet'!$B$10,Paramètres!$A$1:$I$89,5,0)</f>
        <v>136.65600000000001</v>
      </c>
      <c r="AK46" s="13">
        <f t="shared" si="35"/>
        <v>35.52986752364091</v>
      </c>
      <c r="AL46" s="20">
        <f t="shared" si="4"/>
        <v>299.89038593700792</v>
      </c>
      <c r="AM46" s="59">
        <f t="shared" si="5"/>
        <v>593.22371927034123</v>
      </c>
      <c r="AN46" s="59">
        <f ca="1">AVERAGE(OFFSET($AM$3,0,0,'Données projet'!$E$10+1,1))-AVERAGE(OFFSET($H$3,0,0,'Données projet'!$E$10+1,1))</f>
        <v>234.95901223517041</v>
      </c>
      <c r="AO46" s="59">
        <f t="shared" si="36"/>
        <v>179.39213799913273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7.4659501456664543</v>
      </c>
      <c r="AV46" s="21">
        <f>EXP(-LN(2)/25)*AV45+(1-EXP(-LN(2)/25))/(LN(2)/25)*Calculateur!AQ46*Calculateur!AS46*VLOOKUP('Données projet'!$B$10,Paramètres!$A$1:$I$89,3,0)*0.475*44/12</f>
        <v>16.770532476556955</v>
      </c>
      <c r="AW46" s="21">
        <f>EXP(-LN(2)/2)*AW45+(1-EXP(-LN(2)/2))/(LN(2)/2)*AQ46*AT46*VLOOKUP('Données projet'!$B$10,Paramètres!$A$1:$I$89,3,0)*0.475*44/12</f>
        <v>3.009482234481196</v>
      </c>
      <c r="AX46" s="21">
        <f t="shared" si="6"/>
        <v>27.245964856704607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17.8</v>
      </c>
      <c r="N47" s="13">
        <f>IF('Données projet'!$A$36&gt;35,N46+M47-V46,IF(A47&lt;'Données projet'!$A$36,$K$205^A47,IF(A47='Données projet'!$A$36,'Données projet'!$B$36,N46+M47-V46)))</f>
        <v>356.20000000000027</v>
      </c>
      <c r="O47" s="13">
        <f>N47*VLOOKUP('Données projet'!$B$9,Paramètres!$A$1:$I$89,3,0)*VLOOKUP('Données projet'!$B$9,Paramètres!$A$1:$I$89,5,0)</f>
        <v>213.0076000000002</v>
      </c>
      <c r="P47" s="13">
        <f t="shared" si="33"/>
        <v>52.592277036887687</v>
      </c>
      <c r="Q47" s="20">
        <f t="shared" si="53"/>
        <v>462.58645250591309</v>
      </c>
      <c r="R47" s="59">
        <f t="shared" si="0"/>
        <v>755.9197858392464</v>
      </c>
      <c r="S47" s="59">
        <f ca="1">AVERAGE(OFFSET($R$3,0,0,'Données projet'!$E$9+1,1))-AVERAGE(OFFSET($H$3,0,0,'Données projet'!$E$9+1,1))</f>
        <v>288.98981546396209</v>
      </c>
      <c r="T47" s="59">
        <f t="shared" si="34"/>
        <v>281.67720096117085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14.831707012901976</v>
      </c>
      <c r="AA47" s="21">
        <f>EXP(-LN(2)/25)*AA46+(1-EXP(-LN(2)/25))/(LN(2)/25)*Calculateur!V47*Calculateur!X47*VLOOKUP('Données projet'!$B$9,Paramètres!$A$1:$I$89,3,0)*0.475*44/12</f>
        <v>25.265997595043565</v>
      </c>
      <c r="AB47" s="21">
        <f>EXP(-LN(2)/2)*AB46+(1-EXP(-LN(2)/2))/(LN(2)/2)*V47*Y47*VLOOKUP('Données projet'!$B$9,Paramètres!$A$1:$I$89,3,0)*0.475*44/12</f>
        <v>2.7145754080501376</v>
      </c>
      <c r="AC47" s="22">
        <f t="shared" si="3"/>
        <v>42.812280015995682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</v>
      </c>
      <c r="AI47" s="13">
        <f>IF('Données projet'!$A$62&gt;35,AI46+AH47-AQ46,IF(A47&lt;'Données projet'!$A$62,$AF$205^A47,IF(A47='Données projet'!$A$62,'Données projet'!$B$62,AI46+AH47-AQ46)))</f>
        <v>306</v>
      </c>
      <c r="AJ47" s="13">
        <f>AI47*VLOOKUP('Données projet'!$B$10,Paramètres!$A$1:$I$89,3,0)*VLOOKUP('Données projet'!$B$10,Paramètres!$A$1:$I$89,5,0)</f>
        <v>143.208</v>
      </c>
      <c r="AK47" s="13">
        <f t="shared" si="35"/>
        <v>37.030941422835802</v>
      </c>
      <c r="AL47" s="20">
        <f t="shared" si="4"/>
        <v>313.91615631143901</v>
      </c>
      <c r="AM47" s="59">
        <f t="shared" si="5"/>
        <v>607.24948964477232</v>
      </c>
      <c r="AN47" s="59">
        <f ca="1">AVERAGE(OFFSET($AM$3,0,0,'Données projet'!$E$10+1,1))-AVERAGE(OFFSET($H$3,0,0,'Données projet'!$E$10+1,1))</f>
        <v>234.95901223517041</v>
      </c>
      <c r="AO47" s="59">
        <f t="shared" si="36"/>
        <v>179.39213799913273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7.3195474170898756</v>
      </c>
      <c r="AV47" s="21">
        <f>EXP(-LN(2)/25)*AV46+(1-EXP(-LN(2)/25))/(LN(2)/25)*Calculateur!AQ47*Calculateur!AS47*VLOOKUP('Données projet'!$B$10,Paramètres!$A$1:$I$89,3,0)*0.475*44/12</f>
        <v>16.31194138406153</v>
      </c>
      <c r="AW47" s="21">
        <f>EXP(-LN(2)/2)*AW46+(1-EXP(-LN(2)/2))/(LN(2)/2)*AQ47*AT47*VLOOKUP('Données projet'!$B$10,Paramètres!$A$1:$I$89,3,0)*0.475*44/12</f>
        <v>2.1280252958620971</v>
      </c>
      <c r="AX47" s="21">
        <f t="shared" si="6"/>
        <v>25.759514097013504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374</v>
      </c>
      <c r="L48" s="12">
        <f>VLOOKUP(A48,'Données projet'!$A$35:$I$55,9,0)</f>
        <v>17.8</v>
      </c>
      <c r="M48" s="12">
        <f t="array" ref="M48">INDEX(L:L,MIN(IF(ISNUMBER(L48:L244),ROW(L48:L244),"")))</f>
        <v>17.8</v>
      </c>
      <c r="N48" s="13">
        <f>IF('Données projet'!$A$36&gt;35,N47+M48-V47,IF(A48&lt;'Données projet'!$A$36,$K$205^A48,IF(A48='Données projet'!$A$36,'Données projet'!$B$36,N47+M48-V47)))</f>
        <v>374.00000000000028</v>
      </c>
      <c r="O48" s="13">
        <f>N48*VLOOKUP('Données projet'!$B$9,Paramètres!$A$1:$I$89,3,0)*VLOOKUP('Données projet'!$B$9,Paramètres!$A$1:$I$89,5,0)</f>
        <v>223.65200000000019</v>
      </c>
      <c r="P48" s="13">
        <f t="shared" si="33"/>
        <v>54.907867720650273</v>
      </c>
      <c r="Q48" s="20">
        <f t="shared" si="53"/>
        <v>485.15843628013289</v>
      </c>
      <c r="R48" s="59">
        <f t="shared" si="0"/>
        <v>778.4917696134662</v>
      </c>
      <c r="S48" s="59">
        <f ca="1">AVERAGE(OFFSET($R$3,0,0,'Données projet'!$E$9+1,1))-AVERAGE(OFFSET($H$3,0,0,'Données projet'!$E$9+1,1))</f>
        <v>288.98981546396209</v>
      </c>
      <c r="T48" s="59">
        <f t="shared" si="34"/>
        <v>281.67720096117085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49</v>
      </c>
      <c r="W48" s="16">
        <f>IF(ISNA(VLOOKUP(A48,'Données projet'!$A$35:$I$55,5,0)),0%,VLOOKUP(A48,'Données projet'!$A$35:$I$55,5,0)*VLOOKUP('Données projet'!$B$9,Paramètres!$A$1:$I$89,7,0))</f>
        <v>0.22500000000000001</v>
      </c>
      <c r="X48" s="16">
        <f>IF(ISNA(VLOOKUP(A48,'Données projet'!$A$35:$I$55,6,0)),0%,VLOOKUP(A48,'Données projet'!$A$35:$I$55,6,0)*VLOOKUP('Données projet'!$B$9,Paramètres!$A$1:$I$89,7,0))</f>
        <v>0.12600000000000003</v>
      </c>
      <c r="Y48" s="16">
        <f>IF(ISNA(VLOOKUP(A48,'Données projet'!$A$35:$I$55,7,0)),0%,VLOOKUP(A48,'Données projet'!$A$35:$I$55,7,0))</f>
        <v>0.22</v>
      </c>
      <c r="Z48" s="21">
        <f>EXP(-LN(2)/35)*Z47+(1-EXP(-LN(2)/35))/(LN(2)/35)*V48*W48*VLOOKUP('Données projet'!$B$9,Paramètres!$A$1:$I$89,3,0)*0.475*44/12</f>
        <v>23.286839411317104</v>
      </c>
      <c r="AA48" s="21">
        <f>EXP(-LN(2)/25)*AA47+(1-EXP(-LN(2)/25))/(LN(2)/25)*Calculateur!V48*Calculateur!X48*VLOOKUP('Données projet'!$B$9,Paramètres!$A$1:$I$89,3,0)*0.475*44/12</f>
        <v>29.453558224901929</v>
      </c>
      <c r="AB48" s="21">
        <f>EXP(-LN(2)/2)*AB47+(1-EXP(-LN(2)/2))/(LN(2)/2)*V48*Y48*VLOOKUP('Données projet'!$B$9,Paramètres!$A$1:$I$89,3,0)*0.475*44/12</f>
        <v>9.2183622511410004</v>
      </c>
      <c r="AC48" s="22">
        <f t="shared" si="3"/>
        <v>61.958759887360031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</v>
      </c>
      <c r="AI48" s="13">
        <f>IF('Données projet'!$A$62&gt;35,AI47+AH48-AQ47,IF(A48&lt;'Données projet'!$A$62,$AF$205^A48,IF(A48='Données projet'!$A$62,'Données projet'!$B$62,AI47+AH48-AQ47)))</f>
        <v>320</v>
      </c>
      <c r="AJ48" s="13">
        <f>AI48*VLOOKUP('Données projet'!$B$10,Paramètres!$A$1:$I$89,3,0)*VLOOKUP('Données projet'!$B$10,Paramètres!$A$1:$I$89,5,0)</f>
        <v>149.76</v>
      </c>
      <c r="AK48" s="13">
        <f t="shared" si="35"/>
        <v>38.524039677774802</v>
      </c>
      <c r="AL48" s="20">
        <f t="shared" si="4"/>
        <v>327.92803577212442</v>
      </c>
      <c r="AM48" s="59">
        <f t="shared" si="5"/>
        <v>621.26136910545779</v>
      </c>
      <c r="AN48" s="59">
        <f ca="1">AVERAGE(OFFSET($AM$3,0,0,'Données projet'!$E$10+1,1))-AVERAGE(OFFSET($H$3,0,0,'Données projet'!$E$10+1,1))</f>
        <v>234.95901223517041</v>
      </c>
      <c r="AO48" s="59">
        <f t="shared" si="36"/>
        <v>179.39213799913273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7.1760155567238364</v>
      </c>
      <c r="AV48" s="21">
        <f>EXP(-LN(2)/25)*AV47+(1-EXP(-LN(2)/25))/(LN(2)/25)*Calculateur!AQ48*Calculateur!AS48*VLOOKUP('Données projet'!$B$10,Paramètres!$A$1:$I$89,3,0)*0.475*44/12</f>
        <v>15.865890489106652</v>
      </c>
      <c r="AW48" s="21">
        <f>EXP(-LN(2)/2)*AW47+(1-EXP(-LN(2)/2))/(LN(2)/2)*AQ48*AT48*VLOOKUP('Données projet'!$B$10,Paramètres!$A$1:$I$89,3,0)*0.475*44/12</f>
        <v>1.504741117240598</v>
      </c>
      <c r="AX48" s="21">
        <f t="shared" si="6"/>
        <v>24.546647163071086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16.399999999999999</v>
      </c>
      <c r="N49" s="13">
        <f>IF('Données projet'!$A$36&gt;35,N48+M49-V48,IF(A49&lt;'Données projet'!$A$36,$K$205^A49,IF(A49='Données projet'!$A$36,'Données projet'!$B$36,N48+M49-V48)))</f>
        <v>341.40000000000026</v>
      </c>
      <c r="O49" s="13">
        <f>N49*VLOOKUP('Données projet'!$B$9,Paramètres!$A$1:$I$89,3,0)*VLOOKUP('Données projet'!$B$9,Paramètres!$A$1:$I$89,5,0)</f>
        <v>204.15720000000016</v>
      </c>
      <c r="P49" s="13">
        <f t="shared" si="33"/>
        <v>50.656697660408305</v>
      </c>
      <c r="Q49" s="20">
        <f t="shared" si="53"/>
        <v>443.8008717585447</v>
      </c>
      <c r="R49" s="59">
        <f t="shared" si="0"/>
        <v>737.13420509187802</v>
      </c>
      <c r="S49" s="59">
        <f ca="1">AVERAGE(OFFSET($R$3,0,0,'Données projet'!$E$9+1,1))-AVERAGE(OFFSET($H$3,0,0,'Données projet'!$E$9+1,1))</f>
        <v>288.98981546396209</v>
      </c>
      <c r="T49" s="59">
        <f t="shared" si="34"/>
        <v>281.67720096117085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22.830198694030731</v>
      </c>
      <c r="AA49" s="21">
        <f>EXP(-LN(2)/25)*AA48+(1-EXP(-LN(2)/25))/(LN(2)/25)*Calculateur!V49*Calculateur!X49*VLOOKUP('Données projet'!$B$9,Paramètres!$A$1:$I$89,3,0)*0.475*44/12</f>
        <v>28.648149126346677</v>
      </c>
      <c r="AB49" s="21">
        <f>EXP(-LN(2)/2)*AB48+(1-EXP(-LN(2)/2))/(LN(2)/2)*V49*Y49*VLOOKUP('Données projet'!$B$9,Paramètres!$A$1:$I$89,3,0)*0.475*44/12</f>
        <v>6.5183664592158896</v>
      </c>
      <c r="AC49" s="22">
        <f t="shared" si="3"/>
        <v>57.996714279593299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</v>
      </c>
      <c r="AI49" s="13">
        <f>IF('Données projet'!$A$62&gt;35,AI48+AH49-AQ48,IF(A49&lt;'Données projet'!$A$62,$AF$205^A49,IF(A49='Données projet'!$A$62,'Données projet'!$B$62,AI48+AH49-AQ48)))</f>
        <v>334</v>
      </c>
      <c r="AJ49" s="13">
        <f>AI49*VLOOKUP('Données projet'!$B$10,Paramètres!$A$1:$I$89,3,0)*VLOOKUP('Données projet'!$B$10,Paramètres!$A$1:$I$89,5,0)</f>
        <v>156.31200000000001</v>
      </c>
      <c r="AK49" s="13">
        <f t="shared" si="35"/>
        <v>40.009551101892576</v>
      </c>
      <c r="AL49" s="20">
        <f t="shared" si="4"/>
        <v>341.92670150246295</v>
      </c>
      <c r="AM49" s="59">
        <f t="shared" si="5"/>
        <v>635.2600348357962</v>
      </c>
      <c r="AN49" s="59">
        <f ca="1">AVERAGE(OFFSET($AM$3,0,0,'Données projet'!$E$10+1,1))-AVERAGE(OFFSET($H$3,0,0,'Données projet'!$E$10+1,1))</f>
        <v>234.95901223517041</v>
      </c>
      <c r="AO49" s="59">
        <f t="shared" si="36"/>
        <v>179.39213799913273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7.0352982685937846</v>
      </c>
      <c r="AV49" s="21">
        <f>EXP(-LN(2)/25)*AV48+(1-EXP(-LN(2)/25))/(LN(2)/25)*Calculateur!AQ49*Calculateur!AS49*VLOOKUP('Données projet'!$B$10,Paramètres!$A$1:$I$89,3,0)*0.475*44/12</f>
        <v>15.432036879331113</v>
      </c>
      <c r="AW49" s="21">
        <f>EXP(-LN(2)/2)*AW48+(1-EXP(-LN(2)/2))/(LN(2)/2)*AQ49*AT49*VLOOKUP('Données projet'!$B$10,Paramètres!$A$1:$I$89,3,0)*0.475*44/12</f>
        <v>1.0640126479310485</v>
      </c>
      <c r="AX49" s="21">
        <f t="shared" si="6"/>
        <v>23.531347795855947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16.399999999999999</v>
      </c>
      <c r="N50" s="13">
        <f>IF('Données projet'!$A$36&gt;35,N49+M50-V49,IF(A50&lt;'Données projet'!$A$36,$K$205^A50,IF(A50='Données projet'!$A$36,'Données projet'!$B$36,N49+M50-V49)))</f>
        <v>357.80000000000024</v>
      </c>
      <c r="O50" s="13">
        <f>N50*VLOOKUP('Données projet'!$B$9,Paramètres!$A$1:$I$89,3,0)*VLOOKUP('Données projet'!$B$9,Paramètres!$A$1:$I$89,5,0)</f>
        <v>213.96440000000015</v>
      </c>
      <c r="P50" s="13">
        <f t="shared" si="33"/>
        <v>52.800961630419025</v>
      </c>
      <c r="Q50" s="20">
        <f t="shared" si="53"/>
        <v>464.61633817298008</v>
      </c>
      <c r="R50" s="59">
        <f t="shared" si="0"/>
        <v>757.94967150631339</v>
      </c>
      <c r="S50" s="59">
        <f ca="1">AVERAGE(OFFSET($R$3,0,0,'Données projet'!$E$9+1,1))-AVERAGE(OFFSET($H$3,0,0,'Données projet'!$E$9+1,1))</f>
        <v>288.98981546396209</v>
      </c>
      <c r="T50" s="59">
        <f t="shared" si="34"/>
        <v>281.67720096117085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22.382512422687007</v>
      </c>
      <c r="AA50" s="21">
        <f>EXP(-LN(2)/25)*AA49+(1-EXP(-LN(2)/25))/(LN(2)/25)*Calculateur!V50*Calculateur!X50*VLOOKUP('Données projet'!$B$9,Paramètres!$A$1:$I$89,3,0)*0.475*44/12</f>
        <v>27.864763981946041</v>
      </c>
      <c r="AB50" s="21">
        <f>EXP(-LN(2)/2)*AB49+(1-EXP(-LN(2)/2))/(LN(2)/2)*V50*Y50*VLOOKUP('Données projet'!$B$9,Paramètres!$A$1:$I$89,3,0)*0.475*44/12</f>
        <v>4.6091811255705011</v>
      </c>
      <c r="AC50" s="22">
        <f t="shared" si="3"/>
        <v>54.856457530203549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</v>
      </c>
      <c r="AI50" s="13">
        <f>IF('Données projet'!$A$62&gt;35,AI49+AH50-AQ49,IF(A50&lt;'Données projet'!$A$62,$AF$205^A50,IF(A50='Données projet'!$A$62,'Données projet'!$B$62,AI49+AH50-AQ49)))</f>
        <v>348</v>
      </c>
      <c r="AJ50" s="13">
        <f>AI50*VLOOKUP('Données projet'!$B$10,Paramètres!$A$1:$I$89,3,0)*VLOOKUP('Données projet'!$B$10,Paramètres!$A$1:$I$89,5,0)</f>
        <v>162.864</v>
      </c>
      <c r="AK50" s="13">
        <f t="shared" si="35"/>
        <v>41.487830069509123</v>
      </c>
      <c r="AL50" s="20">
        <f t="shared" si="4"/>
        <v>355.91277070439509</v>
      </c>
      <c r="AM50" s="59">
        <f t="shared" si="5"/>
        <v>649.2461040377284</v>
      </c>
      <c r="AN50" s="59">
        <f ca="1">AVERAGE(OFFSET($AM$3,0,0,'Données projet'!$E$10+1,1))-AVERAGE(OFFSET($H$3,0,0,'Données projet'!$E$10+1,1))</f>
        <v>234.95901223517041</v>
      </c>
      <c r="AO50" s="59">
        <f t="shared" si="36"/>
        <v>179.39213799913273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6.8973403606548924</v>
      </c>
      <c r="AV50" s="21">
        <f>EXP(-LN(2)/25)*AV49+(1-EXP(-LN(2)/25))/(LN(2)/25)*Calculateur!AQ50*Calculateur!AS50*VLOOKUP('Données projet'!$B$10,Paramètres!$A$1:$I$89,3,0)*0.475*44/12</f>
        <v>15.010047019330255</v>
      </c>
      <c r="AW50" s="21">
        <f>EXP(-LN(2)/2)*AW49+(1-EXP(-LN(2)/2))/(LN(2)/2)*AQ50*AT50*VLOOKUP('Données projet'!$B$10,Paramètres!$A$1:$I$89,3,0)*0.475*44/12</f>
        <v>0.752370558620299</v>
      </c>
      <c r="AX50" s="21">
        <f t="shared" si="6"/>
        <v>22.659757938605445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16.399999999999999</v>
      </c>
      <c r="N51" s="13">
        <f>IF('Données projet'!$A$36&gt;35,N50+M51-V50,IF(A51&lt;'Données projet'!$A$36,$K$205^A51,IF(A51='Données projet'!$A$36,'Données projet'!$B$36,N50+M51-V50)))</f>
        <v>374.20000000000022</v>
      </c>
      <c r="O51" s="13">
        <f>N51*VLOOKUP('Données projet'!$B$9,Paramètres!$A$1:$I$89,3,0)*VLOOKUP('Données projet'!$B$9,Paramètres!$A$1:$I$89,5,0)</f>
        <v>223.77160000000015</v>
      </c>
      <c r="P51" s="13">
        <f t="shared" si="33"/>
        <v>54.933811614894488</v>
      </c>
      <c r="Q51" s="20">
        <f t="shared" si="53"/>
        <v>485.41192522927469</v>
      </c>
      <c r="R51" s="59">
        <f t="shared" si="0"/>
        <v>778.745258562608</v>
      </c>
      <c r="S51" s="59">
        <f ca="1">AVERAGE(OFFSET($R$3,0,0,'Données projet'!$E$9+1,1))-AVERAGE(OFFSET($H$3,0,0,'Données projet'!$E$9+1,1))</f>
        <v>288.98981546396209</v>
      </c>
      <c r="T51" s="59">
        <f t="shared" si="34"/>
        <v>281.67720096117085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21.943605006062672</v>
      </c>
      <c r="AA51" s="21">
        <f>EXP(-LN(2)/25)*AA50+(1-EXP(-LN(2)/25))/(LN(2)/25)*Calculateur!V51*Calculateur!X51*VLOOKUP('Données projet'!$B$9,Paramètres!$A$1:$I$89,3,0)*0.475*44/12</f>
        <v>27.102800545515475</v>
      </c>
      <c r="AB51" s="21">
        <f>EXP(-LN(2)/2)*AB50+(1-EXP(-LN(2)/2))/(LN(2)/2)*V51*Y51*VLOOKUP('Données projet'!$B$9,Paramètres!$A$1:$I$89,3,0)*0.475*44/12</f>
        <v>3.2591832296079453</v>
      </c>
      <c r="AC51" s="22">
        <f t="shared" si="3"/>
        <v>52.305588781186088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</v>
      </c>
      <c r="AI51" s="13">
        <f>IF('Données projet'!$A$62&gt;35,AI50+AH51-AQ50,IF(A51&lt;'Données projet'!$A$62,$AF$205^A51,IF(A51='Données projet'!$A$62,'Données projet'!$B$62,AI50+AH51-AQ50)))</f>
        <v>362</v>
      </c>
      <c r="AJ51" s="13">
        <f>AI51*VLOOKUP('Données projet'!$B$10,Paramètres!$A$1:$I$89,3,0)*VLOOKUP('Données projet'!$B$10,Paramètres!$A$1:$I$89,5,0)</f>
        <v>169.416</v>
      </c>
      <c r="AK51" s="13">
        <f t="shared" si="35"/>
        <v>42.959200828261054</v>
      </c>
      <c r="AL51" s="20">
        <f t="shared" si="4"/>
        <v>369.88680810922136</v>
      </c>
      <c r="AM51" s="59">
        <f t="shared" si="5"/>
        <v>663.22014144255468</v>
      </c>
      <c r="AN51" s="59">
        <f ca="1">AVERAGE(OFFSET($AM$3,0,0,'Données projet'!$E$10+1,1))-AVERAGE(OFFSET($H$3,0,0,'Données projet'!$E$10+1,1))</f>
        <v>234.95901223517041</v>
      </c>
      <c r="AO51" s="59">
        <f t="shared" si="36"/>
        <v>179.39213799913273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6.762087723144667</v>
      </c>
      <c r="AV51" s="21">
        <f>EXP(-LN(2)/25)*AV50+(1-EXP(-LN(2)/25))/(LN(2)/25)*Calculateur!AQ51*Calculateur!AS51*VLOOKUP('Données projet'!$B$10,Paramètres!$A$1:$I$89,3,0)*0.475*44/12</f>
        <v>14.599596494242602</v>
      </c>
      <c r="AW51" s="21">
        <f>EXP(-LN(2)/2)*AW50+(1-EXP(-LN(2)/2))/(LN(2)/2)*AQ51*AT51*VLOOKUP('Données projet'!$B$10,Paramètres!$A$1:$I$89,3,0)*0.475*44/12</f>
        <v>0.53200632396552427</v>
      </c>
      <c r="AX51" s="21">
        <f t="shared" si="6"/>
        <v>21.893690541352797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16.399999999999999</v>
      </c>
      <c r="N52" s="13">
        <f>IF('Données projet'!$A$36&gt;35,N51+M52-V51,IF(A52&lt;'Données projet'!$A$36,$K$205^A52,IF(A52='Données projet'!$A$36,'Données projet'!$B$36,N51+M52-V51)))</f>
        <v>390.60000000000019</v>
      </c>
      <c r="O52" s="13">
        <f>N52*VLOOKUP('Données projet'!$B$9,Paramètres!$A$1:$I$89,3,0)*VLOOKUP('Données projet'!$B$9,Paramètres!$A$1:$I$89,5,0)</f>
        <v>233.57880000000014</v>
      </c>
      <c r="P52" s="13">
        <f t="shared" si="33"/>
        <v>57.055805022709997</v>
      </c>
      <c r="Q52" s="20">
        <f t="shared" si="53"/>
        <v>506.18860374788687</v>
      </c>
      <c r="R52" s="59">
        <f t="shared" si="0"/>
        <v>799.52193708122013</v>
      </c>
      <c r="S52" s="59">
        <f ca="1">AVERAGE(OFFSET($R$3,0,0,'Données projet'!$E$9+1,1))-AVERAGE(OFFSET($H$3,0,0,'Données projet'!$E$9+1,1))</f>
        <v>288.98981546396209</v>
      </c>
      <c r="T52" s="59">
        <f t="shared" si="34"/>
        <v>281.67720096117085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21.513304296171249</v>
      </c>
      <c r="AA52" s="21">
        <f>EXP(-LN(2)/25)*AA51+(1-EXP(-LN(2)/25))/(LN(2)/25)*Calculateur!V52*Calculateur!X52*VLOOKUP('Données projet'!$B$9,Paramètres!$A$1:$I$89,3,0)*0.475*44/12</f>
        <v>26.361673039324018</v>
      </c>
      <c r="AB52" s="21">
        <f>EXP(-LN(2)/2)*AB51+(1-EXP(-LN(2)/2))/(LN(2)/2)*V52*Y52*VLOOKUP('Données projet'!$B$9,Paramètres!$A$1:$I$89,3,0)*0.475*44/12</f>
        <v>2.304590562785251</v>
      </c>
      <c r="AC52" s="22">
        <f t="shared" si="3"/>
        <v>50.179567898280517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</v>
      </c>
      <c r="AI52" s="13">
        <f>IF('Données projet'!$A$62&gt;35,AI51+AH52-AQ51,IF(A52&lt;'Données projet'!$A$62,$AF$205^A52,IF(A52='Données projet'!$A$62,'Données projet'!$B$62,AI51+AH52-AQ51)))</f>
        <v>376</v>
      </c>
      <c r="AJ52" s="13">
        <f>AI52*VLOOKUP('Données projet'!$B$10,Paramètres!$A$1:$I$89,3,0)*VLOOKUP('Données projet'!$B$10,Paramètres!$A$1:$I$89,5,0)</f>
        <v>175.96799999999999</v>
      </c>
      <c r="AK52" s="13">
        <f t="shared" si="35"/>
        <v>44.423961125650585</v>
      </c>
      <c r="AL52" s="20">
        <f t="shared" si="4"/>
        <v>383.84933229384137</v>
      </c>
      <c r="AM52" s="59">
        <f t="shared" si="5"/>
        <v>677.18266562717463</v>
      </c>
      <c r="AN52" s="59">
        <f ca="1">AVERAGE(OFFSET($AM$3,0,0,'Données projet'!$E$10+1,1))-AVERAGE(OFFSET($H$3,0,0,'Données projet'!$E$10+1,1))</f>
        <v>234.95901223517041</v>
      </c>
      <c r="AO52" s="59">
        <f t="shared" si="36"/>
        <v>179.39213799913273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6.629487307360054</v>
      </c>
      <c r="AV52" s="21">
        <f>EXP(-LN(2)/25)*AV51+(1-EXP(-LN(2)/25))/(LN(2)/25)*Calculateur!AQ52*Calculateur!AS52*VLOOKUP('Données projet'!$B$10,Paramètres!$A$1:$I$89,3,0)*0.475*44/12</f>
        <v>14.200369760348126</v>
      </c>
      <c r="AW52" s="21">
        <f>EXP(-LN(2)/2)*AW51+(1-EXP(-LN(2)/2))/(LN(2)/2)*AQ52*AT52*VLOOKUP('Données projet'!$B$10,Paramètres!$A$1:$I$89,3,0)*0.475*44/12</f>
        <v>0.3761852793101495</v>
      </c>
      <c r="AX52" s="21">
        <f t="shared" si="6"/>
        <v>21.206042347018329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407</v>
      </c>
      <c r="L53" s="12">
        <f>VLOOKUP(A53,'Données projet'!$A$35:$I$55,9,0)</f>
        <v>16.399999999999999</v>
      </c>
      <c r="M53" s="12">
        <f t="array" ref="M53">INDEX(L:L,MIN(IF(ISNUMBER(L53:L249),ROW(L53:L249),"")))</f>
        <v>16.399999999999999</v>
      </c>
      <c r="N53" s="13">
        <f>IF('Données projet'!$A$36&gt;35,N52+M53-V52,IF(A53&lt;'Données projet'!$A$36,$K$205^A53,IF(A53='Données projet'!$A$36,'Données projet'!$B$36,N52+M53-V52)))</f>
        <v>407.00000000000017</v>
      </c>
      <c r="O53" s="13">
        <f>N53*VLOOKUP('Données projet'!$B$9,Paramètres!$A$1:$I$89,3,0)*VLOOKUP('Données projet'!$B$9,Paramètres!$A$1:$I$89,5,0)</f>
        <v>243.38600000000011</v>
      </c>
      <c r="P53" s="13">
        <f t="shared" si="33"/>
        <v>59.167449807285649</v>
      </c>
      <c r="Q53" s="20">
        <f t="shared" si="53"/>
        <v>526.94725841435593</v>
      </c>
      <c r="R53" s="59">
        <f t="shared" si="0"/>
        <v>820.28059174768919</v>
      </c>
      <c r="S53" s="59">
        <f ca="1">AVERAGE(OFFSET($R$3,0,0,'Données projet'!$E$9+1,1))-AVERAGE(OFFSET($H$3,0,0,'Données projet'!$E$9+1,1))</f>
        <v>288.98981546396209</v>
      </c>
      <c r="T53" s="59">
        <f t="shared" si="34"/>
        <v>281.67720096117085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45</v>
      </c>
      <c r="W53" s="16">
        <f>IF(ISNA(VLOOKUP(A53,'Données projet'!$A$35:$I$55,5,0)),0%,VLOOKUP(A53,'Données projet'!$A$35:$I$55,5,0)*VLOOKUP('Données projet'!$B$9,Paramètres!$A$1:$I$89,7,0))</f>
        <v>0.22500000000000001</v>
      </c>
      <c r="X53" s="16">
        <f>IF(ISNA(VLOOKUP(A53,'Données projet'!$A$35:$I$55,6,0)),0%,VLOOKUP(A53,'Données projet'!$A$35:$I$55,6,0)*VLOOKUP('Données projet'!$B$9,Paramètres!$A$1:$I$89,7,0))</f>
        <v>0.12600000000000003</v>
      </c>
      <c r="Y53" s="16">
        <f>IF(ISNA(VLOOKUP(A53,'Données projet'!$A$35:$I$55,7,0)),0%,VLOOKUP(A53,'Données projet'!$A$35:$I$55,7,0))</f>
        <v>0.22</v>
      </c>
      <c r="Z53" s="21">
        <f>EXP(-LN(2)/35)*Z52+(1-EXP(-LN(2)/35))/(LN(2)/35)*V53*W53*VLOOKUP('Données projet'!$B$9,Paramètres!$A$1:$I$89,3,0)*0.475*44/12</f>
        <v>29.123457657315839</v>
      </c>
      <c r="AA53" s="21">
        <f>EXP(-LN(2)/25)*AA52+(1-EXP(-LN(2)/25))/(LN(2)/25)*Calculateur!V53*Calculateur!X53*VLOOKUP('Données projet'!$B$9,Paramètres!$A$1:$I$89,3,0)*0.475*44/12</f>
        <v>30.121030679782251</v>
      </c>
      <c r="AB53" s="21">
        <f>EXP(-LN(2)/2)*AB52+(1-EXP(-LN(2)/2))/(LN(2)/2)*V53*Y53*VLOOKUP('Données projet'!$B$9,Paramètres!$A$1:$I$89,3,0)*0.475*44/12</f>
        <v>8.3326332626201562</v>
      </c>
      <c r="AC53" s="22">
        <f t="shared" si="3"/>
        <v>67.577121599718254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390</v>
      </c>
      <c r="AG53" s="12">
        <f>VLOOKUP(A53,'Données projet'!$A$61:$I$81,9,0)</f>
        <v>14</v>
      </c>
      <c r="AH53" s="12">
        <f t="array" ref="AH53">INDEX(AG:AG,MIN(IF(ISNUMBER(AG53:AG249),ROW(AG53:AG249),"")))</f>
        <v>14</v>
      </c>
      <c r="AI53" s="13">
        <f>IF('Données projet'!$A$62&gt;35,AI52+AH53-AQ52,IF(A53&lt;'Données projet'!$A$62,$AF$205^A53,IF(A53='Données projet'!$A$62,'Données projet'!$B$62,AI52+AH53-AQ52)))</f>
        <v>390</v>
      </c>
      <c r="AJ53" s="13">
        <f>AI53*VLOOKUP('Données projet'!$B$10,Paramètres!$A$1:$I$89,3,0)*VLOOKUP('Données projet'!$B$10,Paramètres!$A$1:$I$89,5,0)</f>
        <v>182.52</v>
      </c>
      <c r="AK53" s="13">
        <f t="shared" si="35"/>
        <v>45.882385280285632</v>
      </c>
      <c r="AL53" s="20">
        <f t="shared" si="4"/>
        <v>397.80082102983079</v>
      </c>
      <c r="AM53" s="59">
        <f t="shared" si="5"/>
        <v>691.13415436316404</v>
      </c>
      <c r="AN53" s="59">
        <f ca="1">AVERAGE(OFFSET($AM$3,0,0,'Données projet'!$E$10+1,1))-AVERAGE(OFFSET($H$3,0,0,'Données projet'!$E$10+1,1))</f>
        <v>234.95901223517041</v>
      </c>
      <c r="AO53" s="59">
        <f t="shared" si="36"/>
        <v>179.39213799913273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50</v>
      </c>
      <c r="AR53" s="16">
        <f>IF(ISNA(VLOOKUP(A53,'Données projet'!$A$61:$I$81,5,0)),0%,VLOOKUP(A53,'Données projet'!$A$61:$I$81,5,0)*VLOOKUP('Données projet'!$B$10,Paramètres!$A$1:$I$89,7,0))</f>
        <v>0.22000000000000003</v>
      </c>
      <c r="AS53" s="16">
        <f>IF(ISNA(VLOOKUP(A53,'Données projet'!$A$61:$I$81,6,0)),0%,VLOOKUP(A53,'Données projet'!$A$61:$I$81,6,0)*VLOOKUP('Données projet'!$B$10,Paramètres!$A$1:$I$89,7,0))</f>
        <v>0.18700000000000003</v>
      </c>
      <c r="AT53" s="16">
        <f>IF(ISNA(VLOOKUP(A53,'Données projet'!$A$61:$I$81,7,0)),0%,VLOOKUP(A53,'Données projet'!$A$61:$I$81,7,0))</f>
        <v>0.26</v>
      </c>
      <c r="AU53" s="21">
        <f>EXP(-LN(2)/35)*AU52+(1-EXP(-LN(2)/35))/(LN(2)/35)*AQ53*AR53*VLOOKUP('Données projet'!$B$10,Paramètres!$A$1:$I$89,3,0)*0.475*44/12</f>
        <v>13.328640921453463</v>
      </c>
      <c r="AV53" s="21">
        <f>EXP(-LN(2)/25)*AV52+(1-EXP(-LN(2)/25))/(LN(2)/25)*Calculateur!AQ53*Calculateur!AS53*VLOOKUP('Données projet'!$B$10,Paramètres!$A$1:$I$89,3,0)*0.475*44/12</f>
        <v>19.593985013014318</v>
      </c>
      <c r="AW53" s="21">
        <f>EXP(-LN(2)/2)*AW52+(1-EXP(-LN(2)/2))/(LN(2)/2)*AQ53*AT53*VLOOKUP('Données projet'!$B$10,Paramètres!$A$1:$I$89,3,0)*0.475*44/12</f>
        <v>7.1545044601337793</v>
      </c>
      <c r="AX53" s="21">
        <f t="shared" si="6"/>
        <v>40.077130394601561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15.2</v>
      </c>
      <c r="N54" s="13">
        <f>IF('Données projet'!$A$36&gt;35,N53+M54-V53,IF(A54&lt;'Données projet'!$A$36,$K$205^A54,IF(A54='Données projet'!$A$36,'Données projet'!$B$36,N53+M54-V53)))</f>
        <v>377.20000000000016</v>
      </c>
      <c r="O54" s="13">
        <f>N54*VLOOKUP('Données projet'!$B$9,Paramètres!$A$1:$I$89,3,0)*VLOOKUP('Données projet'!$B$9,Paramètres!$A$1:$I$89,5,0)</f>
        <v>225.56560000000013</v>
      </c>
      <c r="P54" s="13">
        <f t="shared" si="33"/>
        <v>55.322776886773624</v>
      </c>
      <c r="Q54" s="20">
        <f t="shared" si="53"/>
        <v>489.21392307779769</v>
      </c>
      <c r="R54" s="59">
        <f t="shared" si="0"/>
        <v>782.547256411131</v>
      </c>
      <c r="S54" s="59">
        <f ca="1">AVERAGE(OFFSET($R$3,0,0,'Données projet'!$E$9+1,1))-AVERAGE(OFFSET($H$3,0,0,'Données projet'!$E$9+1,1))</f>
        <v>288.98981546396209</v>
      </c>
      <c r="T54" s="59">
        <f t="shared" si="34"/>
        <v>281.67720096117085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28.552364416211041</v>
      </c>
      <c r="AA54" s="21">
        <f>EXP(-LN(2)/25)*AA53+(1-EXP(-LN(2)/25))/(LN(2)/25)*Calculateur!V54*Calculateur!X54*VLOOKUP('Données projet'!$B$9,Paramètres!$A$1:$I$89,3,0)*0.475*44/12</f>
        <v>29.297369511847446</v>
      </c>
      <c r="AB54" s="21">
        <f>EXP(-LN(2)/2)*AB53+(1-EXP(-LN(2)/2))/(LN(2)/2)*V54*Y54*VLOOKUP('Données projet'!$B$9,Paramètres!$A$1:$I$89,3,0)*0.475*44/12</f>
        <v>5.8920614851392985</v>
      </c>
      <c r="AC54" s="22">
        <f t="shared" si="3"/>
        <v>63.741795413197785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</v>
      </c>
      <c r="AI54" s="13">
        <f>IF('Données projet'!$A$62&gt;35,AI53+AH54-AQ53,IF(A54&lt;'Données projet'!$A$62,$AF$205^A54,IF(A54='Données projet'!$A$62,'Données projet'!$B$62,AI53+AH54-AQ53)))</f>
        <v>353</v>
      </c>
      <c r="AJ54" s="13">
        <f>AI54*VLOOKUP('Données projet'!$B$10,Paramètres!$A$1:$I$89,3,0)*VLOOKUP('Données projet'!$B$10,Paramètres!$A$1:$I$89,5,0)</f>
        <v>165.20400000000001</v>
      </c>
      <c r="AK54" s="13">
        <f t="shared" si="35"/>
        <v>42.01409666579589</v>
      </c>
      <c r="AL54" s="20">
        <f t="shared" si="4"/>
        <v>360.90485169292782</v>
      </c>
      <c r="AM54" s="59">
        <f t="shared" si="5"/>
        <v>654.23818502626114</v>
      </c>
      <c r="AN54" s="59">
        <f ca="1">AVERAGE(OFFSET($AM$3,0,0,'Données projet'!$E$10+1,1))-AVERAGE(OFFSET($H$3,0,0,'Données projet'!$E$10+1,1))</f>
        <v>234.95901223517041</v>
      </c>
      <c r="AO54" s="59">
        <f t="shared" si="36"/>
        <v>179.39213799913273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13.067274402651984</v>
      </c>
      <c r="AV54" s="21">
        <f>EXP(-LN(2)/25)*AV53+(1-EXP(-LN(2)/25))/(LN(2)/25)*Calculateur!AQ54*Calculateur!AS54*VLOOKUP('Données projet'!$B$10,Paramètres!$A$1:$I$89,3,0)*0.475*44/12</f>
        <v>19.058186462430552</v>
      </c>
      <c r="AW54" s="21">
        <f>EXP(-LN(2)/2)*AW53+(1-EXP(-LN(2)/2))/(LN(2)/2)*AQ54*AT54*VLOOKUP('Données projet'!$B$10,Paramètres!$A$1:$I$89,3,0)*0.475*44/12</f>
        <v>5.0589986197899952</v>
      </c>
      <c r="AX54" s="21">
        <f t="shared" si="6"/>
        <v>37.184459484872534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15.2</v>
      </c>
      <c r="N55" s="13">
        <f>IF('Données projet'!$A$36&gt;35,N54+M55-V54,IF(A55&lt;'Données projet'!$A$36,$K$205^A55,IF(A55='Données projet'!$A$36,'Données projet'!$B$36,N54+M55-V54)))</f>
        <v>392.40000000000015</v>
      </c>
      <c r="O55" s="13">
        <f>N55*VLOOKUP('Données projet'!$B$9,Paramètres!$A$1:$I$89,3,0)*VLOOKUP('Données projet'!$B$9,Paramètres!$A$1:$I$89,5,0)</f>
        <v>234.65520000000009</v>
      </c>
      <c r="P55" s="13">
        <f t="shared" si="33"/>
        <v>57.288067746850999</v>
      </c>
      <c r="Q55" s="20">
        <f t="shared" si="53"/>
        <v>508.46785799243236</v>
      </c>
      <c r="R55" s="59">
        <f t="shared" si="0"/>
        <v>801.80119132576567</v>
      </c>
      <c r="S55" s="59">
        <f ca="1">AVERAGE(OFFSET($R$3,0,0,'Données projet'!$E$9+1,1))-AVERAGE(OFFSET($H$3,0,0,'Données projet'!$E$9+1,1))</f>
        <v>288.98981546396209</v>
      </c>
      <c r="T55" s="59">
        <f t="shared" si="34"/>
        <v>281.67720096117085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27.992469965231827</v>
      </c>
      <c r="AA55" s="21">
        <f>EXP(-LN(2)/25)*AA54+(1-EXP(-LN(2)/25))/(LN(2)/25)*Calculateur!V55*Calculateur!X55*VLOOKUP('Données projet'!$B$9,Paramètres!$A$1:$I$89,3,0)*0.475*44/12</f>
        <v>28.496231401864275</v>
      </c>
      <c r="AB55" s="21">
        <f>EXP(-LN(2)/2)*AB54+(1-EXP(-LN(2)/2))/(LN(2)/2)*V55*Y55*VLOOKUP('Données projet'!$B$9,Paramètres!$A$1:$I$89,3,0)*0.475*44/12</f>
        <v>4.1663166313100781</v>
      </c>
      <c r="AC55" s="22">
        <f t="shared" si="3"/>
        <v>60.65501799840618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</v>
      </c>
      <c r="AI55" s="13">
        <f>IF('Données projet'!$A$62&gt;35,AI54+AH55-AQ54,IF(A55&lt;'Données projet'!$A$62,$AF$205^A55,IF(A55='Données projet'!$A$62,'Données projet'!$B$62,AI54+AH55-AQ54)))</f>
        <v>366</v>
      </c>
      <c r="AJ55" s="13">
        <f>AI55*VLOOKUP('Données projet'!$B$10,Paramètres!$A$1:$I$89,3,0)*VLOOKUP('Données projet'!$B$10,Paramètres!$A$1:$I$89,5,0)</f>
        <v>171.28799999999998</v>
      </c>
      <c r="AK55" s="13">
        <f t="shared" si="35"/>
        <v>43.37836589572138</v>
      </c>
      <c r="AL55" s="20">
        <f t="shared" si="4"/>
        <v>373.87725393504803</v>
      </c>
      <c r="AM55" s="59">
        <f t="shared" si="5"/>
        <v>667.21058726838135</v>
      </c>
      <c r="AN55" s="59">
        <f ca="1">AVERAGE(OFFSET($AM$3,0,0,'Données projet'!$E$10+1,1))-AVERAGE(OFFSET($H$3,0,0,'Données projet'!$E$10+1,1))</f>
        <v>234.95901223517041</v>
      </c>
      <c r="AO55" s="59">
        <f t="shared" si="36"/>
        <v>179.39213799913273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12.811033121866368</v>
      </c>
      <c r="AV55" s="21">
        <f>EXP(-LN(2)/25)*AV54+(1-EXP(-LN(2)/25))/(LN(2)/25)*Calculateur!AQ55*Calculateur!AS55*VLOOKUP('Données projet'!$B$10,Paramètres!$A$1:$I$89,3,0)*0.475*44/12</f>
        <v>18.53703935138892</v>
      </c>
      <c r="AW55" s="21">
        <f>EXP(-LN(2)/2)*AW54+(1-EXP(-LN(2)/2))/(LN(2)/2)*AQ55*AT55*VLOOKUP('Données projet'!$B$10,Paramètres!$A$1:$I$89,3,0)*0.475*44/12</f>
        <v>3.5772522300668905</v>
      </c>
      <c r="AX55" s="21">
        <f t="shared" si="6"/>
        <v>34.925324703322175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15.2</v>
      </c>
      <c r="N56" s="13">
        <f>IF('Données projet'!$A$36&gt;35,N55+M56-V55,IF(A56&lt;'Données projet'!$A$36,$K$205^A56,IF(A56='Données projet'!$A$36,'Données projet'!$B$36,N55+M56-V55)))</f>
        <v>407.60000000000014</v>
      </c>
      <c r="O56" s="13">
        <f>N56*VLOOKUP('Données projet'!$B$9,Paramètres!$A$1:$I$89,3,0)*VLOOKUP('Données projet'!$B$9,Paramètres!$A$1:$I$89,5,0)</f>
        <v>243.74480000000008</v>
      </c>
      <c r="P56" s="13">
        <f t="shared" si="33"/>
        <v>59.244514980058433</v>
      </c>
      <c r="Q56" s="20">
        <f t="shared" si="53"/>
        <v>527.70639025693515</v>
      </c>
      <c r="R56" s="59">
        <f t="shared" si="0"/>
        <v>821.03972359026852</v>
      </c>
      <c r="S56" s="59">
        <f ca="1">AVERAGE(OFFSET($R$3,0,0,'Données projet'!$E$9+1,1))-AVERAGE(OFFSET($H$3,0,0,'Données projet'!$E$9+1,1))</f>
        <v>288.98981546396209</v>
      </c>
      <c r="T56" s="59">
        <f t="shared" si="34"/>
        <v>281.67720096117085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27.443554702934421</v>
      </c>
      <c r="AA56" s="21">
        <f>EXP(-LN(2)/25)*AA55+(1-EXP(-LN(2)/25))/(LN(2)/25)*Calculateur!V56*Calculateur!X56*VLOOKUP('Données projet'!$B$9,Paramètres!$A$1:$I$89,3,0)*0.475*44/12</f>
        <v>27.717000455628614</v>
      </c>
      <c r="AB56" s="21">
        <f>EXP(-LN(2)/2)*AB55+(1-EXP(-LN(2)/2))/(LN(2)/2)*V56*Y56*VLOOKUP('Données projet'!$B$9,Paramètres!$A$1:$I$89,3,0)*0.475*44/12</f>
        <v>2.9460307425696493</v>
      </c>
      <c r="AC56" s="22">
        <f t="shared" si="3"/>
        <v>58.106585901132682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</v>
      </c>
      <c r="AI56" s="13">
        <f>IF('Données projet'!$A$62&gt;35,AI55+AH56-AQ55,IF(A56&lt;'Données projet'!$A$62,$AF$205^A56,IF(A56='Données projet'!$A$62,'Données projet'!$B$62,AI55+AH56-AQ55)))</f>
        <v>379</v>
      </c>
      <c r="AJ56" s="13">
        <f>AI56*VLOOKUP('Données projet'!$B$10,Paramètres!$A$1:$I$89,3,0)*VLOOKUP('Données projet'!$B$10,Paramètres!$A$1:$I$89,5,0)</f>
        <v>177.37200000000001</v>
      </c>
      <c r="AK56" s="13">
        <f t="shared" si="35"/>
        <v>44.737005048641883</v>
      </c>
      <c r="AL56" s="20">
        <f t="shared" si="4"/>
        <v>386.83985045971798</v>
      </c>
      <c r="AM56" s="59">
        <f t="shared" si="5"/>
        <v>680.17318379305129</v>
      </c>
      <c r="AN56" s="59">
        <f ca="1">AVERAGE(OFFSET($AM$3,0,0,'Données projet'!$E$10+1,1))-AVERAGE(OFFSET($H$3,0,0,'Données projet'!$E$10+1,1))</f>
        <v>234.95901223517041</v>
      </c>
      <c r="AO56" s="59">
        <f t="shared" si="36"/>
        <v>179.39213799913273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12.559816576305208</v>
      </c>
      <c r="AV56" s="21">
        <f>EXP(-LN(2)/25)*AV55+(1-EXP(-LN(2)/25))/(LN(2)/25)*Calculateur!AQ56*Calculateur!AS56*VLOOKUP('Données projet'!$B$10,Paramètres!$A$1:$I$89,3,0)*0.475*44/12</f>
        <v>18.030143035504658</v>
      </c>
      <c r="AW56" s="21">
        <f>EXP(-LN(2)/2)*AW55+(1-EXP(-LN(2)/2))/(LN(2)/2)*AQ56*AT56*VLOOKUP('Données projet'!$B$10,Paramètres!$A$1:$I$89,3,0)*0.475*44/12</f>
        <v>2.529499309894998</v>
      </c>
      <c r="AX56" s="21">
        <f t="shared" si="6"/>
        <v>33.119458921704862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15.2</v>
      </c>
      <c r="N57" s="13">
        <f>IF('Données projet'!$A$36&gt;35,N56+M57-V56,IF(A57&lt;'Données projet'!$A$36,$K$205^A57,IF(A57='Données projet'!$A$36,'Données projet'!$B$36,N56+M57-V56)))</f>
        <v>422.80000000000013</v>
      </c>
      <c r="O57" s="13">
        <f>N57*VLOOKUP('Données projet'!$B$9,Paramètres!$A$1:$I$89,3,0)*VLOOKUP('Données projet'!$B$9,Paramètres!$A$1:$I$89,5,0)</f>
        <v>252.83440000000007</v>
      </c>
      <c r="P57" s="13">
        <f t="shared" si="33"/>
        <v>61.192486141379483</v>
      </c>
      <c r="Q57" s="20">
        <f t="shared" si="53"/>
        <v>546.93016002956938</v>
      </c>
      <c r="R57" s="59">
        <f t="shared" si="0"/>
        <v>840.26349336290264</v>
      </c>
      <c r="S57" s="59">
        <f ca="1">AVERAGE(OFFSET($R$3,0,0,'Données projet'!$E$9+1,1))-AVERAGE(OFFSET($H$3,0,0,'Données projet'!$E$9+1,1))</f>
        <v>288.98981546396209</v>
      </c>
      <c r="T57" s="59">
        <f t="shared" si="34"/>
        <v>281.67720096117085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26.905403334125413</v>
      </c>
      <c r="AA57" s="21">
        <f>EXP(-LN(2)/25)*AA56+(1-EXP(-LN(2)/25))/(LN(2)/25)*Calculateur!V57*Calculateur!X57*VLOOKUP('Données projet'!$B$9,Paramètres!$A$1:$I$89,3,0)*0.475*44/12</f>
        <v>26.959077620595743</v>
      </c>
      <c r="AB57" s="21">
        <f>EXP(-LN(2)/2)*AB56+(1-EXP(-LN(2)/2))/(LN(2)/2)*V57*Y57*VLOOKUP('Données projet'!$B$9,Paramètres!$A$1:$I$89,3,0)*0.475*44/12</f>
        <v>2.0831583156550391</v>
      </c>
      <c r="AC57" s="22">
        <f t="shared" si="3"/>
        <v>55.9476392703762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</v>
      </c>
      <c r="AI57" s="13">
        <f>IF('Données projet'!$A$62&gt;35,AI56+AH57-AQ56,IF(A57&lt;'Données projet'!$A$62,$AF$205^A57,IF(A57='Données projet'!$A$62,'Données projet'!$B$62,AI56+AH57-AQ56)))</f>
        <v>392</v>
      </c>
      <c r="AJ57" s="13">
        <f>AI57*VLOOKUP('Données projet'!$B$10,Paramètres!$A$1:$I$89,3,0)*VLOOKUP('Données projet'!$B$10,Paramètres!$A$1:$I$89,5,0)</f>
        <v>183.45600000000002</v>
      </c>
      <c r="AK57" s="13">
        <f t="shared" si="35"/>
        <v>46.090229375321144</v>
      </c>
      <c r="AL57" s="20">
        <f t="shared" si="4"/>
        <v>399.79301616201769</v>
      </c>
      <c r="AM57" s="59">
        <f t="shared" si="5"/>
        <v>693.12634949535095</v>
      </c>
      <c r="AN57" s="59">
        <f ca="1">AVERAGE(OFFSET($AM$3,0,0,'Données projet'!$E$10+1,1))-AVERAGE(OFFSET($H$3,0,0,'Données projet'!$E$10+1,1))</f>
        <v>234.95901223517041</v>
      </c>
      <c r="AO57" s="59">
        <f t="shared" si="36"/>
        <v>179.39213799913273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12.313526233975539</v>
      </c>
      <c r="AV57" s="21">
        <f>EXP(-LN(2)/25)*AV56+(1-EXP(-LN(2)/25))/(LN(2)/25)*Calculateur!AQ57*Calculateur!AS57*VLOOKUP('Données projet'!$B$10,Paramètres!$A$1:$I$89,3,0)*0.475*44/12</f>
        <v>17.53710782603477</v>
      </c>
      <c r="AW57" s="21">
        <f>EXP(-LN(2)/2)*AW56+(1-EXP(-LN(2)/2))/(LN(2)/2)*AQ57*AT57*VLOOKUP('Données projet'!$B$10,Paramètres!$A$1:$I$89,3,0)*0.475*44/12</f>
        <v>1.7886261150334455</v>
      </c>
      <c r="AX57" s="21">
        <f t="shared" si="6"/>
        <v>31.639260175043752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438</v>
      </c>
      <c r="L58" s="12">
        <f>VLOOKUP(A58,'Données projet'!$A$35:$I$55,9,0)</f>
        <v>15.2</v>
      </c>
      <c r="M58" s="12">
        <f t="array" ref="M58">INDEX(L:L,MIN(IF(ISNUMBER(L58:L254),ROW(L58:L254),"")))</f>
        <v>15.2</v>
      </c>
      <c r="N58" s="13">
        <f>IF('Données projet'!$A$36&gt;35,N57+M58-V57,IF(A58&lt;'Données projet'!$A$36,$K$205^A58,IF(A58='Données projet'!$A$36,'Données projet'!$B$36,N57+M58-V57)))</f>
        <v>438.00000000000011</v>
      </c>
      <c r="O58" s="13">
        <f>N58*VLOOKUP('Données projet'!$B$9,Paramètres!$A$1:$I$89,3,0)*VLOOKUP('Données projet'!$B$9,Paramètres!$A$1:$I$89,5,0)</f>
        <v>261.92400000000009</v>
      </c>
      <c r="P58" s="13">
        <f t="shared" si="33"/>
        <v>63.132320859995644</v>
      </c>
      <c r="Q58" s="20">
        <f t="shared" si="53"/>
        <v>566.13975883115916</v>
      </c>
      <c r="R58" s="59">
        <f t="shared" si="0"/>
        <v>859.47309216449253</v>
      </c>
      <c r="S58" s="59">
        <f ca="1">AVERAGE(OFFSET($R$3,0,0,'Données projet'!$E$9+1,1))-AVERAGE(OFFSET($H$3,0,0,'Données projet'!$E$9+1,1))</f>
        <v>288.98981546396209</v>
      </c>
      <c r="T58" s="59">
        <f t="shared" si="34"/>
        <v>281.67720096117085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38</v>
      </c>
      <c r="W58" s="16">
        <f>IF(ISNA(VLOOKUP(A58,'Données projet'!$A$35:$I$55,5,0)),0%,VLOOKUP(A58,'Données projet'!$A$35:$I$55,5,0)*VLOOKUP('Données projet'!$B$9,Paramètres!$A$1:$I$89,7,0))</f>
        <v>0.27</v>
      </c>
      <c r="X58" s="16">
        <f>IF(ISNA(VLOOKUP(A58,'Données projet'!$A$35:$I$55,6,0)),0%,VLOOKUP(A58,'Données projet'!$A$35:$I$55,6,0)*VLOOKUP('Données projet'!$B$9,Paramètres!$A$1:$I$89,7,0))</f>
        <v>9.9000000000000005E-2</v>
      </c>
      <c r="Y58" s="16">
        <f>IF(ISNA(VLOOKUP(A58,'Données projet'!$A$35:$I$55,7,0)),0%,VLOOKUP(A58,'Données projet'!$A$35:$I$55,7,0))</f>
        <v>0.18</v>
      </c>
      <c r="Z58" s="21">
        <f>EXP(-LN(2)/35)*Z57+(1-EXP(-LN(2)/35))/(LN(2)/35)*V58*W58*VLOOKUP('Données projet'!$B$9,Paramètres!$A$1:$I$89,3,0)*0.475*44/12</f>
        <v>34.516914470479023</v>
      </c>
      <c r="AA58" s="21">
        <f>EXP(-LN(2)/25)*AA57+(1-EXP(-LN(2)/25))/(LN(2)/25)*Calculateur!V58*Calculateur!X58*VLOOKUP('Données projet'!$B$9,Paramètres!$A$1:$I$89,3,0)*0.475*44/12</f>
        <v>29.19446995863921</v>
      </c>
      <c r="AB58" s="21">
        <f>EXP(-LN(2)/2)*AB57+(1-EXP(-LN(2)/2))/(LN(2)/2)*V58*Y58*VLOOKUP('Données projet'!$B$9,Paramètres!$A$1:$I$89,3,0)*0.475*44/12</f>
        <v>6.1042077825032788</v>
      </c>
      <c r="AC58" s="22">
        <f t="shared" si="3"/>
        <v>69.815592211621507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</v>
      </c>
      <c r="AI58" s="13">
        <f>IF('Données projet'!$A$62&gt;35,AI57+AH58-AQ57,IF(A58&lt;'Données projet'!$A$62,$AF$205^A58,IF(A58='Données projet'!$A$62,'Données projet'!$B$62,AI57+AH58-AQ57)))</f>
        <v>405</v>
      </c>
      <c r="AJ58" s="13">
        <f>AI58*VLOOKUP('Données projet'!$B$10,Paramètres!$A$1:$I$89,3,0)*VLOOKUP('Données projet'!$B$10,Paramètres!$A$1:$I$89,5,0)</f>
        <v>189.54</v>
      </c>
      <c r="AK58" s="13">
        <f t="shared" si="35"/>
        <v>47.438239039488813</v>
      </c>
      <c r="AL58" s="20">
        <f t="shared" si="4"/>
        <v>412.73709966044299</v>
      </c>
      <c r="AM58" s="59">
        <f t="shared" si="5"/>
        <v>706.07043299377631</v>
      </c>
      <c r="AN58" s="59">
        <f ca="1">AVERAGE(OFFSET($AM$3,0,0,'Données projet'!$E$10+1,1))-AVERAGE(OFFSET($H$3,0,0,'Données projet'!$E$10+1,1))</f>
        <v>234.95901223517041</v>
      </c>
      <c r="AO58" s="59">
        <f t="shared" si="36"/>
        <v>179.39213799913273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12.07206549503668</v>
      </c>
      <c r="AV58" s="21">
        <f>EXP(-LN(2)/25)*AV57+(1-EXP(-LN(2)/25))/(LN(2)/25)*Calculateur!AQ58*Calculateur!AS58*VLOOKUP('Données projet'!$B$10,Paramètres!$A$1:$I$89,3,0)*0.475*44/12</f>
        <v>17.057554690295429</v>
      </c>
      <c r="AW58" s="21">
        <f>EXP(-LN(2)/2)*AW57+(1-EXP(-LN(2)/2))/(LN(2)/2)*AQ58*AT58*VLOOKUP('Données projet'!$B$10,Paramètres!$A$1:$I$89,3,0)*0.475*44/12</f>
        <v>1.2647496549474992</v>
      </c>
      <c r="AX58" s="21">
        <f t="shared" si="6"/>
        <v>30.394369840279609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13.6</v>
      </c>
      <c r="N59" s="13">
        <f>IF('Données projet'!$A$36&gt;35,N58+M59-V58,IF(A59&lt;'Données projet'!$A$36,$K$205^A59,IF(A59='Données projet'!$A$36,'Données projet'!$B$36,N58+M59-V58)))</f>
        <v>413.60000000000014</v>
      </c>
      <c r="O59" s="13">
        <f>N59*VLOOKUP('Données projet'!$B$9,Paramètres!$A$1:$I$89,3,0)*VLOOKUP('Données projet'!$B$9,Paramètres!$A$1:$I$89,5,0)</f>
        <v>247.33280000000008</v>
      </c>
      <c r="P59" s="13">
        <f t="shared" si="33"/>
        <v>60.014444064381088</v>
      </c>
      <c r="Q59" s="20">
        <f t="shared" si="53"/>
        <v>535.29645007879719</v>
      </c>
      <c r="R59" s="59">
        <f t="shared" si="0"/>
        <v>828.62978341213056</v>
      </c>
      <c r="S59" s="59">
        <f ca="1">AVERAGE(OFFSET($R$3,0,0,'Données projet'!$E$9+1,1))-AVERAGE(OFFSET($H$3,0,0,'Données projet'!$E$9+1,1))</f>
        <v>288.98981546396209</v>
      </c>
      <c r="T59" s="59">
        <f t="shared" si="34"/>
        <v>281.67720096117085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33.840058830951918</v>
      </c>
      <c r="AA59" s="21">
        <f>EXP(-LN(2)/25)*AA58+(1-EXP(-LN(2)/25))/(LN(2)/25)*Calculateur!V59*Calculateur!X59*VLOOKUP('Données projet'!$B$9,Paramètres!$A$1:$I$89,3,0)*0.475*44/12</f>
        <v>28.396145642349772</v>
      </c>
      <c r="AB59" s="21">
        <f>EXP(-LN(2)/2)*AB58+(1-EXP(-LN(2)/2))/(LN(2)/2)*V59*Y59*VLOOKUP('Données projet'!$B$9,Paramètres!$A$1:$I$89,3,0)*0.475*44/12</f>
        <v>4.3163267167797663</v>
      </c>
      <c r="AC59" s="22">
        <f t="shared" si="3"/>
        <v>66.552531190081453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</v>
      </c>
      <c r="AI59" s="13">
        <f>IF('Données projet'!$A$62&gt;35,AI58+AH59-AQ58,IF(A59&lt;'Données projet'!$A$62,$AF$205^A59,IF(A59='Données projet'!$A$62,'Données projet'!$B$62,AI58+AH59-AQ58)))</f>
        <v>418</v>
      </c>
      <c r="AJ59" s="13">
        <f>AI59*VLOOKUP('Données projet'!$B$10,Paramètres!$A$1:$I$89,3,0)*VLOOKUP('Données projet'!$B$10,Paramètres!$A$1:$I$89,5,0)</f>
        <v>195.624</v>
      </c>
      <c r="AK59" s="13">
        <f t="shared" si="35"/>
        <v>48.781220625276006</v>
      </c>
      <c r="AL59" s="20">
        <f t="shared" si="4"/>
        <v>425.67242592235567</v>
      </c>
      <c r="AM59" s="59">
        <f t="shared" si="5"/>
        <v>719.00575925568899</v>
      </c>
      <c r="AN59" s="59">
        <f ca="1">AVERAGE(OFFSET($AM$3,0,0,'Données projet'!$E$10+1,1))-AVERAGE(OFFSET($H$3,0,0,'Données projet'!$E$10+1,1))</f>
        <v>234.95901223517041</v>
      </c>
      <c r="AO59" s="59">
        <f t="shared" si="36"/>
        <v>179.39213799913273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11.835339653911904</v>
      </c>
      <c r="AV59" s="21">
        <f>EXP(-LN(2)/25)*AV58+(1-EXP(-LN(2)/25))/(LN(2)/25)*Calculateur!AQ59*Calculateur!AS59*VLOOKUP('Données projet'!$B$10,Paramètres!$A$1:$I$89,3,0)*0.475*44/12</f>
        <v>16.591114960271486</v>
      </c>
      <c r="AW59" s="21">
        <f>EXP(-LN(2)/2)*AW58+(1-EXP(-LN(2)/2))/(LN(2)/2)*AQ59*AT59*VLOOKUP('Données projet'!$B$10,Paramètres!$A$1:$I$89,3,0)*0.475*44/12</f>
        <v>0.89431305751672285</v>
      </c>
      <c r="AX59" s="21">
        <f t="shared" si="6"/>
        <v>29.320767671700114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13.6</v>
      </c>
      <c r="N60" s="13">
        <f>IF('Données projet'!$A$36&gt;35,N59+M60-V59,IF(A60&lt;'Données projet'!$A$36,$K$205^A60,IF(A60='Données projet'!$A$36,'Données projet'!$B$36,N59+M60-V59)))</f>
        <v>427.20000000000016</v>
      </c>
      <c r="O60" s="13">
        <f>N60*VLOOKUP('Données projet'!$B$9,Paramètres!$A$1:$I$89,3,0)*VLOOKUP('Données projet'!$B$9,Paramètres!$A$1:$I$89,5,0)</f>
        <v>255.46560000000011</v>
      </c>
      <c r="P60" s="13">
        <f t="shared" si="33"/>
        <v>61.754839632117942</v>
      </c>
      <c r="Q60" s="20">
        <f t="shared" si="53"/>
        <v>552.49226569260554</v>
      </c>
      <c r="R60" s="59">
        <f t="shared" si="0"/>
        <v>845.8255990259388</v>
      </c>
      <c r="S60" s="59">
        <f ca="1">AVERAGE(OFFSET($R$3,0,0,'Données projet'!$E$9+1,1))-AVERAGE(OFFSET($H$3,0,0,'Données projet'!$E$9+1,1))</f>
        <v>288.98981546396209</v>
      </c>
      <c r="T60" s="59">
        <f t="shared" si="34"/>
        <v>281.67720096117085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33.176475917674765</v>
      </c>
      <c r="AA60" s="21">
        <f>EXP(-LN(2)/25)*AA59+(1-EXP(-LN(2)/25))/(LN(2)/25)*Calculateur!V60*Calculateur!X60*VLOOKUP('Données projet'!$B$9,Paramètres!$A$1:$I$89,3,0)*0.475*44/12</f>
        <v>27.619651546471317</v>
      </c>
      <c r="AB60" s="21">
        <f>EXP(-LN(2)/2)*AB59+(1-EXP(-LN(2)/2))/(LN(2)/2)*V60*Y60*VLOOKUP('Données projet'!$B$9,Paramètres!$A$1:$I$89,3,0)*0.475*44/12</f>
        <v>3.0521038912516394</v>
      </c>
      <c r="AC60" s="22">
        <f t="shared" si="3"/>
        <v>63.848231355397722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</v>
      </c>
      <c r="AI60" s="13">
        <f>IF('Données projet'!$A$62&gt;35,AI59+AH60-AQ59,IF(A60&lt;'Données projet'!$A$62,$AF$205^A60,IF(A60='Données projet'!$A$62,'Données projet'!$B$62,AI59+AH60-AQ59)))</f>
        <v>431</v>
      </c>
      <c r="AJ60" s="13">
        <f>AI60*VLOOKUP('Données projet'!$B$10,Paramètres!$A$1:$I$89,3,0)*VLOOKUP('Données projet'!$B$10,Paramètres!$A$1:$I$89,5,0)</f>
        <v>201.708</v>
      </c>
      <c r="AK60" s="13">
        <f t="shared" si="35"/>
        <v>50.119348451854286</v>
      </c>
      <c r="AL60" s="20">
        <f t="shared" si="4"/>
        <v>438.59929855364618</v>
      </c>
      <c r="AM60" s="59">
        <f t="shared" si="5"/>
        <v>731.93263188697949</v>
      </c>
      <c r="AN60" s="59">
        <f ca="1">AVERAGE(OFFSET($AM$3,0,0,'Données projet'!$E$10+1,1))-AVERAGE(OFFSET($H$3,0,0,'Données projet'!$E$10+1,1))</f>
        <v>234.95901223517041</v>
      </c>
      <c r="AO60" s="59">
        <f t="shared" si="36"/>
        <v>179.39213799913273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11.603255862143078</v>
      </c>
      <c r="AV60" s="21">
        <f>EXP(-LN(2)/25)*AV59+(1-EXP(-LN(2)/25))/(LN(2)/25)*Calculateur!AQ60*Calculateur!AS60*VLOOKUP('Données projet'!$B$10,Paramètres!$A$1:$I$89,3,0)*0.475*44/12</f>
        <v>16.137430049194048</v>
      </c>
      <c r="AW60" s="21">
        <f>EXP(-LN(2)/2)*AW59+(1-EXP(-LN(2)/2))/(LN(2)/2)*AQ60*AT60*VLOOKUP('Données projet'!$B$10,Paramètres!$A$1:$I$89,3,0)*0.475*44/12</f>
        <v>0.63237482747374973</v>
      </c>
      <c r="AX60" s="21">
        <f t="shared" si="6"/>
        <v>28.373060738810874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13.6</v>
      </c>
      <c r="N61" s="13">
        <f>IF('Données projet'!$A$36&gt;35,N60+M61-V60,IF(A61&lt;'Données projet'!$A$36,$K$205^A61,IF(A61='Données projet'!$A$36,'Données projet'!$B$36,N60+M61-V60)))</f>
        <v>440.80000000000018</v>
      </c>
      <c r="O61" s="13">
        <f>N61*VLOOKUP('Données projet'!$B$9,Paramètres!$A$1:$I$89,3,0)*VLOOKUP('Données projet'!$B$9,Paramètres!$A$1:$I$89,5,0)</f>
        <v>263.59840000000014</v>
      </c>
      <c r="P61" s="13">
        <f t="shared" si="33"/>
        <v>63.488796744229134</v>
      </c>
      <c r="Q61" s="20">
        <f t="shared" si="53"/>
        <v>569.67686766286602</v>
      </c>
      <c r="R61" s="59">
        <f t="shared" si="0"/>
        <v>863.01020099619927</v>
      </c>
      <c r="S61" s="59">
        <f ca="1">AVERAGE(OFFSET($R$3,0,0,'Données projet'!$E$9+1,1))-AVERAGE(OFFSET($H$3,0,0,'Données projet'!$E$9+1,1))</f>
        <v>288.98981546396209</v>
      </c>
      <c r="T61" s="59">
        <f t="shared" si="34"/>
        <v>281.67720096117085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32.52590546058137</v>
      </c>
      <c r="AA61" s="21">
        <f>EXP(-LN(2)/25)*AA60+(1-EXP(-LN(2)/25))/(LN(2)/25)*Calculateur!V61*Calculateur!X61*VLOOKUP('Données projet'!$B$9,Paramètres!$A$1:$I$89,3,0)*0.475*44/12</f>
        <v>26.86439072247871</v>
      </c>
      <c r="AB61" s="21">
        <f>EXP(-LN(2)/2)*AB60+(1-EXP(-LN(2)/2))/(LN(2)/2)*V61*Y61*VLOOKUP('Données projet'!$B$9,Paramètres!$A$1:$I$89,3,0)*0.475*44/12</f>
        <v>2.1581633583898832</v>
      </c>
      <c r="AC61" s="22">
        <f t="shared" si="3"/>
        <v>61.548459541449965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</v>
      </c>
      <c r="AI61" s="13">
        <f>IF('Données projet'!$A$62&gt;35,AI60+AH61-AQ60,IF(A61&lt;'Données projet'!$A$62,$AF$205^A61,IF(A61='Données projet'!$A$62,'Données projet'!$B$62,AI60+AH61-AQ60)))</f>
        <v>444</v>
      </c>
      <c r="AJ61" s="13">
        <f>AI61*VLOOKUP('Données projet'!$B$10,Paramètres!$A$1:$I$89,3,0)*VLOOKUP('Données projet'!$B$10,Paramètres!$A$1:$I$89,5,0)</f>
        <v>207.792</v>
      </c>
      <c r="AK61" s="13">
        <f t="shared" si="35"/>
        <v>51.452785725007864</v>
      </c>
      <c r="AL61" s="20">
        <f t="shared" si="4"/>
        <v>451.51800180438869</v>
      </c>
      <c r="AM61" s="59">
        <f t="shared" si="5"/>
        <v>744.851335137722</v>
      </c>
      <c r="AN61" s="59">
        <f ca="1">AVERAGE(OFFSET($AM$3,0,0,'Données projet'!$E$10+1,1))-AVERAGE(OFFSET($H$3,0,0,'Données projet'!$E$10+1,1))</f>
        <v>234.95901223517041</v>
      </c>
      <c r="AO61" s="59">
        <f t="shared" si="36"/>
        <v>179.39213799913273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11.375723091973704</v>
      </c>
      <c r="AV61" s="21">
        <f>EXP(-LN(2)/25)*AV60+(1-EXP(-LN(2)/25))/(LN(2)/25)*Calculateur!AQ61*Calculateur!AS61*VLOOKUP('Données projet'!$B$10,Paramètres!$A$1:$I$89,3,0)*0.475*44/12</f>
        <v>15.696151175868273</v>
      </c>
      <c r="AW61" s="21">
        <f>EXP(-LN(2)/2)*AW60+(1-EXP(-LN(2)/2))/(LN(2)/2)*AQ61*AT61*VLOOKUP('Données projet'!$B$10,Paramètres!$A$1:$I$89,3,0)*0.475*44/12</f>
        <v>0.44715652875836154</v>
      </c>
      <c r="AX61" s="21">
        <f t="shared" si="6"/>
        <v>27.51903079660034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13.6</v>
      </c>
      <c r="N62" s="13">
        <f>IF('Données projet'!$A$36&gt;35,N61+M62-V61,IF(A62&lt;'Données projet'!$A$36,$K$205^A62,IF(A62='Données projet'!$A$36,'Données projet'!$B$36,N61+M62-V61)))</f>
        <v>454.4000000000002</v>
      </c>
      <c r="O62" s="13">
        <f>N62*VLOOKUP('Données projet'!$B$9,Paramètres!$A$1:$I$89,3,0)*VLOOKUP('Données projet'!$B$9,Paramètres!$A$1:$I$89,5,0)</f>
        <v>271.73120000000017</v>
      </c>
      <c r="P62" s="13">
        <f t="shared" si="33"/>
        <v>65.216536842235598</v>
      </c>
      <c r="Q62" s="20">
        <f t="shared" si="53"/>
        <v>586.85064166689392</v>
      </c>
      <c r="R62" s="59">
        <f t="shared" si="0"/>
        <v>880.18397500022729</v>
      </c>
      <c r="S62" s="59">
        <f ca="1">AVERAGE(OFFSET($R$3,0,0,'Données projet'!$E$9+1,1))-AVERAGE(OFFSET($H$3,0,0,'Données projet'!$E$9+1,1))</f>
        <v>288.98981546396209</v>
      </c>
      <c r="T62" s="59">
        <f t="shared" si="34"/>
        <v>281.67720096117085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31.888092293342776</v>
      </c>
      <c r="AA62" s="21">
        <f>EXP(-LN(2)/25)*AA61+(1-EXP(-LN(2)/25))/(LN(2)/25)*Calculateur!V62*Calculateur!X62*VLOOKUP('Données projet'!$B$9,Paramètres!$A$1:$I$89,3,0)*0.475*44/12</f>
        <v>26.129782545435621</v>
      </c>
      <c r="AB62" s="21">
        <f>EXP(-LN(2)/2)*AB61+(1-EXP(-LN(2)/2))/(LN(2)/2)*V62*Y62*VLOOKUP('Données projet'!$B$9,Paramètres!$A$1:$I$89,3,0)*0.475*44/12</f>
        <v>1.5260519456258197</v>
      </c>
      <c r="AC62" s="22">
        <f t="shared" si="3"/>
        <v>59.543926784404213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</v>
      </c>
      <c r="AI62" s="13">
        <f>IF('Données projet'!$A$62&gt;35,AI61+AH62-AQ61,IF(A62&lt;'Données projet'!$A$62,$AF$205^A62,IF(A62='Données projet'!$A$62,'Données projet'!$B$62,AI61+AH62-AQ61)))</f>
        <v>457</v>
      </c>
      <c r="AJ62" s="13">
        <f>AI62*VLOOKUP('Données projet'!$B$10,Paramètres!$A$1:$I$89,3,0)*VLOOKUP('Données projet'!$B$10,Paramètres!$A$1:$I$89,5,0)</f>
        <v>213.87599999999998</v>
      </c>
      <c r="AK62" s="13">
        <f t="shared" si="35"/>
        <v>52.781685550046873</v>
      </c>
      <c r="AL62" s="20">
        <f t="shared" si="4"/>
        <v>464.4288023329982</v>
      </c>
      <c r="AM62" s="59">
        <f t="shared" si="5"/>
        <v>757.76213566633146</v>
      </c>
      <c r="AN62" s="59">
        <f ca="1">AVERAGE(OFFSET($AM$3,0,0,'Données projet'!$E$10+1,1))-AVERAGE(OFFSET($H$3,0,0,'Données projet'!$E$10+1,1))</f>
        <v>234.95901223517041</v>
      </c>
      <c r="AO62" s="59">
        <f t="shared" si="36"/>
        <v>179.39213799913273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11.152652100646065</v>
      </c>
      <c r="AV62" s="21">
        <f>EXP(-LN(2)/25)*AV61+(1-EXP(-LN(2)/25))/(LN(2)/25)*Calculateur!AQ62*Calculateur!AS62*VLOOKUP('Données projet'!$B$10,Paramètres!$A$1:$I$89,3,0)*0.475*44/12</f>
        <v>15.266939096539438</v>
      </c>
      <c r="AW62" s="21">
        <f>EXP(-LN(2)/2)*AW61+(1-EXP(-LN(2)/2))/(LN(2)/2)*AQ62*AT62*VLOOKUP('Données projet'!$B$10,Paramètres!$A$1:$I$89,3,0)*0.475*44/12</f>
        <v>0.31618741373687492</v>
      </c>
      <c r="AX62" s="21">
        <f t="shared" si="6"/>
        <v>26.735778610922377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468</v>
      </c>
      <c r="L63" s="12">
        <f>VLOOKUP(A63,'Données projet'!$A$35:$I$55,9,0)</f>
        <v>13.6</v>
      </c>
      <c r="M63" s="12">
        <f t="array" ref="M63">INDEX(L:L,MIN(IF(ISNUMBER(L63:L259),ROW(L63:L259),"")))</f>
        <v>13.6</v>
      </c>
      <c r="N63" s="13">
        <f>IF('Données projet'!$A$36&gt;35,N62+M63-V62,IF(A63&lt;'Données projet'!$A$36,$K$205^A63,IF(A63='Données projet'!$A$36,'Données projet'!$B$36,N62+M63-V62)))</f>
        <v>468.00000000000023</v>
      </c>
      <c r="O63" s="13">
        <f>N63*VLOOKUP('Données projet'!$B$9,Paramètres!$A$1:$I$89,3,0)*VLOOKUP('Données projet'!$B$9,Paramètres!$A$1:$I$89,5,0)</f>
        <v>279.86400000000015</v>
      </c>
      <c r="P63" s="13">
        <f t="shared" si="33"/>
        <v>66.938267358965064</v>
      </c>
      <c r="Q63" s="20">
        <f t="shared" si="53"/>
        <v>604.01394898353101</v>
      </c>
      <c r="R63" s="59">
        <f t="shared" si="0"/>
        <v>897.34728231686427</v>
      </c>
      <c r="S63" s="59">
        <f ca="1">AVERAGE(OFFSET($R$3,0,0,'Données projet'!$E$9+1,1))-AVERAGE(OFFSET($H$3,0,0,'Données projet'!$E$9+1,1))</f>
        <v>288.98981546396209</v>
      </c>
      <c r="T63" s="59">
        <f t="shared" si="34"/>
        <v>281.67720096117085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33</v>
      </c>
      <c r="W63" s="16">
        <f>IF(ISNA(VLOOKUP(A63,'Données projet'!$A$35:$I$55,5,0)),0%,VLOOKUP(A63,'Données projet'!$A$35:$I$55,5,0)*VLOOKUP('Données projet'!$B$9,Paramètres!$A$1:$I$89,7,0))</f>
        <v>0.27</v>
      </c>
      <c r="X63" s="16">
        <f>IF(ISNA(VLOOKUP(A63,'Données projet'!$A$35:$I$55,6,0)),0%,VLOOKUP(A63,'Données projet'!$A$35:$I$55,6,0)*VLOOKUP('Données projet'!$B$9,Paramètres!$A$1:$I$89,7,0))</f>
        <v>9.9000000000000005E-2</v>
      </c>
      <c r="Y63" s="16">
        <f>IF(ISNA(VLOOKUP(A63,'Données projet'!$A$35:$I$55,7,0)),0%,VLOOKUP(A63,'Données projet'!$A$35:$I$55,7,0))</f>
        <v>0.18</v>
      </c>
      <c r="Z63" s="21">
        <f>EXP(-LN(2)/35)*Z62+(1-EXP(-LN(2)/35))/(LN(2)/35)*V63*W63*VLOOKUP('Données projet'!$B$9,Paramètres!$A$1:$I$89,3,0)*0.475*44/12</f>
        <v>38.330960453469963</v>
      </c>
      <c r="AA63" s="21">
        <f>EXP(-LN(2)/25)*AA62+(1-EXP(-LN(2)/25))/(LN(2)/25)*Calculateur!V63*Calculateur!X63*VLOOKUP('Données projet'!$B$9,Paramètres!$A$1:$I$89,3,0)*0.475*44/12</f>
        <v>27.996721772854951</v>
      </c>
      <c r="AB63" s="21">
        <f>EXP(-LN(2)/2)*AB62+(1-EXP(-LN(2)/2))/(LN(2)/2)*V63*Y63*VLOOKUP('Données projet'!$B$9,Paramètres!$A$1:$I$89,3,0)*0.475*44/12</f>
        <v>5.1009066678846509</v>
      </c>
      <c r="AC63" s="22">
        <f t="shared" si="3"/>
        <v>71.428588894209554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470</v>
      </c>
      <c r="AG63" s="12">
        <f>VLOOKUP(A63,'Données projet'!$A$61:$I$81,9,0)</f>
        <v>13</v>
      </c>
      <c r="AH63" s="12">
        <f t="array" ref="AH63">INDEX(AG:AG,MIN(IF(ISNUMBER(AG63:AG259),ROW(AG63:AG259),"")))</f>
        <v>13</v>
      </c>
      <c r="AI63" s="13">
        <f>IF('Données projet'!$A$62&gt;35,AI62+AH63-AQ62,IF(A63&lt;'Données projet'!$A$62,$AF$205^A63,IF(A63='Données projet'!$A$62,'Données projet'!$B$62,AI62+AH63-AQ62)))</f>
        <v>470</v>
      </c>
      <c r="AJ63" s="13">
        <f>AI63*VLOOKUP('Données projet'!$B$10,Paramètres!$A$1:$I$89,3,0)*VLOOKUP('Données projet'!$B$10,Paramètres!$A$1:$I$89,5,0)</f>
        <v>219.95999999999998</v>
      </c>
      <c r="AK63" s="13">
        <f t="shared" si="35"/>
        <v>54.106191826225746</v>
      </c>
      <c r="AL63" s="20">
        <f t="shared" si="4"/>
        <v>477.33195076400972</v>
      </c>
      <c r="AM63" s="59">
        <f t="shared" si="5"/>
        <v>770.66528409734303</v>
      </c>
      <c r="AN63" s="59">
        <f ca="1">AVERAGE(OFFSET($AM$3,0,0,'Données projet'!$E$10+1,1))-AVERAGE(OFFSET($H$3,0,0,'Données projet'!$E$10+1,1))</f>
        <v>234.95901223517041</v>
      </c>
      <c r="AO63" s="59">
        <f t="shared" si="36"/>
        <v>179.39213799913273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40</v>
      </c>
      <c r="AR63" s="16">
        <f>IF(ISNA(VLOOKUP(A63,'Données projet'!$A$61:$I$81,5,0)),0%,VLOOKUP(A63,'Données projet'!$A$61:$I$81,5,0)*VLOOKUP('Données projet'!$B$10,Paramètres!$A$1:$I$89,7,0))</f>
        <v>0.27500000000000002</v>
      </c>
      <c r="AS63" s="16">
        <f>IF(ISNA(VLOOKUP(A63,'Données projet'!$A$61:$I$81,6,0)),0%,VLOOKUP(A63,'Données projet'!$A$61:$I$81,6,0)*VLOOKUP('Données projet'!$B$10,Paramètres!$A$1:$I$89,7,0))</f>
        <v>0.15400000000000003</v>
      </c>
      <c r="AT63" s="16">
        <f>IF(ISNA(VLOOKUP(A63,'Données projet'!$A$61:$I$81,7,0)),0%,VLOOKUP(A63,'Données projet'!$A$61:$I$81,7,0))</f>
        <v>0.22</v>
      </c>
      <c r="AU63" s="21">
        <f>EXP(-LN(2)/35)*AU62+(1-EXP(-LN(2)/35))/(LN(2)/35)*AQ63*AR63*VLOOKUP('Données projet'!$B$10,Paramètres!$A$1:$I$89,3,0)*0.475*44/12</f>
        <v>17.763109212001243</v>
      </c>
      <c r="AV63" s="21">
        <f>EXP(-LN(2)/25)*AV62+(1-EXP(-LN(2)/25))/(LN(2)/25)*Calculateur!AQ63*Calculateur!AS63*VLOOKUP('Données projet'!$B$10,Paramètres!$A$1:$I$89,3,0)*0.475*44/12</f>
        <v>18.658732152203633</v>
      </c>
      <c r="AW63" s="21">
        <f>EXP(-LN(2)/2)*AW62+(1-EXP(-LN(2)/2))/(LN(2)/2)*AQ63*AT63*VLOOKUP('Données projet'!$B$10,Paramètres!$A$1:$I$89,3,0)*0.475*44/12</f>
        <v>4.8865637585121773</v>
      </c>
      <c r="AX63" s="21">
        <f t="shared" si="6"/>
        <v>41.308405122717055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12.6</v>
      </c>
      <c r="N64" s="13">
        <f>IF('Données projet'!$A$36&gt;35,N63+M64-V63,IF(A64&lt;'Données projet'!$A$36,$K$205^A64,IF(A64='Données projet'!$A$36,'Données projet'!$B$36,N63+M64-V63)))</f>
        <v>447.60000000000025</v>
      </c>
      <c r="O64" s="13">
        <f>N64*VLOOKUP('Données projet'!$B$9,Paramètres!$A$1:$I$89,3,0)*VLOOKUP('Données projet'!$B$9,Paramètres!$A$1:$I$89,5,0)</f>
        <v>267.66480000000018</v>
      </c>
      <c r="P64" s="13">
        <f t="shared" si="33"/>
        <v>64.353430642739738</v>
      </c>
      <c r="Q64" s="20">
        <f t="shared" si="53"/>
        <v>578.26508503610535</v>
      </c>
      <c r="R64" s="59">
        <f t="shared" si="0"/>
        <v>871.5984183694386</v>
      </c>
      <c r="S64" s="59">
        <f ca="1">AVERAGE(OFFSET($R$3,0,0,'Données projet'!$E$9+1,1))-AVERAGE(OFFSET($H$3,0,0,'Données projet'!$E$9+1,1))</f>
        <v>288.98981546396209</v>
      </c>
      <c r="T64" s="59">
        <f t="shared" si="34"/>
        <v>281.67720096117085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37.579313698554749</v>
      </c>
      <c r="AA64" s="21">
        <f>EXP(-LN(2)/25)*AA63+(1-EXP(-LN(2)/25))/(LN(2)/25)*Calculateur!V64*Calculateur!X64*VLOOKUP('Données projet'!$B$9,Paramètres!$A$1:$I$89,3,0)*0.475*44/12</f>
        <v>27.231149943692621</v>
      </c>
      <c r="AB64" s="21">
        <f>EXP(-LN(2)/2)*AB63+(1-EXP(-LN(2)/2))/(LN(2)/2)*V64*Y64*VLOOKUP('Données projet'!$B$9,Paramètres!$A$1:$I$89,3,0)*0.475*44/12</f>
        <v>3.6068856950609134</v>
      </c>
      <c r="AC64" s="22">
        <f t="shared" si="3"/>
        <v>68.417349337308281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</v>
      </c>
      <c r="AI64" s="13">
        <f>IF('Données projet'!$A$62&gt;35,AI63+AH64-AQ63,IF(A64&lt;'Données projet'!$A$62,$AF$205^A64,IF(A64='Données projet'!$A$62,'Données projet'!$B$62,AI63+AH64-AQ63)))</f>
        <v>442</v>
      </c>
      <c r="AJ64" s="13">
        <f>AI64*VLOOKUP('Données projet'!$B$10,Paramètres!$A$1:$I$89,3,0)*VLOOKUP('Données projet'!$B$10,Paramètres!$A$1:$I$89,5,0)</f>
        <v>206.85600000000002</v>
      </c>
      <c r="AK64" s="13">
        <f t="shared" si="35"/>
        <v>51.247940588293027</v>
      </c>
      <c r="AL64" s="20">
        <f t="shared" si="4"/>
        <v>449.53102985794368</v>
      </c>
      <c r="AM64" s="59">
        <f t="shared" si="5"/>
        <v>742.86436319127699</v>
      </c>
      <c r="AN64" s="59">
        <f ca="1">AVERAGE(OFFSET($AM$3,0,0,'Données projet'!$E$10+1,1))-AVERAGE(OFFSET($H$3,0,0,'Données projet'!$E$10+1,1))</f>
        <v>234.95901223517041</v>
      </c>
      <c r="AO64" s="59">
        <f t="shared" si="36"/>
        <v>179.39213799913273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17.414785474780707</v>
      </c>
      <c r="AV64" s="21">
        <f>EXP(-LN(2)/25)*AV63+(1-EXP(-LN(2)/25))/(LN(2)/25)*Calculateur!AQ64*Calculateur!AS64*VLOOKUP('Données projet'!$B$10,Paramètres!$A$1:$I$89,3,0)*0.475*44/12</f>
        <v>18.148508140281546</v>
      </c>
      <c r="AW64" s="21">
        <f>EXP(-LN(2)/2)*AW63+(1-EXP(-LN(2)/2))/(LN(2)/2)*AQ64*AT64*VLOOKUP('Données projet'!$B$10,Paramètres!$A$1:$I$89,3,0)*0.475*44/12</f>
        <v>3.4553223703443838</v>
      </c>
      <c r="AX64" s="21">
        <f t="shared" si="6"/>
        <v>39.018615985406633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12.6</v>
      </c>
      <c r="N65" s="13">
        <f>IF('Données projet'!$A$36&gt;35,N64+M65-V64,IF(A65&lt;'Données projet'!$A$36,$K$205^A65,IF(A65='Données projet'!$A$36,'Données projet'!$B$36,N64+M65-V64)))</f>
        <v>460.20000000000027</v>
      </c>
      <c r="O65" s="13">
        <f>N65*VLOOKUP('Données projet'!$B$9,Paramètres!$A$1:$I$89,3,0)*VLOOKUP('Données projet'!$B$9,Paramètres!$A$1:$I$89,5,0)</f>
        <v>275.19960000000015</v>
      </c>
      <c r="P65" s="13">
        <f t="shared" si="33"/>
        <v>65.951527620662674</v>
      </c>
      <c r="Q65" s="20">
        <f t="shared" si="53"/>
        <v>594.17154727265427</v>
      </c>
      <c r="R65" s="59">
        <f t="shared" si="0"/>
        <v>887.50488060598764</v>
      </c>
      <c r="S65" s="59">
        <f ca="1">AVERAGE(OFFSET($R$3,0,0,'Données projet'!$E$9+1,1))-AVERAGE(OFFSET($H$3,0,0,'Données projet'!$E$9+1,1))</f>
        <v>288.98981546396209</v>
      </c>
      <c r="T65" s="59">
        <f t="shared" si="34"/>
        <v>281.67720096117085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36.842406278044173</v>
      </c>
      <c r="AA65" s="21">
        <f>EXP(-LN(2)/25)*AA64+(1-EXP(-LN(2)/25))/(LN(2)/25)*Calculateur!V65*Calculateur!X65*VLOOKUP('Données projet'!$B$9,Paramètres!$A$1:$I$89,3,0)*0.475*44/12</f>
        <v>26.48651271645841</v>
      </c>
      <c r="AB65" s="21">
        <f>EXP(-LN(2)/2)*AB64+(1-EXP(-LN(2)/2))/(LN(2)/2)*V65*Y65*VLOOKUP('Données projet'!$B$9,Paramètres!$A$1:$I$89,3,0)*0.475*44/12</f>
        <v>2.5504533339423259</v>
      </c>
      <c r="AC65" s="22">
        <f t="shared" si="3"/>
        <v>65.879372328444916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</v>
      </c>
      <c r="AI65" s="13">
        <f>IF('Données projet'!$A$62&gt;35,AI64+AH65-AQ64,IF(A65&lt;'Données projet'!$A$62,$AF$205^A65,IF(A65='Données projet'!$A$62,'Données projet'!$B$62,AI64+AH65-AQ64)))</f>
        <v>454</v>
      </c>
      <c r="AJ65" s="13">
        <f>AI65*VLOOKUP('Données projet'!$B$10,Paramètres!$A$1:$I$89,3,0)*VLOOKUP('Données projet'!$B$10,Paramètres!$A$1:$I$89,5,0)</f>
        <v>212.47200000000001</v>
      </c>
      <c r="AK65" s="13">
        <f t="shared" si="35"/>
        <v>52.475411418566523</v>
      </c>
      <c r="AL65" s="20">
        <f t="shared" si="4"/>
        <v>461.45007488733671</v>
      </c>
      <c r="AM65" s="59">
        <f t="shared" si="5"/>
        <v>754.78340822067003</v>
      </c>
      <c r="AN65" s="59">
        <f ca="1">AVERAGE(OFFSET($AM$3,0,0,'Données projet'!$E$10+1,1))-AVERAGE(OFFSET($H$3,0,0,'Données projet'!$E$10+1,1))</f>
        <v>234.95901223517041</v>
      </c>
      <c r="AO65" s="59">
        <f t="shared" si="36"/>
        <v>179.39213799913273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17.073292153590565</v>
      </c>
      <c r="AV65" s="21">
        <f>EXP(-LN(2)/25)*AV64+(1-EXP(-LN(2)/25))/(LN(2)/25)*Calculateur!AQ65*Calculateur!AS65*VLOOKUP('Données projet'!$B$10,Paramètres!$A$1:$I$89,3,0)*0.475*44/12</f>
        <v>17.652236230796984</v>
      </c>
      <c r="AW65" s="21">
        <f>EXP(-LN(2)/2)*AW64+(1-EXP(-LN(2)/2))/(LN(2)/2)*AQ65*AT65*VLOOKUP('Données projet'!$B$10,Paramètres!$A$1:$I$89,3,0)*0.475*44/12</f>
        <v>2.4432818792560891</v>
      </c>
      <c r="AX65" s="21">
        <f t="shared" si="6"/>
        <v>37.168810263643635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12.6</v>
      </c>
      <c r="N66" s="13">
        <f>IF('Données projet'!$A$36&gt;35,N65+M66-V65,IF(A66&lt;'Données projet'!$A$36,$K$205^A66,IF(A66='Données projet'!$A$36,'Données projet'!$B$36,N65+M66-V65)))</f>
        <v>472.8000000000003</v>
      </c>
      <c r="O66" s="13">
        <f>N66*VLOOKUP('Données projet'!$B$9,Paramètres!$A$1:$I$89,3,0)*VLOOKUP('Données projet'!$B$9,Paramètres!$A$1:$I$89,5,0)</f>
        <v>282.73440000000022</v>
      </c>
      <c r="P66" s="13">
        <f t="shared" si="33"/>
        <v>67.544538959620411</v>
      </c>
      <c r="Q66" s="20">
        <f t="shared" si="53"/>
        <v>610.06915202133928</v>
      </c>
      <c r="R66" s="59">
        <f t="shared" si="0"/>
        <v>903.40248535467254</v>
      </c>
      <c r="S66" s="59">
        <f ca="1">AVERAGE(OFFSET($R$3,0,0,'Données projet'!$E$9+1,1))-AVERAGE(OFFSET($H$3,0,0,'Données projet'!$E$9+1,1))</f>
        <v>288.98981546396209</v>
      </c>
      <c r="T66" s="59">
        <f t="shared" si="34"/>
        <v>281.67720096117085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36.119949162580667</v>
      </c>
      <c r="AA66" s="21">
        <f>EXP(-LN(2)/25)*AA65+(1-EXP(-LN(2)/25))/(LN(2)/25)*Calculateur!V66*Calculateur!X66*VLOOKUP('Données projet'!$B$9,Paramètres!$A$1:$I$89,3,0)*0.475*44/12</f>
        <v>25.762237633361686</v>
      </c>
      <c r="AB66" s="21">
        <f>EXP(-LN(2)/2)*AB65+(1-EXP(-LN(2)/2))/(LN(2)/2)*V66*Y66*VLOOKUP('Données projet'!$B$9,Paramètres!$A$1:$I$89,3,0)*0.475*44/12</f>
        <v>1.8034428475304569</v>
      </c>
      <c r="AC66" s="22">
        <f t="shared" si="3"/>
        <v>63.685629643472808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</v>
      </c>
      <c r="AI66" s="13">
        <f>IF('Données projet'!$A$62&gt;35,AI65+AH66-AQ65,IF(A66&lt;'Données projet'!$A$62,$AF$205^A66,IF(A66='Données projet'!$A$62,'Données projet'!$B$62,AI65+AH66-AQ65)))</f>
        <v>466</v>
      </c>
      <c r="AJ66" s="13">
        <f>AI66*VLOOKUP('Données projet'!$B$10,Paramètres!$A$1:$I$89,3,0)*VLOOKUP('Données projet'!$B$10,Paramètres!$A$1:$I$89,5,0)</f>
        <v>218.08799999999999</v>
      </c>
      <c r="AK66" s="13">
        <f t="shared" si="35"/>
        <v>53.699111087780629</v>
      </c>
      <c r="AL66" s="20">
        <f t="shared" si="4"/>
        <v>473.36255181121783</v>
      </c>
      <c r="AM66" s="59">
        <f t="shared" si="5"/>
        <v>766.69588514455108</v>
      </c>
      <c r="AN66" s="59">
        <f ca="1">AVERAGE(OFFSET($AM$3,0,0,'Données projet'!$E$10+1,1))-AVERAGE(OFFSET($H$3,0,0,'Données projet'!$E$10+1,1))</f>
        <v>234.95901223517041</v>
      </c>
      <c r="AO66" s="59">
        <f t="shared" si="36"/>
        <v>179.39213799913273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16.738495308138603</v>
      </c>
      <c r="AV66" s="21">
        <f>EXP(-LN(2)/25)*AV65+(1-EXP(-LN(2)/25))/(LN(2)/25)*Calculateur!AQ66*Calculateur!AS66*VLOOKUP('Données projet'!$B$10,Paramètres!$A$1:$I$89,3,0)*0.475*44/12</f>
        <v>17.16953490277508</v>
      </c>
      <c r="AW66" s="21">
        <f>EXP(-LN(2)/2)*AW65+(1-EXP(-LN(2)/2))/(LN(2)/2)*AQ66*AT66*VLOOKUP('Données projet'!$B$10,Paramètres!$A$1:$I$89,3,0)*0.475*44/12</f>
        <v>1.7276611851721921</v>
      </c>
      <c r="AX66" s="21">
        <f t="shared" si="6"/>
        <v>35.635691396085875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12.6</v>
      </c>
      <c r="N67" s="13">
        <f>IF('Données projet'!$A$36&gt;35,N66+M67-V66,IF(A67&lt;'Données projet'!$A$36,$K$205^A67,IF(A67='Données projet'!$A$36,'Données projet'!$B$36,N66+M67-V66)))</f>
        <v>485.40000000000032</v>
      </c>
      <c r="O67" s="13">
        <f>N67*VLOOKUP('Données projet'!$B$9,Paramètres!$A$1:$I$89,3,0)*VLOOKUP('Données projet'!$B$9,Paramètres!$A$1:$I$89,5,0)</f>
        <v>290.26920000000024</v>
      </c>
      <c r="P67" s="13">
        <f t="shared" si="33"/>
        <v>69.132615768183911</v>
      </c>
      <c r="Q67" s="20">
        <f t="shared" ref="Q67:Q98" si="54">(O67+P67)*0.475*44/12</f>
        <v>625.95816246292077</v>
      </c>
      <c r="R67" s="59">
        <f t="shared" ref="R67:R130" si="55">Q67+(I67+J67)*44/12</f>
        <v>919.29149579625414</v>
      </c>
      <c r="S67" s="59">
        <f ca="1">AVERAGE(OFFSET($R$3,0,0,'Données projet'!$E$9+1,1))-AVERAGE(OFFSET($H$3,0,0,'Données projet'!$E$9+1,1))</f>
        <v>288.98981546396209</v>
      </c>
      <c r="T67" s="59">
        <f t="shared" si="34"/>
        <v>281.67720096117085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35.411658990496072</v>
      </c>
      <c r="AA67" s="21">
        <f>EXP(-LN(2)/25)*AA66+(1-EXP(-LN(2)/25))/(LN(2)/25)*Calculateur!V67*Calculateur!X67*VLOOKUP('Données projet'!$B$9,Paramètres!$A$1:$I$89,3,0)*0.475*44/12</f>
        <v>25.057767890500212</v>
      </c>
      <c r="AB67" s="21">
        <f>EXP(-LN(2)/2)*AB66+(1-EXP(-LN(2)/2))/(LN(2)/2)*V67*Y67*VLOOKUP('Données projet'!$B$9,Paramètres!$A$1:$I$89,3,0)*0.475*44/12</f>
        <v>1.2752266669711632</v>
      </c>
      <c r="AC67" s="22">
        <f t="shared" si="3"/>
        <v>61.744653547967445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</v>
      </c>
      <c r="AI67" s="13">
        <f>IF('Données projet'!$A$62&gt;35,AI66+AH67-AQ66,IF(A67&lt;'Données projet'!$A$62,$AF$205^A67,IF(A67='Données projet'!$A$62,'Données projet'!$B$62,AI66+AH67-AQ66)))</f>
        <v>478</v>
      </c>
      <c r="AJ67" s="13">
        <f>AI67*VLOOKUP('Données projet'!$B$10,Paramètres!$A$1:$I$89,3,0)*VLOOKUP('Données projet'!$B$10,Paramètres!$A$1:$I$89,5,0)</f>
        <v>223.70399999999998</v>
      </c>
      <c r="AK67" s="13">
        <f t="shared" si="35"/>
        <v>54.919147873047578</v>
      </c>
      <c r="AL67" s="20">
        <f t="shared" si="4"/>
        <v>485.26864921222455</v>
      </c>
      <c r="AM67" s="59">
        <f t="shared" si="5"/>
        <v>778.6019825455578</v>
      </c>
      <c r="AN67" s="59">
        <f ca="1">AVERAGE(OFFSET($AM$3,0,0,'Données projet'!$E$10+1,1))-AVERAGE(OFFSET($H$3,0,0,'Données projet'!$E$10+1,1))</f>
        <v>234.95901223517041</v>
      </c>
      <c r="AO67" s="59">
        <f t="shared" si="36"/>
        <v>179.39213799913273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16.41026362462004</v>
      </c>
      <c r="AV67" s="21">
        <f>EXP(-LN(2)/25)*AV66+(1-EXP(-LN(2)/25))/(LN(2)/25)*Calculateur!AQ67*Calculateur!AS67*VLOOKUP('Données projet'!$B$10,Paramètres!$A$1:$I$89,3,0)*0.475*44/12</f>
        <v>16.700033067952095</v>
      </c>
      <c r="AW67" s="21">
        <f>EXP(-LN(2)/2)*AW66+(1-EXP(-LN(2)/2))/(LN(2)/2)*AQ67*AT67*VLOOKUP('Données projet'!$B$10,Paramètres!$A$1:$I$89,3,0)*0.475*44/12</f>
        <v>1.2216409396280448</v>
      </c>
      <c r="AX67" s="21">
        <f t="shared" si="6"/>
        <v>34.33193763220018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498</v>
      </c>
      <c r="L68" s="12">
        <f>VLOOKUP(A68,'Données projet'!$A$35:$I$55,9,0)</f>
        <v>12.6</v>
      </c>
      <c r="M68" s="12">
        <f t="array" ref="M68">INDEX(L:L,MIN(IF(ISNUMBER(L68:L264),ROW(L68:L264),"")))</f>
        <v>12.6</v>
      </c>
      <c r="N68" s="13">
        <f>IF('Données projet'!$A$36&gt;35,N67+M68-V67,IF(A68&lt;'Données projet'!$A$36,$K$205^A68,IF(A68='Données projet'!$A$36,'Données projet'!$B$36,N67+M68-V67)))</f>
        <v>498.00000000000034</v>
      </c>
      <c r="O68" s="13">
        <f>N68*VLOOKUP('Données projet'!$B$9,Paramètres!$A$1:$I$89,3,0)*VLOOKUP('Données projet'!$B$9,Paramètres!$A$1:$I$89,5,0)</f>
        <v>297.8040000000002</v>
      </c>
      <c r="P68" s="13">
        <f t="shared" si="33"/>
        <v>70.715900863123025</v>
      </c>
      <c r="Q68" s="20">
        <f t="shared" si="54"/>
        <v>641.8388273366063</v>
      </c>
      <c r="R68" s="59">
        <f t="shared" si="55"/>
        <v>935.17216066993956</v>
      </c>
      <c r="S68" s="59">
        <f ca="1">AVERAGE(OFFSET($R$3,0,0,'Données projet'!$E$9+1,1))-AVERAGE(OFFSET($H$3,0,0,'Données projet'!$E$9+1,1))</f>
        <v>288.98981546396209</v>
      </c>
      <c r="T68" s="59">
        <f t="shared" si="34"/>
        <v>281.67720096117085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29</v>
      </c>
      <c r="W68" s="16">
        <f>IF(ISNA(VLOOKUP(A68,'Données projet'!$A$35:$I$55,5,0)),0%,VLOOKUP(A68,'Données projet'!$A$35:$I$55,5,0)*VLOOKUP('Données projet'!$B$9,Paramètres!$A$1:$I$89,7,0))</f>
        <v>0.315</v>
      </c>
      <c r="X68" s="16">
        <f>IF(ISNA(VLOOKUP(A68,'Données projet'!$A$35:$I$55,6,0)),0%,VLOOKUP(A68,'Données projet'!$A$35:$I$55,6,0)*VLOOKUP('Données projet'!$B$9,Paramètres!$A$1:$I$89,7,0))</f>
        <v>7.6500000000000012E-2</v>
      </c>
      <c r="Y68" s="16">
        <f>IF(ISNA(VLOOKUP(A68,'Données projet'!$A$35:$I$55,7,0)),0%,VLOOKUP(A68,'Données projet'!$A$35:$I$55,7,0))</f>
        <v>0.13</v>
      </c>
      <c r="Z68" s="21">
        <f>EXP(-LN(2)/35)*Z67+(1-EXP(-LN(2)/35))/(LN(2)/35)*V68*W68*VLOOKUP('Données projet'!$B$9,Paramètres!$A$1:$I$89,3,0)*0.475*44/12</f>
        <v>41.963921404334947</v>
      </c>
      <c r="AA68" s="21">
        <f>EXP(-LN(2)/25)*AA67+(1-EXP(-LN(2)/25))/(LN(2)/25)*Calculateur!V68*Calculateur!X68*VLOOKUP('Données projet'!$B$9,Paramètres!$A$1:$I$89,3,0)*0.475*44/12</f>
        <v>26.125536477404705</v>
      </c>
      <c r="AB68" s="21">
        <f>EXP(-LN(2)/2)*AB67+(1-EXP(-LN(2)/2))/(LN(2)/2)*V68*Y68*VLOOKUP('Données projet'!$B$9,Paramètres!$A$1:$I$89,3,0)*0.475*44/12</f>
        <v>3.4542938492467448</v>
      </c>
      <c r="AC68" s="22">
        <f t="shared" ref="AC68:AC131" si="57">SUM(Z68:AB68)</f>
        <v>71.543751730986386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12</v>
      </c>
      <c r="AI68" s="13">
        <f>IF('Données projet'!$A$62&gt;35,AI67+AH68-AQ67,IF(A68&lt;'Données projet'!$A$62,$AF$205^A68,IF(A68='Données projet'!$A$62,'Données projet'!$B$62,AI67+AH68-AQ67)))</f>
        <v>490</v>
      </c>
      <c r="AJ68" s="13">
        <f>AI68*VLOOKUP('Données projet'!$B$10,Paramètres!$A$1:$I$89,3,0)*VLOOKUP('Données projet'!$B$10,Paramètres!$A$1:$I$89,5,0)</f>
        <v>229.32000000000002</v>
      </c>
      <c r="AK68" s="13">
        <f t="shared" si="35"/>
        <v>56.135624305144624</v>
      </c>
      <c r="AL68" s="20">
        <f t="shared" ref="AL68:AL131" si="58">(AJ68+AK68)*0.475*44/12</f>
        <v>497.16854566479356</v>
      </c>
      <c r="AM68" s="59">
        <f t="shared" ref="AM68:AM131" si="59">AL68+(AD68+AE68)*44/12</f>
        <v>790.50187899812681</v>
      </c>
      <c r="AN68" s="59">
        <f ca="1">AVERAGE(OFFSET($AM$3,0,0,'Données projet'!$E$10+1,1))-AVERAGE(OFFSET($H$3,0,0,'Données projet'!$E$10+1,1))</f>
        <v>234.95901223517041</v>
      </c>
      <c r="AO68" s="59">
        <f t="shared" si="36"/>
        <v>179.39213799913273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16.088468364213718</v>
      </c>
      <c r="AV68" s="21">
        <f>EXP(-LN(2)/25)*AV67+(1-EXP(-LN(2)/25))/(LN(2)/25)*Calculateur!AQ68*Calculateur!AS68*VLOOKUP('Données projet'!$B$10,Paramètres!$A$1:$I$89,3,0)*0.475*44/12</f>
        <v>16.243369785492373</v>
      </c>
      <c r="AW68" s="21">
        <f>EXP(-LN(2)/2)*AW67+(1-EXP(-LN(2)/2))/(LN(2)/2)*AQ68*AT68*VLOOKUP('Données projet'!$B$10,Paramètres!$A$1:$I$89,3,0)*0.475*44/12</f>
        <v>0.86383059258609618</v>
      </c>
      <c r="AX68" s="21">
        <f t="shared" ref="AX68:AX131" si="60">SUM(AU68:AW68)</f>
        <v>33.195668742292185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</v>
      </c>
      <c r="N69" s="13">
        <f>IF('Données projet'!$A$36&gt;35,N68+M69-V68,IF(A69&lt;'Données projet'!$A$36,$K$205^A69,IF(A69='Données projet'!$A$36,'Données projet'!$B$36,N68+M69-V68)))</f>
        <v>480.00000000000034</v>
      </c>
      <c r="O69" s="13">
        <f>N69*VLOOKUP('Données projet'!$B$9,Paramètres!$A$1:$I$89,3,0)*VLOOKUP('Données projet'!$B$9,Paramètres!$A$1:$I$89,5,0)</f>
        <v>287.04000000000019</v>
      </c>
      <c r="P69" s="13">
        <f t="shared" ref="P69:P132" si="87">EXP(-1.0587+0.8836*LN(O69)+0.284)</f>
        <v>68.452606307698659</v>
      </c>
      <c r="Q69" s="20">
        <f t="shared" si="54"/>
        <v>619.14962265257543</v>
      </c>
      <c r="R69" s="59">
        <f t="shared" si="55"/>
        <v>912.4829559859088</v>
      </c>
      <c r="S69" s="59">
        <f ca="1">AVERAGE(OFFSET($R$3,0,0,'Données projet'!$E$9+1,1))-AVERAGE(OFFSET($H$3,0,0,'Données projet'!$E$9+1,1))</f>
        <v>288.98981546396209</v>
      </c>
      <c r="T69" s="59">
        <f t="shared" ref="T69:T132" si="88">$T$3</f>
        <v>281.67720096117085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41.141034501060652</v>
      </c>
      <c r="AA69" s="21">
        <f>EXP(-LN(2)/25)*AA68+(1-EXP(-LN(2)/25))/(LN(2)/25)*Calculateur!V69*Calculateur!X69*VLOOKUP('Données projet'!$B$9,Paramètres!$A$1:$I$89,3,0)*0.475*44/12</f>
        <v>25.41113230854782</v>
      </c>
      <c r="AB69" s="21">
        <f>EXP(-LN(2)/2)*AB68+(1-EXP(-LN(2)/2))/(LN(2)/2)*V69*Y69*VLOOKUP('Données projet'!$B$9,Paramètres!$A$1:$I$89,3,0)*0.475*44/12</f>
        <v>2.4425546050133553</v>
      </c>
      <c r="AC69" s="22">
        <f t="shared" si="57"/>
        <v>68.994721414621836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12</v>
      </c>
      <c r="AI69" s="13">
        <f>IF('Données projet'!$A$62&gt;35,AI68+AH69-AQ68,IF(A69&lt;'Données projet'!$A$62,$AF$205^A69,IF(A69='Données projet'!$A$62,'Données projet'!$B$62,AI68+AH69-AQ68)))</f>
        <v>502</v>
      </c>
      <c r="AJ69" s="13">
        <f>AI69*VLOOKUP('Données projet'!$B$10,Paramètres!$A$1:$I$89,3,0)*VLOOKUP('Données projet'!$B$10,Paramètres!$A$1:$I$89,5,0)</f>
        <v>234.93600000000001</v>
      </c>
      <c r="AK69" s="13">
        <f t="shared" ref="AK69:AK132" si="89">EXP(-1.0587+0.8836*LN(AJ69)+0.284)</f>
        <v>57.34863760662617</v>
      </c>
      <c r="AL69" s="20">
        <f t="shared" si="58"/>
        <v>509.06241049820727</v>
      </c>
      <c r="AM69" s="59">
        <f t="shared" si="59"/>
        <v>802.39574383154059</v>
      </c>
      <c r="AN69" s="59">
        <f ca="1">AVERAGE(OFFSET($AM$3,0,0,'Données projet'!$E$10+1,1))-AVERAGE(OFFSET($H$3,0,0,'Données projet'!$E$10+1,1))</f>
        <v>234.95901223517041</v>
      </c>
      <c r="AO69" s="59">
        <f t="shared" ref="AO69:AO132" si="90">$AO$3</f>
        <v>179.39213799913273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15.772983312588236</v>
      </c>
      <c r="AV69" s="21">
        <f>EXP(-LN(2)/25)*AV68+(1-EXP(-LN(2)/25))/(LN(2)/25)*Calculateur!AQ69*Calculateur!AS69*VLOOKUP('Données projet'!$B$10,Paramètres!$A$1:$I$89,3,0)*0.475*44/12</f>
        <v>15.799193984506392</v>
      </c>
      <c r="AW69" s="21">
        <f>EXP(-LN(2)/2)*AW68+(1-EXP(-LN(2)/2))/(LN(2)/2)*AQ69*AT69*VLOOKUP('Données projet'!$B$10,Paramètres!$A$1:$I$89,3,0)*0.475*44/12</f>
        <v>0.61082046981402238</v>
      </c>
      <c r="AX69" s="21">
        <f t="shared" si="60"/>
        <v>32.182997766908649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</v>
      </c>
      <c r="N70" s="13">
        <f>IF('Données projet'!$A$36&gt;35,N69+M70-V69,IF(A70&lt;'Données projet'!$A$36,$K$205^A70,IF(A70='Données projet'!$A$36,'Données projet'!$B$36,N69+M70-V69)))</f>
        <v>491.00000000000034</v>
      </c>
      <c r="O70" s="13">
        <f>N70*VLOOKUP('Données projet'!$B$9,Paramètres!$A$1:$I$89,3,0)*VLOOKUP('Données projet'!$B$9,Paramètres!$A$1:$I$89,5,0)</f>
        <v>293.61800000000022</v>
      </c>
      <c r="P70" s="13">
        <f t="shared" si="87"/>
        <v>69.836881397258949</v>
      </c>
      <c r="Q70" s="20">
        <f t="shared" si="54"/>
        <v>633.01725176689297</v>
      </c>
      <c r="R70" s="59">
        <f t="shared" si="55"/>
        <v>926.35058510022623</v>
      </c>
      <c r="S70" s="59">
        <f ca="1">AVERAGE(OFFSET($R$3,0,0,'Données projet'!$E$9+1,1))-AVERAGE(OFFSET($H$3,0,0,'Données projet'!$E$9+1,1))</f>
        <v>288.98981546396209</v>
      </c>
      <c r="T70" s="59">
        <f t="shared" si="88"/>
        <v>281.67720096117085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40.334283908048114</v>
      </c>
      <c r="AA70" s="21">
        <f>EXP(-LN(2)/25)*AA69+(1-EXP(-LN(2)/25))/(LN(2)/25)*Calculateur!V70*Calculateur!X70*VLOOKUP('Données projet'!$B$9,Paramètres!$A$1:$I$89,3,0)*0.475*44/12</f>
        <v>24.716263559257211</v>
      </c>
      <c r="AB70" s="21">
        <f>EXP(-LN(2)/2)*AB69+(1-EXP(-LN(2)/2))/(LN(2)/2)*V70*Y70*VLOOKUP('Données projet'!$B$9,Paramètres!$A$1:$I$89,3,0)*0.475*44/12</f>
        <v>1.7271469246233728</v>
      </c>
      <c r="AC70" s="22">
        <f t="shared" si="57"/>
        <v>66.777694391928691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</v>
      </c>
      <c r="AI70" s="13">
        <f>IF('Données projet'!$A$62&gt;35,AI69+AH70-AQ69,IF(A70&lt;'Données projet'!$A$62,$AF$205^A70,IF(A70='Données projet'!$A$62,'Données projet'!$B$62,AI69+AH70-AQ69)))</f>
        <v>514</v>
      </c>
      <c r="AJ70" s="13">
        <f>AI70*VLOOKUP('Données projet'!$B$10,Paramètres!$A$1:$I$89,3,0)*VLOOKUP('Données projet'!$B$10,Paramètres!$A$1:$I$89,5,0)</f>
        <v>240.55199999999999</v>
      </c>
      <c r="AK70" s="13">
        <f t="shared" si="89"/>
        <v>58.55828008686521</v>
      </c>
      <c r="AL70" s="20">
        <f t="shared" si="58"/>
        <v>520.9504044846235</v>
      </c>
      <c r="AM70" s="59">
        <f t="shared" si="59"/>
        <v>814.28373781795676</v>
      </c>
      <c r="AN70" s="59">
        <f ca="1">AVERAGE(OFFSET($AM$3,0,0,'Données projet'!$E$10+1,1))-AVERAGE(OFFSET($H$3,0,0,'Données projet'!$E$10+1,1))</f>
        <v>234.95901223517041</v>
      </c>
      <c r="AO70" s="59">
        <f t="shared" si="90"/>
        <v>179.39213799913273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15.463684730398249</v>
      </c>
      <c r="AV70" s="21">
        <f>EXP(-LN(2)/25)*AV69+(1-EXP(-LN(2)/25))/(LN(2)/25)*Calculateur!AQ70*Calculateur!AS70*VLOOKUP('Données projet'!$B$10,Paramètres!$A$1:$I$89,3,0)*0.475*44/12</f>
        <v>15.367164194156562</v>
      </c>
      <c r="AW70" s="21">
        <f>EXP(-LN(2)/2)*AW69+(1-EXP(-LN(2)/2))/(LN(2)/2)*AQ70*AT70*VLOOKUP('Données projet'!$B$10,Paramètres!$A$1:$I$89,3,0)*0.475*44/12</f>
        <v>0.43191529629304809</v>
      </c>
      <c r="AX70" s="21">
        <f t="shared" si="60"/>
        <v>31.26276422084786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</v>
      </c>
      <c r="N71" s="13">
        <f>IF('Données projet'!$A$36&gt;35,N70+M71-V70,IF(A71&lt;'Données projet'!$A$36,$K$205^A71,IF(A71='Données projet'!$A$36,'Données projet'!$B$36,N70+M71-V70)))</f>
        <v>502.00000000000034</v>
      </c>
      <c r="O71" s="13">
        <f>N71*VLOOKUP('Données projet'!$B$9,Paramètres!$A$1:$I$89,3,0)*VLOOKUP('Données projet'!$B$9,Paramètres!$A$1:$I$89,5,0)</f>
        <v>300.1960000000002</v>
      </c>
      <c r="P71" s="13">
        <f t="shared" si="87"/>
        <v>71.217551042138098</v>
      </c>
      <c r="Q71" s="20">
        <f t="shared" si="54"/>
        <v>646.87860139839086</v>
      </c>
      <c r="R71" s="59">
        <f t="shared" si="55"/>
        <v>940.21193473172411</v>
      </c>
      <c r="S71" s="59">
        <f ca="1">AVERAGE(OFFSET($R$3,0,0,'Données projet'!$E$9+1,1))-AVERAGE(OFFSET($H$3,0,0,'Données projet'!$E$9+1,1))</f>
        <v>288.98981546396209</v>
      </c>
      <c r="T71" s="59">
        <f t="shared" si="88"/>
        <v>281.67720096117085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39.543353202095282</v>
      </c>
      <c r="AA71" s="21">
        <f>EXP(-LN(2)/25)*AA70+(1-EXP(-LN(2)/25))/(LN(2)/25)*Calculateur!V71*Calculateur!X71*VLOOKUP('Données projet'!$B$9,Paramètres!$A$1:$I$89,3,0)*0.475*44/12</f>
        <v>24.040396032457512</v>
      </c>
      <c r="AB71" s="21">
        <f>EXP(-LN(2)/2)*AB70+(1-EXP(-LN(2)/2))/(LN(2)/2)*V71*Y71*VLOOKUP('Données projet'!$B$9,Paramètres!$A$1:$I$89,3,0)*0.475*44/12</f>
        <v>1.2212773025066779</v>
      </c>
      <c r="AC71" s="22">
        <f t="shared" si="57"/>
        <v>64.805026537059476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</v>
      </c>
      <c r="AI71" s="13">
        <f>IF('Données projet'!$A$62&gt;35,AI70+AH71-AQ70,IF(A71&lt;'Données projet'!$A$62,$AF$205^A71,IF(A71='Données projet'!$A$62,'Données projet'!$B$62,AI70+AH71-AQ70)))</f>
        <v>526</v>
      </c>
      <c r="AJ71" s="13">
        <f>AI71*VLOOKUP('Données projet'!$B$10,Paramètres!$A$1:$I$89,3,0)*VLOOKUP('Données projet'!$B$10,Paramètres!$A$1:$I$89,5,0)</f>
        <v>246.16799999999998</v>
      </c>
      <c r="AK71" s="13">
        <f t="shared" si="89"/>
        <v>59.764639499163827</v>
      </c>
      <c r="AL71" s="20">
        <f t="shared" si="58"/>
        <v>532.83268046104365</v>
      </c>
      <c r="AM71" s="59">
        <f t="shared" si="59"/>
        <v>826.16601379437702</v>
      </c>
      <c r="AN71" s="59">
        <f ca="1">AVERAGE(OFFSET($AM$3,0,0,'Données projet'!$E$10+1,1))-AVERAGE(OFFSET($H$3,0,0,'Données projet'!$E$10+1,1))</f>
        <v>234.95901223517041</v>
      </c>
      <c r="AO71" s="59">
        <f t="shared" si="90"/>
        <v>179.39213799913273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15.160451304751501</v>
      </c>
      <c r="AV71" s="21">
        <f>EXP(-LN(2)/25)*AV70+(1-EXP(-LN(2)/25))/(LN(2)/25)*Calculateur!AQ71*Calculateur!AS71*VLOOKUP('Données projet'!$B$10,Paramètres!$A$1:$I$89,3,0)*0.475*44/12</f>
        <v>14.946948281143309</v>
      </c>
      <c r="AW71" s="21">
        <f>EXP(-LN(2)/2)*AW70+(1-EXP(-LN(2)/2))/(LN(2)/2)*AQ71*AT71*VLOOKUP('Données projet'!$B$10,Paramètres!$A$1:$I$89,3,0)*0.475*44/12</f>
        <v>0.30541023490701119</v>
      </c>
      <c r="AX71" s="21">
        <f t="shared" si="60"/>
        <v>30.412809820801822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</v>
      </c>
      <c r="N72" s="13">
        <f>IF('Données projet'!$A$36&gt;35,N71+M72-V71,IF(A72&lt;'Données projet'!$A$36,$K$205^A72,IF(A72='Données projet'!$A$36,'Données projet'!$B$36,N71+M72-V71)))</f>
        <v>513.00000000000034</v>
      </c>
      <c r="O72" s="13">
        <f>N72*VLOOKUP('Données projet'!$B$9,Paramètres!$A$1:$I$89,3,0)*VLOOKUP('Données projet'!$B$9,Paramètres!$A$1:$I$89,5,0)</f>
        <v>306.77400000000023</v>
      </c>
      <c r="P72" s="13">
        <f t="shared" si="87"/>
        <v>72.594703343999115</v>
      </c>
      <c r="Q72" s="20">
        <f t="shared" si="54"/>
        <v>660.73382499079889</v>
      </c>
      <c r="R72" s="59">
        <f t="shared" si="55"/>
        <v>954.06715832413215</v>
      </c>
      <c r="S72" s="59">
        <f ca="1">AVERAGE(OFFSET($R$3,0,0,'Données projet'!$E$9+1,1))-AVERAGE(OFFSET($H$3,0,0,'Données projet'!$E$9+1,1))</f>
        <v>288.98981546396209</v>
      </c>
      <c r="T72" s="59">
        <f t="shared" si="88"/>
        <v>281.67720096117085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38.767932164866089</v>
      </c>
      <c r="AA72" s="21">
        <f>EXP(-LN(2)/25)*AA71+(1-EXP(-LN(2)/25))/(LN(2)/25)*Calculateur!V72*Calculateur!X72*VLOOKUP('Données projet'!$B$9,Paramètres!$A$1:$I$89,3,0)*0.475*44/12</f>
        <v>23.383010138720479</v>
      </c>
      <c r="AB72" s="21">
        <f>EXP(-LN(2)/2)*AB71+(1-EXP(-LN(2)/2))/(LN(2)/2)*V72*Y72*VLOOKUP('Données projet'!$B$9,Paramètres!$A$1:$I$89,3,0)*0.475*44/12</f>
        <v>0.86357346231168652</v>
      </c>
      <c r="AC72" s="22">
        <f t="shared" si="57"/>
        <v>63.014515765898253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</v>
      </c>
      <c r="AI72" s="13">
        <f>IF('Données projet'!$A$62&gt;35,AI71+AH72-AQ71,IF(A72&lt;'Données projet'!$A$62,$AF$205^A72,IF(A72='Données projet'!$A$62,'Données projet'!$B$62,AI71+AH72-AQ71)))</f>
        <v>538</v>
      </c>
      <c r="AJ72" s="13">
        <f>AI72*VLOOKUP('Données projet'!$B$10,Paramètres!$A$1:$I$89,3,0)*VLOOKUP('Données projet'!$B$10,Paramètres!$A$1:$I$89,5,0)</f>
        <v>251.78400000000002</v>
      </c>
      <c r="AK72" s="13">
        <f t="shared" si="89"/>
        <v>60.967799364357568</v>
      </c>
      <c r="AL72" s="20">
        <f t="shared" si="58"/>
        <v>544.7093838929228</v>
      </c>
      <c r="AM72" s="59">
        <f t="shared" si="59"/>
        <v>838.04271722625617</v>
      </c>
      <c r="AN72" s="59">
        <f ca="1">AVERAGE(OFFSET($AM$3,0,0,'Données projet'!$E$10+1,1))-AVERAGE(OFFSET($H$3,0,0,'Données projet'!$E$10+1,1))</f>
        <v>234.95901223517041</v>
      </c>
      <c r="AO72" s="59">
        <f t="shared" si="90"/>
        <v>179.39213799913273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14.863164101627557</v>
      </c>
      <c r="AV72" s="21">
        <f>EXP(-LN(2)/25)*AV71+(1-EXP(-LN(2)/25))/(LN(2)/25)*Calculateur!AQ72*Calculateur!AS72*VLOOKUP('Données projet'!$B$10,Paramètres!$A$1:$I$89,3,0)*0.475*44/12</f>
        <v>14.538223194369596</v>
      </c>
      <c r="AW72" s="21">
        <f>EXP(-LN(2)/2)*AW71+(1-EXP(-LN(2)/2))/(LN(2)/2)*AQ72*AT72*VLOOKUP('Données projet'!$B$10,Paramètres!$A$1:$I$89,3,0)*0.475*44/12</f>
        <v>0.21595764814652404</v>
      </c>
      <c r="AX72" s="21">
        <f t="shared" si="60"/>
        <v>29.617344944143678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524</v>
      </c>
      <c r="L73" s="12">
        <f>VLOOKUP(A73,'Données projet'!$A$35:$I$55,9,0)</f>
        <v>11</v>
      </c>
      <c r="M73" s="12">
        <f t="array" ref="M73">INDEX(L:L,MIN(IF(ISNUMBER(L73:L269),ROW(L73:L269),"")))</f>
        <v>11</v>
      </c>
      <c r="N73" s="13">
        <f>IF('Données projet'!$A$36&gt;35,N72+M73-V72,IF(A73&lt;'Données projet'!$A$36,$K$205^A73,IF(A73='Données projet'!$A$36,'Données projet'!$B$36,N72+M73-V72)))</f>
        <v>524.00000000000034</v>
      </c>
      <c r="O73" s="13">
        <f>N73*VLOOKUP('Données projet'!$B$9,Paramètres!$A$1:$I$89,3,0)*VLOOKUP('Données projet'!$B$9,Paramètres!$A$1:$I$89,5,0)</f>
        <v>313.3520000000002</v>
      </c>
      <c r="P73" s="13">
        <f t="shared" si="87"/>
        <v>73.96842241043872</v>
      </c>
      <c r="Q73" s="20">
        <f t="shared" si="54"/>
        <v>674.58306903151447</v>
      </c>
      <c r="R73" s="59">
        <f t="shared" si="55"/>
        <v>967.91640236484773</v>
      </c>
      <c r="S73" s="59">
        <f ca="1">AVERAGE(OFFSET($R$3,0,0,'Données projet'!$E$9+1,1))-AVERAGE(OFFSET($H$3,0,0,'Données projet'!$E$9+1,1))</f>
        <v>288.98981546396209</v>
      </c>
      <c r="T73" s="59">
        <f t="shared" si="88"/>
        <v>281.67720096117085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524</v>
      </c>
      <c r="W73" s="16">
        <f>IF(ISNA(VLOOKUP(A73,'Données projet'!$A$35:$I$55,5,0)),0%,VLOOKUP(A73,'Données projet'!$A$35:$I$55,5,0)*VLOOKUP('Données projet'!$B$9,Paramètres!$A$1:$I$89,7,0))</f>
        <v>0.315</v>
      </c>
      <c r="X73" s="16">
        <f>IF(ISNA(VLOOKUP(A73,'Données projet'!$A$35:$I$55,6,0)),0%,VLOOKUP(A73,'Données projet'!$A$35:$I$55,6,0)*VLOOKUP('Données projet'!$B$9,Paramètres!$A$1:$I$89,7,0))</f>
        <v>7.6500000000000012E-2</v>
      </c>
      <c r="Y73" s="16">
        <f>IF(ISNA(VLOOKUP(A73,'Données projet'!$A$35:$I$55,7,0)),0%,VLOOKUP(A73,'Données projet'!$A$35:$I$55,7,0))</f>
        <v>0.13</v>
      </c>
      <c r="Z73" s="21">
        <f>EXP(-LN(2)/35)*Z72+(1-EXP(-LN(2)/35))/(LN(2)/35)*V73*W73*VLOOKUP('Données projet'!$B$9,Paramètres!$A$1:$I$89,3,0)*0.475*44/12</f>
        <v>168.94742861209741</v>
      </c>
      <c r="AA73" s="21">
        <f>EXP(-LN(2)/25)*AA72+(1-EXP(-LN(2)/25))/(LN(2)/25)*Calculateur!V73*Calculateur!X73*VLOOKUP('Données projet'!$B$9,Paramètres!$A$1:$I$89,3,0)*0.475*44/12</f>
        <v>54.418037511400975</v>
      </c>
      <c r="AB73" s="21">
        <f>EXP(-LN(2)/2)*AB72+(1-EXP(-LN(2)/2))/(LN(2)/2)*V73*Y73*VLOOKUP('Données projet'!$B$9,Paramètres!$A$1:$I$89,3,0)*0.475*44/12</f>
        <v>46.732981787540062</v>
      </c>
      <c r="AC73" s="22">
        <f t="shared" si="57"/>
        <v>270.09844791103842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550</v>
      </c>
      <c r="AG73" s="12">
        <f>VLOOKUP(A73,'Données projet'!$A$61:$I$81,9,0)</f>
        <v>12</v>
      </c>
      <c r="AH73" s="12">
        <f t="array" ref="AH73">INDEX(AG:AG,MIN(IF(ISNUMBER(AG73:AG269),ROW(AG73:AG269),"")))</f>
        <v>12</v>
      </c>
      <c r="AI73" s="13">
        <f>IF('Données projet'!$A$62&gt;35,AI72+AH73-AQ72,IF(A73&lt;'Données projet'!$A$62,$AF$205^A73,IF(A73='Données projet'!$A$62,'Données projet'!$B$62,AI72+AH73-AQ72)))</f>
        <v>550</v>
      </c>
      <c r="AJ73" s="13">
        <f>AI73*VLOOKUP('Données projet'!$B$10,Paramètres!$A$1:$I$89,3,0)*VLOOKUP('Données projet'!$B$10,Paramètres!$A$1:$I$89,5,0)</f>
        <v>257.40000000000003</v>
      </c>
      <c r="AK73" s="13">
        <f t="shared" si="89"/>
        <v>62.167839264733466</v>
      </c>
      <c r="AL73" s="20">
        <f t="shared" si="58"/>
        <v>556.58065338607753</v>
      </c>
      <c r="AM73" s="59">
        <f t="shared" si="59"/>
        <v>849.91398671941079</v>
      </c>
      <c r="AN73" s="59">
        <f ca="1">AVERAGE(OFFSET($AM$3,0,0,'Données projet'!$E$10+1,1))-AVERAGE(OFFSET($H$3,0,0,'Données projet'!$E$10+1,1))</f>
        <v>234.95901223517041</v>
      </c>
      <c r="AO73" s="59">
        <f t="shared" si="90"/>
        <v>179.39213799913273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40</v>
      </c>
      <c r="AR73" s="16">
        <f>IF(ISNA(VLOOKUP(A73,'Données projet'!$A$61:$I$81,5,0)),0%,VLOOKUP(A73,'Données projet'!$A$61:$I$81,5,0)*VLOOKUP('Données projet'!$B$10,Paramètres!$A$1:$I$89,7,0))</f>
        <v>0.33</v>
      </c>
      <c r="AS73" s="16">
        <f>IF(ISNA(VLOOKUP(A73,'Données projet'!$A$61:$I$81,6,0)),0%,VLOOKUP(A73,'Données projet'!$A$61:$I$81,6,0)*VLOOKUP('Données projet'!$B$10,Paramètres!$A$1:$I$89,7,0))</f>
        <v>0.12100000000000001</v>
      </c>
      <c r="AT73" s="16">
        <f>IF(ISNA(VLOOKUP(A73,'Données projet'!$A$61:$I$81,7,0)),0%,VLOOKUP(A73,'Données projet'!$A$61:$I$81,7,0))</f>
        <v>0.18</v>
      </c>
      <c r="AU73" s="21">
        <f>EXP(-LN(2)/35)*AU72+(1-EXP(-LN(2)/35))/(LN(2)/35)*AQ73*AR73*VLOOKUP('Données projet'!$B$10,Paramètres!$A$1:$I$89,3,0)*0.475*44/12</f>
        <v>22.766691099152887</v>
      </c>
      <c r="AV73" s="21">
        <f>EXP(-LN(2)/25)*AV72+(1-EXP(-LN(2)/25))/(LN(2)/25)*Calculateur!AQ73*Calculateur!AS73*VLOOKUP('Données projet'!$B$10,Paramètres!$A$1:$I$89,3,0)*0.475*44/12</f>
        <v>17.133671244390307</v>
      </c>
      <c r="AW73" s="21">
        <f>EXP(-LN(2)/2)*AW72+(1-EXP(-LN(2)/2))/(LN(2)/2)*AQ73*AT73*VLOOKUP('Données projet'!$B$10,Paramètres!$A$1:$I$89,3,0)*0.475*44/12</f>
        <v>3.9678750671986851</v>
      </c>
      <c r="AX73" s="21">
        <f t="shared" si="60"/>
        <v>43.868237410741877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3.4106051316484809E-13</v>
      </c>
      <c r="O74" s="13">
        <f>N74*VLOOKUP('Données projet'!$B$9,Paramètres!$A$1:$I$89,3,0)*VLOOKUP('Données projet'!$B$9,Paramètres!$A$1:$I$89,5,0)</f>
        <v>2.0395418687257919E-13</v>
      </c>
      <c r="P74" s="13">
        <f t="shared" si="87"/>
        <v>2.8200388570161721E-12</v>
      </c>
      <c r="Q74" s="20">
        <f t="shared" si="54"/>
        <v>5.2667878847729083E-12</v>
      </c>
      <c r="R74" s="59">
        <f t="shared" si="55"/>
        <v>293.3333333333386</v>
      </c>
      <c r="S74" s="59">
        <f ca="1">AVERAGE(OFFSET($R$3,0,0,'Données projet'!$E$9+1,1))-AVERAGE(OFFSET($H$3,0,0,'Données projet'!$E$9+1,1))</f>
        <v>288.98981546396209</v>
      </c>
      <c r="T74" s="59">
        <f t="shared" si="88"/>
        <v>281.67720096117085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165.63447258477052</v>
      </c>
      <c r="AA74" s="21">
        <f>EXP(-LN(2)/25)*AA73+(1-EXP(-LN(2)/25))/(LN(2)/25)*Calculateur!V74*Calculateur!X74*VLOOKUP('Données projet'!$B$9,Paramètres!$A$1:$I$89,3,0)*0.475*44/12</f>
        <v>52.929973413931499</v>
      </c>
      <c r="AB74" s="21">
        <f>EXP(-LN(2)/2)*AB73+(1-EXP(-LN(2)/2))/(LN(2)/2)*V74*Y74*VLOOKUP('Données projet'!$B$9,Paramètres!$A$1:$I$89,3,0)*0.475*44/12</f>
        <v>33.045208327037003</v>
      </c>
      <c r="AC74" s="22">
        <f t="shared" si="57"/>
        <v>251.60965432573903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10</v>
      </c>
      <c r="AI74" s="13">
        <f>IF('Données projet'!$A$62&gt;35,AI73+AH74-AQ73,IF(A74&lt;'Données projet'!$A$62,$AF$205^A74,IF(A74='Données projet'!$A$62,'Données projet'!$B$62,AI73+AH74-AQ73)))</f>
        <v>520</v>
      </c>
      <c r="AJ74" s="13">
        <f>AI74*VLOOKUP('Données projet'!$B$10,Paramètres!$A$1:$I$89,3,0)*VLOOKUP('Données projet'!$B$10,Paramètres!$A$1:$I$89,5,0)</f>
        <v>243.35999999999999</v>
      </c>
      <c r="AK74" s="13">
        <f t="shared" si="89"/>
        <v>59.161864860837127</v>
      </c>
      <c r="AL74" s="20">
        <f t="shared" si="58"/>
        <v>526.89224796595806</v>
      </c>
      <c r="AM74" s="59">
        <f t="shared" si="59"/>
        <v>820.22558129929143</v>
      </c>
      <c r="AN74" s="59">
        <f ca="1">AVERAGE(OFFSET($AM$3,0,0,'Données projet'!$E$10+1,1))-AVERAGE(OFFSET($H$3,0,0,'Données projet'!$E$10+1,1))</f>
        <v>234.95901223517041</v>
      </c>
      <c r="AO74" s="59">
        <f t="shared" si="90"/>
        <v>179.39213799913273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22.320250173008908</v>
      </c>
      <c r="AV74" s="21">
        <f>EXP(-LN(2)/25)*AV73+(1-EXP(-LN(2)/25))/(LN(2)/25)*Calculateur!AQ74*Calculateur!AS74*VLOOKUP('Données projet'!$B$10,Paramètres!$A$1:$I$89,3,0)*0.475*44/12</f>
        <v>16.665150103191841</v>
      </c>
      <c r="AW74" s="21">
        <f>EXP(-LN(2)/2)*AW73+(1-EXP(-LN(2)/2))/(LN(2)/2)*AQ74*AT74*VLOOKUP('Données projet'!$B$10,Paramètres!$A$1:$I$89,3,0)*0.475*44/12</f>
        <v>2.8057113669172185</v>
      </c>
      <c r="AX74" s="21">
        <f t="shared" si="60"/>
        <v>41.791111643117965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3.4106051316484809E-13</v>
      </c>
      <c r="O75" s="13">
        <f>N75*VLOOKUP('Données projet'!$B$9,Paramètres!$A$1:$I$89,3,0)*VLOOKUP('Données projet'!$B$9,Paramètres!$A$1:$I$89,5,0)</f>
        <v>2.0395418687257919E-13</v>
      </c>
      <c r="P75" s="13">
        <f t="shared" si="87"/>
        <v>2.8200388570161721E-12</v>
      </c>
      <c r="Q75" s="20">
        <f t="shared" si="54"/>
        <v>5.2667878847729083E-12</v>
      </c>
      <c r="R75" s="59">
        <f t="shared" si="55"/>
        <v>293.3333333333386</v>
      </c>
      <c r="S75" s="59">
        <f ca="1">AVERAGE(OFFSET($R$3,0,0,'Données projet'!$E$9+1,1))-AVERAGE(OFFSET($H$3,0,0,'Données projet'!$E$9+1,1))</f>
        <v>288.98981546396209</v>
      </c>
      <c r="T75" s="59">
        <f t="shared" si="88"/>
        <v>281.67720096117085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162.38648160443586</v>
      </c>
      <c r="AA75" s="21">
        <f>EXP(-LN(2)/25)*AA74+(1-EXP(-LN(2)/25))/(LN(2)/25)*Calculateur!V75*Calculateur!X75*VLOOKUP('Données projet'!$B$9,Paramètres!$A$1:$I$89,3,0)*0.475*44/12</f>
        <v>51.482600507461214</v>
      </c>
      <c r="AB75" s="21">
        <f>EXP(-LN(2)/2)*AB74+(1-EXP(-LN(2)/2))/(LN(2)/2)*V75*Y75*VLOOKUP('Données projet'!$B$9,Paramètres!$A$1:$I$89,3,0)*0.475*44/12</f>
        <v>23.366490893770035</v>
      </c>
      <c r="AC75" s="22">
        <f t="shared" si="57"/>
        <v>237.23557300566711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10</v>
      </c>
      <c r="AI75" s="13">
        <f>IF('Données projet'!$A$62&gt;35,AI74+AH75-AQ74,IF(A75&lt;'Données projet'!$A$62,$AF$205^A75,IF(A75='Données projet'!$A$62,'Données projet'!$B$62,AI74+AH75-AQ74)))</f>
        <v>530</v>
      </c>
      <c r="AJ75" s="13">
        <f>AI75*VLOOKUP('Données projet'!$B$10,Paramètres!$A$1:$I$89,3,0)*VLOOKUP('Données projet'!$B$10,Paramètres!$A$1:$I$89,5,0)</f>
        <v>248.04</v>
      </c>
      <c r="AK75" s="13">
        <f t="shared" si="89"/>
        <v>60.166044284441391</v>
      </c>
      <c r="AL75" s="20">
        <f t="shared" si="58"/>
        <v>536.792193795402</v>
      </c>
      <c r="AM75" s="59">
        <f t="shared" si="59"/>
        <v>830.12552712873526</v>
      </c>
      <c r="AN75" s="59">
        <f ca="1">AVERAGE(OFFSET($AM$3,0,0,'Données projet'!$E$10+1,1))-AVERAGE(OFFSET($H$3,0,0,'Données projet'!$E$10+1,1))</f>
        <v>234.95901223517041</v>
      </c>
      <c r="AO75" s="59">
        <f t="shared" si="90"/>
        <v>179.39213799913273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21.882563681124537</v>
      </c>
      <c r="AV75" s="21">
        <f>EXP(-LN(2)/25)*AV74+(1-EXP(-LN(2)/25))/(LN(2)/25)*Calculateur!AQ75*Calculateur!AS75*VLOOKUP('Données projet'!$B$10,Paramètres!$A$1:$I$89,3,0)*0.475*44/12</f>
        <v>16.209440697237905</v>
      </c>
      <c r="AW75" s="21">
        <f>EXP(-LN(2)/2)*AW74+(1-EXP(-LN(2)/2))/(LN(2)/2)*AQ75*AT75*VLOOKUP('Données projet'!$B$10,Paramètres!$A$1:$I$89,3,0)*0.475*44/12</f>
        <v>1.9839375335993428</v>
      </c>
      <c r="AX75" s="21">
        <f t="shared" si="60"/>
        <v>40.075941911961792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3.4106051316484809E-13</v>
      </c>
      <c r="O76" s="13">
        <f>N76*VLOOKUP('Données projet'!$B$9,Paramètres!$A$1:$I$89,3,0)*VLOOKUP('Données projet'!$B$9,Paramètres!$A$1:$I$89,5,0)</f>
        <v>2.0395418687257919E-13</v>
      </c>
      <c r="P76" s="13">
        <f t="shared" si="87"/>
        <v>2.8200388570161721E-12</v>
      </c>
      <c r="Q76" s="20">
        <f t="shared" si="54"/>
        <v>5.2667878847729083E-12</v>
      </c>
      <c r="R76" s="59">
        <f t="shared" si="55"/>
        <v>293.3333333333386</v>
      </c>
      <c r="S76" s="59">
        <f ca="1">AVERAGE(OFFSET($R$3,0,0,'Données projet'!$E$9+1,1))-AVERAGE(OFFSET($H$3,0,0,'Données projet'!$E$9+1,1))</f>
        <v>288.98981546396209</v>
      </c>
      <c r="T76" s="59">
        <f t="shared" si="88"/>
        <v>281.67720096117085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159.20218174614666</v>
      </c>
      <c r="AA76" s="21">
        <f>EXP(-LN(2)/25)*AA75+(1-EXP(-LN(2)/25))/(LN(2)/25)*Calculateur!V76*Calculateur!X76*VLOOKUP('Données projet'!$B$9,Paramètres!$A$1:$I$89,3,0)*0.475*44/12</f>
        <v>50.074806089232389</v>
      </c>
      <c r="AB76" s="21">
        <f>EXP(-LN(2)/2)*AB75+(1-EXP(-LN(2)/2))/(LN(2)/2)*V76*Y76*VLOOKUP('Données projet'!$B$9,Paramètres!$A$1:$I$89,3,0)*0.475*44/12</f>
        <v>16.522604163518505</v>
      </c>
      <c r="AC76" s="22">
        <f t="shared" si="57"/>
        <v>225.79959199889757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10</v>
      </c>
      <c r="AI76" s="13">
        <f>IF('Données projet'!$A$62&gt;35,AI75+AH76-AQ75,IF(A76&lt;'Données projet'!$A$62,$AF$205^A76,IF(A76='Données projet'!$A$62,'Données projet'!$B$62,AI75+AH76-AQ75)))</f>
        <v>540</v>
      </c>
      <c r="AJ76" s="13">
        <f>AI76*VLOOKUP('Données projet'!$B$10,Paramètres!$A$1:$I$89,3,0)*VLOOKUP('Données projet'!$B$10,Paramètres!$A$1:$I$89,5,0)</f>
        <v>252.72000000000003</v>
      </c>
      <c r="AK76" s="13">
        <f t="shared" si="89"/>
        <v>61.168020584496823</v>
      </c>
      <c r="AL76" s="20">
        <f t="shared" si="58"/>
        <v>546.68830251799864</v>
      </c>
      <c r="AM76" s="59">
        <f t="shared" si="59"/>
        <v>840.02163585133189</v>
      </c>
      <c r="AN76" s="59">
        <f ca="1">AVERAGE(OFFSET($AM$3,0,0,'Données projet'!$E$10+1,1))-AVERAGE(OFFSET($H$3,0,0,'Données projet'!$E$10+1,1))</f>
        <v>234.95901223517041</v>
      </c>
      <c r="AO76" s="59">
        <f t="shared" si="90"/>
        <v>179.39213799913273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21.453459954383618</v>
      </c>
      <c r="AV76" s="21">
        <f>EXP(-LN(2)/25)*AV75+(1-EXP(-LN(2)/25))/(LN(2)/25)*Calculateur!AQ76*Calculateur!AS76*VLOOKUP('Données projet'!$B$10,Paramètres!$A$1:$I$89,3,0)*0.475*44/12</f>
        <v>15.766192688954495</v>
      </c>
      <c r="AW76" s="21">
        <f>EXP(-LN(2)/2)*AW75+(1-EXP(-LN(2)/2))/(LN(2)/2)*AQ76*AT76*VLOOKUP('Données projet'!$B$10,Paramètres!$A$1:$I$89,3,0)*0.475*44/12</f>
        <v>1.4028556834586094</v>
      </c>
      <c r="AX76" s="21">
        <f t="shared" si="60"/>
        <v>38.622508326796726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3.4106051316484809E-13</v>
      </c>
      <c r="O77" s="13">
        <f>N77*VLOOKUP('Données projet'!$B$9,Paramètres!$A$1:$I$89,3,0)*VLOOKUP('Données projet'!$B$9,Paramètres!$A$1:$I$89,5,0)</f>
        <v>2.0395418687257919E-13</v>
      </c>
      <c r="P77" s="13">
        <f t="shared" si="87"/>
        <v>2.8200388570161721E-12</v>
      </c>
      <c r="Q77" s="20">
        <f t="shared" si="54"/>
        <v>5.2667878847729083E-12</v>
      </c>
      <c r="R77" s="59">
        <f t="shared" si="55"/>
        <v>293.3333333333386</v>
      </c>
      <c r="S77" s="59">
        <f ca="1">AVERAGE(OFFSET($R$3,0,0,'Données projet'!$E$9+1,1))-AVERAGE(OFFSET($H$3,0,0,'Données projet'!$E$9+1,1))</f>
        <v>288.98981546396209</v>
      </c>
      <c r="T77" s="59">
        <f t="shared" si="88"/>
        <v>281.67720096117085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156.08032406584741</v>
      </c>
      <c r="AA77" s="21">
        <f>EXP(-LN(2)/25)*AA76+(1-EXP(-LN(2)/25))/(LN(2)/25)*Calculateur!V77*Calculateur!X77*VLOOKUP('Données projet'!$B$9,Paramètres!$A$1:$I$89,3,0)*0.475*44/12</f>
        <v>48.705507883402724</v>
      </c>
      <c r="AB77" s="21">
        <f>EXP(-LN(2)/2)*AB76+(1-EXP(-LN(2)/2))/(LN(2)/2)*V77*Y77*VLOOKUP('Données projet'!$B$9,Paramètres!$A$1:$I$89,3,0)*0.475*44/12</f>
        <v>11.683245446885019</v>
      </c>
      <c r="AC77" s="22">
        <f t="shared" si="57"/>
        <v>216.46907739613516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10</v>
      </c>
      <c r="AI77" s="13">
        <f>IF('Données projet'!$A$62&gt;35,AI76+AH77-AQ76,IF(A77&lt;'Données projet'!$A$62,$AF$205^A77,IF(A77='Données projet'!$A$62,'Données projet'!$B$62,AI76+AH77-AQ76)))</f>
        <v>550</v>
      </c>
      <c r="AJ77" s="13">
        <f>AI77*VLOOKUP('Données projet'!$B$10,Paramètres!$A$1:$I$89,3,0)*VLOOKUP('Données projet'!$B$10,Paramètres!$A$1:$I$89,5,0)</f>
        <v>257.40000000000003</v>
      </c>
      <c r="AK77" s="13">
        <f t="shared" si="89"/>
        <v>62.167839264733466</v>
      </c>
      <c r="AL77" s="20">
        <f t="shared" si="58"/>
        <v>556.58065338607753</v>
      </c>
      <c r="AM77" s="59">
        <f t="shared" si="59"/>
        <v>849.91398671941079</v>
      </c>
      <c r="AN77" s="59">
        <f ca="1">AVERAGE(OFFSET($AM$3,0,0,'Données projet'!$E$10+1,1))-AVERAGE(OFFSET($H$3,0,0,'Données projet'!$E$10+1,1))</f>
        <v>234.95901223517041</v>
      </c>
      <c r="AO77" s="59">
        <f t="shared" si="90"/>
        <v>179.39213799913273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21.03277068999666</v>
      </c>
      <c r="AV77" s="21">
        <f>EXP(-LN(2)/25)*AV76+(1-EXP(-LN(2)/25))/(LN(2)/25)*Calculateur!AQ77*Calculateur!AS77*VLOOKUP('Données projet'!$B$10,Paramètres!$A$1:$I$89,3,0)*0.475*44/12</f>
        <v>15.335065320766995</v>
      </c>
      <c r="AW77" s="21">
        <f>EXP(-LN(2)/2)*AW76+(1-EXP(-LN(2)/2))/(LN(2)/2)*AQ77*AT77*VLOOKUP('Données projet'!$B$10,Paramètres!$A$1:$I$89,3,0)*0.475*44/12</f>
        <v>0.99196876679967161</v>
      </c>
      <c r="AX77" s="21">
        <f t="shared" si="60"/>
        <v>37.359804777563326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3.4106051316484809E-13</v>
      </c>
      <c r="O78" s="13">
        <f>N78*VLOOKUP('Données projet'!$B$9,Paramètres!$A$1:$I$89,3,0)*VLOOKUP('Données projet'!$B$9,Paramètres!$A$1:$I$89,5,0)</f>
        <v>2.0395418687257919E-13</v>
      </c>
      <c r="P78" s="13">
        <f t="shared" si="87"/>
        <v>2.8200388570161721E-12</v>
      </c>
      <c r="Q78" s="20">
        <f t="shared" si="54"/>
        <v>5.2667878847729083E-12</v>
      </c>
      <c r="R78" s="59">
        <f t="shared" si="55"/>
        <v>293.3333333333386</v>
      </c>
      <c r="S78" s="59">
        <f ca="1">AVERAGE(OFFSET($R$3,0,0,'Données projet'!$E$9+1,1))-AVERAGE(OFFSET($H$3,0,0,'Données projet'!$E$9+1,1))</f>
        <v>288.98981546396209</v>
      </c>
      <c r="T78" s="59">
        <f t="shared" si="88"/>
        <v>281.67720096117085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153.01968411051365</v>
      </c>
      <c r="AA78" s="21">
        <f>EXP(-LN(2)/25)*AA77+(1-EXP(-LN(2)/25))/(LN(2)/25)*Calculateur!V78*Calculateur!X78*VLOOKUP('Données projet'!$B$9,Paramètres!$A$1:$I$89,3,0)*0.475*44/12</f>
        <v>47.373653209019736</v>
      </c>
      <c r="AB78" s="21">
        <f>EXP(-LN(2)/2)*AB77+(1-EXP(-LN(2)/2))/(LN(2)/2)*V78*Y78*VLOOKUP('Données projet'!$B$9,Paramètres!$A$1:$I$89,3,0)*0.475*44/12</f>
        <v>8.2613020817592542</v>
      </c>
      <c r="AC78" s="22">
        <f t="shared" si="57"/>
        <v>208.65463940129263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10</v>
      </c>
      <c r="AI78" s="13">
        <f>IF('Données projet'!$A$62&gt;35,AI77+AH78-AQ77,IF(A78&lt;'Données projet'!$A$62,$AF$205^A78,IF(A78='Données projet'!$A$62,'Données projet'!$B$62,AI77+AH78-AQ77)))</f>
        <v>560</v>
      </c>
      <c r="AJ78" s="13">
        <f>AI78*VLOOKUP('Données projet'!$B$10,Paramètres!$A$1:$I$89,3,0)*VLOOKUP('Données projet'!$B$10,Paramètres!$A$1:$I$89,5,0)</f>
        <v>262.08</v>
      </c>
      <c r="AK78" s="13">
        <f t="shared" si="89"/>
        <v>63.165544079460766</v>
      </c>
      <c r="AL78" s="20">
        <f t="shared" si="58"/>
        <v>566.46932260506071</v>
      </c>
      <c r="AM78" s="59">
        <f t="shared" si="59"/>
        <v>859.80265593839408</v>
      </c>
      <c r="AN78" s="59">
        <f ca="1">AVERAGE(OFFSET($AM$3,0,0,'Données projet'!$E$10+1,1))-AVERAGE(OFFSET($H$3,0,0,'Données projet'!$E$10+1,1))</f>
        <v>234.95901223517041</v>
      </c>
      <c r="AO78" s="59">
        <f t="shared" si="90"/>
        <v>179.39213799913273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20.620330885489214</v>
      </c>
      <c r="AV78" s="21">
        <f>EXP(-LN(2)/25)*AV77+(1-EXP(-LN(2)/25))/(LN(2)/25)*Calculateur!AQ78*Calculateur!AS78*VLOOKUP('Données projet'!$B$10,Paramètres!$A$1:$I$89,3,0)*0.475*44/12</f>
        <v>14.915727153134586</v>
      </c>
      <c r="AW78" s="21">
        <f>EXP(-LN(2)/2)*AW77+(1-EXP(-LN(2)/2))/(LN(2)/2)*AQ78*AT78*VLOOKUP('Données projet'!$B$10,Paramètres!$A$1:$I$89,3,0)*0.475*44/12</f>
        <v>0.70142784172930484</v>
      </c>
      <c r="AX78" s="21">
        <f t="shared" si="60"/>
        <v>36.237485880353105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3.4106051316484809E-13</v>
      </c>
      <c r="O79" s="13">
        <f>N79*VLOOKUP('Données projet'!$B$9,Paramètres!$A$1:$I$89,3,0)*VLOOKUP('Données projet'!$B$9,Paramètres!$A$1:$I$89,5,0)</f>
        <v>2.0395418687257919E-13</v>
      </c>
      <c r="P79" s="13">
        <f t="shared" si="87"/>
        <v>2.8200388570161721E-12</v>
      </c>
      <c r="Q79" s="20">
        <f t="shared" si="54"/>
        <v>5.2667878847729083E-12</v>
      </c>
      <c r="R79" s="59">
        <f t="shared" si="55"/>
        <v>293.3333333333386</v>
      </c>
      <c r="S79" s="59">
        <f ca="1">AVERAGE(OFFSET($R$3,0,0,'Données projet'!$E$9+1,1))-AVERAGE(OFFSET($H$3,0,0,'Données projet'!$E$9+1,1))</f>
        <v>288.98981546396209</v>
      </c>
      <c r="T79" s="59">
        <f t="shared" si="88"/>
        <v>281.67720096117085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150.01906143789793</v>
      </c>
      <c r="AA79" s="21">
        <f>EXP(-LN(2)/25)*AA78+(1-EXP(-LN(2)/25))/(LN(2)/25)*Calculateur!V79*Calculateur!X79*VLOOKUP('Données projet'!$B$9,Paramètres!$A$1:$I$89,3,0)*0.475*44/12</f>
        <v>46.078218170746943</v>
      </c>
      <c r="AB79" s="21">
        <f>EXP(-LN(2)/2)*AB78+(1-EXP(-LN(2)/2))/(LN(2)/2)*V79*Y79*VLOOKUP('Données projet'!$B$9,Paramètres!$A$1:$I$89,3,0)*0.475*44/12</f>
        <v>5.8416227234425113</v>
      </c>
      <c r="AC79" s="22">
        <f t="shared" si="57"/>
        <v>201.93890233208737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</v>
      </c>
      <c r="AI79" s="13">
        <f>IF('Données projet'!$A$62&gt;35,AI78+AH79-AQ78,IF(A79&lt;'Données projet'!$A$62,$AF$205^A79,IF(A79='Données projet'!$A$62,'Données projet'!$B$62,AI78+AH79-AQ78)))</f>
        <v>570</v>
      </c>
      <c r="AJ79" s="13">
        <f>AI79*VLOOKUP('Données projet'!$B$10,Paramètres!$A$1:$I$89,3,0)*VLOOKUP('Données projet'!$B$10,Paramètres!$A$1:$I$89,5,0)</f>
        <v>266.76</v>
      </c>
      <c r="AK79" s="13">
        <f t="shared" si="89"/>
        <v>64.161177130842304</v>
      </c>
      <c r="AL79" s="20">
        <f t="shared" si="58"/>
        <v>576.35438350288371</v>
      </c>
      <c r="AM79" s="59">
        <f t="shared" si="59"/>
        <v>869.68771683621708</v>
      </c>
      <c r="AN79" s="59">
        <f ca="1">AVERAGE(OFFSET($AM$3,0,0,'Données projet'!$E$10+1,1))-AVERAGE(OFFSET($H$3,0,0,'Données projet'!$E$10+1,1))</f>
        <v>234.95901223517041</v>
      </c>
      <c r="AO79" s="59">
        <f t="shared" si="90"/>
        <v>179.39213799913273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20.21597877398472</v>
      </c>
      <c r="AV79" s="21">
        <f>EXP(-LN(2)/25)*AV78+(1-EXP(-LN(2)/25))/(LN(2)/25)*Calculateur!AQ79*Calculateur!AS79*VLOOKUP('Données projet'!$B$10,Paramètres!$A$1:$I$89,3,0)*0.475*44/12</f>
        <v>14.50785580974812</v>
      </c>
      <c r="AW79" s="21">
        <f>EXP(-LN(2)/2)*AW78+(1-EXP(-LN(2)/2))/(LN(2)/2)*AQ79*AT79*VLOOKUP('Données projet'!$B$10,Paramètres!$A$1:$I$89,3,0)*0.475*44/12</f>
        <v>0.49598438339983586</v>
      </c>
      <c r="AX79" s="21">
        <f t="shared" si="60"/>
        <v>35.219818967132674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3.4106051316484809E-13</v>
      </c>
      <c r="O80" s="13">
        <f>N80*VLOOKUP('Données projet'!$B$9,Paramètres!$A$1:$I$89,3,0)*VLOOKUP('Données projet'!$B$9,Paramètres!$A$1:$I$89,5,0)</f>
        <v>2.0395418687257919E-13</v>
      </c>
      <c r="P80" s="13">
        <f t="shared" si="87"/>
        <v>2.8200388570161721E-12</v>
      </c>
      <c r="Q80" s="20">
        <f t="shared" si="54"/>
        <v>5.2667878847729083E-12</v>
      </c>
      <c r="R80" s="59">
        <f t="shared" si="55"/>
        <v>293.3333333333386</v>
      </c>
      <c r="S80" s="59">
        <f ca="1">AVERAGE(OFFSET($R$3,0,0,'Données projet'!$E$9+1,1))-AVERAGE(OFFSET($H$3,0,0,'Données projet'!$E$9+1,1))</f>
        <v>288.98981546396209</v>
      </c>
      <c r="T80" s="59">
        <f t="shared" si="88"/>
        <v>281.67720096117085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147.0772791456931</v>
      </c>
      <c r="AA80" s="21">
        <f>EXP(-LN(2)/25)*AA79+(1-EXP(-LN(2)/25))/(LN(2)/25)*Calculateur!V80*Calculateur!X80*VLOOKUP('Données projet'!$B$9,Paramètres!$A$1:$I$89,3,0)*0.475*44/12</f>
        <v>44.818206871719688</v>
      </c>
      <c r="AB80" s="21">
        <f>EXP(-LN(2)/2)*AB79+(1-EXP(-LN(2)/2))/(LN(2)/2)*V80*Y80*VLOOKUP('Données projet'!$B$9,Paramètres!$A$1:$I$89,3,0)*0.475*44/12</f>
        <v>4.130651040879628</v>
      </c>
      <c r="AC80" s="22">
        <f t="shared" si="57"/>
        <v>196.02613705829242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</v>
      </c>
      <c r="AI80" s="13">
        <f>IF('Données projet'!$A$62&gt;35,AI79+AH80-AQ79,IF(A80&lt;'Données projet'!$A$62,$AF$205^A80,IF(A80='Données projet'!$A$62,'Données projet'!$B$62,AI79+AH80-AQ79)))</f>
        <v>580</v>
      </c>
      <c r="AJ80" s="13">
        <f>AI80*VLOOKUP('Données projet'!$B$10,Paramètres!$A$1:$I$89,3,0)*VLOOKUP('Données projet'!$B$10,Paramètres!$A$1:$I$89,5,0)</f>
        <v>271.44</v>
      </c>
      <c r="AK80" s="13">
        <f t="shared" si="89"/>
        <v>65.154778959151173</v>
      </c>
      <c r="AL80" s="20">
        <f t="shared" si="58"/>
        <v>586.23590668718828</v>
      </c>
      <c r="AM80" s="59">
        <f t="shared" si="59"/>
        <v>879.56924002052165</v>
      </c>
      <c r="AN80" s="59">
        <f ca="1">AVERAGE(OFFSET($AM$3,0,0,'Données projet'!$E$10+1,1))-AVERAGE(OFFSET($H$3,0,0,'Données projet'!$E$10+1,1))</f>
        <v>234.95901223517041</v>
      </c>
      <c r="AO80" s="59">
        <f t="shared" si="90"/>
        <v>179.39213799913273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19.819555760756394</v>
      </c>
      <c r="AV80" s="21">
        <f>EXP(-LN(2)/25)*AV79+(1-EXP(-LN(2)/25))/(LN(2)/25)*Calculateur!AQ80*Calculateur!AS80*VLOOKUP('Données projet'!$B$10,Paramètres!$A$1:$I$89,3,0)*0.475*44/12</f>
        <v>14.11113772969558</v>
      </c>
      <c r="AW80" s="21">
        <f>EXP(-LN(2)/2)*AW79+(1-EXP(-LN(2)/2))/(LN(2)/2)*AQ80*AT80*VLOOKUP('Données projet'!$B$10,Paramètres!$A$1:$I$89,3,0)*0.475*44/12</f>
        <v>0.35071392086465247</v>
      </c>
      <c r="AX80" s="21">
        <f t="shared" si="60"/>
        <v>34.281407411316621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3.4106051316484809E-13</v>
      </c>
      <c r="O81" s="13">
        <f>N81*VLOOKUP('Données projet'!$B$9,Paramètres!$A$1:$I$89,3,0)*VLOOKUP('Données projet'!$B$9,Paramètres!$A$1:$I$89,5,0)</f>
        <v>2.0395418687257919E-13</v>
      </c>
      <c r="P81" s="13">
        <f t="shared" si="87"/>
        <v>2.8200388570161721E-12</v>
      </c>
      <c r="Q81" s="20">
        <f t="shared" si="54"/>
        <v>5.2667878847729083E-12</v>
      </c>
      <c r="R81" s="59">
        <f t="shared" si="55"/>
        <v>293.3333333333386</v>
      </c>
      <c r="S81" s="59">
        <f ca="1">AVERAGE(OFFSET($R$3,0,0,'Données projet'!$E$9+1,1))-AVERAGE(OFFSET($H$3,0,0,'Données projet'!$E$9+1,1))</f>
        <v>288.98981546396209</v>
      </c>
      <c r="T81" s="59">
        <f t="shared" si="88"/>
        <v>281.67720096117085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144.19318340992837</v>
      </c>
      <c r="AA81" s="21">
        <f>EXP(-LN(2)/25)*AA80+(1-EXP(-LN(2)/25))/(LN(2)/25)*Calculateur!V81*Calculateur!X81*VLOOKUP('Données projet'!$B$9,Paramètres!$A$1:$I$89,3,0)*0.475*44/12</f>
        <v>43.592650647925446</v>
      </c>
      <c r="AB81" s="21">
        <f>EXP(-LN(2)/2)*AB80+(1-EXP(-LN(2)/2))/(LN(2)/2)*V81*Y81*VLOOKUP('Données projet'!$B$9,Paramètres!$A$1:$I$89,3,0)*0.475*44/12</f>
        <v>2.9208113617212561</v>
      </c>
      <c r="AC81" s="22">
        <f t="shared" si="57"/>
        <v>190.70664541957507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10</v>
      </c>
      <c r="AI81" s="13">
        <f>IF('Données projet'!$A$62&gt;35,AI80+AH81-AQ80,IF(A81&lt;'Données projet'!$A$62,$AF$205^A81,IF(A81='Données projet'!$A$62,'Données projet'!$B$62,AI80+AH81-AQ80)))</f>
        <v>590</v>
      </c>
      <c r="AJ81" s="13">
        <f>AI81*VLOOKUP('Données projet'!$B$10,Paramètres!$A$1:$I$89,3,0)*VLOOKUP('Données projet'!$B$10,Paramètres!$A$1:$I$89,5,0)</f>
        <v>276.12</v>
      </c>
      <c r="AK81" s="13">
        <f t="shared" si="89"/>
        <v>66.146388626624258</v>
      </c>
      <c r="AL81" s="20">
        <f t="shared" si="58"/>
        <v>596.11396019137055</v>
      </c>
      <c r="AM81" s="59">
        <f t="shared" si="59"/>
        <v>889.44729352470381</v>
      </c>
      <c r="AN81" s="59">
        <f ca="1">AVERAGE(OFFSET($AM$3,0,0,'Données projet'!$E$10+1,1))-AVERAGE(OFFSET($H$3,0,0,'Données projet'!$E$10+1,1))</f>
        <v>234.95901223517041</v>
      </c>
      <c r="AO81" s="59">
        <f t="shared" si="90"/>
        <v>179.39213799913273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19.430906361023311</v>
      </c>
      <c r="AV81" s="21">
        <f>EXP(-LN(2)/25)*AV80+(1-EXP(-LN(2)/25))/(LN(2)/25)*Calculateur!AQ81*Calculateur!AS81*VLOOKUP('Données projet'!$B$10,Paramètres!$A$1:$I$89,3,0)*0.475*44/12</f>
        <v>13.725267926404573</v>
      </c>
      <c r="AW81" s="21">
        <f>EXP(-LN(2)/2)*AW80+(1-EXP(-LN(2)/2))/(LN(2)/2)*AQ81*AT81*VLOOKUP('Données projet'!$B$10,Paramètres!$A$1:$I$89,3,0)*0.475*44/12</f>
        <v>0.24799219169991799</v>
      </c>
      <c r="AX81" s="21">
        <f t="shared" si="60"/>
        <v>33.404166479127802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3.4106051316484809E-13</v>
      </c>
      <c r="O82" s="13">
        <f>N82*VLOOKUP('Données projet'!$B$9,Paramètres!$A$1:$I$89,3,0)*VLOOKUP('Données projet'!$B$9,Paramètres!$A$1:$I$89,5,0)</f>
        <v>2.0395418687257919E-13</v>
      </c>
      <c r="P82" s="13">
        <f t="shared" si="87"/>
        <v>2.8200388570161721E-12</v>
      </c>
      <c r="Q82" s="20">
        <f t="shared" si="54"/>
        <v>5.2667878847729083E-12</v>
      </c>
      <c r="R82" s="59">
        <f t="shared" si="55"/>
        <v>293.3333333333386</v>
      </c>
      <c r="S82" s="59">
        <f ca="1">AVERAGE(OFFSET($R$3,0,0,'Données projet'!$E$9+1,1))-AVERAGE(OFFSET($H$3,0,0,'Données projet'!$E$9+1,1))</f>
        <v>288.98981546396209</v>
      </c>
      <c r="T82" s="59">
        <f t="shared" si="88"/>
        <v>281.67720096117085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141.3656430324173</v>
      </c>
      <c r="AA82" s="21">
        <f>EXP(-LN(2)/25)*AA81+(1-EXP(-LN(2)/25))/(LN(2)/25)*Calculateur!V82*Calculateur!X82*VLOOKUP('Données projet'!$B$9,Paramètres!$A$1:$I$89,3,0)*0.475*44/12</f>
        <v>42.400607323520056</v>
      </c>
      <c r="AB82" s="21">
        <f>EXP(-LN(2)/2)*AB81+(1-EXP(-LN(2)/2))/(LN(2)/2)*V82*Y82*VLOOKUP('Données projet'!$B$9,Paramètres!$A$1:$I$89,3,0)*0.475*44/12</f>
        <v>2.0653255204398144</v>
      </c>
      <c r="AC82" s="22">
        <f t="shared" si="57"/>
        <v>185.83157587637717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10</v>
      </c>
      <c r="AI82" s="13">
        <f>IF('Données projet'!$A$62&gt;35,AI81+AH82-AQ81,IF(A82&lt;'Données projet'!$A$62,$AF$205^A82,IF(A82='Données projet'!$A$62,'Données projet'!$B$62,AI81+AH82-AQ81)))</f>
        <v>600</v>
      </c>
      <c r="AJ82" s="13">
        <f>AI82*VLOOKUP('Données projet'!$B$10,Paramètres!$A$1:$I$89,3,0)*VLOOKUP('Données projet'!$B$10,Paramètres!$A$1:$I$89,5,0)</f>
        <v>280.8</v>
      </c>
      <c r="AK82" s="13">
        <f t="shared" si="89"/>
        <v>67.136043795470286</v>
      </c>
      <c r="AL82" s="20">
        <f t="shared" si="58"/>
        <v>605.98860961044409</v>
      </c>
      <c r="AM82" s="59">
        <f t="shared" si="59"/>
        <v>899.32194294377746</v>
      </c>
      <c r="AN82" s="59">
        <f ca="1">AVERAGE(OFFSET($AM$3,0,0,'Données projet'!$E$10+1,1))-AVERAGE(OFFSET($H$3,0,0,'Données projet'!$E$10+1,1))</f>
        <v>234.95901223517041</v>
      </c>
      <c r="AO82" s="59">
        <f t="shared" si="90"/>
        <v>179.39213799913273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19.049878138966267</v>
      </c>
      <c r="AV82" s="21">
        <f>EXP(-LN(2)/25)*AV81+(1-EXP(-LN(2)/25))/(LN(2)/25)*Calculateur!AQ82*Calculateur!AS82*VLOOKUP('Données projet'!$B$10,Paramètres!$A$1:$I$89,3,0)*0.475*44/12</f>
        <v>13.349949753176569</v>
      </c>
      <c r="AW82" s="21">
        <f>EXP(-LN(2)/2)*AW81+(1-EXP(-LN(2)/2))/(LN(2)/2)*AQ82*AT82*VLOOKUP('Données projet'!$B$10,Paramètres!$A$1:$I$89,3,0)*0.475*44/12</f>
        <v>0.17535696043232626</v>
      </c>
      <c r="AX82" s="21">
        <f t="shared" si="60"/>
        <v>32.575184852575163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3.4106051316484809E-13</v>
      </c>
      <c r="O83" s="13">
        <f>N83*VLOOKUP('Données projet'!$B$9,Paramètres!$A$1:$I$89,3,0)*VLOOKUP('Données projet'!$B$9,Paramètres!$A$1:$I$89,5,0)</f>
        <v>2.0395418687257919E-13</v>
      </c>
      <c r="P83" s="13">
        <f t="shared" si="87"/>
        <v>2.8200388570161721E-12</v>
      </c>
      <c r="Q83" s="20">
        <f t="shared" si="54"/>
        <v>5.2667878847729083E-12</v>
      </c>
      <c r="R83" s="59">
        <f t="shared" si="55"/>
        <v>293.3333333333386</v>
      </c>
      <c r="S83" s="59">
        <f ca="1">AVERAGE(OFFSET($R$3,0,0,'Données projet'!$E$9+1,1))-AVERAGE(OFFSET($H$3,0,0,'Données projet'!$E$9+1,1))</f>
        <v>288.98981546396209</v>
      </c>
      <c r="T83" s="59">
        <f t="shared" si="88"/>
        <v>281.67720096117085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138.59354899707986</v>
      </c>
      <c r="AA83" s="21">
        <f>EXP(-LN(2)/25)*AA82+(1-EXP(-LN(2)/25))/(LN(2)/25)*Calculateur!V83*Calculateur!X83*VLOOKUP('Données projet'!$B$9,Paramètres!$A$1:$I$89,3,0)*0.475*44/12</f>
        <v>41.241160486507368</v>
      </c>
      <c r="AB83" s="21">
        <f>EXP(-LN(2)/2)*AB82+(1-EXP(-LN(2)/2))/(LN(2)/2)*V83*Y83*VLOOKUP('Données projet'!$B$9,Paramètres!$A$1:$I$89,3,0)*0.475*44/12</f>
        <v>1.4604056808606283</v>
      </c>
      <c r="AC83" s="22">
        <f t="shared" si="57"/>
        <v>181.29511516444785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610</v>
      </c>
      <c r="AG83" s="12">
        <f>VLOOKUP(A83,'Données projet'!$A$61:$I$81,9,0)</f>
        <v>10</v>
      </c>
      <c r="AH83" s="12">
        <f t="array" ref="AH83">INDEX(AG:AG,MIN(IF(ISNUMBER(AG83:AG279),ROW(AG83:AG279),"")))</f>
        <v>10</v>
      </c>
      <c r="AI83" s="13">
        <f>IF('Données projet'!$A$62&gt;35,AI82+AH83-AQ82,IF(A83&lt;'Données projet'!$A$62,$AF$205^A83,IF(A83='Données projet'!$A$62,'Données projet'!$B$62,AI82+AH83-AQ82)))</f>
        <v>610</v>
      </c>
      <c r="AJ83" s="13">
        <f>AI83*VLOOKUP('Données projet'!$B$10,Paramètres!$A$1:$I$89,3,0)*VLOOKUP('Données projet'!$B$10,Paramètres!$A$1:$I$89,5,0)</f>
        <v>285.48</v>
      </c>
      <c r="AK83" s="13">
        <f t="shared" si="89"/>
        <v>68.123780800530767</v>
      </c>
      <c r="AL83" s="20">
        <f t="shared" si="58"/>
        <v>615.85991822759104</v>
      </c>
      <c r="AM83" s="59">
        <f t="shared" si="59"/>
        <v>909.19325156092441</v>
      </c>
      <c r="AN83" s="59">
        <f ca="1">AVERAGE(OFFSET($AM$3,0,0,'Données projet'!$E$10+1,1))-AVERAGE(OFFSET($H$3,0,0,'Données projet'!$E$10+1,1))</f>
        <v>234.95901223517041</v>
      </c>
      <c r="AO83" s="59">
        <f t="shared" si="90"/>
        <v>179.39213799913273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610</v>
      </c>
      <c r="AR83" s="16">
        <f>IF(ISNA(VLOOKUP(A83,'Données projet'!$A$61:$I$81,5,0)),0%,VLOOKUP(A83,'Données projet'!$A$61:$I$81,5,0)*VLOOKUP('Données projet'!$B$10,Paramètres!$A$1:$I$89,7,0))</f>
        <v>0.38500000000000001</v>
      </c>
      <c r="AS83" s="16">
        <f>IF(ISNA(VLOOKUP(A83,'Données projet'!$A$61:$I$81,6,0)),0%,VLOOKUP(A83,'Données projet'!$A$61:$I$81,6,0)*VLOOKUP('Données projet'!$B$10,Paramètres!$A$1:$I$89,7,0))</f>
        <v>9.3500000000000014E-2</v>
      </c>
      <c r="AT83" s="16">
        <f>IF(ISNA(VLOOKUP(A83,'Données projet'!$A$61:$I$81,7,0)),0%,VLOOKUP(A83,'Données projet'!$A$61:$I$81,7,0))</f>
        <v>0.13</v>
      </c>
      <c r="AU83" s="21">
        <f>EXP(-LN(2)/35)*AU82+(1-EXP(-LN(2)/35))/(LN(2)/35)*AQ83*AR83*VLOOKUP('Données projet'!$B$10,Paramètres!$A$1:$I$89,3,0)*0.475*44/12</f>
        <v>164.47875563240825</v>
      </c>
      <c r="AV83" s="21">
        <f>EXP(-LN(2)/25)*AV82+(1-EXP(-LN(2)/25))/(LN(2)/25)*Calculateur!AQ83*Calculateur!AS83*VLOOKUP('Données projet'!$B$10,Paramètres!$A$1:$I$89,3,0)*0.475*44/12</f>
        <v>48.254637849352825</v>
      </c>
      <c r="AW83" s="21">
        <f>EXP(-LN(2)/2)*AW82+(1-EXP(-LN(2)/2))/(LN(2)/2)*AQ83*AT83*VLOOKUP('Données projet'!$B$10,Paramètres!$A$1:$I$89,3,0)*0.475*44/12</f>
        <v>42.143854014571161</v>
      </c>
      <c r="AX83" s="21">
        <f t="shared" si="60"/>
        <v>254.87724749633225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3.4106051316484809E-13</v>
      </c>
      <c r="O84" s="13">
        <f>N84*VLOOKUP('Données projet'!$B$9,Paramètres!$A$1:$I$89,3,0)*VLOOKUP('Données projet'!$B$9,Paramètres!$A$1:$I$89,5,0)</f>
        <v>2.0395418687257919E-13</v>
      </c>
      <c r="P84" s="13">
        <f t="shared" si="87"/>
        <v>2.8200388570161721E-12</v>
      </c>
      <c r="Q84" s="20">
        <f t="shared" si="54"/>
        <v>5.2667878847729083E-12</v>
      </c>
      <c r="R84" s="59">
        <f t="shared" si="55"/>
        <v>293.3333333333386</v>
      </c>
      <c r="S84" s="59">
        <f ca="1">AVERAGE(OFFSET($R$3,0,0,'Données projet'!$E$9+1,1))-AVERAGE(OFFSET($H$3,0,0,'Données projet'!$E$9+1,1))</f>
        <v>288.98981546396209</v>
      </c>
      <c r="T84" s="59">
        <f t="shared" si="88"/>
        <v>281.67720096117085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135.875814034965</v>
      </c>
      <c r="AA84" s="21">
        <f>EXP(-LN(2)/25)*AA83+(1-EXP(-LN(2)/25))/(LN(2)/25)*Calculateur!V84*Calculateur!X84*VLOOKUP('Données projet'!$B$9,Paramètres!$A$1:$I$89,3,0)*0.475*44/12</f>
        <v>40.113418784225452</v>
      </c>
      <c r="AB84" s="21">
        <f>EXP(-LN(2)/2)*AB83+(1-EXP(-LN(2)/2))/(LN(2)/2)*V84*Y84*VLOOKUP('Données projet'!$B$9,Paramètres!$A$1:$I$89,3,0)*0.475*44/12</f>
        <v>1.0326627602199072</v>
      </c>
      <c r="AC84" s="22">
        <f t="shared" si="57"/>
        <v>177.02189557941037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234.95901223517041</v>
      </c>
      <c r="AO84" s="59">
        <f t="shared" si="90"/>
        <v>179.39213799913273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161.25342755659167</v>
      </c>
      <c r="AV84" s="21">
        <f>EXP(-LN(2)/25)*AV83+(1-EXP(-LN(2)/25))/(LN(2)/25)*Calculateur!AQ84*Calculateur!AS84*VLOOKUP('Données projet'!$B$10,Paramètres!$A$1:$I$89,3,0)*0.475*44/12</f>
        <v>46.935112239761153</v>
      </c>
      <c r="AW84" s="21">
        <f>EXP(-LN(2)/2)*AW83+(1-EXP(-LN(2)/2))/(LN(2)/2)*AQ84*AT84*VLOOKUP('Données projet'!$B$10,Paramètres!$A$1:$I$89,3,0)*0.475*44/12</f>
        <v>29.800204959039174</v>
      </c>
      <c r="AX84" s="21">
        <f t="shared" si="60"/>
        <v>237.98874475539199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3.4106051316484809E-13</v>
      </c>
      <c r="O85" s="13">
        <f>N85*VLOOKUP('Données projet'!$B$9,Paramètres!$A$1:$I$89,3,0)*VLOOKUP('Données projet'!$B$9,Paramètres!$A$1:$I$89,5,0)</f>
        <v>2.0395418687257919E-13</v>
      </c>
      <c r="P85" s="13">
        <f t="shared" si="87"/>
        <v>2.8200388570161721E-12</v>
      </c>
      <c r="Q85" s="20">
        <f t="shared" si="54"/>
        <v>5.2667878847729083E-12</v>
      </c>
      <c r="R85" s="59">
        <f t="shared" si="55"/>
        <v>293.3333333333386</v>
      </c>
      <c r="S85" s="59">
        <f ca="1">AVERAGE(OFFSET($R$3,0,0,'Données projet'!$E$9+1,1))-AVERAGE(OFFSET($H$3,0,0,'Données projet'!$E$9+1,1))</f>
        <v>288.98981546396209</v>
      </c>
      <c r="T85" s="59">
        <f t="shared" si="88"/>
        <v>281.67720096117085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133.21137219780258</v>
      </c>
      <c r="AA85" s="21">
        <f>EXP(-LN(2)/25)*AA84+(1-EXP(-LN(2)/25))/(LN(2)/25)*Calculateur!V85*Calculateur!X85*VLOOKUP('Données projet'!$B$9,Paramètres!$A$1:$I$89,3,0)*0.475*44/12</f>
        <v>39.016515238097796</v>
      </c>
      <c r="AB85" s="21">
        <f>EXP(-LN(2)/2)*AB84+(1-EXP(-LN(2)/2))/(LN(2)/2)*V85*Y85*VLOOKUP('Données projet'!$B$9,Paramètres!$A$1:$I$89,3,0)*0.475*44/12</f>
        <v>0.73020284043031414</v>
      </c>
      <c r="AC85" s="22">
        <f t="shared" si="57"/>
        <v>172.95809027633067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234.95901223517041</v>
      </c>
      <c r="AO85" s="59">
        <f t="shared" si="90"/>
        <v>179.39213799913273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158.09134619708598</v>
      </c>
      <c r="AV85" s="21">
        <f>EXP(-LN(2)/25)*AV84+(1-EXP(-LN(2)/25))/(LN(2)/25)*Calculateur!AQ85*Calculateur!AS85*VLOOKUP('Données projet'!$B$10,Paramètres!$A$1:$I$89,3,0)*0.475*44/12</f>
        <v>45.651669127354602</v>
      </c>
      <c r="AW85" s="21">
        <f>EXP(-LN(2)/2)*AW84+(1-EXP(-LN(2)/2))/(LN(2)/2)*AQ85*AT85*VLOOKUP('Données projet'!$B$10,Paramètres!$A$1:$I$89,3,0)*0.475*44/12</f>
        <v>21.071927007285584</v>
      </c>
      <c r="AX85" s="21">
        <f t="shared" si="60"/>
        <v>224.81494233172617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3.4106051316484809E-13</v>
      </c>
      <c r="O86" s="13">
        <f>N86*VLOOKUP('Données projet'!$B$9,Paramètres!$A$1:$I$89,3,0)*VLOOKUP('Données projet'!$B$9,Paramètres!$A$1:$I$89,5,0)</f>
        <v>2.0395418687257919E-13</v>
      </c>
      <c r="P86" s="13">
        <f t="shared" si="87"/>
        <v>2.8200388570161721E-12</v>
      </c>
      <c r="Q86" s="20">
        <f t="shared" si="54"/>
        <v>5.2667878847729083E-12</v>
      </c>
      <c r="R86" s="59">
        <f t="shared" si="55"/>
        <v>293.3333333333386</v>
      </c>
      <c r="S86" s="59">
        <f ca="1">AVERAGE(OFFSET($R$3,0,0,'Données projet'!$E$9+1,1))-AVERAGE(OFFSET($H$3,0,0,'Données projet'!$E$9+1,1))</f>
        <v>288.98981546396209</v>
      </c>
      <c r="T86" s="59">
        <f t="shared" si="88"/>
        <v>281.67720096117085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130.59917843991784</v>
      </c>
      <c r="AA86" s="21">
        <f>EXP(-LN(2)/25)*AA85+(1-EXP(-LN(2)/25))/(LN(2)/25)*Calculateur!V86*Calculateur!X86*VLOOKUP('Données projet'!$B$9,Paramètres!$A$1:$I$89,3,0)*0.475*44/12</f>
        <v>37.949606577122651</v>
      </c>
      <c r="AB86" s="21">
        <f>EXP(-LN(2)/2)*AB85+(1-EXP(-LN(2)/2))/(LN(2)/2)*V86*Y86*VLOOKUP('Données projet'!$B$9,Paramètres!$A$1:$I$89,3,0)*0.475*44/12</f>
        <v>0.51633138010995361</v>
      </c>
      <c r="AC86" s="22">
        <f t="shared" si="57"/>
        <v>169.06511639715043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234.95901223517041</v>
      </c>
      <c r="AO86" s="59">
        <f t="shared" si="90"/>
        <v>179.39213799913273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154.99127132436101</v>
      </c>
      <c r="AV86" s="21">
        <f>EXP(-LN(2)/25)*AV85+(1-EXP(-LN(2)/25))/(LN(2)/25)*Calculateur!AQ86*Calculateur!AS86*VLOOKUP('Données projet'!$B$10,Paramètres!$A$1:$I$89,3,0)*0.475*44/12</f>
        <v>44.403321834350152</v>
      </c>
      <c r="AW86" s="21">
        <f>EXP(-LN(2)/2)*AW85+(1-EXP(-LN(2)/2))/(LN(2)/2)*AQ86*AT86*VLOOKUP('Données projet'!$B$10,Paramètres!$A$1:$I$89,3,0)*0.475*44/12</f>
        <v>14.900102479519591</v>
      </c>
      <c r="AX86" s="21">
        <f t="shared" si="60"/>
        <v>214.29469563823076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3.4106051316484809E-13</v>
      </c>
      <c r="O87" s="13">
        <f>N87*VLOOKUP('Données projet'!$B$9,Paramètres!$A$1:$I$89,3,0)*VLOOKUP('Données projet'!$B$9,Paramètres!$A$1:$I$89,5,0)</f>
        <v>2.0395418687257919E-13</v>
      </c>
      <c r="P87" s="13">
        <f t="shared" si="87"/>
        <v>2.8200388570161721E-12</v>
      </c>
      <c r="Q87" s="20">
        <f t="shared" si="54"/>
        <v>5.2667878847729083E-12</v>
      </c>
      <c r="R87" s="59">
        <f t="shared" si="55"/>
        <v>293.3333333333386</v>
      </c>
      <c r="S87" s="59">
        <f ca="1">AVERAGE(OFFSET($R$3,0,0,'Données projet'!$E$9+1,1))-AVERAGE(OFFSET($H$3,0,0,'Données projet'!$E$9+1,1))</f>
        <v>288.98981546396209</v>
      </c>
      <c r="T87" s="59">
        <f t="shared" si="88"/>
        <v>281.67720096117085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128.03820820834434</v>
      </c>
      <c r="AA87" s="21">
        <f>EXP(-LN(2)/25)*AA86+(1-EXP(-LN(2)/25))/(LN(2)/25)*Calculateur!V87*Calculateur!X87*VLOOKUP('Données projet'!$B$9,Paramètres!$A$1:$I$89,3,0)*0.475*44/12</f>
        <v>36.911872589588157</v>
      </c>
      <c r="AB87" s="21">
        <f>EXP(-LN(2)/2)*AB86+(1-EXP(-LN(2)/2))/(LN(2)/2)*V87*Y87*VLOOKUP('Données projet'!$B$9,Paramètres!$A$1:$I$89,3,0)*0.475*44/12</f>
        <v>0.36510142021515707</v>
      </c>
      <c r="AC87" s="22">
        <f t="shared" si="57"/>
        <v>165.31518221814767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234.95901223517041</v>
      </c>
      <c r="AO87" s="59">
        <f t="shared" si="90"/>
        <v>179.39213799913273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151.95198702903122</v>
      </c>
      <c r="AV87" s="21">
        <f>EXP(-LN(2)/25)*AV86+(1-EXP(-LN(2)/25))/(LN(2)/25)*Calculateur!AQ87*Calculateur!AS87*VLOOKUP('Données projet'!$B$10,Paramètres!$A$1:$I$89,3,0)*0.475*44/12</f>
        <v>43.189110663720633</v>
      </c>
      <c r="AW87" s="21">
        <f>EXP(-LN(2)/2)*AW86+(1-EXP(-LN(2)/2))/(LN(2)/2)*AQ87*AT87*VLOOKUP('Données projet'!$B$10,Paramètres!$A$1:$I$89,3,0)*0.475*44/12</f>
        <v>10.535963503642794</v>
      </c>
      <c r="AX87" s="21">
        <f t="shared" si="60"/>
        <v>205.67706119639465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3.4106051316484809E-13</v>
      </c>
      <c r="O88" s="13">
        <f>N88*VLOOKUP('Données projet'!$B$9,Paramètres!$A$1:$I$89,3,0)*VLOOKUP('Données projet'!$B$9,Paramètres!$A$1:$I$89,5,0)</f>
        <v>2.0395418687257919E-13</v>
      </c>
      <c r="P88" s="13">
        <f t="shared" si="87"/>
        <v>2.8200388570161721E-12</v>
      </c>
      <c r="Q88" s="20">
        <f t="shared" si="54"/>
        <v>5.2667878847729083E-12</v>
      </c>
      <c r="R88" s="59">
        <f t="shared" si="55"/>
        <v>293.3333333333386</v>
      </c>
      <c r="S88" s="59">
        <f ca="1">AVERAGE(OFFSET($R$3,0,0,'Données projet'!$E$9+1,1))-AVERAGE(OFFSET($H$3,0,0,'Données projet'!$E$9+1,1))</f>
        <v>288.98981546396209</v>
      </c>
      <c r="T88" s="59">
        <f t="shared" si="88"/>
        <v>281.67720096117085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125.52745704097441</v>
      </c>
      <c r="AA88" s="21">
        <f>EXP(-LN(2)/25)*AA87+(1-EXP(-LN(2)/25))/(LN(2)/25)*Calculateur!V88*Calculateur!X88*VLOOKUP('Données projet'!$B$9,Paramètres!$A$1:$I$89,3,0)*0.475*44/12</f>
        <v>35.902515492514851</v>
      </c>
      <c r="AB88" s="21">
        <f>EXP(-LN(2)/2)*AB87+(1-EXP(-LN(2)/2))/(LN(2)/2)*V88*Y88*VLOOKUP('Données projet'!$B$9,Paramètres!$A$1:$I$89,3,0)*0.475*44/12</f>
        <v>0.2581656900549768</v>
      </c>
      <c r="AC88" s="22">
        <f t="shared" si="57"/>
        <v>161.68813822354423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234.95901223517041</v>
      </c>
      <c r="AO88" s="59">
        <f t="shared" si="90"/>
        <v>179.39213799913273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148.97230124495246</v>
      </c>
      <c r="AV88" s="21">
        <f>EXP(-LN(2)/25)*AV87+(1-EXP(-LN(2)/25))/(LN(2)/25)*Calculateur!AQ88*Calculateur!AS88*VLOOKUP('Données projet'!$B$10,Paramètres!$A$1:$I$89,3,0)*0.475*44/12</f>
        <v>42.008102161404572</v>
      </c>
      <c r="AW88" s="21">
        <f>EXP(-LN(2)/2)*AW87+(1-EXP(-LN(2)/2))/(LN(2)/2)*AQ88*AT88*VLOOKUP('Données projet'!$B$10,Paramètres!$A$1:$I$89,3,0)*0.475*44/12</f>
        <v>7.4500512397597962</v>
      </c>
      <c r="AX88" s="21">
        <f t="shared" si="60"/>
        <v>198.43045464611683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3.4106051316484809E-13</v>
      </c>
      <c r="O89" s="13">
        <f>N89*VLOOKUP('Données projet'!$B$9,Paramètres!$A$1:$I$89,3,0)*VLOOKUP('Données projet'!$B$9,Paramètres!$A$1:$I$89,5,0)</f>
        <v>2.0395418687257919E-13</v>
      </c>
      <c r="P89" s="13">
        <f t="shared" si="87"/>
        <v>2.8200388570161721E-12</v>
      </c>
      <c r="Q89" s="20">
        <f t="shared" si="54"/>
        <v>5.2667878847729083E-12</v>
      </c>
      <c r="R89" s="59">
        <f t="shared" si="55"/>
        <v>293.3333333333386</v>
      </c>
      <c r="S89" s="59">
        <f ca="1">AVERAGE(OFFSET($R$3,0,0,'Données projet'!$E$9+1,1))-AVERAGE(OFFSET($H$3,0,0,'Données projet'!$E$9+1,1))</f>
        <v>288.98981546396209</v>
      </c>
      <c r="T89" s="59">
        <f t="shared" si="88"/>
        <v>281.67720096117085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123.06594017258961</v>
      </c>
      <c r="AA89" s="21">
        <f>EXP(-LN(2)/25)*AA88+(1-EXP(-LN(2)/25))/(LN(2)/25)*Calculateur!V89*Calculateur!X89*VLOOKUP('Données projet'!$B$9,Paramètres!$A$1:$I$89,3,0)*0.475*44/12</f>
        <v>34.920759318340799</v>
      </c>
      <c r="AB89" s="21">
        <f>EXP(-LN(2)/2)*AB88+(1-EXP(-LN(2)/2))/(LN(2)/2)*V89*Y89*VLOOKUP('Données projet'!$B$9,Paramètres!$A$1:$I$89,3,0)*0.475*44/12</f>
        <v>0.18255071010757853</v>
      </c>
      <c r="AC89" s="22">
        <f t="shared" si="57"/>
        <v>158.16925020103798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234.95901223517041</v>
      </c>
      <c r="AO89" s="59">
        <f t="shared" si="90"/>
        <v>179.39213799913273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146.05104528167061</v>
      </c>
      <c r="AV89" s="21">
        <f>EXP(-LN(2)/25)*AV88+(1-EXP(-LN(2)/25))/(LN(2)/25)*Calculateur!AQ89*Calculateur!AS89*VLOOKUP('Données projet'!$B$10,Paramètres!$A$1:$I$89,3,0)*0.475*44/12</f>
        <v>40.859388398690882</v>
      </c>
      <c r="AW89" s="21">
        <f>EXP(-LN(2)/2)*AW88+(1-EXP(-LN(2)/2))/(LN(2)/2)*AQ89*AT89*VLOOKUP('Données projet'!$B$10,Paramètres!$A$1:$I$89,3,0)*0.475*44/12</f>
        <v>5.2679817518213978</v>
      </c>
      <c r="AX89" s="21">
        <f t="shared" si="60"/>
        <v>192.1784154321829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3.4106051316484809E-13</v>
      </c>
      <c r="O90" s="13">
        <f>N90*VLOOKUP('Données projet'!$B$9,Paramètres!$A$1:$I$89,3,0)*VLOOKUP('Données projet'!$B$9,Paramètres!$A$1:$I$89,5,0)</f>
        <v>2.0395418687257919E-13</v>
      </c>
      <c r="P90" s="13">
        <f t="shared" si="87"/>
        <v>2.8200388570161721E-12</v>
      </c>
      <c r="Q90" s="20">
        <f t="shared" si="54"/>
        <v>5.2667878847729083E-12</v>
      </c>
      <c r="R90" s="59">
        <f t="shared" si="55"/>
        <v>293.3333333333386</v>
      </c>
      <c r="S90" s="59">
        <f ca="1">AVERAGE(OFFSET($R$3,0,0,'Données projet'!$E$9+1,1))-AVERAGE(OFFSET($H$3,0,0,'Données projet'!$E$9+1,1))</f>
        <v>288.98981546396209</v>
      </c>
      <c r="T90" s="59">
        <f t="shared" si="88"/>
        <v>281.67720096117085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120.65269214861679</v>
      </c>
      <c r="AA90" s="21">
        <f>EXP(-LN(2)/25)*AA89+(1-EXP(-LN(2)/25))/(LN(2)/25)*Calculateur!V90*Calculateur!X90*VLOOKUP('Données projet'!$B$9,Paramètres!$A$1:$I$89,3,0)*0.475*44/12</f>
        <v>33.965849318377849</v>
      </c>
      <c r="AB90" s="21">
        <f>EXP(-LN(2)/2)*AB89+(1-EXP(-LN(2)/2))/(LN(2)/2)*V90*Y90*VLOOKUP('Données projet'!$B$9,Paramètres!$A$1:$I$89,3,0)*0.475*44/12</f>
        <v>0.1290828450274884</v>
      </c>
      <c r="AC90" s="22">
        <f t="shared" si="57"/>
        <v>154.74762431202214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234.95901223517041</v>
      </c>
      <c r="AO90" s="59">
        <f t="shared" si="90"/>
        <v>179.39213799913273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143.18707336603853</v>
      </c>
      <c r="AV90" s="21">
        <f>EXP(-LN(2)/25)*AV89+(1-EXP(-LN(2)/25))/(LN(2)/25)*Calculateur!AQ90*Calculateur!AS90*VLOOKUP('Données projet'!$B$10,Paramètres!$A$1:$I$89,3,0)*0.475*44/12</f>
        <v>39.742086274226828</v>
      </c>
      <c r="AW90" s="21">
        <f>EXP(-LN(2)/2)*AW89+(1-EXP(-LN(2)/2))/(LN(2)/2)*AQ90*AT90*VLOOKUP('Données projet'!$B$10,Paramètres!$A$1:$I$89,3,0)*0.475*44/12</f>
        <v>3.7250256198798986</v>
      </c>
      <c r="AX90" s="21">
        <f t="shared" si="60"/>
        <v>186.65418526014525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3.4106051316484809E-13</v>
      </c>
      <c r="O91" s="13">
        <f>N91*VLOOKUP('Données projet'!$B$9,Paramètres!$A$1:$I$89,3,0)*VLOOKUP('Données projet'!$B$9,Paramètres!$A$1:$I$89,5,0)</f>
        <v>2.0395418687257919E-13</v>
      </c>
      <c r="P91" s="13">
        <f t="shared" si="87"/>
        <v>2.8200388570161721E-12</v>
      </c>
      <c r="Q91" s="20">
        <f t="shared" si="54"/>
        <v>5.2667878847729083E-12</v>
      </c>
      <c r="R91" s="59">
        <f t="shared" si="55"/>
        <v>293.3333333333386</v>
      </c>
      <c r="S91" s="59">
        <f ca="1">AVERAGE(OFFSET($R$3,0,0,'Données projet'!$E$9+1,1))-AVERAGE(OFFSET($H$3,0,0,'Données projet'!$E$9+1,1))</f>
        <v>288.98981546396209</v>
      </c>
      <c r="T91" s="59">
        <f t="shared" si="88"/>
        <v>281.67720096117085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118.28676644645813</v>
      </c>
      <c r="AA91" s="21">
        <f>EXP(-LN(2)/25)*AA90+(1-EXP(-LN(2)/25))/(LN(2)/25)*Calculateur!V91*Calculateur!X91*VLOOKUP('Données projet'!$B$9,Paramètres!$A$1:$I$89,3,0)*0.475*44/12</f>
        <v>33.037051382580422</v>
      </c>
      <c r="AB91" s="21">
        <f>EXP(-LN(2)/2)*AB90+(1-EXP(-LN(2)/2))/(LN(2)/2)*V91*Y91*VLOOKUP('Données projet'!$B$9,Paramètres!$A$1:$I$89,3,0)*0.475*44/12</f>
        <v>9.1275355053789267E-2</v>
      </c>
      <c r="AC91" s="22">
        <f t="shared" si="57"/>
        <v>151.41509318409234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234.95901223517041</v>
      </c>
      <c r="AO91" s="59">
        <f t="shared" si="90"/>
        <v>179.39213799913273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140.37926219282161</v>
      </c>
      <c r="AV91" s="21">
        <f>EXP(-LN(2)/25)*AV90+(1-EXP(-LN(2)/25))/(LN(2)/25)*Calculateur!AQ91*Calculateur!AS91*VLOOKUP('Données projet'!$B$10,Paramètres!$A$1:$I$89,3,0)*0.475*44/12</f>
        <v>38.655336835112614</v>
      </c>
      <c r="AW91" s="21">
        <f>EXP(-LN(2)/2)*AW90+(1-EXP(-LN(2)/2))/(LN(2)/2)*AQ91*AT91*VLOOKUP('Données projet'!$B$10,Paramètres!$A$1:$I$89,3,0)*0.475*44/12</f>
        <v>2.6339908759106994</v>
      </c>
      <c r="AX91" s="21">
        <f t="shared" si="60"/>
        <v>181.66858990384495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3.4106051316484809E-13</v>
      </c>
      <c r="O92" s="13">
        <f>N92*VLOOKUP('Données projet'!$B$9,Paramètres!$A$1:$I$89,3,0)*VLOOKUP('Données projet'!$B$9,Paramètres!$A$1:$I$89,5,0)</f>
        <v>2.0395418687257919E-13</v>
      </c>
      <c r="P92" s="13">
        <f t="shared" si="87"/>
        <v>2.8200388570161721E-12</v>
      </c>
      <c r="Q92" s="20">
        <f t="shared" si="54"/>
        <v>5.2667878847729083E-12</v>
      </c>
      <c r="R92" s="59">
        <f t="shared" si="55"/>
        <v>293.3333333333386</v>
      </c>
      <c r="S92" s="59">
        <f ca="1">AVERAGE(OFFSET($R$3,0,0,'Données projet'!$E$9+1,1))-AVERAGE(OFFSET($H$3,0,0,'Données projet'!$E$9+1,1))</f>
        <v>288.98981546396209</v>
      </c>
      <c r="T92" s="59">
        <f t="shared" si="88"/>
        <v>281.67720096117085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115.96723510424661</v>
      </c>
      <c r="AA92" s="21">
        <f>EXP(-LN(2)/25)*AA91+(1-EXP(-LN(2)/25))/(LN(2)/25)*Calculateur!V92*Calculateur!X92*VLOOKUP('Données projet'!$B$9,Paramètres!$A$1:$I$89,3,0)*0.475*44/12</f>
        <v>32.133651475180734</v>
      </c>
      <c r="AB92" s="21">
        <f>EXP(-LN(2)/2)*AB91+(1-EXP(-LN(2)/2))/(LN(2)/2)*V92*Y92*VLOOKUP('Données projet'!$B$9,Paramètres!$A$1:$I$89,3,0)*0.475*44/12</f>
        <v>6.4541422513744201E-2</v>
      </c>
      <c r="AC92" s="22">
        <f t="shared" si="57"/>
        <v>148.16542800194108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234.95901223517041</v>
      </c>
      <c r="AO92" s="59">
        <f t="shared" si="90"/>
        <v>179.39213799913273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137.62651048411576</v>
      </c>
      <c r="AV92" s="21">
        <f>EXP(-LN(2)/25)*AV91+(1-EXP(-LN(2)/25))/(LN(2)/25)*Calculateur!AQ92*Calculateur!AS92*VLOOKUP('Données projet'!$B$10,Paramètres!$A$1:$I$89,3,0)*0.475*44/12</f>
        <v>37.598304616560647</v>
      </c>
      <c r="AW92" s="21">
        <f>EXP(-LN(2)/2)*AW91+(1-EXP(-LN(2)/2))/(LN(2)/2)*AQ92*AT92*VLOOKUP('Données projet'!$B$10,Paramètres!$A$1:$I$89,3,0)*0.475*44/12</f>
        <v>1.8625128099399497</v>
      </c>
      <c r="AX92" s="21">
        <f t="shared" si="60"/>
        <v>177.08732791061635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3.4106051316484809E-13</v>
      </c>
      <c r="O93" s="13">
        <f>N93*VLOOKUP('Données projet'!$B$9,Paramètres!$A$1:$I$89,3,0)*VLOOKUP('Données projet'!$B$9,Paramètres!$A$1:$I$89,5,0)</f>
        <v>2.0395418687257919E-13</v>
      </c>
      <c r="P93" s="13">
        <f t="shared" si="87"/>
        <v>2.8200388570161721E-12</v>
      </c>
      <c r="Q93" s="20">
        <f t="shared" si="54"/>
        <v>5.2667878847729083E-12</v>
      </c>
      <c r="R93" s="59">
        <f t="shared" si="55"/>
        <v>293.3333333333386</v>
      </c>
      <c r="S93" s="59">
        <f ca="1">AVERAGE(OFFSET($R$3,0,0,'Données projet'!$E$9+1,1))-AVERAGE(OFFSET($H$3,0,0,'Données projet'!$E$9+1,1))</f>
        <v>288.98981546396209</v>
      </c>
      <c r="T93" s="59">
        <f t="shared" si="88"/>
        <v>281.67720096117085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113.69318835688145</v>
      </c>
      <c r="AA93" s="21">
        <f>EXP(-LN(2)/25)*AA92+(1-EXP(-LN(2)/25))/(LN(2)/25)*Calculateur!V93*Calculateur!X93*VLOOKUP('Données projet'!$B$9,Paramètres!$A$1:$I$89,3,0)*0.475*44/12</f>
        <v>31.254955085756627</v>
      </c>
      <c r="AB93" s="21">
        <f>EXP(-LN(2)/2)*AB92+(1-EXP(-LN(2)/2))/(LN(2)/2)*V93*Y93*VLOOKUP('Données projet'!$B$9,Paramètres!$A$1:$I$89,3,0)*0.475*44/12</f>
        <v>4.5637677526894634E-2</v>
      </c>
      <c r="AC93" s="22">
        <f t="shared" si="57"/>
        <v>144.99378112016495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234.95901223517041</v>
      </c>
      <c r="AO93" s="59">
        <f t="shared" si="90"/>
        <v>179.39213799913273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134.92773855740487</v>
      </c>
      <c r="AV93" s="21">
        <f>EXP(-LN(2)/25)*AV92+(1-EXP(-LN(2)/25))/(LN(2)/25)*Calculateur!AQ93*Calculateur!AS93*VLOOKUP('Données projet'!$B$10,Paramètres!$A$1:$I$89,3,0)*0.475*44/12</f>
        <v>36.570176999611888</v>
      </c>
      <c r="AW93" s="21">
        <f>EXP(-LN(2)/2)*AW92+(1-EXP(-LN(2)/2))/(LN(2)/2)*AQ93*AT93*VLOOKUP('Données projet'!$B$10,Paramètres!$A$1:$I$89,3,0)*0.475*44/12</f>
        <v>1.3169954379553499</v>
      </c>
      <c r="AX93" s="21">
        <f t="shared" si="60"/>
        <v>172.81491099497211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3.4106051316484809E-13</v>
      </c>
      <c r="O94" s="13">
        <f>N94*VLOOKUP('Données projet'!$B$9,Paramètres!$A$1:$I$89,3,0)*VLOOKUP('Données projet'!$B$9,Paramètres!$A$1:$I$89,5,0)</f>
        <v>2.0395418687257919E-13</v>
      </c>
      <c r="P94" s="13">
        <f t="shared" si="87"/>
        <v>2.8200388570161721E-12</v>
      </c>
      <c r="Q94" s="20">
        <f t="shared" si="54"/>
        <v>5.2667878847729083E-12</v>
      </c>
      <c r="R94" s="59">
        <f t="shared" si="55"/>
        <v>293.3333333333386</v>
      </c>
      <c r="S94" s="59">
        <f ca="1">AVERAGE(OFFSET($R$3,0,0,'Données projet'!$E$9+1,1))-AVERAGE(OFFSET($H$3,0,0,'Données projet'!$E$9+1,1))</f>
        <v>288.98981546396209</v>
      </c>
      <c r="T94" s="59">
        <f t="shared" si="88"/>
        <v>281.67720096117085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111.46373427920055</v>
      </c>
      <c r="AA94" s="21">
        <f>EXP(-LN(2)/25)*AA93+(1-EXP(-LN(2)/25))/(LN(2)/25)*Calculateur!V94*Calculateur!X94*VLOOKUP('Données projet'!$B$9,Paramètres!$A$1:$I$89,3,0)*0.475*44/12</f>
        <v>30.400286695309958</v>
      </c>
      <c r="AB94" s="21">
        <f>EXP(-LN(2)/2)*AB93+(1-EXP(-LN(2)/2))/(LN(2)/2)*V94*Y94*VLOOKUP('Données projet'!$B$9,Paramètres!$A$1:$I$89,3,0)*0.475*44/12</f>
        <v>3.2270711256872101E-2</v>
      </c>
      <c r="AC94" s="22">
        <f t="shared" si="57"/>
        <v>141.89629168576738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234.95901223517041</v>
      </c>
      <c r="AO94" s="59">
        <f t="shared" si="90"/>
        <v>179.39213799913273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132.28188790208844</v>
      </c>
      <c r="AV94" s="21">
        <f>EXP(-LN(2)/25)*AV93+(1-EXP(-LN(2)/25))/(LN(2)/25)*Calculateur!AQ94*Calculateur!AS94*VLOOKUP('Données projet'!$B$10,Paramètres!$A$1:$I$89,3,0)*0.475*44/12</f>
        <v>35.570163586415475</v>
      </c>
      <c r="AW94" s="21">
        <f>EXP(-LN(2)/2)*AW93+(1-EXP(-LN(2)/2))/(LN(2)/2)*AQ94*AT94*VLOOKUP('Données projet'!$B$10,Paramètres!$A$1:$I$89,3,0)*0.475*44/12</f>
        <v>0.93125640496997497</v>
      </c>
      <c r="AX94" s="21">
        <f t="shared" si="60"/>
        <v>168.7833078934739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3.4106051316484809E-13</v>
      </c>
      <c r="O95" s="13">
        <f>N95*VLOOKUP('Données projet'!$B$9,Paramètres!$A$1:$I$89,3,0)*VLOOKUP('Données projet'!$B$9,Paramètres!$A$1:$I$89,5,0)</f>
        <v>2.0395418687257919E-13</v>
      </c>
      <c r="P95" s="13">
        <f t="shared" si="87"/>
        <v>2.8200388570161721E-12</v>
      </c>
      <c r="Q95" s="20">
        <f t="shared" si="54"/>
        <v>5.2667878847729083E-12</v>
      </c>
      <c r="R95" s="59">
        <f t="shared" si="55"/>
        <v>293.3333333333386</v>
      </c>
      <c r="S95" s="59">
        <f ca="1">AVERAGE(OFFSET($R$3,0,0,'Données projet'!$E$9+1,1))-AVERAGE(OFFSET($H$3,0,0,'Données projet'!$E$9+1,1))</f>
        <v>288.98981546396209</v>
      </c>
      <c r="T95" s="59">
        <f t="shared" si="88"/>
        <v>281.67720096117085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109.27799843615026</v>
      </c>
      <c r="AA95" s="21">
        <f>EXP(-LN(2)/25)*AA94+(1-EXP(-LN(2)/25))/(LN(2)/25)*Calculateur!V95*Calculateur!X95*VLOOKUP('Données projet'!$B$9,Paramètres!$A$1:$I$89,3,0)*0.475*44/12</f>
        <v>29.568989256945112</v>
      </c>
      <c r="AB95" s="21">
        <f>EXP(-LN(2)/2)*AB94+(1-EXP(-LN(2)/2))/(LN(2)/2)*V95*Y95*VLOOKUP('Données projet'!$B$9,Paramètres!$A$1:$I$89,3,0)*0.475*44/12</f>
        <v>2.2818838763447317E-2</v>
      </c>
      <c r="AC95" s="22">
        <f t="shared" si="57"/>
        <v>138.86980653185881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234.95901223517041</v>
      </c>
      <c r="AO95" s="59">
        <f t="shared" si="90"/>
        <v>179.39213799913273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129.68792076431322</v>
      </c>
      <c r="AV95" s="21">
        <f>EXP(-LN(2)/25)*AV94+(1-EXP(-LN(2)/25))/(LN(2)/25)*Calculateur!AQ95*Calculateur!AS95*VLOOKUP('Données projet'!$B$10,Paramètres!$A$1:$I$89,3,0)*0.475*44/12</f>
        <v>34.597495592591336</v>
      </c>
      <c r="AW95" s="21">
        <f>EXP(-LN(2)/2)*AW94+(1-EXP(-LN(2)/2))/(LN(2)/2)*AQ95*AT95*VLOOKUP('Données projet'!$B$10,Paramètres!$A$1:$I$89,3,0)*0.475*44/12</f>
        <v>0.65849771897767506</v>
      </c>
      <c r="AX95" s="21">
        <f t="shared" si="60"/>
        <v>164.94391407588225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3.4106051316484809E-13</v>
      </c>
      <c r="O96" s="13">
        <f>N96*VLOOKUP('Données projet'!$B$9,Paramètres!$A$1:$I$89,3,0)*VLOOKUP('Données projet'!$B$9,Paramètres!$A$1:$I$89,5,0)</f>
        <v>2.0395418687257919E-13</v>
      </c>
      <c r="P96" s="13">
        <f t="shared" si="87"/>
        <v>2.8200388570161721E-12</v>
      </c>
      <c r="Q96" s="20">
        <f t="shared" si="54"/>
        <v>5.2667878847729083E-12</v>
      </c>
      <c r="R96" s="59">
        <f t="shared" si="55"/>
        <v>293.3333333333386</v>
      </c>
      <c r="S96" s="59">
        <f ca="1">AVERAGE(OFFSET($R$3,0,0,'Données projet'!$E$9+1,1))-AVERAGE(OFFSET($H$3,0,0,'Données projet'!$E$9+1,1))</f>
        <v>288.98981546396209</v>
      </c>
      <c r="T96" s="59">
        <f t="shared" si="88"/>
        <v>281.67720096117085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107.13512353981496</v>
      </c>
      <c r="AA96" s="21">
        <f>EXP(-LN(2)/25)*AA95+(1-EXP(-LN(2)/25))/(LN(2)/25)*Calculateur!V96*Calculateur!X96*VLOOKUP('Données projet'!$B$9,Paramètres!$A$1:$I$89,3,0)*0.475*44/12</f>
        <v>28.760423690748386</v>
      </c>
      <c r="AB96" s="21">
        <f>EXP(-LN(2)/2)*AB95+(1-EXP(-LN(2)/2))/(LN(2)/2)*V96*Y96*VLOOKUP('Données projet'!$B$9,Paramètres!$A$1:$I$89,3,0)*0.475*44/12</f>
        <v>1.613535562843605E-2</v>
      </c>
      <c r="AC96" s="22">
        <f t="shared" si="57"/>
        <v>135.9116825861918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234.95901223517041</v>
      </c>
      <c r="AO96" s="59">
        <f t="shared" si="90"/>
        <v>179.39213799913273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127.14481973994604</v>
      </c>
      <c r="AV96" s="21">
        <f>EXP(-LN(2)/25)*AV95+(1-EXP(-LN(2)/25))/(LN(2)/25)*Calculateur!AQ96*Calculateur!AS96*VLOOKUP('Données projet'!$B$10,Paramètres!$A$1:$I$89,3,0)*0.475*44/12</f>
        <v>33.651425256208704</v>
      </c>
      <c r="AW96" s="21">
        <f>EXP(-LN(2)/2)*AW95+(1-EXP(-LN(2)/2))/(LN(2)/2)*AQ96*AT96*VLOOKUP('Données projet'!$B$10,Paramètres!$A$1:$I$89,3,0)*0.475*44/12</f>
        <v>0.4656282024849876</v>
      </c>
      <c r="AX96" s="21">
        <f t="shared" si="60"/>
        <v>161.26187319863973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3.4106051316484809E-13</v>
      </c>
      <c r="O97" s="13">
        <f>N97*VLOOKUP('Données projet'!$B$9,Paramètres!$A$1:$I$89,3,0)*VLOOKUP('Données projet'!$B$9,Paramètres!$A$1:$I$89,5,0)</f>
        <v>2.0395418687257919E-13</v>
      </c>
      <c r="P97" s="13">
        <f t="shared" si="87"/>
        <v>2.8200388570161721E-12</v>
      </c>
      <c r="Q97" s="20">
        <f t="shared" si="54"/>
        <v>5.2667878847729083E-12</v>
      </c>
      <c r="R97" s="59">
        <f t="shared" si="55"/>
        <v>293.3333333333386</v>
      </c>
      <c r="S97" s="59">
        <f ca="1">AVERAGE(OFFSET($R$3,0,0,'Données projet'!$E$9+1,1))-AVERAGE(OFFSET($H$3,0,0,'Données projet'!$E$9+1,1))</f>
        <v>288.98981546396209</v>
      </c>
      <c r="T97" s="59">
        <f t="shared" si="88"/>
        <v>281.67720096117085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105.03426911317216</v>
      </c>
      <c r="AA97" s="21">
        <f>EXP(-LN(2)/25)*AA96+(1-EXP(-LN(2)/25))/(LN(2)/25)*Calculateur!V97*Calculateur!X97*VLOOKUP('Données projet'!$B$9,Paramètres!$A$1:$I$89,3,0)*0.475*44/12</f>
        <v>27.973968392479922</v>
      </c>
      <c r="AB97" s="21">
        <f>EXP(-LN(2)/2)*AB96+(1-EXP(-LN(2)/2))/(LN(2)/2)*V97*Y97*VLOOKUP('Données projet'!$B$9,Paramètres!$A$1:$I$89,3,0)*0.475*44/12</f>
        <v>1.1409419381723658E-2</v>
      </c>
      <c r="AC97" s="22">
        <f t="shared" si="57"/>
        <v>133.01964692503381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234.95901223517041</v>
      </c>
      <c r="AO97" s="59">
        <f t="shared" si="90"/>
        <v>179.39213799913273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124.65158737552825</v>
      </c>
      <c r="AV97" s="21">
        <f>EXP(-LN(2)/25)*AV96+(1-EXP(-LN(2)/25))/(LN(2)/25)*Calculateur!AQ97*Calculateur!AS97*VLOOKUP('Données projet'!$B$10,Paramètres!$A$1:$I$89,3,0)*0.475*44/12</f>
        <v>32.731225262926131</v>
      </c>
      <c r="AW97" s="21">
        <f>EXP(-LN(2)/2)*AW96+(1-EXP(-LN(2)/2))/(LN(2)/2)*AQ97*AT97*VLOOKUP('Données projet'!$B$10,Paramètres!$A$1:$I$89,3,0)*0.475*44/12</f>
        <v>0.32924885948883759</v>
      </c>
      <c r="AX97" s="21">
        <f t="shared" si="60"/>
        <v>157.71206149794321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3.4106051316484809E-13</v>
      </c>
      <c r="O98" s="13">
        <f>N98*VLOOKUP('Données projet'!$B$9,Paramètres!$A$1:$I$89,3,0)*VLOOKUP('Données projet'!$B$9,Paramètres!$A$1:$I$89,5,0)</f>
        <v>2.0395418687257919E-13</v>
      </c>
      <c r="P98" s="13">
        <f t="shared" si="87"/>
        <v>2.8200388570161721E-12</v>
      </c>
      <c r="Q98" s="20">
        <f t="shared" si="54"/>
        <v>5.2667878847729083E-12</v>
      </c>
      <c r="R98" s="59">
        <f t="shared" si="55"/>
        <v>293.3333333333386</v>
      </c>
      <c r="S98" s="59">
        <f ca="1">AVERAGE(OFFSET($R$3,0,0,'Données projet'!$E$9+1,1))-AVERAGE(OFFSET($H$3,0,0,'Données projet'!$E$9+1,1))</f>
        <v>288.98981546396209</v>
      </c>
      <c r="T98" s="59">
        <f t="shared" si="88"/>
        <v>281.67720096117085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102.97461116044116</v>
      </c>
      <c r="AA98" s="21">
        <f>EXP(-LN(2)/25)*AA97+(1-EXP(-LN(2)/25))/(LN(2)/25)*Calculateur!V98*Calculateur!X98*VLOOKUP('Données projet'!$B$9,Paramètres!$A$1:$I$89,3,0)*0.475*44/12</f>
        <v>27.209018755700495</v>
      </c>
      <c r="AB98" s="21">
        <f>EXP(-LN(2)/2)*AB97+(1-EXP(-LN(2)/2))/(LN(2)/2)*V98*Y98*VLOOKUP('Données projet'!$B$9,Paramètres!$A$1:$I$89,3,0)*0.475*44/12</f>
        <v>8.0676778142180251E-3</v>
      </c>
      <c r="AC98" s="22">
        <f t="shared" si="57"/>
        <v>130.19169759395587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234.95901223517041</v>
      </c>
      <c r="AO98" s="59">
        <f t="shared" si="90"/>
        <v>179.39213799913273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122.20724577705511</v>
      </c>
      <c r="AV98" s="21">
        <f>EXP(-LN(2)/25)*AV97+(1-EXP(-LN(2)/25))/(LN(2)/25)*Calculateur!AQ98*Calculateur!AS98*VLOOKUP('Données projet'!$B$10,Paramètres!$A$1:$I$89,3,0)*0.475*44/12</f>
        <v>31.836188186851089</v>
      </c>
      <c r="AW98" s="21">
        <f>EXP(-LN(2)/2)*AW97+(1-EXP(-LN(2)/2))/(LN(2)/2)*AQ98*AT98*VLOOKUP('Données projet'!$B$10,Paramètres!$A$1:$I$89,3,0)*0.475*44/12</f>
        <v>0.23281410124249383</v>
      </c>
      <c r="AX98" s="21">
        <f t="shared" si="60"/>
        <v>154.27624806514868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3.4106051316484809E-13</v>
      </c>
      <c r="O99" s="13">
        <f>N99*VLOOKUP('Données projet'!$B$9,Paramètres!$A$1:$I$89,3,0)*VLOOKUP('Données projet'!$B$9,Paramètres!$A$1:$I$89,5,0)</f>
        <v>2.0395418687257919E-13</v>
      </c>
      <c r="P99" s="13">
        <f t="shared" si="87"/>
        <v>2.8200388570161721E-12</v>
      </c>
      <c r="Q99" s="20">
        <f t="shared" ref="Q99:Q130" si="107">(O99+P99)*0.475*44/12</f>
        <v>5.2667878847729083E-12</v>
      </c>
      <c r="R99" s="59">
        <f t="shared" si="55"/>
        <v>293.3333333333386</v>
      </c>
      <c r="S99" s="59">
        <f ca="1">AVERAGE(OFFSET($R$3,0,0,'Données projet'!$E$9+1,1))-AVERAGE(OFFSET($H$3,0,0,'Données projet'!$E$9+1,1))</f>
        <v>288.98981546396209</v>
      </c>
      <c r="T99" s="59">
        <f t="shared" si="88"/>
        <v>281.67720096117085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100.95534184389591</v>
      </c>
      <c r="AA99" s="21">
        <f>EXP(-LN(2)/25)*AA98+(1-EXP(-LN(2)/25))/(LN(2)/25)*Calculateur!V99*Calculateur!X99*VLOOKUP('Données projet'!$B$9,Paramètres!$A$1:$I$89,3,0)*0.475*44/12</f>
        <v>26.464986706965757</v>
      </c>
      <c r="AB99" s="21">
        <f>EXP(-LN(2)/2)*AB98+(1-EXP(-LN(2)/2))/(LN(2)/2)*V99*Y99*VLOOKUP('Données projet'!$B$9,Paramètres!$A$1:$I$89,3,0)*0.475*44/12</f>
        <v>5.7047096908618292E-3</v>
      </c>
      <c r="AC99" s="22">
        <f t="shared" si="57"/>
        <v>127.42603326055253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234.95901223517041</v>
      </c>
      <c r="AO99" s="59">
        <f t="shared" si="90"/>
        <v>179.39213799913273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119.81083622642686</v>
      </c>
      <c r="AV99" s="21">
        <f>EXP(-LN(2)/25)*AV98+(1-EXP(-LN(2)/25))/(LN(2)/25)*Calculateur!AQ99*Calculateur!AS99*VLOOKUP('Données projet'!$B$10,Paramètres!$A$1:$I$89,3,0)*0.475*44/12</f>
        <v>30.965625946689272</v>
      </c>
      <c r="AW99" s="21">
        <f>EXP(-LN(2)/2)*AW98+(1-EXP(-LN(2)/2))/(LN(2)/2)*AQ99*AT99*VLOOKUP('Données projet'!$B$10,Paramètres!$A$1:$I$89,3,0)*0.475*44/12</f>
        <v>0.16462442974441882</v>
      </c>
      <c r="AX99" s="21">
        <f t="shared" si="60"/>
        <v>150.94108660286054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3.4106051316484809E-13</v>
      </c>
      <c r="O100" s="13">
        <f>N100*VLOOKUP('Données projet'!$B$9,Paramètres!$A$1:$I$89,3,0)*VLOOKUP('Données projet'!$B$9,Paramètres!$A$1:$I$89,5,0)</f>
        <v>2.0395418687257919E-13</v>
      </c>
      <c r="P100" s="13">
        <f t="shared" si="87"/>
        <v>2.8200388570161721E-12</v>
      </c>
      <c r="Q100" s="20">
        <f t="shared" si="107"/>
        <v>5.2667878847729083E-12</v>
      </c>
      <c r="R100" s="59">
        <f t="shared" si="55"/>
        <v>293.3333333333386</v>
      </c>
      <c r="S100" s="59">
        <f ca="1">AVERAGE(OFFSET($R$3,0,0,'Données projet'!$E$9+1,1))-AVERAGE(OFFSET($H$3,0,0,'Données projet'!$E$9+1,1))</f>
        <v>288.98981546396209</v>
      </c>
      <c r="T100" s="59">
        <f t="shared" si="88"/>
        <v>281.67720096117085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98.97566916701544</v>
      </c>
      <c r="AA100" s="21">
        <f>EXP(-LN(2)/25)*AA99+(1-EXP(-LN(2)/25))/(LN(2)/25)*Calculateur!V100*Calculateur!X100*VLOOKUP('Données projet'!$B$9,Paramètres!$A$1:$I$89,3,0)*0.475*44/12</f>
        <v>25.741300253730614</v>
      </c>
      <c r="AB100" s="21">
        <f>EXP(-LN(2)/2)*AB99+(1-EXP(-LN(2)/2))/(LN(2)/2)*V100*Y100*VLOOKUP('Données projet'!$B$9,Paramètres!$A$1:$I$89,3,0)*0.475*44/12</f>
        <v>4.0338389071090126E-3</v>
      </c>
      <c r="AC100" s="22">
        <f t="shared" si="57"/>
        <v>124.72100325965316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234.95901223517041</v>
      </c>
      <c r="AO100" s="59">
        <f t="shared" si="90"/>
        <v>179.39213799913273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117.46141880542093</v>
      </c>
      <c r="AV100" s="21">
        <f>EXP(-LN(2)/25)*AV99+(1-EXP(-LN(2)/25))/(LN(2)/25)*Calculateur!AQ100*Calculateur!AS100*VLOOKUP('Données projet'!$B$10,Paramètres!$A$1:$I$89,3,0)*0.475*44/12</f>
        <v>30.118869276765558</v>
      </c>
      <c r="AW100" s="21">
        <f>EXP(-LN(2)/2)*AW99+(1-EXP(-LN(2)/2))/(LN(2)/2)*AQ100*AT100*VLOOKUP('Données projet'!$B$10,Paramètres!$A$1:$I$89,3,0)*0.475*44/12</f>
        <v>0.11640705062124693</v>
      </c>
      <c r="AX100" s="21">
        <f t="shared" si="60"/>
        <v>147.69669513280772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3.4106051316484809E-13</v>
      </c>
      <c r="O101" s="13">
        <f>N101*VLOOKUP('Données projet'!$B$9,Paramètres!$A$1:$I$89,3,0)*VLOOKUP('Données projet'!$B$9,Paramètres!$A$1:$I$89,5,0)</f>
        <v>2.0395418687257919E-13</v>
      </c>
      <c r="P101" s="13">
        <f t="shared" si="87"/>
        <v>2.8200388570161721E-12</v>
      </c>
      <c r="Q101" s="20">
        <f t="shared" si="107"/>
        <v>5.2667878847729083E-12</v>
      </c>
      <c r="R101" s="59">
        <f t="shared" si="55"/>
        <v>293.3333333333386</v>
      </c>
      <c r="S101" s="59">
        <f ca="1">AVERAGE(OFFSET($R$3,0,0,'Données projet'!$E$9+1,1))-AVERAGE(OFFSET($H$3,0,0,'Données projet'!$E$9+1,1))</f>
        <v>288.98981546396209</v>
      </c>
      <c r="T101" s="59">
        <f t="shared" si="88"/>
        <v>281.67720096117085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97.034816663847494</v>
      </c>
      <c r="AA101" s="21">
        <f>EXP(-LN(2)/25)*AA100+(1-EXP(-LN(2)/25))/(LN(2)/25)*Calculateur!V101*Calculateur!X101*VLOOKUP('Données projet'!$B$9,Paramètres!$A$1:$I$89,3,0)*0.475*44/12</f>
        <v>25.037403044616202</v>
      </c>
      <c r="AB101" s="21">
        <f>EXP(-LN(2)/2)*AB100+(1-EXP(-LN(2)/2))/(LN(2)/2)*V101*Y101*VLOOKUP('Données projet'!$B$9,Paramètres!$A$1:$I$89,3,0)*0.475*44/12</f>
        <v>2.8523548454309146E-3</v>
      </c>
      <c r="AC101" s="22">
        <f t="shared" si="57"/>
        <v>122.07507206330912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234.95901223517041</v>
      </c>
      <c r="AO101" s="59">
        <f t="shared" si="90"/>
        <v>179.39213799913273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115.1580720270378</v>
      </c>
      <c r="AV101" s="21">
        <f>EXP(-LN(2)/25)*AV100+(1-EXP(-LN(2)/25))/(LN(2)/25)*Calculateur!AQ101*Calculateur!AS101*VLOOKUP('Données projet'!$B$10,Paramètres!$A$1:$I$89,3,0)*0.475*44/12</f>
        <v>29.295267212509906</v>
      </c>
      <c r="AW101" s="21">
        <f>EXP(-LN(2)/2)*AW100+(1-EXP(-LN(2)/2))/(LN(2)/2)*AQ101*AT101*VLOOKUP('Données projet'!$B$10,Paramètres!$A$1:$I$89,3,0)*0.475*44/12</f>
        <v>8.2312214872209424E-2</v>
      </c>
      <c r="AX101" s="21">
        <f t="shared" si="60"/>
        <v>144.53565145441993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3.4106051316484809E-13</v>
      </c>
      <c r="O102" s="13">
        <f>N102*VLOOKUP('Données projet'!$B$9,Paramètres!$A$1:$I$89,3,0)*VLOOKUP('Données projet'!$B$9,Paramètres!$A$1:$I$89,5,0)</f>
        <v>2.0395418687257919E-13</v>
      </c>
      <c r="P102" s="13">
        <f t="shared" si="87"/>
        <v>2.8200388570161721E-12</v>
      </c>
      <c r="Q102" s="20">
        <f t="shared" si="107"/>
        <v>5.2667878847729083E-12</v>
      </c>
      <c r="R102" s="59">
        <f t="shared" si="55"/>
        <v>293.3333333333386</v>
      </c>
      <c r="S102" s="59">
        <f ca="1">AVERAGE(OFFSET($R$3,0,0,'Données projet'!$E$9+1,1))-AVERAGE(OFFSET($H$3,0,0,'Données projet'!$E$9+1,1))</f>
        <v>288.98981546396209</v>
      </c>
      <c r="T102" s="59">
        <f t="shared" si="88"/>
        <v>281.67720096117085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95.132023094463534</v>
      </c>
      <c r="AA102" s="21">
        <f>EXP(-LN(2)/25)*AA101+(1-EXP(-LN(2)/25))/(LN(2)/25)*Calculateur!V102*Calculateur!X102*VLOOKUP('Données projet'!$B$9,Paramètres!$A$1:$I$89,3,0)*0.475*44/12</f>
        <v>24.352753941701369</v>
      </c>
      <c r="AB102" s="21">
        <f>EXP(-LN(2)/2)*AB101+(1-EXP(-LN(2)/2))/(LN(2)/2)*V102*Y102*VLOOKUP('Données projet'!$B$9,Paramètres!$A$1:$I$89,3,0)*0.475*44/12</f>
        <v>2.0169194535545063E-3</v>
      </c>
      <c r="AC102" s="22">
        <f t="shared" si="57"/>
        <v>119.48679395561845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234.95901223517041</v>
      </c>
      <c r="AO102" s="59">
        <f t="shared" si="90"/>
        <v>179.39213799913273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112.89989247407595</v>
      </c>
      <c r="AV102" s="21">
        <f>EXP(-LN(2)/25)*AV101+(1-EXP(-LN(2)/25))/(LN(2)/25)*Calculateur!AQ102*Calculateur!AS102*VLOOKUP('Données projet'!$B$10,Paramètres!$A$1:$I$89,3,0)*0.475*44/12</f>
        <v>28.494186590012674</v>
      </c>
      <c r="AW102" s="21">
        <f>EXP(-LN(2)/2)*AW101+(1-EXP(-LN(2)/2))/(LN(2)/2)*AQ102*AT102*VLOOKUP('Données projet'!$B$10,Paramètres!$A$1:$I$89,3,0)*0.475*44/12</f>
        <v>5.8203525310623477E-2</v>
      </c>
      <c r="AX102" s="21">
        <f t="shared" si="60"/>
        <v>141.45228258939926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3.4106051316484809E-13</v>
      </c>
      <c r="O103" s="13">
        <f>N103*VLOOKUP('Données projet'!$B$9,Paramètres!$A$1:$I$89,3,0)*VLOOKUP('Données projet'!$B$9,Paramètres!$A$1:$I$89,5,0)</f>
        <v>2.0395418687257919E-13</v>
      </c>
      <c r="P103" s="13">
        <f t="shared" si="87"/>
        <v>2.8200388570161721E-12</v>
      </c>
      <c r="Q103" s="20">
        <f t="shared" si="107"/>
        <v>5.2667878847729083E-12</v>
      </c>
      <c r="R103" s="59">
        <f t="shared" si="55"/>
        <v>293.3333333333386</v>
      </c>
      <c r="S103" s="59">
        <f ca="1">AVERAGE(OFFSET($R$3,0,0,'Données projet'!$E$9+1,1))-AVERAGE(OFFSET($H$3,0,0,'Données projet'!$E$9+1,1))</f>
        <v>288.98981546396209</v>
      </c>
      <c r="T103" s="59">
        <f t="shared" si="88"/>
        <v>281.67720096117085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93.266542146385717</v>
      </c>
      <c r="AA103" s="21">
        <f>EXP(-LN(2)/25)*AA102+(1-EXP(-LN(2)/25))/(LN(2)/25)*Calculateur!V103*Calculateur!X103*VLOOKUP('Données projet'!$B$9,Paramètres!$A$1:$I$89,3,0)*0.475*44/12</f>
        <v>23.686826604509875</v>
      </c>
      <c r="AB103" s="21">
        <f>EXP(-LN(2)/2)*AB102+(1-EXP(-LN(2)/2))/(LN(2)/2)*V103*Y103*VLOOKUP('Données projet'!$B$9,Paramètres!$A$1:$I$89,3,0)*0.475*44/12</f>
        <v>1.4261774227154573E-3</v>
      </c>
      <c r="AC103" s="22">
        <f t="shared" si="57"/>
        <v>116.95479492831831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234.95901223517041</v>
      </c>
      <c r="AO103" s="59">
        <f t="shared" si="90"/>
        <v>179.39213799913273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110.68599444479416</v>
      </c>
      <c r="AV103" s="21">
        <f>EXP(-LN(2)/25)*AV102+(1-EXP(-LN(2)/25))/(LN(2)/25)*Calculateur!AQ103*Calculateur!AS103*VLOOKUP('Données projet'!$B$10,Paramètres!$A$1:$I$89,3,0)*0.475*44/12</f>
        <v>27.715011559264628</v>
      </c>
      <c r="AW103" s="21">
        <f>EXP(-LN(2)/2)*AW102+(1-EXP(-LN(2)/2))/(LN(2)/2)*AQ103*AT103*VLOOKUP('Données projet'!$B$10,Paramètres!$A$1:$I$89,3,0)*0.475*44/12</f>
        <v>4.1156107436104719E-2</v>
      </c>
      <c r="AX103" s="21">
        <f t="shared" si="60"/>
        <v>138.44216211149489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3.4106051316484809E-13</v>
      </c>
      <c r="O104" s="13">
        <f>N104*VLOOKUP('Données projet'!$B$9,Paramètres!$A$1:$I$89,3,0)*VLOOKUP('Données projet'!$B$9,Paramètres!$A$1:$I$89,5,0)</f>
        <v>2.0395418687257919E-13</v>
      </c>
      <c r="P104" s="13">
        <f t="shared" si="87"/>
        <v>2.8200388570161721E-12</v>
      </c>
      <c r="Q104" s="20">
        <f t="shared" si="107"/>
        <v>5.2667878847729083E-12</v>
      </c>
      <c r="R104" s="59">
        <f t="shared" si="55"/>
        <v>293.3333333333386</v>
      </c>
      <c r="S104" s="59">
        <f ca="1">AVERAGE(OFFSET($R$3,0,0,'Données projet'!$E$9+1,1))-AVERAGE(OFFSET($H$3,0,0,'Données projet'!$E$9+1,1))</f>
        <v>288.98981546396209</v>
      </c>
      <c r="T104" s="59">
        <f t="shared" si="88"/>
        <v>281.67720096117085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91.437642141868679</v>
      </c>
      <c r="AA104" s="21">
        <f>EXP(-LN(2)/25)*AA103+(1-EXP(-LN(2)/25))/(LN(2)/25)*Calculateur!V104*Calculateur!X104*VLOOKUP('Données projet'!$B$9,Paramètres!$A$1:$I$89,3,0)*0.475*44/12</f>
        <v>23.039109085373479</v>
      </c>
      <c r="AB104" s="21">
        <f>EXP(-LN(2)/2)*AB103+(1-EXP(-LN(2)/2))/(LN(2)/2)*V104*Y104*VLOOKUP('Données projet'!$B$9,Paramètres!$A$1:$I$89,3,0)*0.475*44/12</f>
        <v>1.0084597267772531E-3</v>
      </c>
      <c r="AC104" s="22">
        <f t="shared" si="57"/>
        <v>114.47775968696894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234.95901223517041</v>
      </c>
      <c r="AO104" s="59">
        <f t="shared" si="90"/>
        <v>179.39213799913273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108.51550960552213</v>
      </c>
      <c r="AV104" s="21">
        <f>EXP(-LN(2)/25)*AV103+(1-EXP(-LN(2)/25))/(LN(2)/25)*Calculateur!AQ104*Calculateur!AS104*VLOOKUP('Données projet'!$B$10,Paramètres!$A$1:$I$89,3,0)*0.475*44/12</f>
        <v>26.957143110707424</v>
      </c>
      <c r="AW104" s="21">
        <f>EXP(-LN(2)/2)*AW103+(1-EXP(-LN(2)/2))/(LN(2)/2)*AQ104*AT104*VLOOKUP('Données projet'!$B$10,Paramètres!$A$1:$I$89,3,0)*0.475*44/12</f>
        <v>2.9101762655311742E-2</v>
      </c>
      <c r="AX104" s="21">
        <f t="shared" si="60"/>
        <v>135.50175447888486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3.4106051316484809E-13</v>
      </c>
      <c r="O105" s="13">
        <f>N105*VLOOKUP('Données projet'!$B$9,Paramètres!$A$1:$I$89,3,0)*VLOOKUP('Données projet'!$B$9,Paramètres!$A$1:$I$89,5,0)</f>
        <v>2.0395418687257919E-13</v>
      </c>
      <c r="P105" s="13">
        <f t="shared" si="87"/>
        <v>2.8200388570161721E-12</v>
      </c>
      <c r="Q105" s="20">
        <f t="shared" si="107"/>
        <v>5.2667878847729083E-12</v>
      </c>
      <c r="R105" s="59">
        <f t="shared" si="55"/>
        <v>293.3333333333386</v>
      </c>
      <c r="S105" s="59">
        <f ca="1">AVERAGE(OFFSET($R$3,0,0,'Données projet'!$E$9+1,1))-AVERAGE(OFFSET($H$3,0,0,'Données projet'!$E$9+1,1))</f>
        <v>288.98981546396209</v>
      </c>
      <c r="T105" s="59">
        <f t="shared" si="88"/>
        <v>281.67720096117085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89.644605750921372</v>
      </c>
      <c r="AA105" s="21">
        <f>EXP(-LN(2)/25)*AA104+(1-EXP(-LN(2)/25))/(LN(2)/25)*Calculateur!V105*Calculateur!X105*VLOOKUP('Données projet'!$B$9,Paramètres!$A$1:$I$89,3,0)*0.475*44/12</f>
        <v>22.409103435859851</v>
      </c>
      <c r="AB105" s="21">
        <f>EXP(-LN(2)/2)*AB104+(1-EXP(-LN(2)/2))/(LN(2)/2)*V105*Y105*VLOOKUP('Données projet'!$B$9,Paramètres!$A$1:$I$89,3,0)*0.475*44/12</f>
        <v>7.1308871135772865E-4</v>
      </c>
      <c r="AC105" s="22">
        <f t="shared" si="57"/>
        <v>112.05442227549258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234.95901223517041</v>
      </c>
      <c r="AO105" s="59">
        <f t="shared" si="90"/>
        <v>179.39213799913273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106.38758665008318</v>
      </c>
      <c r="AV105" s="21">
        <f>EXP(-LN(2)/25)*AV104+(1-EXP(-LN(2)/25))/(LN(2)/25)*Calculateur!AQ105*Calculateur!AS105*VLOOKUP('Données projet'!$B$10,Paramètres!$A$1:$I$89,3,0)*0.475*44/12</f>
        <v>26.219998614730585</v>
      </c>
      <c r="AW105" s="21">
        <f>EXP(-LN(2)/2)*AW104+(1-EXP(-LN(2)/2))/(LN(2)/2)*AQ105*AT105*VLOOKUP('Données projet'!$B$10,Paramètres!$A$1:$I$89,3,0)*0.475*44/12</f>
        <v>2.0578053718052363E-2</v>
      </c>
      <c r="AX105" s="21">
        <f t="shared" si="60"/>
        <v>132.62816331853182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3.4106051316484809E-13</v>
      </c>
      <c r="O106" s="13">
        <f>N106*VLOOKUP('Données projet'!$B$9,Paramètres!$A$1:$I$89,3,0)*VLOOKUP('Données projet'!$B$9,Paramètres!$A$1:$I$89,5,0)</f>
        <v>2.0395418687257919E-13</v>
      </c>
      <c r="P106" s="13">
        <f t="shared" si="87"/>
        <v>2.8200388570161721E-12</v>
      </c>
      <c r="Q106" s="20">
        <f t="shared" si="107"/>
        <v>5.2667878847729083E-12</v>
      </c>
      <c r="R106" s="59">
        <f t="shared" si="55"/>
        <v>293.3333333333386</v>
      </c>
      <c r="S106" s="59">
        <f ca="1">AVERAGE(OFFSET($R$3,0,0,'Données projet'!$E$9+1,1))-AVERAGE(OFFSET($H$3,0,0,'Données projet'!$E$9+1,1))</f>
        <v>288.98981546396209</v>
      </c>
      <c r="T106" s="59">
        <f t="shared" si="88"/>
        <v>281.67720096117085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87.886729709956327</v>
      </c>
      <c r="AA106" s="21">
        <f>EXP(-LN(2)/25)*AA105+(1-EXP(-LN(2)/25))/(LN(2)/25)*Calculateur!V106*Calculateur!X106*VLOOKUP('Données projet'!$B$9,Paramètres!$A$1:$I$89,3,0)*0.475*44/12</f>
        <v>21.79632532396273</v>
      </c>
      <c r="AB106" s="21">
        <f>EXP(-LN(2)/2)*AB105+(1-EXP(-LN(2)/2))/(LN(2)/2)*V106*Y106*VLOOKUP('Données projet'!$B$9,Paramètres!$A$1:$I$89,3,0)*0.475*44/12</f>
        <v>5.0422986338862657E-4</v>
      </c>
      <c r="AC106" s="22">
        <f t="shared" si="57"/>
        <v>109.68355926378246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234.95901223517041</v>
      </c>
      <c r="AO106" s="59">
        <f t="shared" si="90"/>
        <v>179.39213799913273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104.30139096589555</v>
      </c>
      <c r="AV106" s="21">
        <f>EXP(-LN(2)/25)*AV105+(1-EXP(-LN(2)/25))/(LN(2)/25)*Calculateur!AQ106*Calculateur!AS106*VLOOKUP('Données projet'!$B$10,Paramètres!$A$1:$I$89,3,0)*0.475*44/12</f>
        <v>25.503011373760977</v>
      </c>
      <c r="AW106" s="21">
        <f>EXP(-LN(2)/2)*AW105+(1-EXP(-LN(2)/2))/(LN(2)/2)*AQ106*AT106*VLOOKUP('Données projet'!$B$10,Paramètres!$A$1:$I$89,3,0)*0.475*44/12</f>
        <v>1.4550881327655875E-2</v>
      </c>
      <c r="AX106" s="21">
        <f t="shared" si="60"/>
        <v>129.81895322098418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3.4106051316484809E-13</v>
      </c>
      <c r="O107" s="13">
        <f>N107*VLOOKUP('Données projet'!$B$9,Paramètres!$A$1:$I$89,3,0)*VLOOKUP('Données projet'!$B$9,Paramètres!$A$1:$I$89,5,0)</f>
        <v>2.0395418687257919E-13</v>
      </c>
      <c r="P107" s="13">
        <f t="shared" si="87"/>
        <v>2.8200388570161721E-12</v>
      </c>
      <c r="Q107" s="20">
        <f t="shared" si="107"/>
        <v>5.2667878847729083E-12</v>
      </c>
      <c r="R107" s="59">
        <f t="shared" si="55"/>
        <v>293.3333333333386</v>
      </c>
      <c r="S107" s="59">
        <f ca="1">AVERAGE(OFFSET($R$3,0,0,'Données projet'!$E$9+1,1))-AVERAGE(OFFSET($H$3,0,0,'Données projet'!$E$9+1,1))</f>
        <v>288.98981546396209</v>
      </c>
      <c r="T107" s="59">
        <f t="shared" si="88"/>
        <v>281.67720096117085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86.163324545956087</v>
      </c>
      <c r="AA107" s="21">
        <f>EXP(-LN(2)/25)*AA106+(1-EXP(-LN(2)/25))/(LN(2)/25)*Calculateur!V107*Calculateur!X107*VLOOKUP('Données projet'!$B$9,Paramètres!$A$1:$I$89,3,0)*0.475*44/12</f>
        <v>21.200303661760035</v>
      </c>
      <c r="AB107" s="21">
        <f>EXP(-LN(2)/2)*AB106+(1-EXP(-LN(2)/2))/(LN(2)/2)*V107*Y107*VLOOKUP('Données projet'!$B$9,Paramètres!$A$1:$I$89,3,0)*0.475*44/12</f>
        <v>3.5654435567886432E-4</v>
      </c>
      <c r="AC107" s="22">
        <f t="shared" si="57"/>
        <v>107.3639847520718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234.95901223517041</v>
      </c>
      <c r="AO107" s="59">
        <f t="shared" si="90"/>
        <v>179.39213799913273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102.25610430662111</v>
      </c>
      <c r="AV107" s="21">
        <f>EXP(-LN(2)/25)*AV106+(1-EXP(-LN(2)/25))/(LN(2)/25)*Calculateur!AQ107*Calculateur!AS107*VLOOKUP('Données projet'!$B$10,Paramètres!$A$1:$I$89,3,0)*0.475*44/12</f>
        <v>24.805630186600403</v>
      </c>
      <c r="AW107" s="21">
        <f>EXP(-LN(2)/2)*AW106+(1-EXP(-LN(2)/2))/(LN(2)/2)*AQ107*AT107*VLOOKUP('Données projet'!$B$10,Paramètres!$A$1:$I$89,3,0)*0.475*44/12</f>
        <v>1.0289026859026183E-2</v>
      </c>
      <c r="AX107" s="21">
        <f t="shared" si="60"/>
        <v>127.07202352008053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3.4106051316484809E-13</v>
      </c>
      <c r="O108" s="13">
        <f>N108*VLOOKUP('Données projet'!$B$9,Paramètres!$A$1:$I$89,3,0)*VLOOKUP('Données projet'!$B$9,Paramètres!$A$1:$I$89,5,0)</f>
        <v>2.0395418687257919E-13</v>
      </c>
      <c r="P108" s="13">
        <f t="shared" si="87"/>
        <v>2.8200388570161721E-12</v>
      </c>
      <c r="Q108" s="20">
        <f t="shared" si="107"/>
        <v>5.2667878847729083E-12</v>
      </c>
      <c r="R108" s="59">
        <f t="shared" si="55"/>
        <v>293.3333333333386</v>
      </c>
      <c r="S108" s="59">
        <f ca="1">AVERAGE(OFFSET($R$3,0,0,'Données projet'!$E$9+1,1))-AVERAGE(OFFSET($H$3,0,0,'Données projet'!$E$9+1,1))</f>
        <v>288.98981546396209</v>
      </c>
      <c r="T108" s="59">
        <f t="shared" si="88"/>
        <v>281.67720096117085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84.473714306048535</v>
      </c>
      <c r="AA108" s="21">
        <f>EXP(-LN(2)/25)*AA107+(1-EXP(-LN(2)/25))/(LN(2)/25)*Calculateur!V108*Calculateur!X108*VLOOKUP('Données projet'!$B$9,Paramètres!$A$1:$I$89,3,0)*0.475*44/12</f>
        <v>20.620580243253691</v>
      </c>
      <c r="AB108" s="21">
        <f>EXP(-LN(2)/2)*AB107+(1-EXP(-LN(2)/2))/(LN(2)/2)*V108*Y108*VLOOKUP('Données projet'!$B$9,Paramètres!$A$1:$I$89,3,0)*0.475*44/12</f>
        <v>2.5211493169431329E-4</v>
      </c>
      <c r="AC108" s="22">
        <f t="shared" si="57"/>
        <v>105.09454666423392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234.95901223517041</v>
      </c>
      <c r="AO108" s="59">
        <f t="shared" si="90"/>
        <v>179.39213799913273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100.25092447123336</v>
      </c>
      <c r="AV108" s="21">
        <f>EXP(-LN(2)/25)*AV107+(1-EXP(-LN(2)/25))/(LN(2)/25)*Calculateur!AQ108*Calculateur!AS108*VLOOKUP('Données projet'!$B$10,Paramètres!$A$1:$I$89,3,0)*0.475*44/12</f>
        <v>24.127318924676416</v>
      </c>
      <c r="AW108" s="21">
        <f>EXP(-LN(2)/2)*AW107+(1-EXP(-LN(2)/2))/(LN(2)/2)*AQ108*AT108*VLOOKUP('Données projet'!$B$10,Paramètres!$A$1:$I$89,3,0)*0.475*44/12</f>
        <v>7.2754406638279381E-3</v>
      </c>
      <c r="AX108" s="21">
        <f t="shared" si="60"/>
        <v>124.38551883657361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3.4106051316484809E-13</v>
      </c>
      <c r="O109" s="13">
        <f>N109*VLOOKUP('Données projet'!$B$9,Paramètres!$A$1:$I$89,3,0)*VLOOKUP('Données projet'!$B$9,Paramètres!$A$1:$I$89,5,0)</f>
        <v>2.0395418687257919E-13</v>
      </c>
      <c r="P109" s="13">
        <f t="shared" si="87"/>
        <v>2.8200388570161721E-12</v>
      </c>
      <c r="Q109" s="20">
        <f t="shared" si="107"/>
        <v>5.2667878847729083E-12</v>
      </c>
      <c r="R109" s="59">
        <f t="shared" si="55"/>
        <v>293.3333333333386</v>
      </c>
      <c r="S109" s="59">
        <f ca="1">AVERAGE(OFFSET($R$3,0,0,'Données projet'!$E$9+1,1))-AVERAGE(OFFSET($H$3,0,0,'Données projet'!$E$9+1,1))</f>
        <v>288.98981546396209</v>
      </c>
      <c r="T109" s="59">
        <f t="shared" si="88"/>
        <v>281.67720096117085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82.81723629238509</v>
      </c>
      <c r="AA109" s="21">
        <f>EXP(-LN(2)/25)*AA108+(1-EXP(-LN(2)/25))/(LN(2)/25)*Calculateur!V109*Calculateur!X109*VLOOKUP('Données projet'!$B$9,Paramètres!$A$1:$I$89,3,0)*0.475*44/12</f>
        <v>20.056709392112733</v>
      </c>
      <c r="AB109" s="21">
        <f>EXP(-LN(2)/2)*AB108+(1-EXP(-LN(2)/2))/(LN(2)/2)*V109*Y109*VLOOKUP('Données projet'!$B$9,Paramètres!$A$1:$I$89,3,0)*0.475*44/12</f>
        <v>1.7827217783943216E-4</v>
      </c>
      <c r="AC109" s="22">
        <f t="shared" si="57"/>
        <v>102.87412395667566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234.95901223517041</v>
      </c>
      <c r="AO109" s="59">
        <f t="shared" si="90"/>
        <v>179.39213799913273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98.28506498937864</v>
      </c>
      <c r="AV109" s="21">
        <f>EXP(-LN(2)/25)*AV108+(1-EXP(-LN(2)/25))/(LN(2)/25)*Calculateur!AQ109*Calculateur!AS109*VLOOKUP('Données projet'!$B$10,Paramètres!$A$1:$I$89,3,0)*0.475*44/12</f>
        <v>23.46755611988058</v>
      </c>
      <c r="AW109" s="21">
        <f>EXP(-LN(2)/2)*AW108+(1-EXP(-LN(2)/2))/(LN(2)/2)*AQ109*AT109*VLOOKUP('Données projet'!$B$10,Paramètres!$A$1:$I$89,3,0)*0.475*44/12</f>
        <v>5.1445134295130925E-3</v>
      </c>
      <c r="AX109" s="21">
        <f t="shared" si="60"/>
        <v>121.75776562268874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3.4106051316484809E-13</v>
      </c>
      <c r="O110" s="13">
        <f>N110*VLOOKUP('Données projet'!$B$9,Paramètres!$A$1:$I$89,3,0)*VLOOKUP('Données projet'!$B$9,Paramètres!$A$1:$I$89,5,0)</f>
        <v>2.0395418687257919E-13</v>
      </c>
      <c r="P110" s="13">
        <f t="shared" si="87"/>
        <v>2.8200388570161721E-12</v>
      </c>
      <c r="Q110" s="20">
        <f t="shared" si="107"/>
        <v>5.2667878847729083E-12</v>
      </c>
      <c r="R110" s="59">
        <f t="shared" si="55"/>
        <v>293.3333333333386</v>
      </c>
      <c r="S110" s="59">
        <f ca="1">AVERAGE(OFFSET($R$3,0,0,'Données projet'!$E$9+1,1))-AVERAGE(OFFSET($H$3,0,0,'Données projet'!$E$9+1,1))</f>
        <v>288.98981546396209</v>
      </c>
      <c r="T110" s="59">
        <f t="shared" si="88"/>
        <v>281.67720096117085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81.193240802217758</v>
      </c>
      <c r="AA110" s="21">
        <f>EXP(-LN(2)/25)*AA109+(1-EXP(-LN(2)/25))/(LN(2)/25)*Calculateur!V110*Calculateur!X110*VLOOKUP('Données projet'!$B$9,Paramètres!$A$1:$I$89,3,0)*0.475*44/12</f>
        <v>19.508257619048905</v>
      </c>
      <c r="AB110" s="21">
        <f>EXP(-LN(2)/2)*AB109+(1-EXP(-LN(2)/2))/(LN(2)/2)*V110*Y110*VLOOKUP('Données projet'!$B$9,Paramètres!$A$1:$I$89,3,0)*0.475*44/12</f>
        <v>1.2605746584715664E-4</v>
      </c>
      <c r="AC110" s="22">
        <f t="shared" si="57"/>
        <v>100.70162447873251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234.95901223517041</v>
      </c>
      <c r="AO110" s="59">
        <f t="shared" si="90"/>
        <v>179.39213799913273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96.357754812907203</v>
      </c>
      <c r="AV110" s="21">
        <f>EXP(-LN(2)/25)*AV109+(1-EXP(-LN(2)/25))/(LN(2)/25)*Calculateur!AQ110*Calculateur!AS110*VLOOKUP('Données projet'!$B$10,Paramètres!$A$1:$I$89,3,0)*0.475*44/12</f>
        <v>22.825834563677304</v>
      </c>
      <c r="AW110" s="21">
        <f>EXP(-LN(2)/2)*AW109+(1-EXP(-LN(2)/2))/(LN(2)/2)*AQ110*AT110*VLOOKUP('Données projet'!$B$10,Paramètres!$A$1:$I$89,3,0)*0.475*44/12</f>
        <v>3.6377203319139699E-3</v>
      </c>
      <c r="AX110" s="21">
        <f t="shared" si="60"/>
        <v>119.18722709691642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3.4106051316484809E-13</v>
      </c>
      <c r="O111" s="13">
        <f>N111*VLOOKUP('Données projet'!$B$9,Paramètres!$A$1:$I$89,3,0)*VLOOKUP('Données projet'!$B$9,Paramètres!$A$1:$I$89,5,0)</f>
        <v>2.0395418687257919E-13</v>
      </c>
      <c r="P111" s="13">
        <f t="shared" si="87"/>
        <v>2.8200388570161721E-12</v>
      </c>
      <c r="Q111" s="20">
        <f t="shared" si="107"/>
        <v>5.2667878847729083E-12</v>
      </c>
      <c r="R111" s="59">
        <f t="shared" si="55"/>
        <v>293.3333333333386</v>
      </c>
      <c r="S111" s="59">
        <f ca="1">AVERAGE(OFFSET($R$3,0,0,'Données projet'!$E$9+1,1))-AVERAGE(OFFSET($H$3,0,0,'Données projet'!$E$9+1,1))</f>
        <v>288.98981546396209</v>
      </c>
      <c r="T111" s="59">
        <f t="shared" si="88"/>
        <v>281.67720096117085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79.601090873073176</v>
      </c>
      <c r="AA111" s="21">
        <f>EXP(-LN(2)/25)*AA110+(1-EXP(-LN(2)/25))/(LN(2)/25)*Calculateur!V111*Calculateur!X111*VLOOKUP('Données projet'!$B$9,Paramètres!$A$1:$I$89,3,0)*0.475*44/12</f>
        <v>18.974803288561333</v>
      </c>
      <c r="AB111" s="21">
        <f>EXP(-LN(2)/2)*AB110+(1-EXP(-LN(2)/2))/(LN(2)/2)*V111*Y111*VLOOKUP('Données projet'!$B$9,Paramètres!$A$1:$I$89,3,0)*0.475*44/12</f>
        <v>8.9136088919716081E-5</v>
      </c>
      <c r="AC111" s="22">
        <f t="shared" si="57"/>
        <v>98.575983297723425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234.95901223517041</v>
      </c>
      <c r="AO111" s="59">
        <f t="shared" si="90"/>
        <v>179.39213799913273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94.468238013453231</v>
      </c>
      <c r="AV111" s="21">
        <f>EXP(-LN(2)/25)*AV110+(1-EXP(-LN(2)/25))/(LN(2)/25)*Calculateur!AQ111*Calculateur!AS111*VLOOKUP('Données projet'!$B$10,Paramètres!$A$1:$I$89,3,0)*0.475*44/12</f>
        <v>22.201660917175079</v>
      </c>
      <c r="AW111" s="21">
        <f>EXP(-LN(2)/2)*AW110+(1-EXP(-LN(2)/2))/(LN(2)/2)*AQ111*AT111*VLOOKUP('Données projet'!$B$10,Paramètres!$A$1:$I$89,3,0)*0.475*44/12</f>
        <v>2.5722567147565467E-3</v>
      </c>
      <c r="AX111" s="21">
        <f t="shared" si="60"/>
        <v>116.67247118734306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3.4106051316484809E-13</v>
      </c>
      <c r="O112" s="13">
        <f>N112*VLOOKUP('Données projet'!$B$9,Paramètres!$A$1:$I$89,3,0)*VLOOKUP('Données projet'!$B$9,Paramètres!$A$1:$I$89,5,0)</f>
        <v>2.0395418687257919E-13</v>
      </c>
      <c r="P112" s="13">
        <f t="shared" si="87"/>
        <v>2.8200388570161721E-12</v>
      </c>
      <c r="Q112" s="20">
        <f t="shared" si="107"/>
        <v>5.2667878847729083E-12</v>
      </c>
      <c r="R112" s="59">
        <f t="shared" si="55"/>
        <v>293.3333333333386</v>
      </c>
      <c r="S112" s="59">
        <f ca="1">AVERAGE(OFFSET($R$3,0,0,'Données projet'!$E$9+1,1))-AVERAGE(OFFSET($H$3,0,0,'Données projet'!$E$9+1,1))</f>
        <v>288.98981546396209</v>
      </c>
      <c r="T112" s="59">
        <f t="shared" si="88"/>
        <v>281.67720096117085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78.040162032923547</v>
      </c>
      <c r="AA112" s="21">
        <f>EXP(-LN(2)/25)*AA111+(1-EXP(-LN(2)/25))/(LN(2)/25)*Calculateur!V112*Calculateur!X112*VLOOKUP('Données projet'!$B$9,Paramètres!$A$1:$I$89,3,0)*0.475*44/12</f>
        <v>18.455936294794085</v>
      </c>
      <c r="AB112" s="21">
        <f>EXP(-LN(2)/2)*AB111+(1-EXP(-LN(2)/2))/(LN(2)/2)*V112*Y112*VLOOKUP('Données projet'!$B$9,Paramètres!$A$1:$I$89,3,0)*0.475*44/12</f>
        <v>6.3028732923578321E-5</v>
      </c>
      <c r="AC112" s="22">
        <f t="shared" si="57"/>
        <v>96.496161356450557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234.95901223517041</v>
      </c>
      <c r="AO112" s="59">
        <f t="shared" si="90"/>
        <v>179.39213799913273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92.615773485945098</v>
      </c>
      <c r="AV112" s="21">
        <f>EXP(-LN(2)/25)*AV111+(1-EXP(-LN(2)/25))/(LN(2)/25)*Calculateur!AQ112*Calculateur!AS112*VLOOKUP('Données projet'!$B$10,Paramètres!$A$1:$I$89,3,0)*0.475*44/12</f>
        <v>21.59455533186032</v>
      </c>
      <c r="AW112" s="21">
        <f>EXP(-LN(2)/2)*AW111+(1-EXP(-LN(2)/2))/(LN(2)/2)*AQ112*AT112*VLOOKUP('Données projet'!$B$10,Paramètres!$A$1:$I$89,3,0)*0.475*44/12</f>
        <v>1.8188601659569852E-3</v>
      </c>
      <c r="AX112" s="21">
        <f t="shared" si="60"/>
        <v>114.21214767797137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3.4106051316484809E-13</v>
      </c>
      <c r="O113" s="13">
        <f>N113*VLOOKUP('Données projet'!$B$9,Paramètres!$A$1:$I$89,3,0)*VLOOKUP('Données projet'!$B$9,Paramètres!$A$1:$I$89,5,0)</f>
        <v>2.0395418687257919E-13</v>
      </c>
      <c r="P113" s="13">
        <f t="shared" si="87"/>
        <v>2.8200388570161721E-12</v>
      </c>
      <c r="Q113" s="20">
        <f t="shared" si="107"/>
        <v>5.2667878847729083E-12</v>
      </c>
      <c r="R113" s="59">
        <f t="shared" si="55"/>
        <v>293.3333333333386</v>
      </c>
      <c r="S113" s="59">
        <f ca="1">AVERAGE(OFFSET($R$3,0,0,'Données projet'!$E$9+1,1))-AVERAGE(OFFSET($H$3,0,0,'Données projet'!$E$9+1,1))</f>
        <v>288.98981546396209</v>
      </c>
      <c r="T113" s="59">
        <f t="shared" si="88"/>
        <v>281.67720096117085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76.509842055256669</v>
      </c>
      <c r="AA113" s="21">
        <f>EXP(-LN(2)/25)*AA112+(1-EXP(-LN(2)/25))/(LN(2)/25)*Calculateur!V113*Calculateur!X113*VLOOKUP('Données projet'!$B$9,Paramètres!$A$1:$I$89,3,0)*0.475*44/12</f>
        <v>17.951257746257433</v>
      </c>
      <c r="AB113" s="21">
        <f>EXP(-LN(2)/2)*AB112+(1-EXP(-LN(2)/2))/(LN(2)/2)*V113*Y113*VLOOKUP('Données projet'!$B$9,Paramètres!$A$1:$I$89,3,0)*0.475*44/12</f>
        <v>4.4568044459858041E-5</v>
      </c>
      <c r="AC113" s="22">
        <f t="shared" si="57"/>
        <v>94.461144369558568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234.95901223517041</v>
      </c>
      <c r="AO113" s="59">
        <f t="shared" si="90"/>
        <v>179.39213799913273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90.799634657929616</v>
      </c>
      <c r="AV113" s="21">
        <f>EXP(-LN(2)/25)*AV112+(1-EXP(-LN(2)/25))/(LN(2)/25)*Calculateur!AQ113*Calculateur!AS113*VLOOKUP('Données projet'!$B$10,Paramètres!$A$1:$I$89,3,0)*0.475*44/12</f>
        <v>21.00405108070229</v>
      </c>
      <c r="AW113" s="21">
        <f>EXP(-LN(2)/2)*AW112+(1-EXP(-LN(2)/2))/(LN(2)/2)*AQ113*AT113*VLOOKUP('Données projet'!$B$10,Paramètres!$A$1:$I$89,3,0)*0.475*44/12</f>
        <v>1.2861283573782736E-3</v>
      </c>
      <c r="AX113" s="21">
        <f t="shared" si="60"/>
        <v>111.80497186698929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3.4106051316484809E-13</v>
      </c>
      <c r="O114" s="13">
        <f>N114*VLOOKUP('Données projet'!$B$9,Paramètres!$A$1:$I$89,3,0)*VLOOKUP('Données projet'!$B$9,Paramètres!$A$1:$I$89,5,0)</f>
        <v>2.0395418687257919E-13</v>
      </c>
      <c r="P114" s="13">
        <f t="shared" si="87"/>
        <v>2.8200388570161721E-12</v>
      </c>
      <c r="Q114" s="20">
        <f t="shared" si="107"/>
        <v>5.2667878847729083E-12</v>
      </c>
      <c r="R114" s="59">
        <f t="shared" si="55"/>
        <v>293.3333333333386</v>
      </c>
      <c r="S114" s="59">
        <f ca="1">AVERAGE(OFFSET($R$3,0,0,'Données projet'!$E$9+1,1))-AVERAGE(OFFSET($H$3,0,0,'Données projet'!$E$9+1,1))</f>
        <v>288.98981546396209</v>
      </c>
      <c r="T114" s="59">
        <f t="shared" si="88"/>
        <v>281.67720096117085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75.00953071894881</v>
      </c>
      <c r="AA114" s="21">
        <f>EXP(-LN(2)/25)*AA113+(1-EXP(-LN(2)/25))/(LN(2)/25)*Calculateur!V114*Calculateur!X114*VLOOKUP('Données projet'!$B$9,Paramètres!$A$1:$I$89,3,0)*0.475*44/12</f>
        <v>17.460379659170407</v>
      </c>
      <c r="AB114" s="21">
        <f>EXP(-LN(2)/2)*AB113+(1-EXP(-LN(2)/2))/(LN(2)/2)*V114*Y114*VLOOKUP('Données projet'!$B$9,Paramètres!$A$1:$I$89,3,0)*0.475*44/12</f>
        <v>3.1514366461789161E-5</v>
      </c>
      <c r="AC114" s="22">
        <f t="shared" si="57"/>
        <v>92.469941892485664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234.95901223517041</v>
      </c>
      <c r="AO114" s="59">
        <f t="shared" si="90"/>
        <v>179.39213799913273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89.019109204596205</v>
      </c>
      <c r="AV114" s="21">
        <f>EXP(-LN(2)/25)*AV113+(1-EXP(-LN(2)/25))/(LN(2)/25)*Calculateur!AQ114*Calculateur!AS114*VLOOKUP('Données projet'!$B$10,Paramètres!$A$1:$I$89,3,0)*0.475*44/12</f>
        <v>20.429694199345445</v>
      </c>
      <c r="AW114" s="21">
        <f>EXP(-LN(2)/2)*AW113+(1-EXP(-LN(2)/2))/(LN(2)/2)*AQ114*AT114*VLOOKUP('Données projet'!$B$10,Paramètres!$A$1:$I$89,3,0)*0.475*44/12</f>
        <v>9.094300829784927E-4</v>
      </c>
      <c r="AX114" s="21">
        <f t="shared" si="60"/>
        <v>109.44971283402464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3.4106051316484809E-13</v>
      </c>
      <c r="O115" s="13">
        <f>N115*VLOOKUP('Données projet'!$B$9,Paramètres!$A$1:$I$89,3,0)*VLOOKUP('Données projet'!$B$9,Paramètres!$A$1:$I$89,5,0)</f>
        <v>2.0395418687257919E-13</v>
      </c>
      <c r="P115" s="13">
        <f t="shared" si="87"/>
        <v>2.8200388570161721E-12</v>
      </c>
      <c r="Q115" s="20">
        <f t="shared" si="107"/>
        <v>5.2667878847729083E-12</v>
      </c>
      <c r="R115" s="59">
        <f t="shared" si="55"/>
        <v>293.3333333333386</v>
      </c>
      <c r="S115" s="59">
        <f ca="1">AVERAGE(OFFSET($R$3,0,0,'Données projet'!$E$9+1,1))-AVERAGE(OFFSET($H$3,0,0,'Données projet'!$E$9+1,1))</f>
        <v>288.98981546396209</v>
      </c>
      <c r="T115" s="59">
        <f t="shared" si="88"/>
        <v>281.67720096117085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73.538639572846392</v>
      </c>
      <c r="AA115" s="21">
        <f>EXP(-LN(2)/25)*AA114+(1-EXP(-LN(2)/25))/(LN(2)/25)*Calculateur!V115*Calculateur!X115*VLOOKUP('Données projet'!$B$9,Paramètres!$A$1:$I$89,3,0)*0.475*44/12</f>
        <v>16.982924659188932</v>
      </c>
      <c r="AB115" s="21">
        <f>EXP(-LN(2)/2)*AB114+(1-EXP(-LN(2)/2))/(LN(2)/2)*V115*Y115*VLOOKUP('Données projet'!$B$9,Paramètres!$A$1:$I$89,3,0)*0.475*44/12</f>
        <v>2.228402222992902E-5</v>
      </c>
      <c r="AC115" s="22">
        <f t="shared" si="57"/>
        <v>90.521586516057567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234.95901223517041</v>
      </c>
      <c r="AO115" s="59">
        <f t="shared" si="90"/>
        <v>179.39213799913273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87.273498769389377</v>
      </c>
      <c r="AV115" s="21">
        <f>EXP(-LN(2)/25)*AV114+(1-EXP(-LN(2)/25))/(LN(2)/25)*Calculateur!AQ115*Calculateur!AS115*VLOOKUP('Données projet'!$B$10,Paramètres!$A$1:$I$89,3,0)*0.475*44/12</f>
        <v>19.871043137113418</v>
      </c>
      <c r="AW115" s="21">
        <f>EXP(-LN(2)/2)*AW114+(1-EXP(-LN(2)/2))/(LN(2)/2)*AQ115*AT115*VLOOKUP('Données projet'!$B$10,Paramètres!$A$1:$I$89,3,0)*0.475*44/12</f>
        <v>6.4306417868913689E-4</v>
      </c>
      <c r="AX115" s="21">
        <f t="shared" si="60"/>
        <v>107.14518497068148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3.4106051316484809E-13</v>
      </c>
      <c r="O116" s="13">
        <f>N116*VLOOKUP('Données projet'!$B$9,Paramètres!$A$1:$I$89,3,0)*VLOOKUP('Données projet'!$B$9,Paramètres!$A$1:$I$89,5,0)</f>
        <v>2.0395418687257919E-13</v>
      </c>
      <c r="P116" s="13">
        <f t="shared" si="87"/>
        <v>2.8200388570161721E-12</v>
      </c>
      <c r="Q116" s="20">
        <f t="shared" si="107"/>
        <v>5.2667878847729083E-12</v>
      </c>
      <c r="R116" s="59">
        <f t="shared" si="55"/>
        <v>293.3333333333386</v>
      </c>
      <c r="S116" s="59">
        <f ca="1">AVERAGE(OFFSET($R$3,0,0,'Données projet'!$E$9+1,1))-AVERAGE(OFFSET($H$3,0,0,'Données projet'!$E$9+1,1))</f>
        <v>288.98981546396209</v>
      </c>
      <c r="T116" s="59">
        <f t="shared" si="88"/>
        <v>281.67720096117085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72.096591704964041</v>
      </c>
      <c r="AA116" s="21">
        <f>EXP(-LN(2)/25)*AA115+(1-EXP(-LN(2)/25))/(LN(2)/25)*Calculateur!V116*Calculateur!X116*VLOOKUP('Données projet'!$B$9,Paramètres!$A$1:$I$89,3,0)*0.475*44/12</f>
        <v>16.518525691290218</v>
      </c>
      <c r="AB116" s="21">
        <f>EXP(-LN(2)/2)*AB115+(1-EXP(-LN(2)/2))/(LN(2)/2)*V116*Y116*VLOOKUP('Données projet'!$B$9,Paramètres!$A$1:$I$89,3,0)*0.475*44/12</f>
        <v>1.575718323089458E-5</v>
      </c>
      <c r="AC116" s="22">
        <f t="shared" si="57"/>
        <v>88.615133153437498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234.95901223517041</v>
      </c>
      <c r="AO116" s="59">
        <f t="shared" si="90"/>
        <v>179.39213799913273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85.562118690099723</v>
      </c>
      <c r="AV116" s="21">
        <f>EXP(-LN(2)/25)*AV115+(1-EXP(-LN(2)/25))/(LN(2)/25)*Calculateur!AQ116*Calculateur!AS116*VLOOKUP('Données projet'!$B$10,Paramètres!$A$1:$I$89,3,0)*0.475*44/12</f>
        <v>19.327668417556307</v>
      </c>
      <c r="AW116" s="21">
        <f>EXP(-LN(2)/2)*AW115+(1-EXP(-LN(2)/2))/(LN(2)/2)*AQ116*AT116*VLOOKUP('Données projet'!$B$10,Paramètres!$A$1:$I$89,3,0)*0.475*44/12</f>
        <v>4.5471504148924646E-4</v>
      </c>
      <c r="AX116" s="21">
        <f t="shared" si="60"/>
        <v>104.89024182269752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3.4106051316484809E-13</v>
      </c>
      <c r="O117" s="13">
        <f>N117*VLOOKUP('Données projet'!$B$9,Paramètres!$A$1:$I$89,3,0)*VLOOKUP('Données projet'!$B$9,Paramètres!$A$1:$I$89,5,0)</f>
        <v>2.0395418687257919E-13</v>
      </c>
      <c r="P117" s="13">
        <f t="shared" si="87"/>
        <v>2.8200388570161721E-12</v>
      </c>
      <c r="Q117" s="20">
        <f t="shared" si="107"/>
        <v>5.2667878847729083E-12</v>
      </c>
      <c r="R117" s="59">
        <f t="shared" si="55"/>
        <v>293.3333333333386</v>
      </c>
      <c r="S117" s="59">
        <f ca="1">AVERAGE(OFFSET($R$3,0,0,'Données projet'!$E$9+1,1))-AVERAGE(OFFSET($H$3,0,0,'Données projet'!$E$9+1,1))</f>
        <v>288.98981546396209</v>
      </c>
      <c r="T117" s="59">
        <f t="shared" si="88"/>
        <v>281.67720096117085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70.682821516208506</v>
      </c>
      <c r="AA117" s="21">
        <f>EXP(-LN(2)/25)*AA116+(1-EXP(-LN(2)/25))/(LN(2)/25)*Calculateur!V117*Calculateur!X117*VLOOKUP('Données projet'!$B$9,Paramètres!$A$1:$I$89,3,0)*0.475*44/12</f>
        <v>16.066825737590374</v>
      </c>
      <c r="AB117" s="21">
        <f>EXP(-LN(2)/2)*AB116+(1-EXP(-LN(2)/2))/(LN(2)/2)*V117*Y117*VLOOKUP('Données projet'!$B$9,Paramètres!$A$1:$I$89,3,0)*0.475*44/12</f>
        <v>1.114201111496451E-5</v>
      </c>
      <c r="AC117" s="22">
        <f t="shared" si="57"/>
        <v>86.749658395810002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234.95901223517041</v>
      </c>
      <c r="AO117" s="59">
        <f t="shared" si="90"/>
        <v>179.39213799913273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83.884297730326153</v>
      </c>
      <c r="AV117" s="21">
        <f>EXP(-LN(2)/25)*AV116+(1-EXP(-LN(2)/25))/(LN(2)/25)*Calculateur!AQ117*Calculateur!AS117*VLOOKUP('Données projet'!$B$10,Paramètres!$A$1:$I$89,3,0)*0.475*44/12</f>
        <v>18.799152308280323</v>
      </c>
      <c r="AW117" s="21">
        <f>EXP(-LN(2)/2)*AW116+(1-EXP(-LN(2)/2))/(LN(2)/2)*AQ117*AT117*VLOOKUP('Données projet'!$B$10,Paramètres!$A$1:$I$89,3,0)*0.475*44/12</f>
        <v>3.215320893445685E-4</v>
      </c>
      <c r="AX117" s="21">
        <f t="shared" si="60"/>
        <v>102.68377157069582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3.4106051316484809E-13</v>
      </c>
      <c r="O118" s="13">
        <f>N118*VLOOKUP('Données projet'!$B$9,Paramètres!$A$1:$I$89,3,0)*VLOOKUP('Données projet'!$B$9,Paramètres!$A$1:$I$89,5,0)</f>
        <v>2.0395418687257919E-13</v>
      </c>
      <c r="P118" s="13">
        <f t="shared" si="87"/>
        <v>2.8200388570161721E-12</v>
      </c>
      <c r="Q118" s="20">
        <f t="shared" si="107"/>
        <v>5.2667878847729083E-12</v>
      </c>
      <c r="R118" s="59">
        <f t="shared" si="55"/>
        <v>293.3333333333386</v>
      </c>
      <c r="S118" s="59">
        <f ca="1">AVERAGE(OFFSET($R$3,0,0,'Données projet'!$E$9+1,1))-AVERAGE(OFFSET($H$3,0,0,'Données projet'!$E$9+1,1))</f>
        <v>288.98981546396209</v>
      </c>
      <c r="T118" s="59">
        <f t="shared" si="88"/>
        <v>281.67720096117085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69.296774498539804</v>
      </c>
      <c r="AA118" s="21">
        <f>EXP(-LN(2)/25)*AA117+(1-EXP(-LN(2)/25))/(LN(2)/25)*Calculateur!V118*Calculateur!X118*VLOOKUP('Données projet'!$B$9,Paramètres!$A$1:$I$89,3,0)*0.475*44/12</f>
        <v>15.627477542878321</v>
      </c>
      <c r="AB118" s="21">
        <f>EXP(-LN(2)/2)*AB117+(1-EXP(-LN(2)/2))/(LN(2)/2)*V118*Y118*VLOOKUP('Données projet'!$B$9,Paramètres!$A$1:$I$89,3,0)*0.475*44/12</f>
        <v>7.8785916154472902E-6</v>
      </c>
      <c r="AC118" s="22">
        <f t="shared" si="57"/>
        <v>84.924259920009746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234.95901223517041</v>
      </c>
      <c r="AO118" s="59">
        <f t="shared" si="90"/>
        <v>179.39213799913273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82.239377816204012</v>
      </c>
      <c r="AV118" s="21">
        <f>EXP(-LN(2)/25)*AV117+(1-EXP(-LN(2)/25))/(LN(2)/25)*Calculateur!AQ118*Calculateur!AS118*VLOOKUP('Données projet'!$B$10,Paramètres!$A$1:$I$89,3,0)*0.475*44/12</f>
        <v>18.285088499805944</v>
      </c>
      <c r="AW118" s="21">
        <f>EXP(-LN(2)/2)*AW117+(1-EXP(-LN(2)/2))/(LN(2)/2)*AQ118*AT118*VLOOKUP('Données projet'!$B$10,Paramètres!$A$1:$I$89,3,0)*0.475*44/12</f>
        <v>2.2735752074462326E-4</v>
      </c>
      <c r="AX118" s="21">
        <f t="shared" si="60"/>
        <v>100.52469367353069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3.4106051316484809E-13</v>
      </c>
      <c r="O119" s="13">
        <f>N119*VLOOKUP('Données projet'!$B$9,Paramètres!$A$1:$I$89,3,0)*VLOOKUP('Données projet'!$B$9,Paramètres!$A$1:$I$89,5,0)</f>
        <v>2.0395418687257919E-13</v>
      </c>
      <c r="P119" s="13">
        <f t="shared" si="87"/>
        <v>2.8200388570161721E-12</v>
      </c>
      <c r="Q119" s="20">
        <f t="shared" si="107"/>
        <v>5.2667878847729083E-12</v>
      </c>
      <c r="R119" s="59">
        <f t="shared" si="55"/>
        <v>293.3333333333386</v>
      </c>
      <c r="S119" s="59">
        <f ca="1">AVERAGE(OFFSET($R$3,0,0,'Données projet'!$E$9+1,1))-AVERAGE(OFFSET($H$3,0,0,'Données projet'!$E$9+1,1))</f>
        <v>288.98981546396209</v>
      </c>
      <c r="T119" s="59">
        <f t="shared" si="88"/>
        <v>281.67720096117085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67.937907017482374</v>
      </c>
      <c r="AA119" s="21">
        <f>EXP(-LN(2)/25)*AA118+(1-EXP(-LN(2)/25))/(LN(2)/25)*Calculateur!V119*Calculateur!X119*VLOOKUP('Données projet'!$B$9,Paramètres!$A$1:$I$89,3,0)*0.475*44/12</f>
        <v>15.200143347654986</v>
      </c>
      <c r="AB119" s="21">
        <f>EXP(-LN(2)/2)*AB118+(1-EXP(-LN(2)/2))/(LN(2)/2)*V119*Y119*VLOOKUP('Données projet'!$B$9,Paramètres!$A$1:$I$89,3,0)*0.475*44/12</f>
        <v>5.5710055574822551E-6</v>
      </c>
      <c r="AC119" s="22">
        <f t="shared" si="57"/>
        <v>83.138055936142919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234.95901223517041</v>
      </c>
      <c r="AO119" s="59">
        <f t="shared" si="90"/>
        <v>179.39213799913273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80.626713778295724</v>
      </c>
      <c r="AV119" s="21">
        <f>EXP(-LN(2)/25)*AV118+(1-EXP(-LN(2)/25))/(LN(2)/25)*Calculateur!AQ119*Calculateur!AS119*VLOOKUP('Données projet'!$B$10,Paramètres!$A$1:$I$89,3,0)*0.475*44/12</f>
        <v>17.785081793207738</v>
      </c>
      <c r="AW119" s="21">
        <f>EXP(-LN(2)/2)*AW118+(1-EXP(-LN(2)/2))/(LN(2)/2)*AQ119*AT119*VLOOKUP('Données projet'!$B$10,Paramètres!$A$1:$I$89,3,0)*0.475*44/12</f>
        <v>1.6076604467228428E-4</v>
      </c>
      <c r="AX119" s="21">
        <f t="shared" si="60"/>
        <v>98.411956337548133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3.4106051316484809E-13</v>
      </c>
      <c r="O120" s="13">
        <f>N120*VLOOKUP('Données projet'!$B$9,Paramètres!$A$1:$I$89,3,0)*VLOOKUP('Données projet'!$B$9,Paramètres!$A$1:$I$89,5,0)</f>
        <v>2.0395418687257919E-13</v>
      </c>
      <c r="P120" s="13">
        <f t="shared" si="87"/>
        <v>2.8200388570161721E-12</v>
      </c>
      <c r="Q120" s="20">
        <f t="shared" si="107"/>
        <v>5.2667878847729083E-12</v>
      </c>
      <c r="R120" s="59">
        <f t="shared" si="55"/>
        <v>293.3333333333386</v>
      </c>
      <c r="S120" s="59">
        <f ca="1">AVERAGE(OFFSET($R$3,0,0,'Données projet'!$E$9+1,1))-AVERAGE(OFFSET($H$3,0,0,'Données projet'!$E$9+1,1))</f>
        <v>288.98981546396209</v>
      </c>
      <c r="T120" s="59">
        <f t="shared" si="88"/>
        <v>281.67720096117085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66.60568609890116</v>
      </c>
      <c r="AA120" s="21">
        <f>EXP(-LN(2)/25)*AA119+(1-EXP(-LN(2)/25))/(LN(2)/25)*Calculateur!V120*Calculateur!X120*VLOOKUP('Données projet'!$B$9,Paramètres!$A$1:$I$89,3,0)*0.475*44/12</f>
        <v>14.784494628472562</v>
      </c>
      <c r="AB120" s="21">
        <f>EXP(-LN(2)/2)*AB119+(1-EXP(-LN(2)/2))/(LN(2)/2)*V120*Y120*VLOOKUP('Données projet'!$B$9,Paramètres!$A$1:$I$89,3,0)*0.475*44/12</f>
        <v>3.9392958077236451E-6</v>
      </c>
      <c r="AC120" s="22">
        <f t="shared" si="57"/>
        <v>81.390184666669526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234.95901223517041</v>
      </c>
      <c r="AO120" s="59">
        <f t="shared" si="90"/>
        <v>179.39213799913273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79.045673098542878</v>
      </c>
      <c r="AV120" s="21">
        <f>EXP(-LN(2)/25)*AV119+(1-EXP(-LN(2)/25))/(LN(2)/25)*Calculateur!AQ120*Calculateur!AS120*VLOOKUP('Données projet'!$B$10,Paramètres!$A$1:$I$89,3,0)*0.475*44/12</f>
        <v>17.298747796295668</v>
      </c>
      <c r="AW120" s="21">
        <f>EXP(-LN(2)/2)*AW119+(1-EXP(-LN(2)/2))/(LN(2)/2)*AQ120*AT120*VLOOKUP('Données projet'!$B$10,Paramètres!$A$1:$I$89,3,0)*0.475*44/12</f>
        <v>1.1367876037231166E-4</v>
      </c>
      <c r="AX120" s="21">
        <f t="shared" si="60"/>
        <v>96.344534573598921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3.4106051316484809E-13</v>
      </c>
      <c r="O121" s="13">
        <f>N121*VLOOKUP('Données projet'!$B$9,Paramètres!$A$1:$I$89,3,0)*VLOOKUP('Données projet'!$B$9,Paramètres!$A$1:$I$89,5,0)</f>
        <v>2.0395418687257919E-13</v>
      </c>
      <c r="P121" s="13">
        <f t="shared" si="87"/>
        <v>2.8200388570161721E-12</v>
      </c>
      <c r="Q121" s="20">
        <f t="shared" si="107"/>
        <v>5.2667878847729083E-12</v>
      </c>
      <c r="R121" s="59">
        <f t="shared" si="55"/>
        <v>293.3333333333386</v>
      </c>
      <c r="S121" s="59">
        <f ca="1">AVERAGE(OFFSET($R$3,0,0,'Données projet'!$E$9+1,1))-AVERAGE(OFFSET($H$3,0,0,'Données projet'!$E$9+1,1))</f>
        <v>288.98981546396209</v>
      </c>
      <c r="T121" s="59">
        <f t="shared" si="88"/>
        <v>281.67720096117085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65.299589219958804</v>
      </c>
      <c r="AA121" s="21">
        <f>EXP(-LN(2)/25)*AA120+(1-EXP(-LN(2)/25))/(LN(2)/25)*Calculateur!V121*Calculateur!X121*VLOOKUP('Données projet'!$B$9,Paramètres!$A$1:$I$89,3,0)*0.475*44/12</f>
        <v>14.380211845374196</v>
      </c>
      <c r="AB121" s="21">
        <f>EXP(-LN(2)/2)*AB120+(1-EXP(-LN(2)/2))/(LN(2)/2)*V121*Y121*VLOOKUP('Données projet'!$B$9,Paramètres!$A$1:$I$89,3,0)*0.475*44/12</f>
        <v>2.7855027787411275E-6</v>
      </c>
      <c r="AC121" s="22">
        <f t="shared" si="57"/>
        <v>79.679803850835768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234.95901223517041</v>
      </c>
      <c r="AO121" s="59">
        <f t="shared" si="90"/>
        <v>179.39213799913273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77.495635662180391</v>
      </c>
      <c r="AV121" s="21">
        <f>EXP(-LN(2)/25)*AV120+(1-EXP(-LN(2)/25))/(LN(2)/25)*Calculateur!AQ121*Calculateur!AS121*VLOOKUP('Données projet'!$B$10,Paramètres!$A$1:$I$89,3,0)*0.475*44/12</f>
        <v>16.825712628104352</v>
      </c>
      <c r="AW121" s="21">
        <f>EXP(-LN(2)/2)*AW120+(1-EXP(-LN(2)/2))/(LN(2)/2)*AQ121*AT121*VLOOKUP('Données projet'!$B$10,Paramètres!$A$1:$I$89,3,0)*0.475*44/12</f>
        <v>8.0383022336142151E-5</v>
      </c>
      <c r="AX121" s="21">
        <f t="shared" si="60"/>
        <v>94.321428673307082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3.4106051316484809E-13</v>
      </c>
      <c r="O122" s="13">
        <f>N122*VLOOKUP('Données projet'!$B$9,Paramètres!$A$1:$I$89,3,0)*VLOOKUP('Données projet'!$B$9,Paramètres!$A$1:$I$89,5,0)</f>
        <v>2.0395418687257919E-13</v>
      </c>
      <c r="P122" s="13">
        <f t="shared" si="87"/>
        <v>2.8200388570161721E-12</v>
      </c>
      <c r="Q122" s="20">
        <f t="shared" si="107"/>
        <v>5.2667878847729083E-12</v>
      </c>
      <c r="R122" s="59">
        <f t="shared" si="55"/>
        <v>293.3333333333386</v>
      </c>
      <c r="S122" s="59">
        <f ca="1">AVERAGE(OFFSET($R$3,0,0,'Données projet'!$E$9+1,1))-AVERAGE(OFFSET($H$3,0,0,'Données projet'!$E$9+1,1))</f>
        <v>288.98981546396209</v>
      </c>
      <c r="T122" s="59">
        <f t="shared" si="88"/>
        <v>281.67720096117085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64.019104104172072</v>
      </c>
      <c r="AA122" s="21">
        <f>EXP(-LN(2)/25)*AA121+(1-EXP(-LN(2)/25))/(LN(2)/25)*Calculateur!V122*Calculateur!X122*VLOOKUP('Données projet'!$B$9,Paramètres!$A$1:$I$89,3,0)*0.475*44/12</f>
        <v>13.986984196239964</v>
      </c>
      <c r="AB122" s="21">
        <f>EXP(-LN(2)/2)*AB121+(1-EXP(-LN(2)/2))/(LN(2)/2)*V122*Y122*VLOOKUP('Données projet'!$B$9,Paramètres!$A$1:$I$89,3,0)*0.475*44/12</f>
        <v>1.9696479038618225E-6</v>
      </c>
      <c r="AC122" s="22">
        <f t="shared" si="57"/>
        <v>78.006090270059929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234.95901223517041</v>
      </c>
      <c r="AO122" s="59">
        <f t="shared" si="90"/>
        <v>179.39213799913273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75.975993514515494</v>
      </c>
      <c r="AV122" s="21">
        <f>EXP(-LN(2)/25)*AV121+(1-EXP(-LN(2)/25))/(LN(2)/25)*Calculateur!AQ122*Calculateur!AS122*VLOOKUP('Données projet'!$B$10,Paramètres!$A$1:$I$89,3,0)*0.475*44/12</f>
        <v>16.365612631463065</v>
      </c>
      <c r="AW122" s="21">
        <f>EXP(-LN(2)/2)*AW121+(1-EXP(-LN(2)/2))/(LN(2)/2)*AQ122*AT122*VLOOKUP('Données projet'!$B$10,Paramètres!$A$1:$I$89,3,0)*0.475*44/12</f>
        <v>5.6839380186155834E-5</v>
      </c>
      <c r="AX122" s="21">
        <f t="shared" si="60"/>
        <v>92.341662985358752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3.4106051316484809E-13</v>
      </c>
      <c r="O123" s="13">
        <f>N123*VLOOKUP('Données projet'!$B$9,Paramètres!$A$1:$I$89,3,0)*VLOOKUP('Données projet'!$B$9,Paramètres!$A$1:$I$89,5,0)</f>
        <v>2.0395418687257919E-13</v>
      </c>
      <c r="P123" s="13">
        <f t="shared" si="87"/>
        <v>2.8200388570161721E-12</v>
      </c>
      <c r="Q123" s="20">
        <f t="shared" si="107"/>
        <v>5.2667878847729083E-12</v>
      </c>
      <c r="R123" s="59">
        <f t="shared" si="55"/>
        <v>293.3333333333386</v>
      </c>
      <c r="S123" s="59">
        <f ca="1">AVERAGE(OFFSET($R$3,0,0,'Données projet'!$E$9+1,1))-AVERAGE(OFFSET($H$3,0,0,'Données projet'!$E$9+1,1))</f>
        <v>288.98981546396209</v>
      </c>
      <c r="T123" s="59">
        <f t="shared" si="88"/>
        <v>281.67720096117085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62.763728520487113</v>
      </c>
      <c r="AA123" s="21">
        <f>EXP(-LN(2)/25)*AA122+(1-EXP(-LN(2)/25))/(LN(2)/25)*Calculateur!V123*Calculateur!X123*VLOOKUP('Données projet'!$B$9,Paramètres!$A$1:$I$89,3,0)*0.475*44/12</f>
        <v>13.604509377850251</v>
      </c>
      <c r="AB123" s="21">
        <f>EXP(-LN(2)/2)*AB122+(1-EXP(-LN(2)/2))/(LN(2)/2)*V123*Y123*VLOOKUP('Données projet'!$B$9,Paramètres!$A$1:$I$89,3,0)*0.475*44/12</f>
        <v>1.3927513893705638E-6</v>
      </c>
      <c r="AC123" s="22">
        <f t="shared" si="57"/>
        <v>76.368239291088756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234.95901223517041</v>
      </c>
      <c r="AO123" s="59">
        <f t="shared" si="90"/>
        <v>179.39213799913273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74.486150622476117</v>
      </c>
      <c r="AV123" s="21">
        <f>EXP(-LN(2)/25)*AV122+(1-EXP(-LN(2)/25))/(LN(2)/25)*Calculateur!AQ123*Calculateur!AS123*VLOOKUP('Données projet'!$B$10,Paramètres!$A$1:$I$89,3,0)*0.475*44/12</f>
        <v>15.918094093425545</v>
      </c>
      <c r="AW123" s="21">
        <f>EXP(-LN(2)/2)*AW122+(1-EXP(-LN(2)/2))/(LN(2)/2)*AQ123*AT123*VLOOKUP('Données projet'!$B$10,Paramètres!$A$1:$I$89,3,0)*0.475*44/12</f>
        <v>4.0191511168071083E-5</v>
      </c>
      <c r="AX123" s="21">
        <f t="shared" si="60"/>
        <v>90.404284907412816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3.4106051316484809E-13</v>
      </c>
      <c r="O124" s="13">
        <f>N124*VLOOKUP('Données projet'!$B$9,Paramètres!$A$1:$I$89,3,0)*VLOOKUP('Données projet'!$B$9,Paramètres!$A$1:$I$89,5,0)</f>
        <v>2.0395418687257919E-13</v>
      </c>
      <c r="P124" s="13">
        <f t="shared" si="87"/>
        <v>2.8200388570161721E-12</v>
      </c>
      <c r="Q124" s="20">
        <f t="shared" si="107"/>
        <v>5.2667878847729083E-12</v>
      </c>
      <c r="R124" s="59">
        <f t="shared" si="55"/>
        <v>293.3333333333386</v>
      </c>
      <c r="S124" s="59">
        <f ca="1">AVERAGE(OFFSET($R$3,0,0,'Données projet'!$E$9+1,1))-AVERAGE(OFFSET($H$3,0,0,'Données projet'!$E$9+1,1))</f>
        <v>288.98981546396209</v>
      </c>
      <c r="T124" s="59">
        <f t="shared" si="88"/>
        <v>281.67720096117085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61.532970086294718</v>
      </c>
      <c r="AA124" s="21">
        <f>EXP(-LN(2)/25)*AA123+(1-EXP(-LN(2)/25))/(LN(2)/25)*Calculateur!V124*Calculateur!X124*VLOOKUP('Données projet'!$B$9,Paramètres!$A$1:$I$89,3,0)*0.475*44/12</f>
        <v>13.232493353482882</v>
      </c>
      <c r="AB124" s="21">
        <f>EXP(-LN(2)/2)*AB123+(1-EXP(-LN(2)/2))/(LN(2)/2)*V124*Y124*VLOOKUP('Données projet'!$B$9,Paramètres!$A$1:$I$89,3,0)*0.475*44/12</f>
        <v>9.8482395193091127E-7</v>
      </c>
      <c r="AC124" s="22">
        <f t="shared" si="57"/>
        <v>74.765464424601561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234.95901223517041</v>
      </c>
      <c r="AO124" s="59">
        <f t="shared" si="90"/>
        <v>179.39213799913273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73.025522640835192</v>
      </c>
      <c r="AV124" s="21">
        <f>EXP(-LN(2)/25)*AV123+(1-EXP(-LN(2)/25))/(LN(2)/25)*Calculateur!AQ124*Calculateur!AS124*VLOOKUP('Données projet'!$B$10,Paramètres!$A$1:$I$89,3,0)*0.475*44/12</f>
        <v>15.482812973344636</v>
      </c>
      <c r="AW124" s="21">
        <f>EXP(-LN(2)/2)*AW123+(1-EXP(-LN(2)/2))/(LN(2)/2)*AQ124*AT124*VLOOKUP('Données projet'!$B$10,Paramètres!$A$1:$I$89,3,0)*0.475*44/12</f>
        <v>2.8419690093077921E-5</v>
      </c>
      <c r="AX124" s="21">
        <f t="shared" si="60"/>
        <v>88.508364033869924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3.4106051316484809E-13</v>
      </c>
      <c r="O125" s="13">
        <f>N125*VLOOKUP('Données projet'!$B$9,Paramètres!$A$1:$I$89,3,0)*VLOOKUP('Données projet'!$B$9,Paramètres!$A$1:$I$89,5,0)</f>
        <v>2.0395418687257919E-13</v>
      </c>
      <c r="P125" s="13">
        <f t="shared" si="87"/>
        <v>2.8200388570161721E-12</v>
      </c>
      <c r="Q125" s="20">
        <f t="shared" si="107"/>
        <v>5.2667878847729083E-12</v>
      </c>
      <c r="R125" s="59">
        <f t="shared" si="55"/>
        <v>293.3333333333386</v>
      </c>
      <c r="S125" s="59">
        <f ca="1">AVERAGE(OFFSET($R$3,0,0,'Données projet'!$E$9+1,1))-AVERAGE(OFFSET($H$3,0,0,'Données projet'!$E$9+1,1))</f>
        <v>288.98981546396209</v>
      </c>
      <c r="T125" s="59">
        <f t="shared" si="88"/>
        <v>281.67720096117085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60.326346074308312</v>
      </c>
      <c r="AA125" s="21">
        <f>EXP(-LN(2)/25)*AA124+(1-EXP(-LN(2)/25))/(LN(2)/25)*Calculateur!V125*Calculateur!X125*VLOOKUP('Données projet'!$B$9,Paramètres!$A$1:$I$89,3,0)*0.475*44/12</f>
        <v>12.870650126865311</v>
      </c>
      <c r="AB125" s="21">
        <f>EXP(-LN(2)/2)*AB124+(1-EXP(-LN(2)/2))/(LN(2)/2)*V125*Y125*VLOOKUP('Données projet'!$B$9,Paramètres!$A$1:$I$89,3,0)*0.475*44/12</f>
        <v>6.9637569468528188E-7</v>
      </c>
      <c r="AC125" s="22">
        <f t="shared" si="57"/>
        <v>73.196996897549312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234.95901223517041</v>
      </c>
      <c r="AO125" s="59">
        <f t="shared" si="90"/>
        <v>179.39213799913273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71.593536683019153</v>
      </c>
      <c r="AV125" s="21">
        <f>EXP(-LN(2)/25)*AV124+(1-EXP(-LN(2)/25))/(LN(2)/25)*Calculateur!AQ125*Calculateur!AS125*VLOOKUP('Données projet'!$B$10,Paramètres!$A$1:$I$89,3,0)*0.475*44/12</f>
        <v>15.059434638382779</v>
      </c>
      <c r="AW125" s="21">
        <f>EXP(-LN(2)/2)*AW124+(1-EXP(-LN(2)/2))/(LN(2)/2)*AQ125*AT125*VLOOKUP('Données projet'!$B$10,Paramètres!$A$1:$I$89,3,0)*0.475*44/12</f>
        <v>2.0095755584035545E-5</v>
      </c>
      <c r="AX125" s="21">
        <f t="shared" si="60"/>
        <v>86.652991417157523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3.4106051316484809E-13</v>
      </c>
      <c r="O126" s="13">
        <f>N126*VLOOKUP('Données projet'!$B$9,Paramètres!$A$1:$I$89,3,0)*VLOOKUP('Données projet'!$B$9,Paramètres!$A$1:$I$89,5,0)</f>
        <v>2.0395418687257919E-13</v>
      </c>
      <c r="P126" s="13">
        <f t="shared" si="87"/>
        <v>2.8200388570161721E-12</v>
      </c>
      <c r="Q126" s="20">
        <f t="shared" si="107"/>
        <v>5.2667878847729083E-12</v>
      </c>
      <c r="R126" s="59">
        <f t="shared" si="55"/>
        <v>293.3333333333386</v>
      </c>
      <c r="S126" s="59">
        <f ca="1">AVERAGE(OFFSET($R$3,0,0,'Données projet'!$E$9+1,1))-AVERAGE(OFFSET($H$3,0,0,'Données projet'!$E$9+1,1))</f>
        <v>288.98981546396209</v>
      </c>
      <c r="T126" s="59">
        <f t="shared" si="88"/>
        <v>281.67720096117085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59.14338322322898</v>
      </c>
      <c r="AA126" s="21">
        <f>EXP(-LN(2)/25)*AA125+(1-EXP(-LN(2)/25))/(LN(2)/25)*Calculateur!V126*Calculateur!X126*VLOOKUP('Données projet'!$B$9,Paramètres!$A$1:$I$89,3,0)*0.475*44/12</f>
        <v>12.518701522308104</v>
      </c>
      <c r="AB126" s="21">
        <f>EXP(-LN(2)/2)*AB125+(1-EXP(-LN(2)/2))/(LN(2)/2)*V126*Y126*VLOOKUP('Données projet'!$B$9,Paramètres!$A$1:$I$89,3,0)*0.475*44/12</f>
        <v>4.9241197596545564E-7</v>
      </c>
      <c r="AC126" s="22">
        <f t="shared" si="57"/>
        <v>71.662085237949057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234.95901223517041</v>
      </c>
      <c r="AO126" s="59">
        <f t="shared" si="90"/>
        <v>179.39213799913273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70.189631096410693</v>
      </c>
      <c r="AV126" s="21">
        <f>EXP(-LN(2)/25)*AV125+(1-EXP(-LN(2)/25))/(LN(2)/25)*Calculateur!AQ126*Calculateur!AS126*VLOOKUP('Données projet'!$B$10,Paramètres!$A$1:$I$89,3,0)*0.475*44/12</f>
        <v>14.647633606254953</v>
      </c>
      <c r="AW126" s="21">
        <f>EXP(-LN(2)/2)*AW125+(1-EXP(-LN(2)/2))/(LN(2)/2)*AQ126*AT126*VLOOKUP('Données projet'!$B$10,Paramètres!$A$1:$I$89,3,0)*0.475*44/12</f>
        <v>1.4209845046538964E-5</v>
      </c>
      <c r="AX126" s="21">
        <f t="shared" si="60"/>
        <v>84.837278912510698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3.4106051316484809E-13</v>
      </c>
      <c r="O127" s="13">
        <f>N127*VLOOKUP('Données projet'!$B$9,Paramètres!$A$1:$I$89,3,0)*VLOOKUP('Données projet'!$B$9,Paramètres!$A$1:$I$89,5,0)</f>
        <v>2.0395418687257919E-13</v>
      </c>
      <c r="P127" s="13">
        <f t="shared" si="87"/>
        <v>2.8200388570161721E-12</v>
      </c>
      <c r="Q127" s="20">
        <f t="shared" si="107"/>
        <v>5.2667878847729083E-12</v>
      </c>
      <c r="R127" s="59">
        <f t="shared" si="55"/>
        <v>293.3333333333386</v>
      </c>
      <c r="S127" s="59">
        <f ca="1">AVERAGE(OFFSET($R$3,0,0,'Données projet'!$E$9+1,1))-AVERAGE(OFFSET($H$3,0,0,'Données projet'!$E$9+1,1))</f>
        <v>288.98981546396209</v>
      </c>
      <c r="T127" s="59">
        <f t="shared" si="88"/>
        <v>281.67720096117085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57.983617552123221</v>
      </c>
      <c r="AA127" s="21">
        <f>EXP(-LN(2)/25)*AA126+(1-EXP(-LN(2)/25))/(LN(2)/25)*Calculateur!V127*Calculateur!X127*VLOOKUP('Données projet'!$B$9,Paramètres!$A$1:$I$89,3,0)*0.475*44/12</f>
        <v>12.176376970850688</v>
      </c>
      <c r="AB127" s="21">
        <f>EXP(-LN(2)/2)*AB126+(1-EXP(-LN(2)/2))/(LN(2)/2)*V127*Y127*VLOOKUP('Données projet'!$B$9,Paramètres!$A$1:$I$89,3,0)*0.475*44/12</f>
        <v>3.4818784734264094E-7</v>
      </c>
      <c r="AC127" s="22">
        <f t="shared" si="57"/>
        <v>70.159994871161757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234.95901223517041</v>
      </c>
      <c r="AO127" s="59">
        <f t="shared" si="90"/>
        <v>179.39213799913273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68.813255242057764</v>
      </c>
      <c r="AV127" s="21">
        <f>EXP(-LN(2)/25)*AV126+(1-EXP(-LN(2)/25))/(LN(2)/25)*Calculateur!AQ127*Calculateur!AS127*VLOOKUP('Données projet'!$B$10,Paramètres!$A$1:$I$89,3,0)*0.475*44/12</f>
        <v>14.247093295006337</v>
      </c>
      <c r="AW127" s="21">
        <f>EXP(-LN(2)/2)*AW126+(1-EXP(-LN(2)/2))/(LN(2)/2)*AQ127*AT127*VLOOKUP('Données projet'!$B$10,Paramètres!$A$1:$I$89,3,0)*0.475*44/12</f>
        <v>1.0047877792017774E-5</v>
      </c>
      <c r="AX127" s="21">
        <f t="shared" si="60"/>
        <v>83.060358584941895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3.4106051316484809E-13</v>
      </c>
      <c r="O128" s="13">
        <f>N128*VLOOKUP('Données projet'!$B$9,Paramètres!$A$1:$I$89,3,0)*VLOOKUP('Données projet'!$B$9,Paramètres!$A$1:$I$89,5,0)</f>
        <v>2.0395418687257919E-13</v>
      </c>
      <c r="P128" s="13">
        <f t="shared" si="87"/>
        <v>2.8200388570161721E-12</v>
      </c>
      <c r="Q128" s="20">
        <f t="shared" si="107"/>
        <v>5.2667878847729083E-12</v>
      </c>
      <c r="R128" s="59">
        <f t="shared" si="55"/>
        <v>293.3333333333386</v>
      </c>
      <c r="S128" s="59">
        <f ca="1">AVERAGE(OFFSET($R$3,0,0,'Données projet'!$E$9+1,1))-AVERAGE(OFFSET($H$3,0,0,'Données projet'!$E$9+1,1))</f>
        <v>288.98981546396209</v>
      </c>
      <c r="T128" s="59">
        <f t="shared" si="88"/>
        <v>281.67720096117085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56.84659417844064</v>
      </c>
      <c r="AA128" s="21">
        <f>EXP(-LN(2)/25)*AA127+(1-EXP(-LN(2)/25))/(LN(2)/25)*Calculateur!V128*Calculateur!X128*VLOOKUP('Données projet'!$B$9,Paramètres!$A$1:$I$89,3,0)*0.475*44/12</f>
        <v>11.843413302254941</v>
      </c>
      <c r="AB128" s="21">
        <f>EXP(-LN(2)/2)*AB127+(1-EXP(-LN(2)/2))/(LN(2)/2)*V128*Y128*VLOOKUP('Données projet'!$B$9,Paramètres!$A$1:$I$89,3,0)*0.475*44/12</f>
        <v>2.4620598798272782E-7</v>
      </c>
      <c r="AC128" s="22">
        <f t="shared" si="57"/>
        <v>68.69000772690157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234.95901223517041</v>
      </c>
      <c r="AO128" s="59">
        <f t="shared" si="90"/>
        <v>179.39213799913273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67.463869278702319</v>
      </c>
      <c r="AV128" s="21">
        <f>EXP(-LN(2)/25)*AV127+(1-EXP(-LN(2)/25))/(LN(2)/25)*Calculateur!AQ128*Calculateur!AS128*VLOOKUP('Données projet'!$B$10,Paramètres!$A$1:$I$89,3,0)*0.475*44/12</f>
        <v>13.857505779632314</v>
      </c>
      <c r="AW128" s="21">
        <f>EXP(-LN(2)/2)*AW127+(1-EXP(-LN(2)/2))/(LN(2)/2)*AQ128*AT128*VLOOKUP('Données projet'!$B$10,Paramètres!$A$1:$I$89,3,0)*0.475*44/12</f>
        <v>7.1049225232694827E-6</v>
      </c>
      <c r="AX128" s="21">
        <f t="shared" si="60"/>
        <v>81.321382163257155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3.4106051316484809E-13</v>
      </c>
      <c r="O129" s="13">
        <f>N129*VLOOKUP('Données projet'!$B$9,Paramètres!$A$1:$I$89,3,0)*VLOOKUP('Données projet'!$B$9,Paramètres!$A$1:$I$89,5,0)</f>
        <v>2.0395418687257919E-13</v>
      </c>
      <c r="P129" s="13">
        <f t="shared" si="87"/>
        <v>2.8200388570161721E-12</v>
      </c>
      <c r="Q129" s="20">
        <f t="shared" si="107"/>
        <v>5.2667878847729083E-12</v>
      </c>
      <c r="R129" s="59">
        <f t="shared" si="55"/>
        <v>293.3333333333386</v>
      </c>
      <c r="S129" s="59">
        <f ca="1">AVERAGE(OFFSET($R$3,0,0,'Données projet'!$E$9+1,1))-AVERAGE(OFFSET($H$3,0,0,'Données projet'!$E$9+1,1))</f>
        <v>288.98981546396209</v>
      </c>
      <c r="T129" s="59">
        <f t="shared" si="88"/>
        <v>281.67720096117085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55.73186713960019</v>
      </c>
      <c r="AA129" s="21">
        <f>EXP(-LN(2)/25)*AA128+(1-EXP(-LN(2)/25))/(LN(2)/25)*Calculateur!V129*Calculateur!X129*VLOOKUP('Données projet'!$B$9,Paramètres!$A$1:$I$89,3,0)*0.475*44/12</f>
        <v>11.519554542686743</v>
      </c>
      <c r="AB129" s="21">
        <f>EXP(-LN(2)/2)*AB128+(1-EXP(-LN(2)/2))/(LN(2)/2)*V129*Y129*VLOOKUP('Données projet'!$B$9,Paramètres!$A$1:$I$89,3,0)*0.475*44/12</f>
        <v>1.7409392367132047E-7</v>
      </c>
      <c r="AC129" s="22">
        <f t="shared" si="57"/>
        <v>67.251421856380858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234.95901223517041</v>
      </c>
      <c r="AO129" s="59">
        <f t="shared" si="90"/>
        <v>179.39213799913273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66.140943951044108</v>
      </c>
      <c r="AV129" s="21">
        <f>EXP(-LN(2)/25)*AV128+(1-EXP(-LN(2)/25))/(LN(2)/25)*Calculateur!AQ129*Calculateur!AS129*VLOOKUP('Données projet'!$B$10,Paramètres!$A$1:$I$89,3,0)*0.475*44/12</f>
        <v>13.478571555353712</v>
      </c>
      <c r="AW129" s="21">
        <f>EXP(-LN(2)/2)*AW128+(1-EXP(-LN(2)/2))/(LN(2)/2)*AQ129*AT129*VLOOKUP('Données projet'!$B$10,Paramètres!$A$1:$I$89,3,0)*0.475*44/12</f>
        <v>5.0239388960088879E-6</v>
      </c>
      <c r="AX129" s="21">
        <f t="shared" si="60"/>
        <v>79.619520530336715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3.4106051316484809E-13</v>
      </c>
      <c r="O130" s="13">
        <f>N130*VLOOKUP('Données projet'!$B$9,Paramètres!$A$1:$I$89,3,0)*VLOOKUP('Données projet'!$B$9,Paramètres!$A$1:$I$89,5,0)</f>
        <v>2.0395418687257919E-13</v>
      </c>
      <c r="P130" s="13">
        <f t="shared" si="87"/>
        <v>2.8200388570161721E-12</v>
      </c>
      <c r="Q130" s="20">
        <f t="shared" si="107"/>
        <v>5.2667878847729083E-12</v>
      </c>
      <c r="R130" s="59">
        <f t="shared" si="55"/>
        <v>293.3333333333386</v>
      </c>
      <c r="S130" s="59">
        <f ca="1">AVERAGE(OFFSET($R$3,0,0,'Données projet'!$E$9+1,1))-AVERAGE(OFFSET($H$3,0,0,'Données projet'!$E$9+1,1))</f>
        <v>288.98981546396209</v>
      </c>
      <c r="T130" s="59">
        <f t="shared" si="88"/>
        <v>281.67720096117085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54.63899921807505</v>
      </c>
      <c r="AA130" s="21">
        <f>EXP(-LN(2)/25)*AA129+(1-EXP(-LN(2)/25))/(LN(2)/25)*Calculateur!V130*Calculateur!X130*VLOOKUP('Données projet'!$B$9,Paramètres!$A$1:$I$89,3,0)*0.475*44/12</f>
        <v>11.204551717929929</v>
      </c>
      <c r="AB130" s="21">
        <f>EXP(-LN(2)/2)*AB129+(1-EXP(-LN(2)/2))/(LN(2)/2)*V130*Y130*VLOOKUP('Données projet'!$B$9,Paramètres!$A$1:$I$89,3,0)*0.475*44/12</f>
        <v>1.2310299399136391E-7</v>
      </c>
      <c r="AC130" s="22">
        <f t="shared" si="57"/>
        <v>65.843551059107966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234.95901223517041</v>
      </c>
      <c r="AO130" s="59">
        <f t="shared" si="90"/>
        <v>179.39213799913273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64.843960382156496</v>
      </c>
      <c r="AV130" s="21">
        <f>EXP(-LN(2)/25)*AV129+(1-EXP(-LN(2)/25))/(LN(2)/25)*Calculateur!AQ130*Calculateur!AS130*VLOOKUP('Données projet'!$B$10,Paramètres!$A$1:$I$89,3,0)*0.475*44/12</f>
        <v>13.109999307365293</v>
      </c>
      <c r="AW130" s="21">
        <f>EXP(-LN(2)/2)*AW129+(1-EXP(-LN(2)/2))/(LN(2)/2)*AQ130*AT130*VLOOKUP('Données projet'!$B$10,Paramètres!$A$1:$I$89,3,0)*0.475*44/12</f>
        <v>3.5524612616347422E-6</v>
      </c>
      <c r="AX130" s="21">
        <f t="shared" si="60"/>
        <v>77.953963241983047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3.4106051316484809E-13</v>
      </c>
      <c r="O131" s="13">
        <f>N131*VLOOKUP('Données projet'!$B$9,Paramètres!$A$1:$I$89,3,0)*VLOOKUP('Données projet'!$B$9,Paramètres!$A$1:$I$89,5,0)</f>
        <v>2.0395418687257919E-13</v>
      </c>
      <c r="P131" s="13">
        <f t="shared" si="87"/>
        <v>2.8200388570161721E-12</v>
      </c>
      <c r="Q131" s="20">
        <f t="shared" ref="Q131:Q153" si="108">(O131+P131)*0.475*44/12</f>
        <v>5.2667878847729083E-12</v>
      </c>
      <c r="R131" s="59">
        <f t="shared" ref="R131:R194" si="109">Q131+(I131+J131)*44/12</f>
        <v>293.3333333333386</v>
      </c>
      <c r="S131" s="59">
        <f ca="1">AVERAGE(OFFSET($R$3,0,0,'Données projet'!$E$9+1,1))-AVERAGE(OFFSET($H$3,0,0,'Données projet'!$E$9+1,1))</f>
        <v>288.98981546396209</v>
      </c>
      <c r="T131" s="59">
        <f t="shared" si="88"/>
        <v>281.67720096117085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53.5675617699074</v>
      </c>
      <c r="AA131" s="21">
        <f>EXP(-LN(2)/25)*AA130+(1-EXP(-LN(2)/25))/(LN(2)/25)*Calculateur!V131*Calculateur!X131*VLOOKUP('Données projet'!$B$9,Paramètres!$A$1:$I$89,3,0)*0.475*44/12</f>
        <v>10.898162661981369</v>
      </c>
      <c r="AB131" s="21">
        <f>EXP(-LN(2)/2)*AB130+(1-EXP(-LN(2)/2))/(LN(2)/2)*V131*Y131*VLOOKUP('Données projet'!$B$9,Paramètres!$A$1:$I$89,3,0)*0.475*44/12</f>
        <v>8.7046961835660236E-8</v>
      </c>
      <c r="AC131" s="22">
        <f t="shared" si="57"/>
        <v>64.46572451893573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234.95901223517041</v>
      </c>
      <c r="AO131" s="59">
        <f t="shared" si="90"/>
        <v>179.39213799913273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63.572409869972915</v>
      </c>
      <c r="AV131" s="21">
        <f>EXP(-LN(2)/25)*AV130+(1-EXP(-LN(2)/25))/(LN(2)/25)*Calculateur!AQ131*Calculateur!AS131*VLOOKUP('Données projet'!$B$10,Paramètres!$A$1:$I$89,3,0)*0.475*44/12</f>
        <v>12.751505686880488</v>
      </c>
      <c r="AW131" s="21">
        <f>EXP(-LN(2)/2)*AW130+(1-EXP(-LN(2)/2))/(LN(2)/2)*AQ131*AT131*VLOOKUP('Données projet'!$B$10,Paramètres!$A$1:$I$89,3,0)*0.475*44/12</f>
        <v>2.5119694480044444E-6</v>
      </c>
      <c r="AX131" s="21">
        <f t="shared" si="60"/>
        <v>76.323918068822849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3.4106051316484809E-13</v>
      </c>
      <c r="O132" s="13">
        <f>N132*VLOOKUP('Données projet'!$B$9,Paramètres!$A$1:$I$89,3,0)*VLOOKUP('Données projet'!$B$9,Paramètres!$A$1:$I$89,5,0)</f>
        <v>2.0395418687257919E-13</v>
      </c>
      <c r="P132" s="13">
        <f t="shared" si="87"/>
        <v>2.8200388570161721E-12</v>
      </c>
      <c r="Q132" s="20">
        <f t="shared" si="108"/>
        <v>5.2667878847729083E-12</v>
      </c>
      <c r="R132" s="59">
        <f t="shared" si="109"/>
        <v>293.3333333333386</v>
      </c>
      <c r="S132" s="59">
        <f ca="1">AVERAGE(OFFSET($R$3,0,0,'Données projet'!$E$9+1,1))-AVERAGE(OFFSET($H$3,0,0,'Données projet'!$E$9+1,1))</f>
        <v>288.98981546396209</v>
      </c>
      <c r="T132" s="59">
        <f t="shared" si="88"/>
        <v>281.67720096117085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52.517134556586008</v>
      </c>
      <c r="AA132" s="21">
        <f>EXP(-LN(2)/25)*AA131+(1-EXP(-LN(2)/25))/(LN(2)/25)*Calculateur!V132*Calculateur!X132*VLOOKUP('Données projet'!$B$9,Paramètres!$A$1:$I$89,3,0)*0.475*44/12</f>
        <v>10.600151830880021</v>
      </c>
      <c r="AB132" s="21">
        <f>EXP(-LN(2)/2)*AB131+(1-EXP(-LN(2)/2))/(LN(2)/2)*V132*Y132*VLOOKUP('Données projet'!$B$9,Paramètres!$A$1:$I$89,3,0)*0.475*44/12</f>
        <v>6.1551496995681954E-8</v>
      </c>
      <c r="AC132" s="22">
        <f t="shared" ref="AC132:AC153" si="111">SUM(Z132:AB132)</f>
        <v>63.117286449017527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234.95901223517041</v>
      </c>
      <c r="AO132" s="59">
        <f t="shared" si="90"/>
        <v>179.39213799913273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62.325793687764019</v>
      </c>
      <c r="AV132" s="21">
        <f>EXP(-LN(2)/25)*AV131+(1-EXP(-LN(2)/25))/(LN(2)/25)*Calculateur!AQ132*Calculateur!AS132*VLOOKUP('Données projet'!$B$10,Paramètres!$A$1:$I$89,3,0)*0.475*44/12</f>
        <v>12.402815093300202</v>
      </c>
      <c r="AW132" s="21">
        <f>EXP(-LN(2)/2)*AW131+(1-EXP(-LN(2)/2))/(LN(2)/2)*AQ132*AT132*VLOOKUP('Données projet'!$B$10,Paramètres!$A$1:$I$89,3,0)*0.475*44/12</f>
        <v>1.7762306308173713E-6</v>
      </c>
      <c r="AX132" s="21">
        <f t="shared" ref="AX132:AX153" si="114">SUM(AU132:AW132)</f>
        <v>74.728610557294857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3.4106051316484809E-13</v>
      </c>
      <c r="O133" s="13">
        <f>N133*VLOOKUP('Données projet'!$B$9,Paramètres!$A$1:$I$89,3,0)*VLOOKUP('Données projet'!$B$9,Paramètres!$A$1:$I$89,5,0)</f>
        <v>2.0395418687257919E-13</v>
      </c>
      <c r="P133" s="13">
        <f t="shared" ref="P133:P196" si="141">EXP(-1.0587+0.8836*LN(O133)+0.284)</f>
        <v>2.8200388570161721E-12</v>
      </c>
      <c r="Q133" s="20">
        <f t="shared" si="108"/>
        <v>5.2667878847729083E-12</v>
      </c>
      <c r="R133" s="59">
        <f t="shared" si="109"/>
        <v>293.3333333333386</v>
      </c>
      <c r="S133" s="59">
        <f ca="1">AVERAGE(OFFSET($R$3,0,0,'Données projet'!$E$9+1,1))-AVERAGE(OFFSET($H$3,0,0,'Données projet'!$E$9+1,1))</f>
        <v>288.98981546396209</v>
      </c>
      <c r="T133" s="59">
        <f t="shared" ref="T133:T196" si="142">$T$3</f>
        <v>281.67720096117085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51.487305580220507</v>
      </c>
      <c r="AA133" s="21">
        <f>EXP(-LN(2)/25)*AA132+(1-EXP(-LN(2)/25))/(LN(2)/25)*Calculateur!V133*Calculateur!X133*VLOOKUP('Données projet'!$B$9,Paramètres!$A$1:$I$89,3,0)*0.475*44/12</f>
        <v>10.310290121626849</v>
      </c>
      <c r="AB133" s="21">
        <f>EXP(-LN(2)/2)*AB132+(1-EXP(-LN(2)/2))/(LN(2)/2)*V133*Y133*VLOOKUP('Données projet'!$B$9,Paramètres!$A$1:$I$89,3,0)*0.475*44/12</f>
        <v>4.3523480917830118E-8</v>
      </c>
      <c r="AC133" s="22">
        <f t="shared" si="111"/>
        <v>61.797595745370835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234.95901223517041</v>
      </c>
      <c r="AO133" s="59">
        <f t="shared" ref="AO133:AO196" si="144">$AO$3</f>
        <v>179.39213799913273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61.103622888527447</v>
      </c>
      <c r="AV133" s="21">
        <f>EXP(-LN(2)/25)*AV132+(1-EXP(-LN(2)/25))/(LN(2)/25)*Calculateur!AQ133*Calculateur!AS133*VLOOKUP('Données projet'!$B$10,Paramètres!$A$1:$I$89,3,0)*0.475*44/12</f>
        <v>12.063659462338208</v>
      </c>
      <c r="AW133" s="21">
        <f>EXP(-LN(2)/2)*AW132+(1-EXP(-LN(2)/2))/(LN(2)/2)*AQ133*AT133*VLOOKUP('Données projet'!$B$10,Paramètres!$A$1:$I$89,3,0)*0.475*44/12</f>
        <v>1.2559847240022224E-6</v>
      </c>
      <c r="AX133" s="21">
        <f t="shared" si="114"/>
        <v>73.16728360685039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3.4106051316484809E-13</v>
      </c>
      <c r="O134" s="13">
        <f>N134*VLOOKUP('Données projet'!$B$9,Paramètres!$A$1:$I$89,3,0)*VLOOKUP('Données projet'!$B$9,Paramètres!$A$1:$I$89,5,0)</f>
        <v>2.0395418687257919E-13</v>
      </c>
      <c r="P134" s="13">
        <f t="shared" si="141"/>
        <v>2.8200388570161721E-12</v>
      </c>
      <c r="Q134" s="20">
        <f t="shared" si="108"/>
        <v>5.2667878847729083E-12</v>
      </c>
      <c r="R134" s="59">
        <f t="shared" si="109"/>
        <v>293.3333333333386</v>
      </c>
      <c r="S134" s="59">
        <f ca="1">AVERAGE(OFFSET($R$3,0,0,'Données projet'!$E$9+1,1))-AVERAGE(OFFSET($H$3,0,0,'Données projet'!$E$9+1,1))</f>
        <v>288.98981546396209</v>
      </c>
      <c r="T134" s="59">
        <f t="shared" si="142"/>
        <v>281.67720096117085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50.477670921947883</v>
      </c>
      <c r="AA134" s="21">
        <f>EXP(-LN(2)/25)*AA133+(1-EXP(-LN(2)/25))/(LN(2)/25)*Calculateur!V134*Calculateur!X134*VLOOKUP('Données projet'!$B$9,Paramètres!$A$1:$I$89,3,0)*0.475*44/12</f>
        <v>10.02835469605637</v>
      </c>
      <c r="AB134" s="21">
        <f>EXP(-LN(2)/2)*AB133+(1-EXP(-LN(2)/2))/(LN(2)/2)*V134*Y134*VLOOKUP('Données projet'!$B$9,Paramètres!$A$1:$I$89,3,0)*0.475*44/12</f>
        <v>3.0775748497840977E-8</v>
      </c>
      <c r="AC134" s="22">
        <f t="shared" si="111"/>
        <v>60.506025648780003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234.95901223517041</v>
      </c>
      <c r="AO134" s="59">
        <f t="shared" si="144"/>
        <v>179.39213799913273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59.905418113213322</v>
      </c>
      <c r="AV134" s="21">
        <f>EXP(-LN(2)/25)*AV133+(1-EXP(-LN(2)/25))/(LN(2)/25)*Calculateur!AQ134*Calculateur!AS134*VLOOKUP('Données projet'!$B$10,Paramètres!$A$1:$I$89,3,0)*0.475*44/12</f>
        <v>11.73377805994029</v>
      </c>
      <c r="AW134" s="21">
        <f>EXP(-LN(2)/2)*AW133+(1-EXP(-LN(2)/2))/(LN(2)/2)*AQ134*AT134*VLOOKUP('Données projet'!$B$10,Paramètres!$A$1:$I$89,3,0)*0.475*44/12</f>
        <v>8.8811531540868576E-7</v>
      </c>
      <c r="AX134" s="21">
        <f t="shared" si="114"/>
        <v>71.639197061268916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3.4106051316484809E-13</v>
      </c>
      <c r="O135" s="13">
        <f>N135*VLOOKUP('Données projet'!$B$9,Paramètres!$A$1:$I$89,3,0)*VLOOKUP('Données projet'!$B$9,Paramètres!$A$1:$I$89,5,0)</f>
        <v>2.0395418687257919E-13</v>
      </c>
      <c r="P135" s="13">
        <f t="shared" si="141"/>
        <v>2.8200388570161721E-12</v>
      </c>
      <c r="Q135" s="20">
        <f t="shared" si="108"/>
        <v>5.2667878847729083E-12</v>
      </c>
      <c r="R135" s="59">
        <f t="shared" si="109"/>
        <v>293.3333333333386</v>
      </c>
      <c r="S135" s="59">
        <f ca="1">AVERAGE(OFFSET($R$3,0,0,'Données projet'!$E$9+1,1))-AVERAGE(OFFSET($H$3,0,0,'Données projet'!$E$9+1,1))</f>
        <v>288.98981546396209</v>
      </c>
      <c r="T135" s="59">
        <f t="shared" si="142"/>
        <v>281.67720096117085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49.487834583507649</v>
      </c>
      <c r="AA135" s="21">
        <f>EXP(-LN(2)/25)*AA134+(1-EXP(-LN(2)/25))/(LN(2)/25)*Calculateur!V135*Calculateur!X135*VLOOKUP('Données projet'!$B$9,Paramètres!$A$1:$I$89,3,0)*0.475*44/12</f>
        <v>9.754128809524456</v>
      </c>
      <c r="AB135" s="21">
        <f>EXP(-LN(2)/2)*AB134+(1-EXP(-LN(2)/2))/(LN(2)/2)*V135*Y135*VLOOKUP('Données projet'!$B$9,Paramètres!$A$1:$I$89,3,0)*0.475*44/12</f>
        <v>2.1761740458915059E-8</v>
      </c>
      <c r="AC135" s="22">
        <f t="shared" si="111"/>
        <v>59.241963414793851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234.95901223517041</v>
      </c>
      <c r="AO135" s="59">
        <f t="shared" si="144"/>
        <v>179.39213799913273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58.73070940271036</v>
      </c>
      <c r="AV135" s="21">
        <f>EXP(-LN(2)/25)*AV134+(1-EXP(-LN(2)/25))/(LN(2)/25)*Calculateur!AQ135*Calculateur!AS135*VLOOKUP('Données projet'!$B$10,Paramètres!$A$1:$I$89,3,0)*0.475*44/12</f>
        <v>11.412917281838652</v>
      </c>
      <c r="AW135" s="21">
        <f>EXP(-LN(2)/2)*AW134+(1-EXP(-LN(2)/2))/(LN(2)/2)*AQ135*AT135*VLOOKUP('Données projet'!$B$10,Paramètres!$A$1:$I$89,3,0)*0.475*44/12</f>
        <v>6.2799236200111119E-7</v>
      </c>
      <c r="AX135" s="21">
        <f t="shared" si="114"/>
        <v>70.143627312541383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3.4106051316484809E-13</v>
      </c>
      <c r="O136" s="13">
        <f>N136*VLOOKUP('Données projet'!$B$9,Paramètres!$A$1:$I$89,3,0)*VLOOKUP('Données projet'!$B$9,Paramètres!$A$1:$I$89,5,0)</f>
        <v>2.0395418687257919E-13</v>
      </c>
      <c r="P136" s="13">
        <f t="shared" si="141"/>
        <v>2.8200388570161721E-12</v>
      </c>
      <c r="Q136" s="20">
        <f t="shared" si="108"/>
        <v>5.2667878847729083E-12</v>
      </c>
      <c r="R136" s="59">
        <f t="shared" si="109"/>
        <v>293.3333333333386</v>
      </c>
      <c r="S136" s="59">
        <f ca="1">AVERAGE(OFFSET($R$3,0,0,'Données projet'!$E$9+1,1))-AVERAGE(OFFSET($H$3,0,0,'Données projet'!$E$9+1,1))</f>
        <v>288.98981546396209</v>
      </c>
      <c r="T136" s="59">
        <f t="shared" si="142"/>
        <v>281.67720096117085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48.517408331923676</v>
      </c>
      <c r="AA136" s="21">
        <f>EXP(-LN(2)/25)*AA135+(1-EXP(-LN(2)/25))/(LN(2)/25)*Calculateur!V136*Calculateur!X136*VLOOKUP('Données projet'!$B$9,Paramètres!$A$1:$I$89,3,0)*0.475*44/12</f>
        <v>9.4874016442806699</v>
      </c>
      <c r="AB136" s="21">
        <f>EXP(-LN(2)/2)*AB135+(1-EXP(-LN(2)/2))/(LN(2)/2)*V136*Y136*VLOOKUP('Données projet'!$B$9,Paramètres!$A$1:$I$89,3,0)*0.475*44/12</f>
        <v>1.5387874248920489E-8</v>
      </c>
      <c r="AC136" s="22">
        <f t="shared" si="111"/>
        <v>58.004809991592218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234.95901223517041</v>
      </c>
      <c r="AO136" s="59">
        <f t="shared" si="144"/>
        <v>179.39213799913273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57.579036013518795</v>
      </c>
      <c r="AV136" s="21">
        <f>EXP(-LN(2)/25)*AV135+(1-EXP(-LN(2)/25))/(LN(2)/25)*Calculateur!AQ136*Calculateur!AS136*VLOOKUP('Données projet'!$B$10,Paramètres!$A$1:$I$89,3,0)*0.475*44/12</f>
        <v>11.10083045858754</v>
      </c>
      <c r="AW136" s="21">
        <f>EXP(-LN(2)/2)*AW135+(1-EXP(-LN(2)/2))/(LN(2)/2)*AQ136*AT136*VLOOKUP('Données projet'!$B$10,Paramètres!$A$1:$I$89,3,0)*0.475*44/12</f>
        <v>4.4405765770434288E-7</v>
      </c>
      <c r="AX136" s="21">
        <f t="shared" si="114"/>
        <v>68.679866916164002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3.4106051316484809E-13</v>
      </c>
      <c r="O137" s="13">
        <f>N137*VLOOKUP('Données projet'!$B$9,Paramètres!$A$1:$I$89,3,0)*VLOOKUP('Données projet'!$B$9,Paramètres!$A$1:$I$89,5,0)</f>
        <v>2.0395418687257919E-13</v>
      </c>
      <c r="P137" s="13">
        <f t="shared" si="141"/>
        <v>2.8200388570161721E-12</v>
      </c>
      <c r="Q137" s="20">
        <f t="shared" si="108"/>
        <v>5.2667878847729083E-12</v>
      </c>
      <c r="R137" s="59">
        <f t="shared" si="109"/>
        <v>293.3333333333386</v>
      </c>
      <c r="S137" s="59">
        <f ca="1">AVERAGE(OFFSET($R$3,0,0,'Données projet'!$E$9+1,1))-AVERAGE(OFFSET($H$3,0,0,'Données projet'!$E$9+1,1))</f>
        <v>288.98981546396209</v>
      </c>
      <c r="T137" s="59">
        <f t="shared" si="142"/>
        <v>281.67720096117085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47.566011547231696</v>
      </c>
      <c r="AA137" s="21">
        <f>EXP(-LN(2)/25)*AA136+(1-EXP(-LN(2)/25))/(LN(2)/25)*Calculateur!V137*Calculateur!X137*VLOOKUP('Données projet'!$B$9,Paramètres!$A$1:$I$89,3,0)*0.475*44/12</f>
        <v>9.2279681473970463</v>
      </c>
      <c r="AB137" s="21">
        <f>EXP(-LN(2)/2)*AB136+(1-EXP(-LN(2)/2))/(LN(2)/2)*V137*Y137*VLOOKUP('Données projet'!$B$9,Paramètres!$A$1:$I$89,3,0)*0.475*44/12</f>
        <v>1.0880870229457529E-8</v>
      </c>
      <c r="AC137" s="22">
        <f t="shared" si="111"/>
        <v>56.793979705509614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234.95901223517041</v>
      </c>
      <c r="AO137" s="59">
        <f t="shared" si="144"/>
        <v>179.39213799913273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56.449946237037871</v>
      </c>
      <c r="AV137" s="21">
        <f>EXP(-LN(2)/25)*AV136+(1-EXP(-LN(2)/25))/(LN(2)/25)*Calculateur!AQ137*Calculateur!AS137*VLOOKUP('Données projet'!$B$10,Paramètres!$A$1:$I$89,3,0)*0.475*44/12</f>
        <v>10.79727766593016</v>
      </c>
      <c r="AW137" s="21">
        <f>EXP(-LN(2)/2)*AW136+(1-EXP(-LN(2)/2))/(LN(2)/2)*AQ137*AT137*VLOOKUP('Données projet'!$B$10,Paramètres!$A$1:$I$89,3,0)*0.475*44/12</f>
        <v>3.139961810005556E-7</v>
      </c>
      <c r="AX137" s="21">
        <f t="shared" si="114"/>
        <v>67.247224216964213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3.4106051316484809E-13</v>
      </c>
      <c r="O138" s="13">
        <f>N138*VLOOKUP('Données projet'!$B$9,Paramètres!$A$1:$I$89,3,0)*VLOOKUP('Données projet'!$B$9,Paramètres!$A$1:$I$89,5,0)</f>
        <v>2.0395418687257919E-13</v>
      </c>
      <c r="P138" s="13">
        <f t="shared" si="141"/>
        <v>2.8200388570161721E-12</v>
      </c>
      <c r="Q138" s="20">
        <f t="shared" si="108"/>
        <v>5.2667878847729083E-12</v>
      </c>
      <c r="R138" s="59">
        <f t="shared" si="109"/>
        <v>293.3333333333386</v>
      </c>
      <c r="S138" s="59">
        <f ca="1">AVERAGE(OFFSET($R$3,0,0,'Données projet'!$E$9+1,1))-AVERAGE(OFFSET($H$3,0,0,'Données projet'!$E$9+1,1))</f>
        <v>288.98981546396209</v>
      </c>
      <c r="T138" s="59">
        <f t="shared" si="142"/>
        <v>281.67720096117085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46.633271073192788</v>
      </c>
      <c r="AA138" s="21">
        <f>EXP(-LN(2)/25)*AA137+(1-EXP(-LN(2)/25))/(LN(2)/25)*Calculateur!V138*Calculateur!X138*VLOOKUP('Données projet'!$B$9,Paramètres!$A$1:$I$89,3,0)*0.475*44/12</f>
        <v>8.9756288731287199</v>
      </c>
      <c r="AB138" s="21">
        <f>EXP(-LN(2)/2)*AB137+(1-EXP(-LN(2)/2))/(LN(2)/2)*V138*Y138*VLOOKUP('Données projet'!$B$9,Paramètres!$A$1:$I$89,3,0)*0.475*44/12</f>
        <v>7.6939371244602443E-9</v>
      </c>
      <c r="AC138" s="22">
        <f t="shared" si="111"/>
        <v>55.608899954015442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234.95901223517041</v>
      </c>
      <c r="AO138" s="59">
        <f t="shared" si="144"/>
        <v>179.39213799913273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55.342997222396974</v>
      </c>
      <c r="AV138" s="21">
        <f>EXP(-LN(2)/25)*AV137+(1-EXP(-LN(2)/25))/(LN(2)/25)*Calculateur!AQ138*Calculateur!AS138*VLOOKUP('Données projet'!$B$10,Paramètres!$A$1:$I$89,3,0)*0.475*44/12</f>
        <v>10.502025540351145</v>
      </c>
      <c r="AW138" s="21">
        <f>EXP(-LN(2)/2)*AW137+(1-EXP(-LN(2)/2))/(LN(2)/2)*AQ138*AT138*VLOOKUP('Données projet'!$B$10,Paramètres!$A$1:$I$89,3,0)*0.475*44/12</f>
        <v>2.2202882885217144E-7</v>
      </c>
      <c r="AX138" s="21">
        <f t="shared" si="114"/>
        <v>65.845022984776946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3.4106051316484809E-13</v>
      </c>
      <c r="O139" s="13">
        <f>N139*VLOOKUP('Données projet'!$B$9,Paramètres!$A$1:$I$89,3,0)*VLOOKUP('Données projet'!$B$9,Paramètres!$A$1:$I$89,5,0)</f>
        <v>2.0395418687257919E-13</v>
      </c>
      <c r="P139" s="13">
        <f t="shared" si="141"/>
        <v>2.8200388570161721E-12</v>
      </c>
      <c r="Q139" s="20">
        <f t="shared" si="108"/>
        <v>5.2667878847729083E-12</v>
      </c>
      <c r="R139" s="59">
        <f t="shared" si="109"/>
        <v>293.3333333333386</v>
      </c>
      <c r="S139" s="59">
        <f ca="1">AVERAGE(OFFSET($R$3,0,0,'Données projet'!$E$9+1,1))-AVERAGE(OFFSET($H$3,0,0,'Données projet'!$E$9+1,1))</f>
        <v>288.98981546396209</v>
      </c>
      <c r="T139" s="59">
        <f t="shared" si="142"/>
        <v>281.67720096117085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45.718821070934268</v>
      </c>
      <c r="AA139" s="21">
        <f>EXP(-LN(2)/25)*AA138+(1-EXP(-LN(2)/25))/(LN(2)/25)*Calculateur!V139*Calculateur!X139*VLOOKUP('Données projet'!$B$9,Paramètres!$A$1:$I$89,3,0)*0.475*44/12</f>
        <v>8.730189829585207</v>
      </c>
      <c r="AB139" s="21">
        <f>EXP(-LN(2)/2)*AB138+(1-EXP(-LN(2)/2))/(LN(2)/2)*V139*Y139*VLOOKUP('Données projet'!$B$9,Paramètres!$A$1:$I$89,3,0)*0.475*44/12</f>
        <v>5.4404351147287647E-9</v>
      </c>
      <c r="AC139" s="22">
        <f t="shared" si="111"/>
        <v>54.449010905959909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234.95901223517041</v>
      </c>
      <c r="AO139" s="59">
        <f t="shared" si="144"/>
        <v>179.39213799913273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54.257754802760957</v>
      </c>
      <c r="AV139" s="21">
        <f>EXP(-LN(2)/25)*AV138+(1-EXP(-LN(2)/25))/(LN(2)/25)*Calculateur!AQ139*Calculateur!AS139*VLOOKUP('Données projet'!$B$10,Paramètres!$A$1:$I$89,3,0)*0.475*44/12</f>
        <v>10.214847099672722</v>
      </c>
      <c r="AW139" s="21">
        <f>EXP(-LN(2)/2)*AW138+(1-EXP(-LN(2)/2))/(LN(2)/2)*AQ139*AT139*VLOOKUP('Données projet'!$B$10,Paramètres!$A$1:$I$89,3,0)*0.475*44/12</f>
        <v>1.569980905002778E-7</v>
      </c>
      <c r="AX139" s="21">
        <f t="shared" si="114"/>
        <v>64.472602059431765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3.4106051316484809E-13</v>
      </c>
      <c r="O140" s="13">
        <f>N140*VLOOKUP('Données projet'!$B$9,Paramètres!$A$1:$I$89,3,0)*VLOOKUP('Données projet'!$B$9,Paramètres!$A$1:$I$89,5,0)</f>
        <v>2.0395418687257919E-13</v>
      </c>
      <c r="P140" s="13">
        <f t="shared" si="141"/>
        <v>2.8200388570161721E-12</v>
      </c>
      <c r="Q140" s="20">
        <f t="shared" si="108"/>
        <v>5.2667878847729083E-12</v>
      </c>
      <c r="R140" s="59">
        <f t="shared" si="109"/>
        <v>293.3333333333386</v>
      </c>
      <c r="S140" s="59">
        <f ca="1">AVERAGE(OFFSET($R$3,0,0,'Données projet'!$E$9+1,1))-AVERAGE(OFFSET($H$3,0,0,'Données projet'!$E$9+1,1))</f>
        <v>288.98981546396209</v>
      </c>
      <c r="T140" s="59">
        <f t="shared" si="142"/>
        <v>281.67720096117085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44.822302875460615</v>
      </c>
      <c r="AA140" s="21">
        <f>EXP(-LN(2)/25)*AA139+(1-EXP(-LN(2)/25))/(LN(2)/25)*Calculateur!V140*Calculateur!X140*VLOOKUP('Données projet'!$B$9,Paramètres!$A$1:$I$89,3,0)*0.475*44/12</f>
        <v>8.4914623295944693</v>
      </c>
      <c r="AB140" s="21">
        <f>EXP(-LN(2)/2)*AB139+(1-EXP(-LN(2)/2))/(LN(2)/2)*V140*Y140*VLOOKUP('Données projet'!$B$9,Paramètres!$A$1:$I$89,3,0)*0.475*44/12</f>
        <v>3.8469685622301222E-9</v>
      </c>
      <c r="AC140" s="22">
        <f t="shared" si="111"/>
        <v>53.313765208902055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234.95901223517041</v>
      </c>
      <c r="AO140" s="59">
        <f t="shared" si="144"/>
        <v>179.39213799913273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53.19379332504149</v>
      </c>
      <c r="AV140" s="21">
        <f>EXP(-LN(2)/25)*AV139+(1-EXP(-LN(2)/25))/(LN(2)/25)*Calculateur!AQ140*Calculateur!AS140*VLOOKUP('Données projet'!$B$10,Paramètres!$A$1:$I$89,3,0)*0.475*44/12</f>
        <v>9.9355215685567089</v>
      </c>
      <c r="AW140" s="21">
        <f>EXP(-LN(2)/2)*AW139+(1-EXP(-LN(2)/2))/(LN(2)/2)*AQ140*AT140*VLOOKUP('Données projet'!$B$10,Paramètres!$A$1:$I$89,3,0)*0.475*44/12</f>
        <v>1.1101441442608572E-7</v>
      </c>
      <c r="AX140" s="21">
        <f t="shared" si="114"/>
        <v>63.129315004612614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3.4106051316484809E-13</v>
      </c>
      <c r="O141" s="13">
        <f>N141*VLOOKUP('Données projet'!$B$9,Paramètres!$A$1:$I$89,3,0)*VLOOKUP('Données projet'!$B$9,Paramètres!$A$1:$I$89,5,0)</f>
        <v>2.0395418687257919E-13</v>
      </c>
      <c r="P141" s="13">
        <f t="shared" si="141"/>
        <v>2.8200388570161721E-12</v>
      </c>
      <c r="Q141" s="20">
        <f t="shared" si="108"/>
        <v>5.2667878847729083E-12</v>
      </c>
      <c r="R141" s="59">
        <f t="shared" si="109"/>
        <v>293.3333333333386</v>
      </c>
      <c r="S141" s="59">
        <f ca="1">AVERAGE(OFFSET($R$3,0,0,'Données projet'!$E$9+1,1))-AVERAGE(OFFSET($H$3,0,0,'Données projet'!$E$9+1,1))</f>
        <v>288.98981546396209</v>
      </c>
      <c r="T141" s="59">
        <f t="shared" si="142"/>
        <v>281.67720096117085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43.943364854978093</v>
      </c>
      <c r="AA141" s="21">
        <f>EXP(-LN(2)/25)*AA140+(1-EXP(-LN(2)/25))/(LN(2)/25)*Calculateur!V141*Calculateur!X141*VLOOKUP('Données projet'!$B$9,Paramètres!$A$1:$I$89,3,0)*0.475*44/12</f>
        <v>8.2592628456451127</v>
      </c>
      <c r="AB141" s="21">
        <f>EXP(-LN(2)/2)*AB140+(1-EXP(-LN(2)/2))/(LN(2)/2)*V141*Y141*VLOOKUP('Données projet'!$B$9,Paramètres!$A$1:$I$89,3,0)*0.475*44/12</f>
        <v>2.7202175573643824E-9</v>
      </c>
      <c r="AC141" s="22">
        <f t="shared" si="111"/>
        <v>52.202627703343424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234.95901223517041</v>
      </c>
      <c r="AO141" s="59">
        <f t="shared" si="144"/>
        <v>179.39213799913273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52.150695482947675</v>
      </c>
      <c r="AV141" s="21">
        <f>EXP(-LN(2)/25)*AV140+(1-EXP(-LN(2)/25))/(LN(2)/25)*Calculateur!AQ141*Calculateur!AS141*VLOOKUP('Données projet'!$B$10,Paramètres!$A$1:$I$89,3,0)*0.475*44/12</f>
        <v>9.6638342087781535</v>
      </c>
      <c r="AW141" s="21">
        <f>EXP(-LN(2)/2)*AW140+(1-EXP(-LN(2)/2))/(LN(2)/2)*AQ141*AT141*VLOOKUP('Données projet'!$B$10,Paramètres!$A$1:$I$89,3,0)*0.475*44/12</f>
        <v>7.8499045250138899E-8</v>
      </c>
      <c r="AX141" s="21">
        <f t="shared" si="114"/>
        <v>61.814529770224873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3.4106051316484809E-13</v>
      </c>
      <c r="O142" s="13">
        <f>N142*VLOOKUP('Données projet'!$B$9,Paramètres!$A$1:$I$89,3,0)*VLOOKUP('Données projet'!$B$9,Paramètres!$A$1:$I$89,5,0)</f>
        <v>2.0395418687257919E-13</v>
      </c>
      <c r="P142" s="13">
        <f t="shared" si="141"/>
        <v>2.8200388570161721E-12</v>
      </c>
      <c r="Q142" s="20">
        <f t="shared" si="108"/>
        <v>5.2667878847729083E-12</v>
      </c>
      <c r="R142" s="59">
        <f t="shared" si="109"/>
        <v>293.3333333333386</v>
      </c>
      <c r="S142" s="59">
        <f ca="1">AVERAGE(OFFSET($R$3,0,0,'Données projet'!$E$9+1,1))-AVERAGE(OFFSET($H$3,0,0,'Données projet'!$E$9+1,1))</f>
        <v>288.98981546396209</v>
      </c>
      <c r="T142" s="59">
        <f t="shared" si="142"/>
        <v>281.67720096117085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43.081662272977979</v>
      </c>
      <c r="AA142" s="21">
        <f>EXP(-LN(2)/25)*AA141+(1-EXP(-LN(2)/25))/(LN(2)/25)*Calculateur!V142*Calculateur!X142*VLOOKUP('Données projet'!$B$9,Paramètres!$A$1:$I$89,3,0)*0.475*44/12</f>
        <v>8.0334128687951907</v>
      </c>
      <c r="AB142" s="21">
        <f>EXP(-LN(2)/2)*AB141+(1-EXP(-LN(2)/2))/(LN(2)/2)*V142*Y142*VLOOKUP('Données projet'!$B$9,Paramètres!$A$1:$I$89,3,0)*0.475*44/12</f>
        <v>1.9234842811150611E-9</v>
      </c>
      <c r="AC142" s="22">
        <f t="shared" si="111"/>
        <v>51.11507514369665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234.95901223517041</v>
      </c>
      <c r="AO142" s="59">
        <f t="shared" si="144"/>
        <v>179.39213799913273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51.128052153310456</v>
      </c>
      <c r="AV142" s="21">
        <f>EXP(-LN(2)/25)*AV141+(1-EXP(-LN(2)/25))/(LN(2)/25)*Calculateur!AQ142*Calculateur!AS142*VLOOKUP('Données projet'!$B$10,Paramètres!$A$1:$I$89,3,0)*0.475*44/12</f>
        <v>9.3995761541401617</v>
      </c>
      <c r="AW142" s="21">
        <f>EXP(-LN(2)/2)*AW141+(1-EXP(-LN(2)/2))/(LN(2)/2)*AQ142*AT142*VLOOKUP('Données projet'!$B$10,Paramètres!$A$1:$I$89,3,0)*0.475*44/12</f>
        <v>5.550720721304286E-8</v>
      </c>
      <c r="AX142" s="21">
        <f t="shared" si="114"/>
        <v>60.527628362957827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3.4106051316484809E-13</v>
      </c>
      <c r="O143" s="13">
        <f>N143*VLOOKUP('Données projet'!$B$9,Paramètres!$A$1:$I$89,3,0)*VLOOKUP('Données projet'!$B$9,Paramètres!$A$1:$I$89,5,0)</f>
        <v>2.0395418687257919E-13</v>
      </c>
      <c r="P143" s="13">
        <f t="shared" si="141"/>
        <v>2.8200388570161721E-12</v>
      </c>
      <c r="Q143" s="20">
        <f t="shared" si="108"/>
        <v>5.2667878847729083E-12</v>
      </c>
      <c r="R143" s="59">
        <f t="shared" si="109"/>
        <v>293.3333333333386</v>
      </c>
      <c r="S143" s="59">
        <f ca="1">AVERAGE(OFFSET($R$3,0,0,'Données projet'!$E$9+1,1))-AVERAGE(OFFSET($H$3,0,0,'Données projet'!$E$9+1,1))</f>
        <v>288.98981546396209</v>
      </c>
      <c r="T143" s="59">
        <f t="shared" si="142"/>
        <v>281.67720096117085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42.236857153024211</v>
      </c>
      <c r="AA143" s="21">
        <f>EXP(-LN(2)/25)*AA142+(1-EXP(-LN(2)/25))/(LN(2)/25)*Calculateur!V143*Calculateur!X143*VLOOKUP('Données projet'!$B$9,Paramètres!$A$1:$I$89,3,0)*0.475*44/12</f>
        <v>7.813738771439164</v>
      </c>
      <c r="AB143" s="21">
        <f>EXP(-LN(2)/2)*AB142+(1-EXP(-LN(2)/2))/(LN(2)/2)*V143*Y143*VLOOKUP('Données projet'!$B$9,Paramètres!$A$1:$I$89,3,0)*0.475*44/12</f>
        <v>1.3601087786821912E-9</v>
      </c>
      <c r="AC143" s="22">
        <f t="shared" si="111"/>
        <v>50.05059592582348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234.95901223517041</v>
      </c>
      <c r="AO143" s="59">
        <f t="shared" si="144"/>
        <v>179.39213799913273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50.125462235616588</v>
      </c>
      <c r="AV143" s="21">
        <f>EXP(-LN(2)/25)*AV142+(1-EXP(-LN(2)/25))/(LN(2)/25)*Calculateur!AQ143*Calculateur!AS143*VLOOKUP('Données projet'!$B$10,Paramètres!$A$1:$I$89,3,0)*0.475*44/12</f>
        <v>9.1425442499029721</v>
      </c>
      <c r="AW143" s="21">
        <f>EXP(-LN(2)/2)*AW142+(1-EXP(-LN(2)/2))/(LN(2)/2)*AQ143*AT143*VLOOKUP('Données projet'!$B$10,Paramètres!$A$1:$I$89,3,0)*0.475*44/12</f>
        <v>3.924952262506945E-8</v>
      </c>
      <c r="AX143" s="21">
        <f t="shared" si="114"/>
        <v>59.268006524769085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3.4106051316484809E-13</v>
      </c>
      <c r="O144" s="13">
        <f>N144*VLOOKUP('Données projet'!$B$9,Paramètres!$A$1:$I$89,3,0)*VLOOKUP('Données projet'!$B$9,Paramètres!$A$1:$I$89,5,0)</f>
        <v>2.0395418687257919E-13</v>
      </c>
      <c r="P144" s="13">
        <f t="shared" si="141"/>
        <v>2.8200388570161721E-12</v>
      </c>
      <c r="Q144" s="20">
        <f t="shared" si="108"/>
        <v>5.2667878847729083E-12</v>
      </c>
      <c r="R144" s="59">
        <f t="shared" si="109"/>
        <v>293.3333333333386</v>
      </c>
      <c r="S144" s="59">
        <f ca="1">AVERAGE(OFFSET($R$3,0,0,'Données projet'!$E$9+1,1))-AVERAGE(OFFSET($H$3,0,0,'Données projet'!$E$9+1,1))</f>
        <v>288.98981546396209</v>
      </c>
      <c r="T144" s="59">
        <f t="shared" si="142"/>
        <v>281.67720096117085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41.408618146192488</v>
      </c>
      <c r="AA144" s="21">
        <f>EXP(-LN(2)/25)*AA143+(1-EXP(-LN(2)/25))/(LN(2)/25)*Calculateur!V144*Calculateur!X144*VLOOKUP('Données projet'!$B$9,Paramètres!$A$1:$I$89,3,0)*0.475*44/12</f>
        <v>7.6000716738274967</v>
      </c>
      <c r="AB144" s="21">
        <f>EXP(-LN(2)/2)*AB143+(1-EXP(-LN(2)/2))/(LN(2)/2)*V144*Y144*VLOOKUP('Données projet'!$B$9,Paramètres!$A$1:$I$89,3,0)*0.475*44/12</f>
        <v>9.6174214055753054E-10</v>
      </c>
      <c r="AC144" s="22">
        <f t="shared" si="111"/>
        <v>49.008689820981722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234.95901223517041</v>
      </c>
      <c r="AO144" s="59">
        <f t="shared" si="144"/>
        <v>179.39213799913273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49.142532494689227</v>
      </c>
      <c r="AV144" s="21">
        <f>EXP(-LN(2)/25)*AV143+(1-EXP(-LN(2)/25))/(LN(2)/25)*Calculateur!AQ144*Calculateur!AS144*VLOOKUP('Données projet'!$B$10,Paramètres!$A$1:$I$89,3,0)*0.475*44/12</f>
        <v>8.8925408966038688</v>
      </c>
      <c r="AW144" s="21">
        <f>EXP(-LN(2)/2)*AW143+(1-EXP(-LN(2)/2))/(LN(2)/2)*AQ144*AT144*VLOOKUP('Données projet'!$B$10,Paramètres!$A$1:$I$89,3,0)*0.475*44/12</f>
        <v>2.775360360652143E-8</v>
      </c>
      <c r="AX144" s="21">
        <f t="shared" si="114"/>
        <v>58.035073419046697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3.4106051316484809E-13</v>
      </c>
      <c r="O145" s="13">
        <f>N145*VLOOKUP('Données projet'!$B$9,Paramètres!$A$1:$I$89,3,0)*VLOOKUP('Données projet'!$B$9,Paramètres!$A$1:$I$89,5,0)</f>
        <v>2.0395418687257919E-13</v>
      </c>
      <c r="P145" s="13">
        <f t="shared" si="141"/>
        <v>2.8200388570161721E-12</v>
      </c>
      <c r="Q145" s="20">
        <f t="shared" si="108"/>
        <v>5.2667878847729083E-12</v>
      </c>
      <c r="R145" s="59">
        <f t="shared" si="109"/>
        <v>293.3333333333386</v>
      </c>
      <c r="S145" s="59">
        <f ca="1">AVERAGE(OFFSET($R$3,0,0,'Données projet'!$E$9+1,1))-AVERAGE(OFFSET($H$3,0,0,'Données projet'!$E$9+1,1))</f>
        <v>288.98981546396209</v>
      </c>
      <c r="T145" s="59">
        <f t="shared" si="142"/>
        <v>281.67720096117085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40.596620401108822</v>
      </c>
      <c r="AA145" s="21">
        <f>EXP(-LN(2)/25)*AA144+(1-EXP(-LN(2)/25))/(LN(2)/25)*Calculateur!V145*Calculateur!X145*VLOOKUP('Données projet'!$B$9,Paramètres!$A$1:$I$89,3,0)*0.475*44/12</f>
        <v>7.3922473142362843</v>
      </c>
      <c r="AB145" s="21">
        <f>EXP(-LN(2)/2)*AB144+(1-EXP(-LN(2)/2))/(LN(2)/2)*V145*Y145*VLOOKUP('Données projet'!$B$9,Paramètres!$A$1:$I$89,3,0)*0.475*44/12</f>
        <v>6.8005438934109559E-10</v>
      </c>
      <c r="AC145" s="22">
        <f t="shared" si="111"/>
        <v>47.988867716025162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234.95901223517041</v>
      </c>
      <c r="AO145" s="59">
        <f t="shared" si="144"/>
        <v>179.39213799913273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48.178877406453509</v>
      </c>
      <c r="AV145" s="21">
        <f>EXP(-LN(2)/25)*AV144+(1-EXP(-LN(2)/25))/(LN(2)/25)*Calculateur!AQ145*Calculateur!AS145*VLOOKUP('Données projet'!$B$10,Paramètres!$A$1:$I$89,3,0)*0.475*44/12</f>
        <v>8.6493738981478341</v>
      </c>
      <c r="AW145" s="21">
        <f>EXP(-LN(2)/2)*AW144+(1-EXP(-LN(2)/2))/(LN(2)/2)*AQ145*AT145*VLOOKUP('Données projet'!$B$10,Paramètres!$A$1:$I$89,3,0)*0.475*44/12</f>
        <v>1.9624761312534725E-8</v>
      </c>
      <c r="AX145" s="21">
        <f t="shared" si="114"/>
        <v>56.828251324226109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3.4106051316484809E-13</v>
      </c>
      <c r="O146" s="13">
        <f>N146*VLOOKUP('Données projet'!$B$9,Paramètres!$A$1:$I$89,3,0)*VLOOKUP('Données projet'!$B$9,Paramètres!$A$1:$I$89,5,0)</f>
        <v>2.0395418687257919E-13</v>
      </c>
      <c r="P146" s="13">
        <f t="shared" si="141"/>
        <v>2.8200388570161721E-12</v>
      </c>
      <c r="Q146" s="20">
        <f t="shared" si="108"/>
        <v>5.2667878847729083E-12</v>
      </c>
      <c r="R146" s="59">
        <f t="shared" si="109"/>
        <v>293.3333333333386</v>
      </c>
      <c r="S146" s="59">
        <f ca="1">AVERAGE(OFFSET($R$3,0,0,'Données projet'!$E$9+1,1))-AVERAGE(OFFSET($H$3,0,0,'Données projet'!$E$9+1,1))</f>
        <v>288.98981546396209</v>
      </c>
      <c r="T146" s="59">
        <f t="shared" si="142"/>
        <v>281.67720096117085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39.800545436536531</v>
      </c>
      <c r="AA146" s="21">
        <f>EXP(-LN(2)/25)*AA145+(1-EXP(-LN(2)/25))/(LN(2)/25)*Calculateur!V146*Calculateur!X146*VLOOKUP('Données projet'!$B$9,Paramètres!$A$1:$I$89,3,0)*0.475*44/12</f>
        <v>7.1901059226871018</v>
      </c>
      <c r="AB146" s="21">
        <f>EXP(-LN(2)/2)*AB145+(1-EXP(-LN(2)/2))/(LN(2)/2)*V146*Y146*VLOOKUP('Données projet'!$B$9,Paramètres!$A$1:$I$89,3,0)*0.475*44/12</f>
        <v>4.8087107027876527E-10</v>
      </c>
      <c r="AC146" s="22">
        <f t="shared" si="111"/>
        <v>46.990651359704508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234.95901223517041</v>
      </c>
      <c r="AO146" s="59">
        <f t="shared" si="144"/>
        <v>179.39213799913273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47.234119006726523</v>
      </c>
      <c r="AV146" s="21">
        <f>EXP(-LN(2)/25)*AV145+(1-EXP(-LN(2)/25))/(LN(2)/25)*Calculateur!AQ146*Calculateur!AS146*VLOOKUP('Données projet'!$B$10,Paramètres!$A$1:$I$89,3,0)*0.475*44/12</f>
        <v>8.4128563140521759</v>
      </c>
      <c r="AW146" s="21">
        <f>EXP(-LN(2)/2)*AW145+(1-EXP(-LN(2)/2))/(LN(2)/2)*AQ146*AT146*VLOOKUP('Données projet'!$B$10,Paramètres!$A$1:$I$89,3,0)*0.475*44/12</f>
        <v>1.3876801803260715E-8</v>
      </c>
      <c r="AX146" s="21">
        <f t="shared" si="114"/>
        <v>55.646975334655501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3.4106051316484809E-13</v>
      </c>
      <c r="O147" s="13">
        <f>N147*VLOOKUP('Données projet'!$B$9,Paramètres!$A$1:$I$89,3,0)*VLOOKUP('Données projet'!$B$9,Paramètres!$A$1:$I$89,5,0)</f>
        <v>2.0395418687257919E-13</v>
      </c>
      <c r="P147" s="13">
        <f t="shared" si="141"/>
        <v>2.8200388570161721E-12</v>
      </c>
      <c r="Q147" s="20">
        <f t="shared" si="108"/>
        <v>5.2667878847729083E-12</v>
      </c>
      <c r="R147" s="59">
        <f t="shared" si="109"/>
        <v>293.3333333333386</v>
      </c>
      <c r="S147" s="59">
        <f ca="1">AVERAGE(OFFSET($R$3,0,0,'Données projet'!$E$9+1,1))-AVERAGE(OFFSET($H$3,0,0,'Données projet'!$E$9+1,1))</f>
        <v>288.98981546396209</v>
      </c>
      <c r="T147" s="59">
        <f t="shared" si="142"/>
        <v>281.67720096117085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39.020081016461717</v>
      </c>
      <c r="AA147" s="21">
        <f>EXP(-LN(2)/25)*AA146+(1-EXP(-LN(2)/25))/(LN(2)/25)*Calculateur!V147*Calculateur!X147*VLOOKUP('Données projet'!$B$9,Paramètres!$A$1:$I$89,3,0)*0.475*44/12</f>
        <v>6.9934920981199857</v>
      </c>
      <c r="AB147" s="21">
        <f>EXP(-LN(2)/2)*AB146+(1-EXP(-LN(2)/2))/(LN(2)/2)*V147*Y147*VLOOKUP('Données projet'!$B$9,Paramètres!$A$1:$I$89,3,0)*0.475*44/12</f>
        <v>3.400271946705478E-10</v>
      </c>
      <c r="AC147" s="22">
        <f t="shared" si="111"/>
        <v>46.013573114921734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234.95901223517041</v>
      </c>
      <c r="AO147" s="59">
        <f t="shared" si="144"/>
        <v>179.39213799913273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46.307886742972464</v>
      </c>
      <c r="AV147" s="21">
        <f>EXP(-LN(2)/25)*AV146+(1-EXP(-LN(2)/25))/(LN(2)/25)*Calculateur!AQ147*Calculateur!AS147*VLOOKUP('Données projet'!$B$10,Paramètres!$A$1:$I$89,3,0)*0.475*44/12</f>
        <v>8.1828063157315327</v>
      </c>
      <c r="AW147" s="21">
        <f>EXP(-LN(2)/2)*AW146+(1-EXP(-LN(2)/2))/(LN(2)/2)*AQ147*AT147*VLOOKUP('Données projet'!$B$10,Paramètres!$A$1:$I$89,3,0)*0.475*44/12</f>
        <v>9.8123806562673624E-9</v>
      </c>
      <c r="AX147" s="21">
        <f t="shared" si="114"/>
        <v>54.490693068516379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3.4106051316484809E-13</v>
      </c>
      <c r="O148" s="13">
        <f>N148*VLOOKUP('Données projet'!$B$9,Paramètres!$A$1:$I$89,3,0)*VLOOKUP('Données projet'!$B$9,Paramètres!$A$1:$I$89,5,0)</f>
        <v>2.0395418687257919E-13</v>
      </c>
      <c r="P148" s="13">
        <f t="shared" si="141"/>
        <v>2.8200388570161721E-12</v>
      </c>
      <c r="Q148" s="20">
        <f t="shared" si="108"/>
        <v>5.2667878847729083E-12</v>
      </c>
      <c r="R148" s="59">
        <f t="shared" si="109"/>
        <v>293.3333333333386</v>
      </c>
      <c r="S148" s="59">
        <f ca="1">AVERAGE(OFFSET($R$3,0,0,'Données projet'!$E$9+1,1))-AVERAGE(OFFSET($H$3,0,0,'Données projet'!$E$9+1,1))</f>
        <v>288.98981546396209</v>
      </c>
      <c r="T148" s="59">
        <f t="shared" si="142"/>
        <v>281.67720096117085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38.254921027628278</v>
      </c>
      <c r="AA148" s="21">
        <f>EXP(-LN(2)/25)*AA147+(1-EXP(-LN(2)/25))/(LN(2)/25)*Calculateur!V148*Calculateur!X148*VLOOKUP('Données projet'!$B$9,Paramètres!$A$1:$I$89,3,0)*0.475*44/12</f>
        <v>6.802254688925129</v>
      </c>
      <c r="AB148" s="21">
        <f>EXP(-LN(2)/2)*AB147+(1-EXP(-LN(2)/2))/(LN(2)/2)*V148*Y148*VLOOKUP('Données projet'!$B$9,Paramètres!$A$1:$I$89,3,0)*0.475*44/12</f>
        <v>2.4043553513938263E-10</v>
      </c>
      <c r="AC148" s="22">
        <f t="shared" si="111"/>
        <v>45.057175716793843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234.95901223517041</v>
      </c>
      <c r="AO148" s="59">
        <f t="shared" si="144"/>
        <v>179.39213799913273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45.399817328964723</v>
      </c>
      <c r="AV148" s="21">
        <f>EXP(-LN(2)/25)*AV147+(1-EXP(-LN(2)/25))/(LN(2)/25)*Calculateur!AQ148*Calculateur!AS148*VLOOKUP('Données projet'!$B$10,Paramètres!$A$1:$I$89,3,0)*0.475*44/12</f>
        <v>7.9590470467127723</v>
      </c>
      <c r="AW148" s="21">
        <f>EXP(-LN(2)/2)*AW147+(1-EXP(-LN(2)/2))/(LN(2)/2)*AQ148*AT148*VLOOKUP('Données projet'!$B$10,Paramètres!$A$1:$I$89,3,0)*0.475*44/12</f>
        <v>6.9384009016303575E-9</v>
      </c>
      <c r="AX148" s="21">
        <f t="shared" si="114"/>
        <v>53.358864382615899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3.4106051316484809E-13</v>
      </c>
      <c r="O149" s="13">
        <f>N149*VLOOKUP('Données projet'!$B$9,Paramètres!$A$1:$I$89,3,0)*VLOOKUP('Données projet'!$B$9,Paramètres!$A$1:$I$89,5,0)</f>
        <v>2.0395418687257919E-13</v>
      </c>
      <c r="P149" s="13">
        <f t="shared" si="141"/>
        <v>2.8200388570161721E-12</v>
      </c>
      <c r="Q149" s="20">
        <f t="shared" si="108"/>
        <v>5.2667878847729083E-12</v>
      </c>
      <c r="R149" s="59">
        <f t="shared" si="109"/>
        <v>293.3333333333386</v>
      </c>
      <c r="S149" s="59">
        <f ca="1">AVERAGE(OFFSET($R$3,0,0,'Données projet'!$E$9+1,1))-AVERAGE(OFFSET($H$3,0,0,'Données projet'!$E$9+1,1))</f>
        <v>288.98981546396209</v>
      </c>
      <c r="T149" s="59">
        <f t="shared" si="142"/>
        <v>281.67720096117085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37.504765359474355</v>
      </c>
      <c r="AA149" s="21">
        <f>EXP(-LN(2)/25)*AA148+(1-EXP(-LN(2)/25))/(LN(2)/25)*Calculateur!V149*Calculateur!X149*VLOOKUP('Données projet'!$B$9,Paramètres!$A$1:$I$89,3,0)*0.475*44/12</f>
        <v>6.6162466767414436</v>
      </c>
      <c r="AB149" s="21">
        <f>EXP(-LN(2)/2)*AB148+(1-EXP(-LN(2)/2))/(LN(2)/2)*V149*Y149*VLOOKUP('Données projet'!$B$9,Paramètres!$A$1:$I$89,3,0)*0.475*44/12</f>
        <v>1.700135973352739E-10</v>
      </c>
      <c r="AC149" s="22">
        <f t="shared" si="111"/>
        <v>44.121012036385814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234.95901223517041</v>
      </c>
      <c r="AO149" s="59">
        <f t="shared" si="144"/>
        <v>179.39213799913273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44.509554602298017</v>
      </c>
      <c r="AV149" s="21">
        <f>EXP(-LN(2)/25)*AV148+(1-EXP(-LN(2)/25))/(LN(2)/25)*Calculateur!AQ149*Calculateur!AS149*VLOOKUP('Données projet'!$B$10,Paramètres!$A$1:$I$89,3,0)*0.475*44/12</f>
        <v>7.741406486672318</v>
      </c>
      <c r="AW149" s="21">
        <f>EXP(-LN(2)/2)*AW148+(1-EXP(-LN(2)/2))/(LN(2)/2)*AQ149*AT149*VLOOKUP('Données projet'!$B$10,Paramètres!$A$1:$I$89,3,0)*0.475*44/12</f>
        <v>4.9061903281336812E-9</v>
      </c>
      <c r="AX149" s="21">
        <f t="shared" si="114"/>
        <v>52.250961093876526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3.4106051316484809E-13</v>
      </c>
      <c r="O150" s="13">
        <f>N150*VLOOKUP('Données projet'!$B$9,Paramètres!$A$1:$I$89,3,0)*VLOOKUP('Données projet'!$B$9,Paramètres!$A$1:$I$89,5,0)</f>
        <v>2.0395418687257919E-13</v>
      </c>
      <c r="P150" s="13">
        <f t="shared" si="141"/>
        <v>2.8200388570161721E-12</v>
      </c>
      <c r="Q150" s="20">
        <f t="shared" si="108"/>
        <v>5.2667878847729083E-12</v>
      </c>
      <c r="R150" s="59">
        <f t="shared" si="109"/>
        <v>293.3333333333386</v>
      </c>
      <c r="S150" s="59">
        <f ca="1">AVERAGE(OFFSET($R$3,0,0,'Données projet'!$E$9+1,1))-AVERAGE(OFFSET($H$3,0,0,'Données projet'!$E$9+1,1))</f>
        <v>288.98981546396209</v>
      </c>
      <c r="T150" s="59">
        <f t="shared" si="142"/>
        <v>281.67720096117085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36.769319786423146</v>
      </c>
      <c r="AA150" s="21">
        <f>EXP(-LN(2)/25)*AA149+(1-EXP(-LN(2)/25))/(LN(2)/25)*Calculateur!V150*Calculateur!X150*VLOOKUP('Données projet'!$B$9,Paramètres!$A$1:$I$89,3,0)*0.475*44/12</f>
        <v>6.435325063432658</v>
      </c>
      <c r="AB150" s="21">
        <f>EXP(-LN(2)/2)*AB149+(1-EXP(-LN(2)/2))/(LN(2)/2)*V150*Y150*VLOOKUP('Données projet'!$B$9,Paramètres!$A$1:$I$89,3,0)*0.475*44/12</f>
        <v>1.2021776756969132E-10</v>
      </c>
      <c r="AC150" s="22">
        <f t="shared" si="111"/>
        <v>43.20464484997602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234.95901223517041</v>
      </c>
      <c r="AO150" s="59">
        <f t="shared" si="144"/>
        <v>179.39213799913273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43.636749384694603</v>
      </c>
      <c r="AV150" s="21">
        <f>EXP(-LN(2)/25)*AV149+(1-EXP(-LN(2)/25))/(LN(2)/25)*Calculateur!AQ150*Calculateur!AS150*VLOOKUP('Données projet'!$B$10,Paramètres!$A$1:$I$89,3,0)*0.475*44/12</f>
        <v>7.5297173191913895</v>
      </c>
      <c r="AW150" s="21">
        <f>EXP(-LN(2)/2)*AW149+(1-EXP(-LN(2)/2))/(LN(2)/2)*AQ150*AT150*VLOOKUP('Données projet'!$B$10,Paramètres!$A$1:$I$89,3,0)*0.475*44/12</f>
        <v>3.4692004508151788E-9</v>
      </c>
      <c r="AX150" s="21">
        <f t="shared" si="114"/>
        <v>51.166466707355198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3.4106051316484809E-13</v>
      </c>
      <c r="O151" s="13">
        <f>N151*VLOOKUP('Données projet'!$B$9,Paramètres!$A$1:$I$89,3,0)*VLOOKUP('Données projet'!$B$9,Paramètres!$A$1:$I$89,5,0)</f>
        <v>2.0395418687257919E-13</v>
      </c>
      <c r="P151" s="13">
        <f t="shared" si="141"/>
        <v>2.8200388570161721E-12</v>
      </c>
      <c r="Q151" s="20">
        <f t="shared" si="108"/>
        <v>5.2667878847729083E-12</v>
      </c>
      <c r="R151" s="59">
        <f t="shared" si="109"/>
        <v>293.3333333333386</v>
      </c>
      <c r="S151" s="59">
        <f ca="1">AVERAGE(OFFSET($R$3,0,0,'Données projet'!$E$9+1,1))-AVERAGE(OFFSET($H$3,0,0,'Données projet'!$E$9+1,1))</f>
        <v>288.98981546396209</v>
      </c>
      <c r="T151" s="59">
        <f t="shared" si="142"/>
        <v>281.67720096117085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36.048295852481971</v>
      </c>
      <c r="AA151" s="21">
        <f>EXP(-LN(2)/25)*AA150+(1-EXP(-LN(2)/25))/(LN(2)/25)*Calculateur!V151*Calculateur!X151*VLOOKUP('Données projet'!$B$9,Paramètres!$A$1:$I$89,3,0)*0.475*44/12</f>
        <v>6.2593507611540549</v>
      </c>
      <c r="AB151" s="21">
        <f>EXP(-LN(2)/2)*AB150+(1-EXP(-LN(2)/2))/(LN(2)/2)*V151*Y151*VLOOKUP('Données projet'!$B$9,Paramètres!$A$1:$I$89,3,0)*0.475*44/12</f>
        <v>8.5006798667636949E-11</v>
      </c>
      <c r="AC151" s="22">
        <f t="shared" si="111"/>
        <v>42.307646613721033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234.95901223517041</v>
      </c>
      <c r="AO151" s="59">
        <f t="shared" si="144"/>
        <v>179.39213799913273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42.781059345049776</v>
      </c>
      <c r="AV151" s="21">
        <f>EXP(-LN(2)/25)*AV150+(1-EXP(-LN(2)/25))/(LN(2)/25)*Calculateur!AQ151*Calculateur!AS151*VLOOKUP('Données projet'!$B$10,Paramètres!$A$1:$I$89,3,0)*0.475*44/12</f>
        <v>7.3238168031274764</v>
      </c>
      <c r="AW151" s="21">
        <f>EXP(-LN(2)/2)*AW150+(1-EXP(-LN(2)/2))/(LN(2)/2)*AQ151*AT151*VLOOKUP('Données projet'!$B$10,Paramètres!$A$1:$I$89,3,0)*0.475*44/12</f>
        <v>2.4530951640668406E-9</v>
      </c>
      <c r="AX151" s="21">
        <f t="shared" si="114"/>
        <v>50.104876150630346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3.4106051316484809E-13</v>
      </c>
      <c r="O152" s="13">
        <f>N152*VLOOKUP('Données projet'!$B$9,Paramètres!$A$1:$I$89,3,0)*VLOOKUP('Données projet'!$B$9,Paramètres!$A$1:$I$89,5,0)</f>
        <v>2.0395418687257919E-13</v>
      </c>
      <c r="P152" s="13">
        <f t="shared" si="141"/>
        <v>2.8200388570161721E-12</v>
      </c>
      <c r="Q152" s="20">
        <f t="shared" si="108"/>
        <v>5.2667878847729083E-12</v>
      </c>
      <c r="R152" s="59">
        <f t="shared" si="109"/>
        <v>293.3333333333386</v>
      </c>
      <c r="S152" s="59">
        <f ca="1">AVERAGE(OFFSET($R$3,0,0,'Données projet'!$E$9+1,1))-AVERAGE(OFFSET($H$3,0,0,'Données projet'!$E$9+1,1))</f>
        <v>288.98981546396209</v>
      </c>
      <c r="T152" s="59">
        <f t="shared" si="142"/>
        <v>281.67720096117085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35.341410758104203</v>
      </c>
      <c r="AA152" s="21">
        <f>EXP(-LN(2)/25)*AA151+(1-EXP(-LN(2)/25))/(LN(2)/25)*Calculateur!V152*Calculateur!X152*VLOOKUP('Données projet'!$B$9,Paramètres!$A$1:$I$89,3,0)*0.475*44/12</f>
        <v>6.0881884854253467</v>
      </c>
      <c r="AB152" s="21">
        <f>EXP(-LN(2)/2)*AB151+(1-EXP(-LN(2)/2))/(LN(2)/2)*V152*Y152*VLOOKUP('Données projet'!$B$9,Paramètres!$A$1:$I$89,3,0)*0.475*44/12</f>
        <v>6.0108883784845659E-11</v>
      </c>
      <c r="AC152" s="22">
        <f t="shared" si="111"/>
        <v>41.429599243589664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234.95901223517041</v>
      </c>
      <c r="AO152" s="59">
        <f t="shared" si="144"/>
        <v>179.39213799913273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41.942148865162991</v>
      </c>
      <c r="AV152" s="21">
        <f>EXP(-LN(2)/25)*AV151+(1-EXP(-LN(2)/25))/(LN(2)/25)*Calculateur!AQ152*Calculateur!AS152*VLOOKUP('Données projet'!$B$10,Paramètres!$A$1:$I$89,3,0)*0.475*44/12</f>
        <v>7.1235466475031686</v>
      </c>
      <c r="AW152" s="21">
        <f>EXP(-LN(2)/2)*AW151+(1-EXP(-LN(2)/2))/(LN(2)/2)*AQ152*AT152*VLOOKUP('Données projet'!$B$10,Paramètres!$A$1:$I$89,3,0)*0.475*44/12</f>
        <v>1.7346002254075894E-9</v>
      </c>
      <c r="AX152" s="21">
        <f t="shared" si="114"/>
        <v>49.065695514400758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3.4106051316484809E-13</v>
      </c>
      <c r="O153" s="13">
        <f>N153*VLOOKUP('Données projet'!$B$9,Paramètres!$A$1:$I$89,3,0)*VLOOKUP('Données projet'!$B$9,Paramètres!$A$1:$I$89,5,0)</f>
        <v>2.0395418687257919E-13</v>
      </c>
      <c r="P153" s="13">
        <f t="shared" si="141"/>
        <v>2.8200388570161721E-12</v>
      </c>
      <c r="Q153" s="20">
        <f t="shared" si="108"/>
        <v>5.2667878847729083E-12</v>
      </c>
      <c r="R153" s="59">
        <f t="shared" si="109"/>
        <v>293.3333333333386</v>
      </c>
      <c r="S153" s="59">
        <f ca="1">AVERAGE(OFFSET($R$3,0,0,'Données projet'!$E$9+1,1))-AVERAGE(OFFSET($H$3,0,0,'Données projet'!$E$9+1,1))</f>
        <v>288.98981546396209</v>
      </c>
      <c r="T153" s="59">
        <f t="shared" si="142"/>
        <v>281.67720096117085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34.648387249269852</v>
      </c>
      <c r="AA153" s="21">
        <f>EXP(-LN(2)/25)*AA152+(1-EXP(-LN(2)/25))/(LN(2)/25)*Calculateur!V153*Calculateur!X153*VLOOKUP('Données projet'!$B$9,Paramètres!$A$1:$I$89,3,0)*0.475*44/12</f>
        <v>5.9217066511274732</v>
      </c>
      <c r="AB153" s="21">
        <f>EXP(-LN(2)/2)*AB152+(1-EXP(-LN(2)/2))/(LN(2)/2)*V153*Y153*VLOOKUP('Données projet'!$B$9,Paramètres!$A$1:$I$89,3,0)*0.475*44/12</f>
        <v>4.2503399333818474E-11</v>
      </c>
      <c r="AC153" s="22">
        <f t="shared" si="111"/>
        <v>40.570093900439829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234.95901223517041</v>
      </c>
      <c r="AO153" s="59">
        <f t="shared" si="144"/>
        <v>179.39213799913273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41.119688908101921</v>
      </c>
      <c r="AV153" s="21">
        <f>EXP(-LN(2)/25)*AV152+(1-EXP(-LN(2)/25))/(LN(2)/25)*Calculateur!AQ153*Calculateur!AS153*VLOOKUP('Données projet'!$B$10,Paramètres!$A$1:$I$89,3,0)*0.475*44/12</f>
        <v>6.928752889816157</v>
      </c>
      <c r="AW153" s="21">
        <f>EXP(-LN(2)/2)*AW152+(1-EXP(-LN(2)/2))/(LN(2)/2)*AQ153*AT153*VLOOKUP('Données projet'!$B$10,Paramètres!$A$1:$I$89,3,0)*0.475*44/12</f>
        <v>1.2265475820334203E-9</v>
      </c>
      <c r="AX153" s="21">
        <f t="shared" si="114"/>
        <v>48.048441799144626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3.4106051316484809E-13</v>
      </c>
      <c r="O154" s="13">
        <f>N154*VLOOKUP('Données projet'!$B$9,Paramètres!$A$1:$I$89,3,0)*VLOOKUP('Données projet'!$B$9,Paramètres!$A$1:$I$89,5,0)</f>
        <v>2.0395418687257919E-13</v>
      </c>
      <c r="P154" s="13">
        <f t="shared" si="141"/>
        <v>2.8200388570161721E-12</v>
      </c>
      <c r="Q154" s="20">
        <f t="shared" ref="Q154:Q203" si="162">(O154+P154)*0.475*44/12</f>
        <v>5.2667878847729083E-12</v>
      </c>
      <c r="R154" s="59">
        <f t="shared" si="109"/>
        <v>293.3333333333386</v>
      </c>
      <c r="S154" s="59">
        <f ca="1">AVERAGE(OFFSET($R$3,0,0,'Données projet'!$E$9+1,1))-AVERAGE(OFFSET($H$3,0,0,'Données projet'!$E$9+1,1))</f>
        <v>288.98981546396209</v>
      </c>
      <c r="T154" s="59">
        <f t="shared" si="142"/>
        <v>281.67720096117085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33.968953508741137</v>
      </c>
      <c r="AA154" s="21">
        <f>EXP(-LN(2)/25)*AA153+(1-EXP(-LN(2)/25))/(LN(2)/25)*Calculateur!V154*Calculateur!X154*VLOOKUP('Données projet'!$B$9,Paramètres!$A$1:$I$89,3,0)*0.475*44/12</f>
        <v>5.7597772713433741</v>
      </c>
      <c r="AB154" s="21">
        <f>EXP(-LN(2)/2)*AB153+(1-EXP(-LN(2)/2))/(LN(2)/2)*V154*Y154*VLOOKUP('Données projet'!$B$9,Paramètres!$A$1:$I$89,3,0)*0.475*44/12</f>
        <v>3.0054441892422829E-11</v>
      </c>
      <c r="AC154" s="22">
        <f t="shared" ref="AC154:AC203" si="163">SUM(Z154:AB154)</f>
        <v>39.728730780114567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234.95901223517041</v>
      </c>
      <c r="AO154" s="59">
        <f t="shared" si="144"/>
        <v>179.39213799913273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40.313356889147776</v>
      </c>
      <c r="AV154" s="21">
        <f>EXP(-LN(2)/25)*AV153+(1-EXP(-LN(2)/25))/(LN(2)/25)*Calculateur!AQ154*Calculateur!AS154*VLOOKUP('Données projet'!$B$10,Paramètres!$A$1:$I$89,3,0)*0.475*44/12</f>
        <v>6.739285777676856</v>
      </c>
      <c r="AW154" s="21">
        <f>EXP(-LN(2)/2)*AW153+(1-EXP(-LN(2)/2))/(LN(2)/2)*AQ154*AT154*VLOOKUP('Données projet'!$B$10,Paramètres!$A$1:$I$89,3,0)*0.475*44/12</f>
        <v>8.6730011270379469E-10</v>
      </c>
      <c r="AX154" s="21">
        <f t="shared" ref="AX154:AX203" si="166">SUM(AU154:AW154)</f>
        <v>47.052642667691934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3.4106051316484809E-13</v>
      </c>
      <c r="O155" s="13">
        <f>N155*VLOOKUP('Données projet'!$B$9,Paramètres!$A$1:$I$89,3,0)*VLOOKUP('Données projet'!$B$9,Paramètres!$A$1:$I$89,5,0)</f>
        <v>2.0395418687257919E-13</v>
      </c>
      <c r="P155" s="13">
        <f t="shared" si="141"/>
        <v>2.8200388570161721E-12</v>
      </c>
      <c r="Q155" s="20">
        <f t="shared" si="162"/>
        <v>5.2667878847729083E-12</v>
      </c>
      <c r="R155" s="59">
        <f t="shared" si="109"/>
        <v>293.3333333333386</v>
      </c>
      <c r="S155" s="59">
        <f ca="1">AVERAGE(OFFSET($R$3,0,0,'Données projet'!$E$9+1,1))-AVERAGE(OFFSET($H$3,0,0,'Données projet'!$E$9+1,1))</f>
        <v>288.98981546396209</v>
      </c>
      <c r="T155" s="59">
        <f t="shared" si="142"/>
        <v>281.67720096117085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33.30284304945053</v>
      </c>
      <c r="AA155" s="21">
        <f>EXP(-LN(2)/25)*AA154+(1-EXP(-LN(2)/25))/(LN(2)/25)*Calculateur!V155*Calculateur!X155*VLOOKUP('Données projet'!$B$9,Paramètres!$A$1:$I$89,3,0)*0.475*44/12</f>
        <v>5.6022758589649673</v>
      </c>
      <c r="AB155" s="21">
        <f>EXP(-LN(2)/2)*AB154+(1-EXP(-LN(2)/2))/(LN(2)/2)*V155*Y155*VLOOKUP('Données projet'!$B$9,Paramètres!$A$1:$I$89,3,0)*0.475*44/12</f>
        <v>2.1251699666909237E-11</v>
      </c>
      <c r="AC155" s="22">
        <f t="shared" si="163"/>
        <v>38.905118908436748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234.95901223517041</v>
      </c>
      <c r="AO155" s="59">
        <f t="shared" si="144"/>
        <v>179.39213799913273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39.522836549271354</v>
      </c>
      <c r="AV155" s="21">
        <f>EXP(-LN(2)/25)*AV154+(1-EXP(-LN(2)/25))/(LN(2)/25)*Calculateur!AQ155*Calculateur!AS155*VLOOKUP('Données projet'!$B$10,Paramètres!$A$1:$I$89,3,0)*0.475*44/12</f>
        <v>6.5549996536826463</v>
      </c>
      <c r="AW155" s="21">
        <f>EXP(-LN(2)/2)*AW154+(1-EXP(-LN(2)/2))/(LN(2)/2)*AQ155*AT155*VLOOKUP('Données projet'!$B$10,Paramètres!$A$1:$I$89,3,0)*0.475*44/12</f>
        <v>6.1327379101671015E-10</v>
      </c>
      <c r="AX155" s="21">
        <f t="shared" si="166"/>
        <v>46.07783620356728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3.4106051316484809E-13</v>
      </c>
      <c r="O156" s="13">
        <f>N156*VLOOKUP('Données projet'!$B$9,Paramètres!$A$1:$I$89,3,0)*VLOOKUP('Données projet'!$B$9,Paramètres!$A$1:$I$89,5,0)</f>
        <v>2.0395418687257919E-13</v>
      </c>
      <c r="P156" s="13">
        <f t="shared" si="141"/>
        <v>2.8200388570161721E-12</v>
      </c>
      <c r="Q156" s="20">
        <f t="shared" si="162"/>
        <v>5.2667878847729083E-12</v>
      </c>
      <c r="R156" s="59">
        <f t="shared" si="109"/>
        <v>293.3333333333386</v>
      </c>
      <c r="S156" s="59">
        <f ca="1">AVERAGE(OFFSET($R$3,0,0,'Données projet'!$E$9+1,1))-AVERAGE(OFFSET($H$3,0,0,'Données projet'!$E$9+1,1))</f>
        <v>288.98981546396209</v>
      </c>
      <c r="T156" s="59">
        <f t="shared" si="142"/>
        <v>281.67720096117085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32.649794609979352</v>
      </c>
      <c r="AA156" s="21">
        <f>EXP(-LN(2)/25)*AA155+(1-EXP(-LN(2)/25))/(LN(2)/25)*Calculateur!V156*Calculateur!X156*VLOOKUP('Données projet'!$B$9,Paramètres!$A$1:$I$89,3,0)*0.475*44/12</f>
        <v>5.4490813309906869</v>
      </c>
      <c r="AB156" s="21">
        <f>EXP(-LN(2)/2)*AB155+(1-EXP(-LN(2)/2))/(LN(2)/2)*V156*Y156*VLOOKUP('Données projet'!$B$9,Paramètres!$A$1:$I$89,3,0)*0.475*44/12</f>
        <v>1.5027220946211415E-11</v>
      </c>
      <c r="AC156" s="22">
        <f t="shared" si="163"/>
        <v>38.098875940985067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234.95901223517041</v>
      </c>
      <c r="AO156" s="59">
        <f t="shared" si="144"/>
        <v>179.39213799913273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38.74781783109011</v>
      </c>
      <c r="AV156" s="21">
        <f>EXP(-LN(2)/25)*AV155+(1-EXP(-LN(2)/25))/(LN(2)/25)*Calculateur!AQ156*Calculateur!AS156*VLOOKUP('Données projet'!$B$10,Paramètres!$A$1:$I$89,3,0)*0.475*44/12</f>
        <v>6.3757528434402442</v>
      </c>
      <c r="AW156" s="21">
        <f>EXP(-LN(2)/2)*AW155+(1-EXP(-LN(2)/2))/(LN(2)/2)*AQ156*AT156*VLOOKUP('Données projet'!$B$10,Paramètres!$A$1:$I$89,3,0)*0.475*44/12</f>
        <v>4.3365005635189734E-10</v>
      </c>
      <c r="AX156" s="21">
        <f t="shared" si="166"/>
        <v>45.123570674964007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3.4106051316484809E-13</v>
      </c>
      <c r="O157" s="13">
        <f>N157*VLOOKUP('Données projet'!$B$9,Paramètres!$A$1:$I$89,3,0)*VLOOKUP('Données projet'!$B$9,Paramètres!$A$1:$I$89,5,0)</f>
        <v>2.0395418687257919E-13</v>
      </c>
      <c r="P157" s="13">
        <f t="shared" si="141"/>
        <v>2.8200388570161721E-12</v>
      </c>
      <c r="Q157" s="20">
        <f t="shared" si="162"/>
        <v>5.2667878847729083E-12</v>
      </c>
      <c r="R157" s="59">
        <f t="shared" si="109"/>
        <v>293.3333333333386</v>
      </c>
      <c r="S157" s="59">
        <f ca="1">AVERAGE(OFFSET($R$3,0,0,'Données projet'!$E$9+1,1))-AVERAGE(OFFSET($H$3,0,0,'Données projet'!$E$9+1,1))</f>
        <v>288.98981546396209</v>
      </c>
      <c r="T157" s="59">
        <f t="shared" si="142"/>
        <v>281.67720096117085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32.009552052085986</v>
      </c>
      <c r="AA157" s="21">
        <f>EXP(-LN(2)/25)*AA156+(1-EXP(-LN(2)/25))/(LN(2)/25)*Calculateur!V157*Calculateur!X157*VLOOKUP('Données projet'!$B$9,Paramètres!$A$1:$I$89,3,0)*0.475*44/12</f>
        <v>5.3000759154400132</v>
      </c>
      <c r="AB157" s="21">
        <f>EXP(-LN(2)/2)*AB156+(1-EXP(-LN(2)/2))/(LN(2)/2)*V157*Y157*VLOOKUP('Données projet'!$B$9,Paramètres!$A$1:$I$89,3,0)*0.475*44/12</f>
        <v>1.0625849833454619E-11</v>
      </c>
      <c r="AC157" s="22">
        <f t="shared" si="163"/>
        <v>37.30962796753662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234.95901223517041</v>
      </c>
      <c r="AO157" s="59">
        <f t="shared" si="144"/>
        <v>179.39213799913273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37.987996757257662</v>
      </c>
      <c r="AV157" s="21">
        <f>EXP(-LN(2)/25)*AV156+(1-EXP(-LN(2)/25))/(LN(2)/25)*Calculateur!AQ157*Calculateur!AS157*VLOOKUP('Données projet'!$B$10,Paramètres!$A$1:$I$89,3,0)*0.475*44/12</f>
        <v>6.2014075466501009</v>
      </c>
      <c r="AW157" s="21">
        <f>EXP(-LN(2)/2)*AW156+(1-EXP(-LN(2)/2))/(LN(2)/2)*AQ157*AT157*VLOOKUP('Données projet'!$B$10,Paramètres!$A$1:$I$89,3,0)*0.475*44/12</f>
        <v>3.0663689550835508E-10</v>
      </c>
      <c r="AX157" s="21">
        <f t="shared" si="166"/>
        <v>44.189404304214399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3.4106051316484809E-13</v>
      </c>
      <c r="O158" s="13">
        <f>N158*VLOOKUP('Données projet'!$B$9,Paramètres!$A$1:$I$89,3,0)*VLOOKUP('Données projet'!$B$9,Paramètres!$A$1:$I$89,5,0)</f>
        <v>2.0395418687257919E-13</v>
      </c>
      <c r="P158" s="13">
        <f t="shared" si="141"/>
        <v>2.8200388570161721E-12</v>
      </c>
      <c r="Q158" s="20">
        <f t="shared" si="162"/>
        <v>5.2667878847729083E-12</v>
      </c>
      <c r="R158" s="59">
        <f t="shared" si="109"/>
        <v>293.3333333333386</v>
      </c>
      <c r="S158" s="59">
        <f ca="1">AVERAGE(OFFSET($R$3,0,0,'Données projet'!$E$9+1,1))-AVERAGE(OFFSET($H$3,0,0,'Données projet'!$E$9+1,1))</f>
        <v>288.98981546396209</v>
      </c>
      <c r="T158" s="59">
        <f t="shared" si="142"/>
        <v>281.67720096117085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31.381864260243507</v>
      </c>
      <c r="AA158" s="21">
        <f>EXP(-LN(2)/25)*AA157+(1-EXP(-LN(2)/25))/(LN(2)/25)*Calculateur!V158*Calculateur!X158*VLOOKUP('Données projet'!$B$9,Paramètres!$A$1:$I$89,3,0)*0.475*44/12</f>
        <v>5.1551450608134273</v>
      </c>
      <c r="AB158" s="21">
        <f>EXP(-LN(2)/2)*AB157+(1-EXP(-LN(2)/2))/(LN(2)/2)*V158*Y158*VLOOKUP('Données projet'!$B$9,Paramètres!$A$1:$I$89,3,0)*0.475*44/12</f>
        <v>7.5136104731057073E-12</v>
      </c>
      <c r="AC158" s="22">
        <f t="shared" si="163"/>
        <v>36.537009321064446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234.95901223517041</v>
      </c>
      <c r="AO158" s="59">
        <f t="shared" si="144"/>
        <v>179.39213799913273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37.243075311237973</v>
      </c>
      <c r="AV158" s="21">
        <f>EXP(-LN(2)/25)*AV157+(1-EXP(-LN(2)/25))/(LN(2)/25)*Calculateur!AQ158*Calculateur!AS158*VLOOKUP('Données projet'!$B$10,Paramètres!$A$1:$I$89,3,0)*0.475*44/12</f>
        <v>6.031829731169104</v>
      </c>
      <c r="AW158" s="21">
        <f>EXP(-LN(2)/2)*AW157+(1-EXP(-LN(2)/2))/(LN(2)/2)*AQ158*AT158*VLOOKUP('Données projet'!$B$10,Paramètres!$A$1:$I$89,3,0)*0.475*44/12</f>
        <v>2.1682502817594867E-10</v>
      </c>
      <c r="AX158" s="21">
        <f t="shared" si="166"/>
        <v>43.274905042623899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3.4106051316484809E-13</v>
      </c>
      <c r="O159" s="13">
        <f>N159*VLOOKUP('Données projet'!$B$9,Paramètres!$A$1:$I$89,3,0)*VLOOKUP('Données projet'!$B$9,Paramètres!$A$1:$I$89,5,0)</f>
        <v>2.0395418687257919E-13</v>
      </c>
      <c r="P159" s="13">
        <f t="shared" si="141"/>
        <v>2.8200388570161721E-12</v>
      </c>
      <c r="Q159" s="20">
        <f t="shared" si="162"/>
        <v>5.2667878847729083E-12</v>
      </c>
      <c r="R159" s="59">
        <f t="shared" si="109"/>
        <v>293.3333333333386</v>
      </c>
      <c r="S159" s="59">
        <f ca="1">AVERAGE(OFFSET($R$3,0,0,'Données projet'!$E$9+1,1))-AVERAGE(OFFSET($H$3,0,0,'Données projet'!$E$9+1,1))</f>
        <v>288.98981546396209</v>
      </c>
      <c r="T159" s="59">
        <f t="shared" si="142"/>
        <v>281.67720096117085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30.766485043147309</v>
      </c>
      <c r="AA159" s="21">
        <f>EXP(-LN(2)/25)*AA158+(1-EXP(-LN(2)/25))/(LN(2)/25)*Calculateur!V159*Calculateur!X159*VLOOKUP('Données projet'!$B$9,Paramètres!$A$1:$I$89,3,0)*0.475*44/12</f>
        <v>5.0141773480281877</v>
      </c>
      <c r="AB159" s="21">
        <f>EXP(-LN(2)/2)*AB158+(1-EXP(-LN(2)/2))/(LN(2)/2)*V159*Y159*VLOOKUP('Données projet'!$B$9,Paramètres!$A$1:$I$89,3,0)*0.475*44/12</f>
        <v>5.3129249167273093E-12</v>
      </c>
      <c r="AC159" s="22">
        <f t="shared" si="163"/>
        <v>35.780662391180812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234.95901223517041</v>
      </c>
      <c r="AO159" s="59">
        <f t="shared" si="144"/>
        <v>179.39213799913273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36.512761320417518</v>
      </c>
      <c r="AV159" s="21">
        <f>EXP(-LN(2)/25)*AV158+(1-EXP(-LN(2)/25))/(LN(2)/25)*Calculateur!AQ159*Calculateur!AS159*VLOOKUP('Données projet'!$B$10,Paramètres!$A$1:$I$89,3,0)*0.475*44/12</f>
        <v>5.8668890299701451</v>
      </c>
      <c r="AW159" s="21">
        <f>EXP(-LN(2)/2)*AW158+(1-EXP(-LN(2)/2))/(LN(2)/2)*AQ159*AT159*VLOOKUP('Données projet'!$B$10,Paramètres!$A$1:$I$89,3,0)*0.475*44/12</f>
        <v>1.5331844775417754E-10</v>
      </c>
      <c r="AX159" s="21">
        <f t="shared" si="166"/>
        <v>42.379650350540985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3.4106051316484809E-13</v>
      </c>
      <c r="O160" s="13">
        <f>N160*VLOOKUP('Données projet'!$B$9,Paramètres!$A$1:$I$89,3,0)*VLOOKUP('Données projet'!$B$9,Paramètres!$A$1:$I$89,5,0)</f>
        <v>2.0395418687257919E-13</v>
      </c>
      <c r="P160" s="13">
        <f t="shared" si="141"/>
        <v>2.8200388570161721E-12</v>
      </c>
      <c r="Q160" s="20">
        <f t="shared" si="162"/>
        <v>5.2667878847729083E-12</v>
      </c>
      <c r="R160" s="59">
        <f t="shared" si="109"/>
        <v>293.3333333333386</v>
      </c>
      <c r="S160" s="59">
        <f ca="1">AVERAGE(OFFSET($R$3,0,0,'Données projet'!$E$9+1,1))-AVERAGE(OFFSET($H$3,0,0,'Données projet'!$E$9+1,1))</f>
        <v>288.98981546396209</v>
      </c>
      <c r="T160" s="59">
        <f t="shared" si="142"/>
        <v>281.67720096117085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30.163173037154106</v>
      </c>
      <c r="AA160" s="21">
        <f>EXP(-LN(2)/25)*AA159+(1-EXP(-LN(2)/25))/(LN(2)/25)*Calculateur!V160*Calculateur!X160*VLOOKUP('Données projet'!$B$9,Paramètres!$A$1:$I$89,3,0)*0.475*44/12</f>
        <v>4.8770644047622298</v>
      </c>
      <c r="AB160" s="21">
        <f>EXP(-LN(2)/2)*AB159+(1-EXP(-LN(2)/2))/(LN(2)/2)*V160*Y160*VLOOKUP('Données projet'!$B$9,Paramètres!$A$1:$I$89,3,0)*0.475*44/12</f>
        <v>3.7568052365528537E-12</v>
      </c>
      <c r="AC160" s="22">
        <f t="shared" si="163"/>
        <v>35.040237441920091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234.95901223517041</v>
      </c>
      <c r="AO160" s="59">
        <f t="shared" si="144"/>
        <v>179.39213799913273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35.796768341509498</v>
      </c>
      <c r="AV160" s="21">
        <f>EXP(-LN(2)/25)*AV159+(1-EXP(-LN(2)/25))/(LN(2)/25)*Calculateur!AQ160*Calculateur!AS160*VLOOKUP('Données projet'!$B$10,Paramètres!$A$1:$I$89,3,0)*0.475*44/12</f>
        <v>5.7064586409193261</v>
      </c>
      <c r="AW160" s="21">
        <f>EXP(-LN(2)/2)*AW159+(1-EXP(-LN(2)/2))/(LN(2)/2)*AQ160*AT160*VLOOKUP('Données projet'!$B$10,Paramètres!$A$1:$I$89,3,0)*0.475*44/12</f>
        <v>1.0841251408797434E-10</v>
      </c>
      <c r="AX160" s="21">
        <f t="shared" si="166"/>
        <v>41.503226982537242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3.4106051316484809E-13</v>
      </c>
      <c r="O161" s="13">
        <f>N161*VLOOKUP('Données projet'!$B$9,Paramètres!$A$1:$I$89,3,0)*VLOOKUP('Données projet'!$B$9,Paramètres!$A$1:$I$89,5,0)</f>
        <v>2.0395418687257919E-13</v>
      </c>
      <c r="P161" s="13">
        <f t="shared" si="141"/>
        <v>2.8200388570161721E-12</v>
      </c>
      <c r="Q161" s="20">
        <f t="shared" si="162"/>
        <v>5.2667878847729083E-12</v>
      </c>
      <c r="R161" s="59">
        <f t="shared" si="109"/>
        <v>293.3333333333386</v>
      </c>
      <c r="S161" s="59">
        <f ca="1">AVERAGE(OFFSET($R$3,0,0,'Données projet'!$E$9+1,1))-AVERAGE(OFFSET($H$3,0,0,'Données projet'!$E$9+1,1))</f>
        <v>288.98981546396209</v>
      </c>
      <c r="T161" s="59">
        <f t="shared" si="142"/>
        <v>281.67720096117085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29.571691611614444</v>
      </c>
      <c r="AA161" s="21">
        <f>EXP(-LN(2)/25)*AA160+(1-EXP(-LN(2)/25))/(LN(2)/25)*Calculateur!V161*Calculateur!X161*VLOOKUP('Données projet'!$B$9,Paramètres!$A$1:$I$89,3,0)*0.475*44/12</f>
        <v>4.7437008221403358</v>
      </c>
      <c r="AB161" s="21">
        <f>EXP(-LN(2)/2)*AB160+(1-EXP(-LN(2)/2))/(LN(2)/2)*V161*Y161*VLOOKUP('Données projet'!$B$9,Paramètres!$A$1:$I$89,3,0)*0.475*44/12</f>
        <v>2.6564624583636546E-12</v>
      </c>
      <c r="AC161" s="22">
        <f t="shared" si="163"/>
        <v>34.315392433757438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234.95901223517041</v>
      </c>
      <c r="AO161" s="59">
        <f t="shared" si="144"/>
        <v>179.39213799913273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35.094815548205268</v>
      </c>
      <c r="AV161" s="21">
        <f>EXP(-LN(2)/25)*AV160+(1-EXP(-LN(2)/25))/(LN(2)/25)*Calculateur!AQ161*Calculateur!AS161*VLOOKUP('Données projet'!$B$10,Paramètres!$A$1:$I$89,3,0)*0.475*44/12</f>
        <v>5.5504152292937698</v>
      </c>
      <c r="AW161" s="21">
        <f>EXP(-LN(2)/2)*AW160+(1-EXP(-LN(2)/2))/(LN(2)/2)*AQ161*AT161*VLOOKUP('Données projet'!$B$10,Paramètres!$A$1:$I$89,3,0)*0.475*44/12</f>
        <v>7.6659223877088769E-11</v>
      </c>
      <c r="AX161" s="21">
        <f t="shared" si="166"/>
        <v>40.645230777575698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3.4106051316484809E-13</v>
      </c>
      <c r="O162" s="13">
        <f>N162*VLOOKUP('Données projet'!$B$9,Paramètres!$A$1:$I$89,3,0)*VLOOKUP('Données projet'!$B$9,Paramètres!$A$1:$I$89,5,0)</f>
        <v>2.0395418687257919E-13</v>
      </c>
      <c r="P162" s="13">
        <f t="shared" si="141"/>
        <v>2.8200388570161721E-12</v>
      </c>
      <c r="Q162" s="20">
        <f t="shared" si="162"/>
        <v>5.2667878847729083E-12</v>
      </c>
      <c r="R162" s="59">
        <f t="shared" si="109"/>
        <v>293.3333333333386</v>
      </c>
      <c r="S162" s="59">
        <f ca="1">AVERAGE(OFFSET($R$3,0,0,'Données projet'!$E$9+1,1))-AVERAGE(OFFSET($H$3,0,0,'Données projet'!$E$9+1,1))</f>
        <v>288.98981546396209</v>
      </c>
      <c r="T162" s="59">
        <f t="shared" si="142"/>
        <v>281.67720096117085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28.991808776061568</v>
      </c>
      <c r="AA162" s="21">
        <f>EXP(-LN(2)/25)*AA161+(1-EXP(-LN(2)/25))/(LN(2)/25)*Calculateur!V162*Calculateur!X162*VLOOKUP('Données projet'!$B$9,Paramètres!$A$1:$I$89,3,0)*0.475*44/12</f>
        <v>4.613984073698524</v>
      </c>
      <c r="AB162" s="21">
        <f>EXP(-LN(2)/2)*AB161+(1-EXP(-LN(2)/2))/(LN(2)/2)*V162*Y162*VLOOKUP('Données projet'!$B$9,Paramètres!$A$1:$I$89,3,0)*0.475*44/12</f>
        <v>1.8784026182764268E-12</v>
      </c>
      <c r="AC162" s="22">
        <f t="shared" si="163"/>
        <v>33.605792849761968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234.95901223517041</v>
      </c>
      <c r="AO162" s="59">
        <f t="shared" si="144"/>
        <v>179.39213799913273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34.406627621028811</v>
      </c>
      <c r="AV162" s="21">
        <f>EXP(-LN(2)/25)*AV161+(1-EXP(-LN(2)/25))/(LN(2)/25)*Calculateur!AQ162*Calculateur!AS162*VLOOKUP('Données projet'!$B$10,Paramètres!$A$1:$I$89,3,0)*0.475*44/12</f>
        <v>5.3986388329650801</v>
      </c>
      <c r="AW162" s="21">
        <f>EXP(-LN(2)/2)*AW161+(1-EXP(-LN(2)/2))/(LN(2)/2)*AQ162*AT162*VLOOKUP('Données projet'!$B$10,Paramètres!$A$1:$I$89,3,0)*0.475*44/12</f>
        <v>5.4206257043987168E-11</v>
      </c>
      <c r="AX162" s="21">
        <f t="shared" si="166"/>
        <v>39.805266454048102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3.4106051316484809E-13</v>
      </c>
      <c r="O163" s="13">
        <f>N163*VLOOKUP('Données projet'!$B$9,Paramètres!$A$1:$I$89,3,0)*VLOOKUP('Données projet'!$B$9,Paramètres!$A$1:$I$89,5,0)</f>
        <v>2.0395418687257919E-13</v>
      </c>
      <c r="P163" s="13">
        <f t="shared" si="141"/>
        <v>2.8200388570161721E-12</v>
      </c>
      <c r="Q163" s="20">
        <f t="shared" si="162"/>
        <v>5.2667878847729083E-12</v>
      </c>
      <c r="R163" s="59">
        <f t="shared" si="109"/>
        <v>293.3333333333386</v>
      </c>
      <c r="S163" s="59">
        <f ca="1">AVERAGE(OFFSET($R$3,0,0,'Données projet'!$E$9+1,1))-AVERAGE(OFFSET($H$3,0,0,'Données projet'!$E$9+1,1))</f>
        <v>288.98981546396209</v>
      </c>
      <c r="T163" s="59">
        <f t="shared" si="142"/>
        <v>281.67720096117085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28.423297089220277</v>
      </c>
      <c r="AA163" s="21">
        <f>EXP(-LN(2)/25)*AA162+(1-EXP(-LN(2)/25))/(LN(2)/25)*Calculateur!V163*Calculateur!X163*VLOOKUP('Données projet'!$B$9,Paramètres!$A$1:$I$89,3,0)*0.475*44/12</f>
        <v>4.4878144365643609</v>
      </c>
      <c r="AB163" s="21">
        <f>EXP(-LN(2)/2)*AB162+(1-EXP(-LN(2)/2))/(LN(2)/2)*V163*Y163*VLOOKUP('Données projet'!$B$9,Paramètres!$A$1:$I$89,3,0)*0.475*44/12</f>
        <v>1.3282312291818273E-12</v>
      </c>
      <c r="AC163" s="22">
        <f t="shared" si="163"/>
        <v>32.911111525785969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234.95901223517041</v>
      </c>
      <c r="AO163" s="59">
        <f t="shared" si="144"/>
        <v>179.39213799913273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33.731934639351095</v>
      </c>
      <c r="AV163" s="21">
        <f>EXP(-LN(2)/25)*AV162+(1-EXP(-LN(2)/25))/(LN(2)/25)*Calculateur!AQ163*Calculateur!AS163*VLOOKUP('Données projet'!$B$10,Paramètres!$A$1:$I$89,3,0)*0.475*44/12</f>
        <v>5.2510127701755724</v>
      </c>
      <c r="AW163" s="21">
        <f>EXP(-LN(2)/2)*AW162+(1-EXP(-LN(2)/2))/(LN(2)/2)*AQ163*AT163*VLOOKUP('Données projet'!$B$10,Paramètres!$A$1:$I$89,3,0)*0.475*44/12</f>
        <v>3.8329611938544384E-11</v>
      </c>
      <c r="AX163" s="21">
        <f t="shared" si="166"/>
        <v>38.982947409564993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3.4106051316484809E-13</v>
      </c>
      <c r="O164" s="13">
        <f>N164*VLOOKUP('Données projet'!$B$9,Paramètres!$A$1:$I$89,3,0)*VLOOKUP('Données projet'!$B$9,Paramètres!$A$1:$I$89,5,0)</f>
        <v>2.0395418687257919E-13</v>
      </c>
      <c r="P164" s="13">
        <f t="shared" si="141"/>
        <v>2.8200388570161721E-12</v>
      </c>
      <c r="Q164" s="20">
        <f t="shared" si="162"/>
        <v>5.2667878847729083E-12</v>
      </c>
      <c r="R164" s="59">
        <f t="shared" si="109"/>
        <v>293.3333333333386</v>
      </c>
      <c r="S164" s="59">
        <f ca="1">AVERAGE(OFFSET($R$3,0,0,'Données projet'!$E$9+1,1))-AVERAGE(OFFSET($H$3,0,0,'Données projet'!$E$9+1,1))</f>
        <v>288.98981546396209</v>
      </c>
      <c r="T164" s="59">
        <f t="shared" si="142"/>
        <v>281.67720096117085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27.865933569800056</v>
      </c>
      <c r="AA164" s="21">
        <f>EXP(-LN(2)/25)*AA163+(1-EXP(-LN(2)/25))/(LN(2)/25)*Calculateur!V164*Calculateur!X164*VLOOKUP('Données projet'!$B$9,Paramètres!$A$1:$I$89,3,0)*0.475*44/12</f>
        <v>4.3650949147926044</v>
      </c>
      <c r="AB164" s="21">
        <f>EXP(-LN(2)/2)*AB163+(1-EXP(-LN(2)/2))/(LN(2)/2)*V164*Y164*VLOOKUP('Données projet'!$B$9,Paramètres!$A$1:$I$89,3,0)*0.475*44/12</f>
        <v>9.3920130913821342E-13</v>
      </c>
      <c r="AC164" s="22">
        <f t="shared" si="163"/>
        <v>32.231028484593601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234.95901223517041</v>
      </c>
      <c r="AO164" s="59">
        <f t="shared" si="144"/>
        <v>179.39213799913273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33.07047197552199</v>
      </c>
      <c r="AV164" s="21">
        <f>EXP(-LN(2)/25)*AV163+(1-EXP(-LN(2)/25))/(LN(2)/25)*Calculateur!AQ164*Calculateur!AS164*VLOOKUP('Données projet'!$B$10,Paramètres!$A$1:$I$89,3,0)*0.475*44/12</f>
        <v>5.1074235498363612</v>
      </c>
      <c r="AW164" s="21">
        <f>EXP(-LN(2)/2)*AW163+(1-EXP(-LN(2)/2))/(LN(2)/2)*AQ164*AT164*VLOOKUP('Données projet'!$B$10,Paramètres!$A$1:$I$89,3,0)*0.475*44/12</f>
        <v>2.7103128521993584E-11</v>
      </c>
      <c r="AX164" s="21">
        <f t="shared" si="166"/>
        <v>38.177895525385452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3.4106051316484809E-13</v>
      </c>
      <c r="O165" s="13">
        <f>N165*VLOOKUP('Données projet'!$B$9,Paramètres!$A$1:$I$89,3,0)*VLOOKUP('Données projet'!$B$9,Paramètres!$A$1:$I$89,5,0)</f>
        <v>2.0395418687257919E-13</v>
      </c>
      <c r="P165" s="13">
        <f t="shared" si="141"/>
        <v>2.8200388570161721E-12</v>
      </c>
      <c r="Q165" s="20">
        <f t="shared" si="162"/>
        <v>5.2667878847729083E-12</v>
      </c>
      <c r="R165" s="59">
        <f t="shared" si="109"/>
        <v>293.3333333333386</v>
      </c>
      <c r="S165" s="59">
        <f ca="1">AVERAGE(OFFSET($R$3,0,0,'Données projet'!$E$9+1,1))-AVERAGE(OFFSET($H$3,0,0,'Données projet'!$E$9+1,1))</f>
        <v>288.98981546396209</v>
      </c>
      <c r="T165" s="59">
        <f t="shared" si="142"/>
        <v>281.67720096117085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27.319499609037486</v>
      </c>
      <c r="AA165" s="21">
        <f>EXP(-LN(2)/25)*AA164+(1-EXP(-LN(2)/25))/(LN(2)/25)*Calculateur!V165*Calculateur!X165*VLOOKUP('Données projet'!$B$9,Paramètres!$A$1:$I$89,3,0)*0.475*44/12</f>
        <v>4.2457311647972356</v>
      </c>
      <c r="AB165" s="21">
        <f>EXP(-LN(2)/2)*AB164+(1-EXP(-LN(2)/2))/(LN(2)/2)*V165*Y165*VLOOKUP('Données projet'!$B$9,Paramètres!$A$1:$I$89,3,0)*0.475*44/12</f>
        <v>6.6411561459091366E-13</v>
      </c>
      <c r="AC165" s="22">
        <f t="shared" si="163"/>
        <v>31.565230773835385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234.95901223517041</v>
      </c>
      <c r="AO165" s="59">
        <f t="shared" si="144"/>
        <v>179.39213799913273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32.421980191078191</v>
      </c>
      <c r="AV165" s="21">
        <f>EXP(-LN(2)/25)*AV164+(1-EXP(-LN(2)/25))/(LN(2)/25)*Calculateur!AQ165*Calculateur!AS165*VLOOKUP('Données projet'!$B$10,Paramètres!$A$1:$I$89,3,0)*0.475*44/12</f>
        <v>4.9677607842783544</v>
      </c>
      <c r="AW165" s="21">
        <f>EXP(-LN(2)/2)*AW164+(1-EXP(-LN(2)/2))/(LN(2)/2)*AQ165*AT165*VLOOKUP('Données projet'!$B$10,Paramètres!$A$1:$I$89,3,0)*0.475*44/12</f>
        <v>1.9164805969272192E-11</v>
      </c>
      <c r="AX165" s="21">
        <f t="shared" si="166"/>
        <v>37.389740975375709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3.4106051316484809E-13</v>
      </c>
      <c r="O166" s="13">
        <f>N166*VLOOKUP('Données projet'!$B$9,Paramètres!$A$1:$I$89,3,0)*VLOOKUP('Données projet'!$B$9,Paramètres!$A$1:$I$89,5,0)</f>
        <v>2.0395418687257919E-13</v>
      </c>
      <c r="P166" s="13">
        <f t="shared" si="141"/>
        <v>2.8200388570161721E-12</v>
      </c>
      <c r="Q166" s="20">
        <f t="shared" si="162"/>
        <v>5.2667878847729083E-12</v>
      </c>
      <c r="R166" s="59">
        <f t="shared" si="109"/>
        <v>293.3333333333386</v>
      </c>
      <c r="S166" s="59">
        <f ca="1">AVERAGE(OFFSET($R$3,0,0,'Données projet'!$E$9+1,1))-AVERAGE(OFFSET($H$3,0,0,'Données projet'!$E$9+1,1))</f>
        <v>288.98981546396209</v>
      </c>
      <c r="T166" s="59">
        <f t="shared" si="142"/>
        <v>281.67720096117085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26.783780884953664</v>
      </c>
      <c r="AA166" s="21">
        <f>EXP(-LN(2)/25)*AA165+(1-EXP(-LN(2)/25))/(LN(2)/25)*Calculateur!V166*Calculateur!X166*VLOOKUP('Données projet'!$B$9,Paramètres!$A$1:$I$89,3,0)*0.475*44/12</f>
        <v>4.1296314228225572</v>
      </c>
      <c r="AB166" s="21">
        <f>EXP(-LN(2)/2)*AB165+(1-EXP(-LN(2)/2))/(LN(2)/2)*V166*Y166*VLOOKUP('Données projet'!$B$9,Paramètres!$A$1:$I$89,3,0)*0.475*44/12</f>
        <v>4.6960065456910671E-13</v>
      </c>
      <c r="AC166" s="22">
        <f t="shared" si="163"/>
        <v>30.913412307776689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234.95901223517041</v>
      </c>
      <c r="AO166" s="59">
        <f t="shared" si="144"/>
        <v>179.39213799913273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31.786204934986401</v>
      </c>
      <c r="AV166" s="21">
        <f>EXP(-LN(2)/25)*AV165+(1-EXP(-LN(2)/25))/(LN(2)/25)*Calculateur!AQ166*Calculateur!AS166*VLOOKUP('Données projet'!$B$10,Paramètres!$A$1:$I$89,3,0)*0.475*44/12</f>
        <v>4.8319171043890767</v>
      </c>
      <c r="AW166" s="21">
        <f>EXP(-LN(2)/2)*AW165+(1-EXP(-LN(2)/2))/(LN(2)/2)*AQ166*AT166*VLOOKUP('Données projet'!$B$10,Paramètres!$A$1:$I$89,3,0)*0.475*44/12</f>
        <v>1.3551564260996792E-11</v>
      </c>
      <c r="AX166" s="21">
        <f t="shared" si="166"/>
        <v>36.618122039389029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3.4106051316484809E-13</v>
      </c>
      <c r="O167" s="13">
        <f>N167*VLOOKUP('Données projet'!$B$9,Paramètres!$A$1:$I$89,3,0)*VLOOKUP('Données projet'!$B$9,Paramètres!$A$1:$I$89,5,0)</f>
        <v>2.0395418687257919E-13</v>
      </c>
      <c r="P167" s="13">
        <f t="shared" si="141"/>
        <v>2.8200388570161721E-12</v>
      </c>
      <c r="Q167" s="20">
        <f t="shared" si="162"/>
        <v>5.2667878847729083E-12</v>
      </c>
      <c r="R167" s="59">
        <f t="shared" si="109"/>
        <v>293.3333333333386</v>
      </c>
      <c r="S167" s="59">
        <f ca="1">AVERAGE(OFFSET($R$3,0,0,'Données projet'!$E$9+1,1))-AVERAGE(OFFSET($H$3,0,0,'Données projet'!$E$9+1,1))</f>
        <v>288.98981546396209</v>
      </c>
      <c r="T167" s="59">
        <f t="shared" si="142"/>
        <v>281.67720096117085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26.258567278292968</v>
      </c>
      <c r="AA167" s="21">
        <f>EXP(-LN(2)/25)*AA166+(1-EXP(-LN(2)/25))/(LN(2)/25)*Calculateur!V167*Calculateur!X167*VLOOKUP('Données projet'!$B$9,Paramètres!$A$1:$I$89,3,0)*0.475*44/12</f>
        <v>4.0167064343975962</v>
      </c>
      <c r="AB167" s="21">
        <f>EXP(-LN(2)/2)*AB166+(1-EXP(-LN(2)/2))/(LN(2)/2)*V167*Y167*VLOOKUP('Données projet'!$B$9,Paramètres!$A$1:$I$89,3,0)*0.475*44/12</f>
        <v>3.3205780729545683E-13</v>
      </c>
      <c r="AC167" s="22">
        <f t="shared" si="163"/>
        <v>30.275273712690893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234.95901223517041</v>
      </c>
      <c r="AO167" s="59">
        <f t="shared" si="144"/>
        <v>179.39213799913273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31.162896843881953</v>
      </c>
      <c r="AV167" s="21">
        <f>EXP(-LN(2)/25)*AV166+(1-EXP(-LN(2)/25))/(LN(2)/25)*Calculateur!AQ167*Calculateur!AS167*VLOOKUP('Données projet'!$B$10,Paramètres!$A$1:$I$89,3,0)*0.475*44/12</f>
        <v>4.6997880770700808</v>
      </c>
      <c r="AW167" s="21">
        <f>EXP(-LN(2)/2)*AW166+(1-EXP(-LN(2)/2))/(LN(2)/2)*AQ167*AT167*VLOOKUP('Données projet'!$B$10,Paramètres!$A$1:$I$89,3,0)*0.475*44/12</f>
        <v>9.5824029846360961E-12</v>
      </c>
      <c r="AX167" s="21">
        <f t="shared" si="166"/>
        <v>35.86268492096162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3.4106051316484809E-13</v>
      </c>
      <c r="O168" s="13">
        <f>N168*VLOOKUP('Données projet'!$B$9,Paramètres!$A$1:$I$89,3,0)*VLOOKUP('Données projet'!$B$9,Paramètres!$A$1:$I$89,5,0)</f>
        <v>2.0395418687257919E-13</v>
      </c>
      <c r="P168" s="13">
        <f t="shared" si="141"/>
        <v>2.8200388570161721E-12</v>
      </c>
      <c r="Q168" s="20">
        <f t="shared" si="162"/>
        <v>5.2667878847729083E-12</v>
      </c>
      <c r="R168" s="59">
        <f t="shared" si="109"/>
        <v>293.3333333333386</v>
      </c>
      <c r="S168" s="59">
        <f ca="1">AVERAGE(OFFSET($R$3,0,0,'Données projet'!$E$9+1,1))-AVERAGE(OFFSET($H$3,0,0,'Données projet'!$E$9+1,1))</f>
        <v>288.98981546396209</v>
      </c>
      <c r="T168" s="59">
        <f t="shared" si="142"/>
        <v>281.67720096117085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25.743652790110222</v>
      </c>
      <c r="AA168" s="21">
        <f>EXP(-LN(2)/25)*AA167+(1-EXP(-LN(2)/25))/(LN(2)/25)*Calculateur!V168*Calculateur!X168*VLOOKUP('Données projet'!$B$9,Paramètres!$A$1:$I$89,3,0)*0.475*44/12</f>
        <v>3.9068693857195829</v>
      </c>
      <c r="AB168" s="21">
        <f>EXP(-LN(2)/2)*AB167+(1-EXP(-LN(2)/2))/(LN(2)/2)*V168*Y168*VLOOKUP('Données projet'!$B$9,Paramètres!$A$1:$I$89,3,0)*0.475*44/12</f>
        <v>2.3480032728455335E-13</v>
      </c>
      <c r="AC168" s="22">
        <f t="shared" si="163"/>
        <v>29.650522175830041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234.95901223517041</v>
      </c>
      <c r="AO168" s="59">
        <f t="shared" si="144"/>
        <v>179.39213799913273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30.55181144426367</v>
      </c>
      <c r="AV168" s="21">
        <f>EXP(-LN(2)/25)*AV167+(1-EXP(-LN(2)/25))/(LN(2)/25)*Calculateur!AQ168*Calculateur!AS168*VLOOKUP('Données projet'!$B$10,Paramètres!$A$1:$I$89,3,0)*0.475*44/12</f>
        <v>4.571272124951486</v>
      </c>
      <c r="AW168" s="21">
        <f>EXP(-LN(2)/2)*AW167+(1-EXP(-LN(2)/2))/(LN(2)/2)*AQ168*AT168*VLOOKUP('Données projet'!$B$10,Paramètres!$A$1:$I$89,3,0)*0.475*44/12</f>
        <v>6.775782130498396E-12</v>
      </c>
      <c r="AX168" s="21">
        <f t="shared" si="166"/>
        <v>35.123083569221933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3.4106051316484809E-13</v>
      </c>
      <c r="O169" s="13">
        <f>N169*VLOOKUP('Données projet'!$B$9,Paramètres!$A$1:$I$89,3,0)*VLOOKUP('Données projet'!$B$9,Paramètres!$A$1:$I$89,5,0)</f>
        <v>2.0395418687257919E-13</v>
      </c>
      <c r="P169" s="13">
        <f t="shared" si="141"/>
        <v>2.8200388570161721E-12</v>
      </c>
      <c r="Q169" s="20">
        <f t="shared" si="162"/>
        <v>5.2667878847729083E-12</v>
      </c>
      <c r="R169" s="59">
        <f t="shared" si="109"/>
        <v>293.3333333333386</v>
      </c>
      <c r="S169" s="59">
        <f ca="1">AVERAGE(OFFSET($R$3,0,0,'Données projet'!$E$9+1,1))-AVERAGE(OFFSET($H$3,0,0,'Données projet'!$E$9+1,1))</f>
        <v>288.98981546396209</v>
      </c>
      <c r="T169" s="59">
        <f t="shared" si="142"/>
        <v>281.67720096117085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25.23883546097391</v>
      </c>
      <c r="AA169" s="21">
        <f>EXP(-LN(2)/25)*AA168+(1-EXP(-LN(2)/25))/(LN(2)/25)*Calculateur!V169*Calculateur!X169*VLOOKUP('Données projet'!$B$9,Paramètres!$A$1:$I$89,3,0)*0.475*44/12</f>
        <v>3.8000358369137492</v>
      </c>
      <c r="AB169" s="21">
        <f>EXP(-LN(2)/2)*AB168+(1-EXP(-LN(2)/2))/(LN(2)/2)*V169*Y169*VLOOKUP('Données projet'!$B$9,Paramètres!$A$1:$I$89,3,0)*0.475*44/12</f>
        <v>1.6602890364772842E-13</v>
      </c>
      <c r="AC169" s="22">
        <f t="shared" si="163"/>
        <v>29.038871297887827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234.95901223517041</v>
      </c>
      <c r="AO169" s="59">
        <f t="shared" si="144"/>
        <v>179.39213799913273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29.952709056606611</v>
      </c>
      <c r="AV169" s="21">
        <f>EXP(-LN(2)/25)*AV168+(1-EXP(-LN(2)/25))/(LN(2)/25)*Calculateur!AQ169*Calculateur!AS169*VLOOKUP('Données projet'!$B$10,Paramètres!$A$1:$I$89,3,0)*0.475*44/12</f>
        <v>4.4462704483019344</v>
      </c>
      <c r="AW169" s="21">
        <f>EXP(-LN(2)/2)*AW168+(1-EXP(-LN(2)/2))/(LN(2)/2)*AQ169*AT169*VLOOKUP('Données projet'!$B$10,Paramètres!$A$1:$I$89,3,0)*0.475*44/12</f>
        <v>4.791201492318048E-12</v>
      </c>
      <c r="AX169" s="21">
        <f t="shared" si="166"/>
        <v>34.398979504913335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3.4106051316484809E-13</v>
      </c>
      <c r="O170" s="13">
        <f>N170*VLOOKUP('Données projet'!$B$9,Paramètres!$A$1:$I$89,3,0)*VLOOKUP('Données projet'!$B$9,Paramètres!$A$1:$I$89,5,0)</f>
        <v>2.0395418687257919E-13</v>
      </c>
      <c r="P170" s="13">
        <f t="shared" si="141"/>
        <v>2.8200388570161721E-12</v>
      </c>
      <c r="Q170" s="20">
        <f t="shared" si="162"/>
        <v>5.2667878847729083E-12</v>
      </c>
      <c r="R170" s="59">
        <f t="shared" si="109"/>
        <v>293.3333333333386</v>
      </c>
      <c r="S170" s="59">
        <f ca="1">AVERAGE(OFFSET($R$3,0,0,'Données projet'!$E$9+1,1))-AVERAGE(OFFSET($H$3,0,0,'Données projet'!$E$9+1,1))</f>
        <v>288.98981546396209</v>
      </c>
      <c r="T170" s="59">
        <f t="shared" si="142"/>
        <v>281.67720096117085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24.743917291753796</v>
      </c>
      <c r="AA170" s="21">
        <f>EXP(-LN(2)/25)*AA169+(1-EXP(-LN(2)/25))/(LN(2)/25)*Calculateur!V170*Calculateur!X170*VLOOKUP('Données projet'!$B$9,Paramètres!$A$1:$I$89,3,0)*0.475*44/12</f>
        <v>3.6961236571181431</v>
      </c>
      <c r="AB170" s="21">
        <f>EXP(-LN(2)/2)*AB169+(1-EXP(-LN(2)/2))/(LN(2)/2)*V170*Y170*VLOOKUP('Données projet'!$B$9,Paramètres!$A$1:$I$89,3,0)*0.475*44/12</f>
        <v>1.1740016364227668E-13</v>
      </c>
      <c r="AC170" s="22">
        <f t="shared" si="163"/>
        <v>28.440040948872056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234.95901223517041</v>
      </c>
      <c r="AO170" s="59">
        <f t="shared" si="144"/>
        <v>179.39213799913273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29.36535470135513</v>
      </c>
      <c r="AV170" s="21">
        <f>EXP(-LN(2)/25)*AV169+(1-EXP(-LN(2)/25))/(LN(2)/25)*Calculateur!AQ170*Calculateur!AS170*VLOOKUP('Données projet'!$B$10,Paramètres!$A$1:$I$89,3,0)*0.475*44/12</f>
        <v>4.324686949073917</v>
      </c>
      <c r="AW170" s="21">
        <f>EXP(-LN(2)/2)*AW169+(1-EXP(-LN(2)/2))/(LN(2)/2)*AQ170*AT170*VLOOKUP('Données projet'!$B$10,Paramètres!$A$1:$I$89,3,0)*0.475*44/12</f>
        <v>3.387891065249198E-12</v>
      </c>
      <c r="AX170" s="21">
        <f t="shared" si="166"/>
        <v>33.690041650432434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3.4106051316484809E-13</v>
      </c>
      <c r="O171" s="13">
        <f>N171*VLOOKUP('Données projet'!$B$9,Paramètres!$A$1:$I$89,3,0)*VLOOKUP('Données projet'!$B$9,Paramètres!$A$1:$I$89,5,0)</f>
        <v>2.0395418687257919E-13</v>
      </c>
      <c r="P171" s="13">
        <f t="shared" si="141"/>
        <v>2.8200388570161721E-12</v>
      </c>
      <c r="Q171" s="20">
        <f t="shared" si="162"/>
        <v>5.2667878847729083E-12</v>
      </c>
      <c r="R171" s="59">
        <f t="shared" si="109"/>
        <v>293.3333333333386</v>
      </c>
      <c r="S171" s="59">
        <f ca="1">AVERAGE(OFFSET($R$3,0,0,'Données projet'!$E$9+1,1))-AVERAGE(OFFSET($H$3,0,0,'Données projet'!$E$9+1,1))</f>
        <v>288.98981546396209</v>
      </c>
      <c r="T171" s="59">
        <f t="shared" si="142"/>
        <v>281.67720096117085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24.258704165961809</v>
      </c>
      <c r="AA171" s="21">
        <f>EXP(-LN(2)/25)*AA170+(1-EXP(-LN(2)/25))/(LN(2)/25)*Calculateur!V171*Calculateur!X171*VLOOKUP('Données projet'!$B$9,Paramètres!$A$1:$I$89,3,0)*0.475*44/12</f>
        <v>3.5950529613435518</v>
      </c>
      <c r="AB171" s="21">
        <f>EXP(-LN(2)/2)*AB170+(1-EXP(-LN(2)/2))/(LN(2)/2)*V171*Y171*VLOOKUP('Données projet'!$B$9,Paramètres!$A$1:$I$89,3,0)*0.475*44/12</f>
        <v>8.3014451823864208E-14</v>
      </c>
      <c r="AC171" s="22">
        <f t="shared" si="163"/>
        <v>27.853757127305443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234.95901223517041</v>
      </c>
      <c r="AO171" s="59">
        <f t="shared" si="144"/>
        <v>179.39213799913273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28.789518006759351</v>
      </c>
      <c r="AV171" s="21">
        <f>EXP(-LN(2)/25)*AV170+(1-EXP(-LN(2)/25))/(LN(2)/25)*Calculateur!AQ171*Calculateur!AS171*VLOOKUP('Données projet'!$B$10,Paramètres!$A$1:$I$89,3,0)*0.475*44/12</f>
        <v>4.206428157026088</v>
      </c>
      <c r="AW171" s="21">
        <f>EXP(-LN(2)/2)*AW170+(1-EXP(-LN(2)/2))/(LN(2)/2)*AQ171*AT171*VLOOKUP('Données projet'!$B$10,Paramètres!$A$1:$I$89,3,0)*0.475*44/12</f>
        <v>2.395600746159024E-12</v>
      </c>
      <c r="AX171" s="21">
        <f t="shared" si="166"/>
        <v>32.995946163787835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3.4106051316484809E-13</v>
      </c>
      <c r="O172" s="13">
        <f>N172*VLOOKUP('Données projet'!$B$9,Paramètres!$A$1:$I$89,3,0)*VLOOKUP('Données projet'!$B$9,Paramètres!$A$1:$I$89,5,0)</f>
        <v>2.0395418687257919E-13</v>
      </c>
      <c r="P172" s="13">
        <f t="shared" si="141"/>
        <v>2.8200388570161721E-12</v>
      </c>
      <c r="Q172" s="20">
        <f t="shared" si="162"/>
        <v>5.2667878847729083E-12</v>
      </c>
      <c r="R172" s="59">
        <f t="shared" si="109"/>
        <v>293.3333333333386</v>
      </c>
      <c r="S172" s="59">
        <f ca="1">AVERAGE(OFFSET($R$3,0,0,'Données projet'!$E$9+1,1))-AVERAGE(OFFSET($H$3,0,0,'Données projet'!$E$9+1,1))</f>
        <v>288.98981546396209</v>
      </c>
      <c r="T172" s="59">
        <f t="shared" si="142"/>
        <v>281.67720096117085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23.783005773615823</v>
      </c>
      <c r="AA172" s="21">
        <f>EXP(-LN(2)/25)*AA171+(1-EXP(-LN(2)/25))/(LN(2)/25)*Calculateur!V172*Calculateur!X172*VLOOKUP('Données projet'!$B$9,Paramètres!$A$1:$I$89,3,0)*0.475*44/12</f>
        <v>3.4967460490599938</v>
      </c>
      <c r="AB172" s="21">
        <f>EXP(-LN(2)/2)*AB171+(1-EXP(-LN(2)/2))/(LN(2)/2)*V172*Y172*VLOOKUP('Données projet'!$B$9,Paramètres!$A$1:$I$89,3,0)*0.475*44/12</f>
        <v>5.8700081821138338E-14</v>
      </c>
      <c r="AC172" s="22">
        <f t="shared" si="163"/>
        <v>27.279751822675877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234.95901223517041</v>
      </c>
      <c r="AO172" s="59">
        <f t="shared" si="144"/>
        <v>179.39213799913273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28.224973118518893</v>
      </c>
      <c r="AV172" s="21">
        <f>EXP(-LN(2)/25)*AV171+(1-EXP(-LN(2)/25))/(LN(2)/25)*Calculateur!AQ172*Calculateur!AS172*VLOOKUP('Données projet'!$B$10,Paramètres!$A$1:$I$89,3,0)*0.475*44/12</f>
        <v>4.0914031578657664</v>
      </c>
      <c r="AW172" s="21">
        <f>EXP(-LN(2)/2)*AW171+(1-EXP(-LN(2)/2))/(LN(2)/2)*AQ172*AT172*VLOOKUP('Données projet'!$B$10,Paramètres!$A$1:$I$89,3,0)*0.475*44/12</f>
        <v>1.693945532624599E-12</v>
      </c>
      <c r="AX172" s="21">
        <f t="shared" si="166"/>
        <v>32.31637627638635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3.4106051316484809E-13</v>
      </c>
      <c r="O173" s="13">
        <f>N173*VLOOKUP('Données projet'!$B$9,Paramètres!$A$1:$I$89,3,0)*VLOOKUP('Données projet'!$B$9,Paramètres!$A$1:$I$89,5,0)</f>
        <v>2.0395418687257919E-13</v>
      </c>
      <c r="P173" s="13">
        <f t="shared" si="141"/>
        <v>2.8200388570161721E-12</v>
      </c>
      <c r="Q173" s="20">
        <f t="shared" si="162"/>
        <v>5.2667878847729083E-12</v>
      </c>
      <c r="R173" s="59">
        <f t="shared" si="109"/>
        <v>293.3333333333386</v>
      </c>
      <c r="S173" s="59">
        <f ca="1">AVERAGE(OFFSET($R$3,0,0,'Données projet'!$E$9+1,1))-AVERAGE(OFFSET($H$3,0,0,'Données projet'!$E$9+1,1))</f>
        <v>288.98981546396209</v>
      </c>
      <c r="T173" s="59">
        <f t="shared" si="142"/>
        <v>281.67720096117085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23.316635536596369</v>
      </c>
      <c r="AA173" s="21">
        <f>EXP(-LN(2)/25)*AA172+(1-EXP(-LN(2)/25))/(LN(2)/25)*Calculateur!V173*Calculateur!X173*VLOOKUP('Données projet'!$B$9,Paramètres!$A$1:$I$89,3,0)*0.475*44/12</f>
        <v>3.4011273444625654</v>
      </c>
      <c r="AB173" s="21">
        <f>EXP(-LN(2)/2)*AB172+(1-EXP(-LN(2)/2))/(LN(2)/2)*V173*Y173*VLOOKUP('Données projet'!$B$9,Paramètres!$A$1:$I$89,3,0)*0.475*44/12</f>
        <v>4.1507225911932104E-14</v>
      </c>
      <c r="AC173" s="22">
        <f t="shared" si="163"/>
        <v>26.717762881058977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234.95901223517041</v>
      </c>
      <c r="AO173" s="59">
        <f t="shared" si="144"/>
        <v>179.39213799913273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27.671498611198448</v>
      </c>
      <c r="AV173" s="21">
        <f>EXP(-LN(2)/25)*AV172+(1-EXP(-LN(2)/25))/(LN(2)/25)*Calculateur!AQ173*Calculateur!AS173*VLOOKUP('Données projet'!$B$10,Paramètres!$A$1:$I$89,3,0)*0.475*44/12</f>
        <v>3.9795235233563861</v>
      </c>
      <c r="AW173" s="21">
        <f>EXP(-LN(2)/2)*AW172+(1-EXP(-LN(2)/2))/(LN(2)/2)*AQ173*AT173*VLOOKUP('Données projet'!$B$10,Paramètres!$A$1:$I$89,3,0)*0.475*44/12</f>
        <v>1.197800373079512E-12</v>
      </c>
      <c r="AX173" s="21">
        <f t="shared" si="166"/>
        <v>31.651022134556033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3.4106051316484809E-13</v>
      </c>
      <c r="O174" s="13">
        <f>N174*VLOOKUP('Données projet'!$B$9,Paramètres!$A$1:$I$89,3,0)*VLOOKUP('Données projet'!$B$9,Paramètres!$A$1:$I$89,5,0)</f>
        <v>2.0395418687257919E-13</v>
      </c>
      <c r="P174" s="13">
        <f t="shared" si="141"/>
        <v>2.8200388570161721E-12</v>
      </c>
      <c r="Q174" s="20">
        <f t="shared" si="162"/>
        <v>5.2667878847729083E-12</v>
      </c>
      <c r="R174" s="59">
        <f t="shared" si="109"/>
        <v>293.3333333333386</v>
      </c>
      <c r="S174" s="59">
        <f ca="1">AVERAGE(OFFSET($R$3,0,0,'Données projet'!$E$9+1,1))-AVERAGE(OFFSET($H$3,0,0,'Données projet'!$E$9+1,1))</f>
        <v>288.98981546396209</v>
      </c>
      <c r="T174" s="59">
        <f t="shared" si="142"/>
        <v>281.67720096117085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22.859410535467109</v>
      </c>
      <c r="AA174" s="21">
        <f>EXP(-LN(2)/25)*AA173+(1-EXP(-LN(2)/25))/(LN(2)/25)*Calculateur!V174*Calculateur!X174*VLOOKUP('Données projet'!$B$9,Paramètres!$A$1:$I$89,3,0)*0.475*44/12</f>
        <v>3.3081233383707227</v>
      </c>
      <c r="AB174" s="21">
        <f>EXP(-LN(2)/2)*AB173+(1-EXP(-LN(2)/2))/(LN(2)/2)*V174*Y174*VLOOKUP('Données projet'!$B$9,Paramètres!$A$1:$I$89,3,0)*0.475*44/12</f>
        <v>2.9350040910569169E-14</v>
      </c>
      <c r="AC174" s="22">
        <f t="shared" si="163"/>
        <v>26.167533873837861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234.95901223517041</v>
      </c>
      <c r="AO174" s="59">
        <f t="shared" si="144"/>
        <v>179.39213799913273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27.128877401380439</v>
      </c>
      <c r="AV174" s="21">
        <f>EXP(-LN(2)/25)*AV173+(1-EXP(-LN(2)/25))/(LN(2)/25)*Calculateur!AQ174*Calculateur!AS174*VLOOKUP('Données projet'!$B$10,Paramètres!$A$1:$I$89,3,0)*0.475*44/12</f>
        <v>3.870703243336159</v>
      </c>
      <c r="AW174" s="21">
        <f>EXP(-LN(2)/2)*AW173+(1-EXP(-LN(2)/2))/(LN(2)/2)*AQ174*AT174*VLOOKUP('Données projet'!$B$10,Paramètres!$A$1:$I$89,3,0)*0.475*44/12</f>
        <v>8.469727663122995E-13</v>
      </c>
      <c r="AX174" s="21">
        <f t="shared" si="166"/>
        <v>30.999580644717444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3.4106051316484809E-13</v>
      </c>
      <c r="O175" s="13">
        <f>N175*VLOOKUP('Données projet'!$B$9,Paramètres!$A$1:$I$89,3,0)*VLOOKUP('Données projet'!$B$9,Paramètres!$A$1:$I$89,5,0)</f>
        <v>2.0395418687257919E-13</v>
      </c>
      <c r="P175" s="13">
        <f t="shared" si="141"/>
        <v>2.8200388570161721E-12</v>
      </c>
      <c r="Q175" s="20">
        <f t="shared" si="162"/>
        <v>5.2667878847729083E-12</v>
      </c>
      <c r="R175" s="59">
        <f t="shared" si="109"/>
        <v>293.3333333333386</v>
      </c>
      <c r="S175" s="59">
        <f ca="1">AVERAGE(OFFSET($R$3,0,0,'Données projet'!$E$9+1,1))-AVERAGE(OFFSET($H$3,0,0,'Données projet'!$E$9+1,1))</f>
        <v>288.98981546396209</v>
      </c>
      <c r="T175" s="59">
        <f t="shared" si="142"/>
        <v>281.67720096117085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22.411151437730283</v>
      </c>
      <c r="AA175" s="21">
        <f>EXP(-LN(2)/25)*AA174+(1-EXP(-LN(2)/25))/(LN(2)/25)*Calculateur!V175*Calculateur!X175*VLOOKUP('Données projet'!$B$9,Paramètres!$A$1:$I$89,3,0)*0.475*44/12</f>
        <v>3.2176625317163299</v>
      </c>
      <c r="AB175" s="21">
        <f>EXP(-LN(2)/2)*AB174+(1-EXP(-LN(2)/2))/(LN(2)/2)*V175*Y175*VLOOKUP('Données projet'!$B$9,Paramètres!$A$1:$I$89,3,0)*0.475*44/12</f>
        <v>2.0753612955966052E-14</v>
      </c>
      <c r="AC175" s="22">
        <f t="shared" si="163"/>
        <v>25.628813969446632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234.95901223517041</v>
      </c>
      <c r="AO175" s="59">
        <f t="shared" si="144"/>
        <v>179.39213799913273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26.596896662520706</v>
      </c>
      <c r="AV175" s="21">
        <f>EXP(-LN(2)/25)*AV174+(1-EXP(-LN(2)/25))/(LN(2)/25)*Calculateur!AQ175*Calculateur!AS175*VLOOKUP('Données projet'!$B$10,Paramètres!$A$1:$I$89,3,0)*0.475*44/12</f>
        <v>3.7648586595956948</v>
      </c>
      <c r="AW175" s="21">
        <f>EXP(-LN(2)/2)*AW174+(1-EXP(-LN(2)/2))/(LN(2)/2)*AQ175*AT175*VLOOKUP('Données projet'!$B$10,Paramètres!$A$1:$I$89,3,0)*0.475*44/12</f>
        <v>5.9890018653975601E-13</v>
      </c>
      <c r="AX175" s="21">
        <f t="shared" si="166"/>
        <v>30.361755322117002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3.4106051316484809E-13</v>
      </c>
      <c r="O176" s="13">
        <f>N176*VLOOKUP('Données projet'!$B$9,Paramètres!$A$1:$I$89,3,0)*VLOOKUP('Données projet'!$B$9,Paramètres!$A$1:$I$89,5,0)</f>
        <v>2.0395418687257919E-13</v>
      </c>
      <c r="P176" s="13">
        <f t="shared" si="141"/>
        <v>2.8200388570161721E-12</v>
      </c>
      <c r="Q176" s="20">
        <f t="shared" si="162"/>
        <v>5.2667878847729083E-12</v>
      </c>
      <c r="R176" s="59">
        <f t="shared" si="109"/>
        <v>293.3333333333386</v>
      </c>
      <c r="S176" s="59">
        <f ca="1">AVERAGE(OFFSET($R$3,0,0,'Données projet'!$E$9+1,1))-AVERAGE(OFFSET($H$3,0,0,'Données projet'!$E$9+1,1))</f>
        <v>288.98981546396209</v>
      </c>
      <c r="T176" s="59">
        <f t="shared" si="142"/>
        <v>281.67720096117085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21.971682427489021</v>
      </c>
      <c r="AA176" s="21">
        <f>EXP(-LN(2)/25)*AA175+(1-EXP(-LN(2)/25))/(LN(2)/25)*Calculateur!V176*Calculateur!X176*VLOOKUP('Données projet'!$B$9,Paramètres!$A$1:$I$89,3,0)*0.475*44/12</f>
        <v>3.1296753805770283</v>
      </c>
      <c r="AB176" s="21">
        <f>EXP(-LN(2)/2)*AB175+(1-EXP(-LN(2)/2))/(LN(2)/2)*V176*Y176*VLOOKUP('Données projet'!$B$9,Paramètres!$A$1:$I$89,3,0)*0.475*44/12</f>
        <v>1.4675020455284585E-14</v>
      </c>
      <c r="AC176" s="22">
        <f t="shared" si="163"/>
        <v>25.101357808066062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234.95901223517041</v>
      </c>
      <c r="AO176" s="59">
        <f t="shared" si="144"/>
        <v>179.39213799913273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26.075347741473799</v>
      </c>
      <c r="AV176" s="21">
        <f>EXP(-LN(2)/25)*AV175+(1-EXP(-LN(2)/25))/(LN(2)/25)*Calculateur!AQ176*Calculateur!AS176*VLOOKUP('Données projet'!$B$10,Paramètres!$A$1:$I$89,3,0)*0.475*44/12</f>
        <v>3.6619084015637382</v>
      </c>
      <c r="AW176" s="21">
        <f>EXP(-LN(2)/2)*AW175+(1-EXP(-LN(2)/2))/(LN(2)/2)*AQ176*AT176*VLOOKUP('Données projet'!$B$10,Paramètres!$A$1:$I$89,3,0)*0.475*44/12</f>
        <v>4.2348638315614975E-13</v>
      </c>
      <c r="AX176" s="21">
        <f t="shared" si="166"/>
        <v>29.73725614303796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3.4106051316484809E-13</v>
      </c>
      <c r="O177" s="13">
        <f>N177*VLOOKUP('Données projet'!$B$9,Paramètres!$A$1:$I$89,3,0)*VLOOKUP('Données projet'!$B$9,Paramètres!$A$1:$I$89,5,0)</f>
        <v>2.0395418687257919E-13</v>
      </c>
      <c r="P177" s="13">
        <f t="shared" si="141"/>
        <v>2.8200388570161721E-12</v>
      </c>
      <c r="Q177" s="20">
        <f t="shared" si="162"/>
        <v>5.2667878847729083E-12</v>
      </c>
      <c r="R177" s="59">
        <f t="shared" si="109"/>
        <v>293.3333333333386</v>
      </c>
      <c r="S177" s="59">
        <f ca="1">AVERAGE(OFFSET($R$3,0,0,'Données projet'!$E$9+1,1))-AVERAGE(OFFSET($H$3,0,0,'Données projet'!$E$9+1,1))</f>
        <v>288.98981546396209</v>
      </c>
      <c r="T177" s="59">
        <f t="shared" si="142"/>
        <v>281.67720096117085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21.540831136488965</v>
      </c>
      <c r="AA177" s="21">
        <f>EXP(-LN(2)/25)*AA176+(1-EXP(-LN(2)/25))/(LN(2)/25)*Calculateur!V177*Calculateur!X177*VLOOKUP('Données projet'!$B$9,Paramètres!$A$1:$I$89,3,0)*0.475*44/12</f>
        <v>3.0440942427126743</v>
      </c>
      <c r="AB177" s="21">
        <f>EXP(-LN(2)/2)*AB176+(1-EXP(-LN(2)/2))/(LN(2)/2)*V177*Y177*VLOOKUP('Données projet'!$B$9,Paramètres!$A$1:$I$89,3,0)*0.475*44/12</f>
        <v>1.0376806477983026E-14</v>
      </c>
      <c r="AC177" s="22">
        <f t="shared" si="163"/>
        <v>24.58492537920165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234.95901223517041</v>
      </c>
      <c r="AO177" s="59">
        <f t="shared" si="144"/>
        <v>179.39213799913273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25.564026076655193</v>
      </c>
      <c r="AV177" s="21">
        <f>EXP(-LN(2)/25)*AV176+(1-EXP(-LN(2)/25))/(LN(2)/25)*Calculateur!AQ177*Calculateur!AS177*VLOOKUP('Données projet'!$B$10,Paramètres!$A$1:$I$89,3,0)*0.475*44/12</f>
        <v>3.5617733237515843</v>
      </c>
      <c r="AW177" s="21">
        <f>EXP(-LN(2)/2)*AW176+(1-EXP(-LN(2)/2))/(LN(2)/2)*AQ177*AT177*VLOOKUP('Données projet'!$B$10,Paramètres!$A$1:$I$89,3,0)*0.475*44/12</f>
        <v>2.99450093269878E-13</v>
      </c>
      <c r="AX177" s="21">
        <f t="shared" si="166"/>
        <v>29.125799400407075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3.4106051316484809E-13</v>
      </c>
      <c r="O178" s="13">
        <f>N178*VLOOKUP('Données projet'!$B$9,Paramètres!$A$1:$I$89,3,0)*VLOOKUP('Données projet'!$B$9,Paramètres!$A$1:$I$89,5,0)</f>
        <v>2.0395418687257919E-13</v>
      </c>
      <c r="P178" s="13">
        <f t="shared" si="141"/>
        <v>2.8200388570161721E-12</v>
      </c>
      <c r="Q178" s="20">
        <f t="shared" si="162"/>
        <v>5.2667878847729083E-12</v>
      </c>
      <c r="R178" s="59">
        <f t="shared" si="109"/>
        <v>293.3333333333386</v>
      </c>
      <c r="S178" s="59">
        <f ca="1">AVERAGE(OFFSET($R$3,0,0,'Données projet'!$E$9+1,1))-AVERAGE(OFFSET($H$3,0,0,'Données projet'!$E$9+1,1))</f>
        <v>288.98981546396209</v>
      </c>
      <c r="T178" s="59">
        <f t="shared" si="142"/>
        <v>281.67720096117085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21.11842857651208</v>
      </c>
      <c r="AA178" s="21">
        <f>EXP(-LN(2)/25)*AA177+(1-EXP(-LN(2)/25))/(LN(2)/25)*Calculateur!V178*Calculateur!X178*VLOOKUP('Données projet'!$B$9,Paramètres!$A$1:$I$89,3,0)*0.475*44/12</f>
        <v>2.9608533255637375</v>
      </c>
      <c r="AB178" s="21">
        <f>EXP(-LN(2)/2)*AB177+(1-EXP(-LN(2)/2))/(LN(2)/2)*V178*Y178*VLOOKUP('Données projet'!$B$9,Paramètres!$A$1:$I$89,3,0)*0.475*44/12</f>
        <v>7.3375102276422923E-15</v>
      </c>
      <c r="AC178" s="22">
        <f t="shared" si="163"/>
        <v>24.079281902075824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234.95901223517041</v>
      </c>
      <c r="AO178" s="59">
        <f t="shared" si="144"/>
        <v>179.39213799913273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25.062731117808259</v>
      </c>
      <c r="AV178" s="21">
        <f>EXP(-LN(2)/25)*AV177+(1-EXP(-LN(2)/25))/(LN(2)/25)*Calculateur!AQ178*Calculateur!AS178*VLOOKUP('Données projet'!$B$10,Paramètres!$A$1:$I$89,3,0)*0.475*44/12</f>
        <v>3.4643764449080785</v>
      </c>
      <c r="AW178" s="21">
        <f>EXP(-LN(2)/2)*AW177+(1-EXP(-LN(2)/2))/(LN(2)/2)*AQ178*AT178*VLOOKUP('Données projet'!$B$10,Paramètres!$A$1:$I$89,3,0)*0.475*44/12</f>
        <v>2.1174319157807487E-13</v>
      </c>
      <c r="AX178" s="21">
        <f t="shared" si="166"/>
        <v>28.527107562716552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3.4106051316484809E-13</v>
      </c>
      <c r="O179" s="13">
        <f>N179*VLOOKUP('Données projet'!$B$9,Paramètres!$A$1:$I$89,3,0)*VLOOKUP('Données projet'!$B$9,Paramètres!$A$1:$I$89,5,0)</f>
        <v>2.0395418687257919E-13</v>
      </c>
      <c r="P179" s="13">
        <f t="shared" si="141"/>
        <v>2.8200388570161721E-12</v>
      </c>
      <c r="Q179" s="20">
        <f t="shared" si="162"/>
        <v>5.2667878847729083E-12</v>
      </c>
      <c r="R179" s="59">
        <f t="shared" si="109"/>
        <v>293.3333333333386</v>
      </c>
      <c r="S179" s="59">
        <f ca="1">AVERAGE(OFFSET($R$3,0,0,'Données projet'!$E$9+1,1))-AVERAGE(OFFSET($H$3,0,0,'Données projet'!$E$9+1,1))</f>
        <v>288.98981546396209</v>
      </c>
      <c r="T179" s="59">
        <f t="shared" si="142"/>
        <v>281.67720096117085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20.704309073096219</v>
      </c>
      <c r="AA179" s="21">
        <f>EXP(-LN(2)/25)*AA178+(1-EXP(-LN(2)/25))/(LN(2)/25)*Calculateur!V179*Calculateur!X179*VLOOKUP('Données projet'!$B$9,Paramètres!$A$1:$I$89,3,0)*0.475*44/12</f>
        <v>2.879888635671688</v>
      </c>
      <c r="AB179" s="21">
        <f>EXP(-LN(2)/2)*AB178+(1-EXP(-LN(2)/2))/(LN(2)/2)*V179*Y179*VLOOKUP('Données projet'!$B$9,Paramètres!$A$1:$I$89,3,0)*0.475*44/12</f>
        <v>5.188403238991513E-15</v>
      </c>
      <c r="AC179" s="22">
        <f t="shared" si="163"/>
        <v>23.58419770876791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234.95901223517041</v>
      </c>
      <c r="AO179" s="59">
        <f t="shared" si="144"/>
        <v>179.39213799913273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24.571266247344578</v>
      </c>
      <c r="AV179" s="21">
        <f>EXP(-LN(2)/25)*AV178+(1-EXP(-LN(2)/25))/(LN(2)/25)*Calculateur!AQ179*Calculateur!AS179*VLOOKUP('Données projet'!$B$10,Paramètres!$A$1:$I$89,3,0)*0.475*44/12</f>
        <v>3.369642888838428</v>
      </c>
      <c r="AW179" s="21">
        <f>EXP(-LN(2)/2)*AW178+(1-EXP(-LN(2)/2))/(LN(2)/2)*AQ179*AT179*VLOOKUP('Données projet'!$B$10,Paramètres!$A$1:$I$89,3,0)*0.475*44/12</f>
        <v>1.49725046634939E-13</v>
      </c>
      <c r="AX179" s="21">
        <f t="shared" si="166"/>
        <v>27.940909136183155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3.4106051316484809E-13</v>
      </c>
      <c r="O180" s="13">
        <f>N180*VLOOKUP('Données projet'!$B$9,Paramètres!$A$1:$I$89,3,0)*VLOOKUP('Données projet'!$B$9,Paramètres!$A$1:$I$89,5,0)</f>
        <v>2.0395418687257919E-13</v>
      </c>
      <c r="P180" s="13">
        <f t="shared" si="141"/>
        <v>2.8200388570161721E-12</v>
      </c>
      <c r="Q180" s="20">
        <f t="shared" si="162"/>
        <v>5.2667878847729083E-12</v>
      </c>
      <c r="R180" s="59">
        <f t="shared" si="109"/>
        <v>293.3333333333386</v>
      </c>
      <c r="S180" s="59">
        <f ca="1">AVERAGE(OFFSET($R$3,0,0,'Données projet'!$E$9+1,1))-AVERAGE(OFFSET($H$3,0,0,'Données projet'!$E$9+1,1))</f>
        <v>288.98981546396209</v>
      </c>
      <c r="T180" s="59">
        <f t="shared" si="142"/>
        <v>281.67720096117085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20.298310200554386</v>
      </c>
      <c r="AA180" s="21">
        <f>EXP(-LN(2)/25)*AA179+(1-EXP(-LN(2)/25))/(LN(2)/25)*Calculateur!V180*Calculateur!X180*VLOOKUP('Données projet'!$B$9,Paramètres!$A$1:$I$89,3,0)*0.475*44/12</f>
        <v>2.8011379294824845</v>
      </c>
      <c r="AB180" s="21">
        <f>EXP(-LN(2)/2)*AB179+(1-EXP(-LN(2)/2))/(LN(2)/2)*V180*Y180*VLOOKUP('Données projet'!$B$9,Paramètres!$A$1:$I$89,3,0)*0.475*44/12</f>
        <v>3.6687551138211462E-15</v>
      </c>
      <c r="AC180" s="22">
        <f t="shared" si="163"/>
        <v>23.099448130036873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234.95901223517041</v>
      </c>
      <c r="AO180" s="59">
        <f t="shared" si="144"/>
        <v>179.39213799913273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24.089438703226719</v>
      </c>
      <c r="AV180" s="21">
        <f>EXP(-LN(2)/25)*AV179+(1-EXP(-LN(2)/25))/(LN(2)/25)*Calculateur!AQ180*Calculateur!AS180*VLOOKUP('Données projet'!$B$10,Paramètres!$A$1:$I$89,3,0)*0.475*44/12</f>
        <v>3.2774998268413231</v>
      </c>
      <c r="AW180" s="21">
        <f>EXP(-LN(2)/2)*AW179+(1-EXP(-LN(2)/2))/(LN(2)/2)*AQ180*AT180*VLOOKUP('Données projet'!$B$10,Paramètres!$A$1:$I$89,3,0)*0.475*44/12</f>
        <v>1.0587159578903744E-13</v>
      </c>
      <c r="AX180" s="21">
        <f t="shared" si="166"/>
        <v>27.366938530068147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3.4106051316484809E-13</v>
      </c>
      <c r="O181" s="13">
        <f>N181*VLOOKUP('Données projet'!$B$9,Paramètres!$A$1:$I$89,3,0)*VLOOKUP('Données projet'!$B$9,Paramètres!$A$1:$I$89,5,0)</f>
        <v>2.0395418687257919E-13</v>
      </c>
      <c r="P181" s="13">
        <f t="shared" si="141"/>
        <v>2.8200388570161721E-12</v>
      </c>
      <c r="Q181" s="20">
        <f t="shared" si="162"/>
        <v>5.2667878847729083E-12</v>
      </c>
      <c r="R181" s="59">
        <f t="shared" si="109"/>
        <v>293.3333333333386</v>
      </c>
      <c r="S181" s="59">
        <f ca="1">AVERAGE(OFFSET($R$3,0,0,'Données projet'!$E$9+1,1))-AVERAGE(OFFSET($H$3,0,0,'Données projet'!$E$9+1,1))</f>
        <v>288.98981546396209</v>
      </c>
      <c r="T181" s="59">
        <f t="shared" si="142"/>
        <v>281.67720096117085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19.900272718268241</v>
      </c>
      <c r="AA181" s="21">
        <f>EXP(-LN(2)/25)*AA180+(1-EXP(-LN(2)/25))/(LN(2)/25)*Calculateur!V181*Calculateur!X181*VLOOKUP('Données projet'!$B$9,Paramètres!$A$1:$I$89,3,0)*0.475*44/12</f>
        <v>2.7245406654953443</v>
      </c>
      <c r="AB181" s="21">
        <f>EXP(-LN(2)/2)*AB180+(1-EXP(-LN(2)/2))/(LN(2)/2)*V181*Y181*VLOOKUP('Données projet'!$B$9,Paramètres!$A$1:$I$89,3,0)*0.475*44/12</f>
        <v>2.5942016194957565E-15</v>
      </c>
      <c r="AC181" s="22">
        <f t="shared" si="163"/>
        <v>22.624813383763588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234.95901223517041</v>
      </c>
      <c r="AO181" s="59">
        <f t="shared" si="144"/>
        <v>179.39213799913273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23.61705950336323</v>
      </c>
      <c r="AV181" s="21">
        <f>EXP(-LN(2)/25)*AV180+(1-EXP(-LN(2)/25))/(LN(2)/25)*Calculateur!AQ181*Calculateur!AS181*VLOOKUP('Données projet'!$B$10,Paramètres!$A$1:$I$89,3,0)*0.475*44/12</f>
        <v>3.1878764217201221</v>
      </c>
      <c r="AW181" s="21">
        <f>EXP(-LN(2)/2)*AW180+(1-EXP(-LN(2)/2))/(LN(2)/2)*AQ181*AT181*VLOOKUP('Données projet'!$B$10,Paramètres!$A$1:$I$89,3,0)*0.475*44/12</f>
        <v>7.4862523317469501E-14</v>
      </c>
      <c r="AX181" s="21">
        <f t="shared" si="166"/>
        <v>26.804935925083427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3.4106051316484809E-13</v>
      </c>
      <c r="O182" s="13">
        <f>N182*VLOOKUP('Données projet'!$B$9,Paramètres!$A$1:$I$89,3,0)*VLOOKUP('Données projet'!$B$9,Paramètres!$A$1:$I$89,5,0)</f>
        <v>2.0395418687257919E-13</v>
      </c>
      <c r="P182" s="13">
        <f t="shared" si="141"/>
        <v>2.8200388570161721E-12</v>
      </c>
      <c r="Q182" s="20">
        <f t="shared" si="162"/>
        <v>5.2667878847729083E-12</v>
      </c>
      <c r="R182" s="59">
        <f t="shared" si="109"/>
        <v>293.3333333333386</v>
      </c>
      <c r="S182" s="59">
        <f ca="1">AVERAGE(OFFSET($R$3,0,0,'Données projet'!$E$9+1,1))-AVERAGE(OFFSET($H$3,0,0,'Données projet'!$E$9+1,1))</f>
        <v>288.98981546396209</v>
      </c>
      <c r="T182" s="59">
        <f t="shared" si="142"/>
        <v>281.67720096117085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19.510040508230833</v>
      </c>
      <c r="AA182" s="21">
        <f>EXP(-LN(2)/25)*AA181+(1-EXP(-LN(2)/25))/(LN(2)/25)*Calculateur!V182*Calculateur!X182*VLOOKUP('Données projet'!$B$9,Paramètres!$A$1:$I$89,3,0)*0.475*44/12</f>
        <v>2.6500379577200075</v>
      </c>
      <c r="AB182" s="21">
        <f>EXP(-LN(2)/2)*AB181+(1-EXP(-LN(2)/2))/(LN(2)/2)*V182*Y182*VLOOKUP('Données projet'!$B$9,Paramètres!$A$1:$I$89,3,0)*0.475*44/12</f>
        <v>1.8343775569105731E-15</v>
      </c>
      <c r="AC182" s="22">
        <f t="shared" si="163"/>
        <v>22.160078465950843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234.95901223517041</v>
      </c>
      <c r="AO182" s="59">
        <f t="shared" si="144"/>
        <v>179.39213799913273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23.1539433714862</v>
      </c>
      <c r="AV182" s="21">
        <f>EXP(-LN(2)/25)*AV181+(1-EXP(-LN(2)/25))/(LN(2)/25)*Calculateur!AQ182*Calculateur!AS182*VLOOKUP('Données projet'!$B$10,Paramètres!$A$1:$I$89,3,0)*0.475*44/12</f>
        <v>3.1007037733250504</v>
      </c>
      <c r="AW182" s="21">
        <f>EXP(-LN(2)/2)*AW181+(1-EXP(-LN(2)/2))/(LN(2)/2)*AQ182*AT182*VLOOKUP('Données projet'!$B$10,Paramètres!$A$1:$I$89,3,0)*0.475*44/12</f>
        <v>5.2935797894518719E-14</v>
      </c>
      <c r="AX182" s="21">
        <f t="shared" si="166"/>
        <v>26.254647144811305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3.4106051316484809E-13</v>
      </c>
      <c r="O183" s="13">
        <f>N183*VLOOKUP('Données projet'!$B$9,Paramètres!$A$1:$I$89,3,0)*VLOOKUP('Données projet'!$B$9,Paramètres!$A$1:$I$89,5,0)</f>
        <v>2.0395418687257919E-13</v>
      </c>
      <c r="P183" s="13">
        <f t="shared" si="141"/>
        <v>2.8200388570161721E-12</v>
      </c>
      <c r="Q183" s="20">
        <f t="shared" si="162"/>
        <v>5.2667878847729083E-12</v>
      </c>
      <c r="R183" s="59">
        <f t="shared" si="109"/>
        <v>293.3333333333386</v>
      </c>
      <c r="S183" s="59">
        <f ca="1">AVERAGE(OFFSET($R$3,0,0,'Données projet'!$E$9+1,1))-AVERAGE(OFFSET($H$3,0,0,'Données projet'!$E$9+1,1))</f>
        <v>288.98981546396209</v>
      </c>
      <c r="T183" s="59">
        <f t="shared" si="142"/>
        <v>281.67720096117085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19.127460513814114</v>
      </c>
      <c r="AA183" s="21">
        <f>EXP(-LN(2)/25)*AA182+(1-EXP(-LN(2)/25))/(LN(2)/25)*Calculateur!V183*Calculateur!X183*VLOOKUP('Données projet'!$B$9,Paramètres!$A$1:$I$89,3,0)*0.475*44/12</f>
        <v>2.5775725304067145</v>
      </c>
      <c r="AB183" s="21">
        <f>EXP(-LN(2)/2)*AB182+(1-EXP(-LN(2)/2))/(LN(2)/2)*V183*Y183*VLOOKUP('Données projet'!$B$9,Paramètres!$A$1:$I$89,3,0)*0.475*44/12</f>
        <v>1.2971008097478782E-15</v>
      </c>
      <c r="AC183" s="22">
        <f t="shared" si="163"/>
        <v>21.70503304422083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234.95901223517041</v>
      </c>
      <c r="AO183" s="59">
        <f t="shared" si="144"/>
        <v>179.39213799913273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22.699908664482329</v>
      </c>
      <c r="AV183" s="21">
        <f>EXP(-LN(2)/25)*AV182+(1-EXP(-LN(2)/25))/(LN(2)/25)*Calculateur!AQ183*Calculateur!AS183*VLOOKUP('Données projet'!$B$10,Paramètres!$A$1:$I$89,3,0)*0.475*44/12</f>
        <v>3.015914865584552</v>
      </c>
      <c r="AW183" s="21">
        <f>EXP(-LN(2)/2)*AW182+(1-EXP(-LN(2)/2))/(LN(2)/2)*AQ183*AT183*VLOOKUP('Données projet'!$B$10,Paramètres!$A$1:$I$89,3,0)*0.475*44/12</f>
        <v>3.743126165873475E-14</v>
      </c>
      <c r="AX183" s="21">
        <f t="shared" si="166"/>
        <v>25.71582353006692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3.4106051316484809E-13</v>
      </c>
      <c r="O184" s="13">
        <f>N184*VLOOKUP('Données projet'!$B$9,Paramètres!$A$1:$I$89,3,0)*VLOOKUP('Données projet'!$B$9,Paramètres!$A$1:$I$89,5,0)</f>
        <v>2.0395418687257919E-13</v>
      </c>
      <c r="P184" s="13">
        <f t="shared" si="141"/>
        <v>2.8200388570161721E-12</v>
      </c>
      <c r="Q184" s="20">
        <f t="shared" si="162"/>
        <v>5.2667878847729083E-12</v>
      </c>
      <c r="R184" s="59">
        <f t="shared" si="109"/>
        <v>293.3333333333386</v>
      </c>
      <c r="S184" s="59">
        <f ca="1">AVERAGE(OFFSET($R$3,0,0,'Données projet'!$E$9+1,1))-AVERAGE(OFFSET($H$3,0,0,'Données projet'!$E$9+1,1))</f>
        <v>288.98981546396209</v>
      </c>
      <c r="T184" s="59">
        <f t="shared" si="142"/>
        <v>281.67720096117085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18.752382679737153</v>
      </c>
      <c r="AA184" s="21">
        <f>EXP(-LN(2)/25)*AA183+(1-EXP(-LN(2)/25))/(LN(2)/25)*Calculateur!V184*Calculateur!X184*VLOOKUP('Données projet'!$B$9,Paramètres!$A$1:$I$89,3,0)*0.475*44/12</f>
        <v>2.5070886740140947</v>
      </c>
      <c r="AB184" s="21">
        <f>EXP(-LN(2)/2)*AB183+(1-EXP(-LN(2)/2))/(LN(2)/2)*V184*Y184*VLOOKUP('Données projet'!$B$9,Paramètres!$A$1:$I$89,3,0)*0.475*44/12</f>
        <v>9.1718877845528654E-16</v>
      </c>
      <c r="AC184" s="22">
        <f t="shared" si="163"/>
        <v>21.259471353751248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234.95901223517041</v>
      </c>
      <c r="AO184" s="59">
        <f t="shared" si="144"/>
        <v>179.39213799913273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22.25477730114898</v>
      </c>
      <c r="AV184" s="21">
        <f>EXP(-LN(2)/25)*AV183+(1-EXP(-LN(2)/25))/(LN(2)/25)*Calculateur!AQ184*Calculateur!AS184*VLOOKUP('Données projet'!$B$10,Paramètres!$A$1:$I$89,3,0)*0.475*44/12</f>
        <v>2.9334445149850725</v>
      </c>
      <c r="AW184" s="21">
        <f>EXP(-LN(2)/2)*AW183+(1-EXP(-LN(2)/2))/(LN(2)/2)*AQ184*AT184*VLOOKUP('Données projet'!$B$10,Paramètres!$A$1:$I$89,3,0)*0.475*44/12</f>
        <v>2.6467898947259359E-14</v>
      </c>
      <c r="AX184" s="21">
        <f t="shared" si="166"/>
        <v>25.188221816134078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3.4106051316484809E-13</v>
      </c>
      <c r="O185" s="13">
        <f>N185*VLOOKUP('Données projet'!$B$9,Paramètres!$A$1:$I$89,3,0)*VLOOKUP('Données projet'!$B$9,Paramètres!$A$1:$I$89,5,0)</f>
        <v>2.0395418687257919E-13</v>
      </c>
      <c r="P185" s="13">
        <f t="shared" si="141"/>
        <v>2.8200388570161721E-12</v>
      </c>
      <c r="Q185" s="20">
        <f t="shared" si="162"/>
        <v>5.2667878847729083E-12</v>
      </c>
      <c r="R185" s="59">
        <f t="shared" si="109"/>
        <v>293.3333333333386</v>
      </c>
      <c r="S185" s="59">
        <f ca="1">AVERAGE(OFFSET($R$3,0,0,'Données projet'!$E$9+1,1))-AVERAGE(OFFSET($H$3,0,0,'Données projet'!$E$9+1,1))</f>
        <v>288.98981546396209</v>
      </c>
      <c r="T185" s="59">
        <f t="shared" si="142"/>
        <v>281.67720096117085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18.384659893211552</v>
      </c>
      <c r="AA185" s="21">
        <f>EXP(-LN(2)/25)*AA184+(1-EXP(-LN(2)/25))/(LN(2)/25)*Calculateur!V185*Calculateur!X185*VLOOKUP('Données projet'!$B$9,Paramètres!$A$1:$I$89,3,0)*0.475*44/12</f>
        <v>2.4385322023811158</v>
      </c>
      <c r="AB185" s="21">
        <f>EXP(-LN(2)/2)*AB184+(1-EXP(-LN(2)/2))/(LN(2)/2)*V185*Y185*VLOOKUP('Données projet'!$B$9,Paramètres!$A$1:$I$89,3,0)*0.475*44/12</f>
        <v>6.4855040487393912E-16</v>
      </c>
      <c r="AC185" s="22">
        <f t="shared" si="163"/>
        <v>20.823192095592667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234.95901223517041</v>
      </c>
      <c r="AO185" s="59">
        <f t="shared" si="144"/>
        <v>179.39213799913273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21.818374692347273</v>
      </c>
      <c r="AV185" s="21">
        <f>EXP(-LN(2)/25)*AV184+(1-EXP(-LN(2)/25))/(LN(2)/25)*Calculateur!AQ185*Calculateur!AS185*VLOOKUP('Données projet'!$B$10,Paramètres!$A$1:$I$89,3,0)*0.475*44/12</f>
        <v>2.853229320459663</v>
      </c>
      <c r="AW185" s="21">
        <f>EXP(-LN(2)/2)*AW184+(1-EXP(-LN(2)/2))/(LN(2)/2)*AQ185*AT185*VLOOKUP('Données projet'!$B$10,Paramètres!$A$1:$I$89,3,0)*0.475*44/12</f>
        <v>1.8715630829367375E-14</v>
      </c>
      <c r="AX185" s="21">
        <f t="shared" si="166"/>
        <v>24.671604012806956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3.4106051316484809E-13</v>
      </c>
      <c r="O186" s="13">
        <f>N186*VLOOKUP('Données projet'!$B$9,Paramètres!$A$1:$I$89,3,0)*VLOOKUP('Données projet'!$B$9,Paramètres!$A$1:$I$89,5,0)</f>
        <v>2.0395418687257919E-13</v>
      </c>
      <c r="P186" s="13">
        <f t="shared" si="141"/>
        <v>2.8200388570161721E-12</v>
      </c>
      <c r="Q186" s="20">
        <f t="shared" si="162"/>
        <v>5.2667878847729083E-12</v>
      </c>
      <c r="R186" s="59">
        <f t="shared" si="109"/>
        <v>293.3333333333386</v>
      </c>
      <c r="S186" s="59">
        <f ca="1">AVERAGE(OFFSET($R$3,0,0,'Données projet'!$E$9+1,1))-AVERAGE(OFFSET($H$3,0,0,'Données projet'!$E$9+1,1))</f>
        <v>288.98981546396209</v>
      </c>
      <c r="T186" s="59">
        <f t="shared" si="142"/>
        <v>281.67720096117085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18.024147926240964</v>
      </c>
      <c r="AA186" s="21">
        <f>EXP(-LN(2)/25)*AA185+(1-EXP(-LN(2)/25))/(LN(2)/25)*Calculateur!V186*Calculateur!X186*VLOOKUP('Données projet'!$B$9,Paramètres!$A$1:$I$89,3,0)*0.475*44/12</f>
        <v>2.3718504110701688</v>
      </c>
      <c r="AB186" s="21">
        <f>EXP(-LN(2)/2)*AB185+(1-EXP(-LN(2)/2))/(LN(2)/2)*V186*Y186*VLOOKUP('Données projet'!$B$9,Paramètres!$A$1:$I$89,3,0)*0.475*44/12</f>
        <v>4.5859438922764327E-16</v>
      </c>
      <c r="AC186" s="22">
        <f t="shared" si="163"/>
        <v>20.395998337311134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234.95901223517041</v>
      </c>
      <c r="AO186" s="59">
        <f t="shared" si="144"/>
        <v>179.39213799913273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21.39052967252486</v>
      </c>
      <c r="AV186" s="21">
        <f>EXP(-LN(2)/25)*AV185+(1-EXP(-LN(2)/25))/(LN(2)/25)*Calculateur!AQ186*Calculateur!AS186*VLOOKUP('Données projet'!$B$10,Paramètres!$A$1:$I$89,3,0)*0.475*44/12</f>
        <v>2.7752076146468849</v>
      </c>
      <c r="AW186" s="21">
        <f>EXP(-LN(2)/2)*AW185+(1-EXP(-LN(2)/2))/(LN(2)/2)*AQ186*AT186*VLOOKUP('Données projet'!$B$10,Paramètres!$A$1:$I$89,3,0)*0.475*44/12</f>
        <v>1.323394947362968E-14</v>
      </c>
      <c r="AX186" s="21">
        <f t="shared" si="166"/>
        <v>24.165737287171758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3.4106051316484809E-13</v>
      </c>
      <c r="O187" s="13">
        <f>N187*VLOOKUP('Données projet'!$B$9,Paramètres!$A$1:$I$89,3,0)*VLOOKUP('Données projet'!$B$9,Paramètres!$A$1:$I$89,5,0)</f>
        <v>2.0395418687257919E-13</v>
      </c>
      <c r="P187" s="13">
        <f t="shared" si="141"/>
        <v>2.8200388570161721E-12</v>
      </c>
      <c r="Q187" s="20">
        <f t="shared" si="162"/>
        <v>5.2667878847729083E-12</v>
      </c>
      <c r="R187" s="59">
        <f t="shared" si="109"/>
        <v>293.3333333333386</v>
      </c>
      <c r="S187" s="59">
        <f ca="1">AVERAGE(OFFSET($R$3,0,0,'Données projet'!$E$9+1,1))-AVERAGE(OFFSET($H$3,0,0,'Données projet'!$E$9+1,1))</f>
        <v>288.98981546396209</v>
      </c>
      <c r="T187" s="59">
        <f t="shared" si="142"/>
        <v>281.67720096117085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17.67070537905208</v>
      </c>
      <c r="AA187" s="21">
        <f>EXP(-LN(2)/25)*AA186+(1-EXP(-LN(2)/25))/(LN(2)/25)*Calculateur!V187*Calculateur!X187*VLOOKUP('Données projet'!$B$9,Paramètres!$A$1:$I$89,3,0)*0.475*44/12</f>
        <v>2.3069920368492629</v>
      </c>
      <c r="AB187" s="21">
        <f>EXP(-LN(2)/2)*AB186+(1-EXP(-LN(2)/2))/(LN(2)/2)*V187*Y187*VLOOKUP('Données projet'!$B$9,Paramètres!$A$1:$I$89,3,0)*0.475*44/12</f>
        <v>3.2427520243696956E-16</v>
      </c>
      <c r="AC187" s="22">
        <f t="shared" si="163"/>
        <v>19.977697415901343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234.95901223517041</v>
      </c>
      <c r="AO187" s="59">
        <f t="shared" si="144"/>
        <v>179.39213799913273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20.971074432581471</v>
      </c>
      <c r="AV187" s="21">
        <f>EXP(-LN(2)/25)*AV186+(1-EXP(-LN(2)/25))/(LN(2)/25)*Calculateur!AQ187*Calculateur!AS187*VLOOKUP('Données projet'!$B$10,Paramètres!$A$1:$I$89,3,0)*0.475*44/12</f>
        <v>2.69931941648254</v>
      </c>
      <c r="AW187" s="21">
        <f>EXP(-LN(2)/2)*AW186+(1-EXP(-LN(2)/2))/(LN(2)/2)*AQ187*AT187*VLOOKUP('Données projet'!$B$10,Paramètres!$A$1:$I$89,3,0)*0.475*44/12</f>
        <v>9.3578154146836876E-15</v>
      </c>
      <c r="AX187" s="21">
        <f t="shared" si="166"/>
        <v>23.670393849064023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3.4106051316484809E-13</v>
      </c>
      <c r="O188" s="13">
        <f>N188*VLOOKUP('Données projet'!$B$9,Paramètres!$A$1:$I$89,3,0)*VLOOKUP('Données projet'!$B$9,Paramètres!$A$1:$I$89,5,0)</f>
        <v>2.0395418687257919E-13</v>
      </c>
      <c r="P188" s="13">
        <f t="shared" si="141"/>
        <v>2.8200388570161721E-12</v>
      </c>
      <c r="Q188" s="20">
        <f t="shared" si="162"/>
        <v>5.2667878847729083E-12</v>
      </c>
      <c r="R188" s="59">
        <f t="shared" si="109"/>
        <v>293.3333333333386</v>
      </c>
      <c r="S188" s="59">
        <f ca="1">AVERAGE(OFFSET($R$3,0,0,'Données projet'!$E$9+1,1))-AVERAGE(OFFSET($H$3,0,0,'Données projet'!$E$9+1,1))</f>
        <v>288.98981546396209</v>
      </c>
      <c r="T188" s="59">
        <f t="shared" si="142"/>
        <v>281.67720096117085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17.324193624634905</v>
      </c>
      <c r="AA188" s="21">
        <f>EXP(-LN(2)/25)*AA187+(1-EXP(-LN(2)/25))/(LN(2)/25)*Calculateur!V188*Calculateur!X188*VLOOKUP('Données projet'!$B$9,Paramètres!$A$1:$I$89,3,0)*0.475*44/12</f>
        <v>2.2439072182821813</v>
      </c>
      <c r="AB188" s="21">
        <f>EXP(-LN(2)/2)*AB187+(1-EXP(-LN(2)/2))/(LN(2)/2)*V188*Y188*VLOOKUP('Données projet'!$B$9,Paramètres!$A$1:$I$89,3,0)*0.475*44/12</f>
        <v>2.2929719461382163E-16</v>
      </c>
      <c r="AC188" s="22">
        <f t="shared" si="163"/>
        <v>19.568100842917087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234.95901223517041</v>
      </c>
      <c r="AO188" s="59">
        <f t="shared" si="144"/>
        <v>179.39213799913273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20.559844454050936</v>
      </c>
      <c r="AV188" s="21">
        <f>EXP(-LN(2)/25)*AV187+(1-EXP(-LN(2)/25))/(LN(2)/25)*Calculateur!AQ188*Calculateur!AS188*VLOOKUP('Données projet'!$B$10,Paramètres!$A$1:$I$89,3,0)*0.475*44/12</f>
        <v>2.6255063850877862</v>
      </c>
      <c r="AW188" s="21">
        <f>EXP(-LN(2)/2)*AW187+(1-EXP(-LN(2)/2))/(LN(2)/2)*AQ188*AT188*VLOOKUP('Données projet'!$B$10,Paramètres!$A$1:$I$89,3,0)*0.475*44/12</f>
        <v>6.6169747368148398E-15</v>
      </c>
      <c r="AX188" s="21">
        <f t="shared" si="166"/>
        <v>23.185350839138728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3.4106051316484809E-13</v>
      </c>
      <c r="O189" s="13">
        <f>N189*VLOOKUP('Données projet'!$B$9,Paramètres!$A$1:$I$89,3,0)*VLOOKUP('Données projet'!$B$9,Paramètres!$A$1:$I$89,5,0)</f>
        <v>2.0395418687257919E-13</v>
      </c>
      <c r="P189" s="13">
        <f t="shared" si="141"/>
        <v>2.8200388570161721E-12</v>
      </c>
      <c r="Q189" s="20">
        <f t="shared" si="162"/>
        <v>5.2667878847729083E-12</v>
      </c>
      <c r="R189" s="59">
        <f t="shared" si="109"/>
        <v>293.3333333333386</v>
      </c>
      <c r="S189" s="59">
        <f ca="1">AVERAGE(OFFSET($R$3,0,0,'Données projet'!$E$9+1,1))-AVERAGE(OFFSET($H$3,0,0,'Données projet'!$E$9+1,1))</f>
        <v>288.98981546396209</v>
      </c>
      <c r="T189" s="59">
        <f t="shared" si="142"/>
        <v>281.67720096117085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16.984476754370547</v>
      </c>
      <c r="AA189" s="21">
        <f>EXP(-LN(2)/25)*AA188+(1-EXP(-LN(2)/25))/(LN(2)/25)*Calculateur!V189*Calculateur!X189*VLOOKUP('Données projet'!$B$9,Paramètres!$A$1:$I$89,3,0)*0.475*44/12</f>
        <v>2.1825474573963031</v>
      </c>
      <c r="AB189" s="21">
        <f>EXP(-LN(2)/2)*AB188+(1-EXP(-LN(2)/2))/(LN(2)/2)*V189*Y189*VLOOKUP('Données projet'!$B$9,Paramètres!$A$1:$I$89,3,0)*0.475*44/12</f>
        <v>1.6213760121848478E-16</v>
      </c>
      <c r="AC189" s="22">
        <f t="shared" si="163"/>
        <v>19.167024211766851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234.95901223517041</v>
      </c>
      <c r="AO189" s="59">
        <f t="shared" si="144"/>
        <v>179.39213799913273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20.156678444573863</v>
      </c>
      <c r="AV189" s="21">
        <f>EXP(-LN(2)/25)*AV188+(1-EXP(-LN(2)/25))/(LN(2)/25)*Calculateur!AQ189*Calculateur!AS189*VLOOKUP('Données projet'!$B$10,Paramètres!$A$1:$I$89,3,0)*0.475*44/12</f>
        <v>2.5537117749181806</v>
      </c>
      <c r="AW189" s="21">
        <f>EXP(-LN(2)/2)*AW188+(1-EXP(-LN(2)/2))/(LN(2)/2)*AQ189*AT189*VLOOKUP('Données projet'!$B$10,Paramètres!$A$1:$I$89,3,0)*0.475*44/12</f>
        <v>4.6789077073418438E-15</v>
      </c>
      <c r="AX189" s="21">
        <f t="shared" si="166"/>
        <v>22.710390219492048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3.4106051316484809E-13</v>
      </c>
      <c r="O190" s="13">
        <f>N190*VLOOKUP('Données projet'!$B$9,Paramètres!$A$1:$I$89,3,0)*VLOOKUP('Données projet'!$B$9,Paramètres!$A$1:$I$89,5,0)</f>
        <v>2.0395418687257919E-13</v>
      </c>
      <c r="P190" s="13">
        <f t="shared" si="141"/>
        <v>2.8200388570161721E-12</v>
      </c>
      <c r="Q190" s="20">
        <f t="shared" si="162"/>
        <v>5.2667878847729083E-12</v>
      </c>
      <c r="R190" s="59">
        <f t="shared" si="109"/>
        <v>293.3333333333386</v>
      </c>
      <c r="S190" s="59">
        <f ca="1">AVERAGE(OFFSET($R$3,0,0,'Données projet'!$E$9+1,1))-AVERAGE(OFFSET($H$3,0,0,'Données projet'!$E$9+1,1))</f>
        <v>288.98981546396209</v>
      </c>
      <c r="T190" s="59">
        <f t="shared" si="142"/>
        <v>281.67720096117085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16.651421524725244</v>
      </c>
      <c r="AA190" s="21">
        <f>EXP(-LN(2)/25)*AA189+(1-EXP(-LN(2)/25))/(LN(2)/25)*Calculateur!V190*Calculateur!X190*VLOOKUP('Données projet'!$B$9,Paramètres!$A$1:$I$89,3,0)*0.475*44/12</f>
        <v>2.1228655823986187</v>
      </c>
      <c r="AB190" s="21">
        <f>EXP(-LN(2)/2)*AB189+(1-EXP(-LN(2)/2))/(LN(2)/2)*V190*Y190*VLOOKUP('Données projet'!$B$9,Paramètres!$A$1:$I$89,3,0)*0.475*44/12</f>
        <v>1.1464859730691082E-16</v>
      </c>
      <c r="AC190" s="22">
        <f t="shared" si="163"/>
        <v>18.774287107123861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234.95901223517041</v>
      </c>
      <c r="AO190" s="59">
        <f t="shared" si="144"/>
        <v>179.39213799913273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19.761418274635655</v>
      </c>
      <c r="AV190" s="21">
        <f>EXP(-LN(2)/25)*AV189+(1-EXP(-LN(2)/25))/(LN(2)/25)*Calculateur!AQ190*Calculateur!AS190*VLOOKUP('Données projet'!$B$10,Paramètres!$A$1:$I$89,3,0)*0.475*44/12</f>
        <v>2.4838803921391772</v>
      </c>
      <c r="AW190" s="21">
        <f>EXP(-LN(2)/2)*AW189+(1-EXP(-LN(2)/2))/(LN(2)/2)*AQ190*AT190*VLOOKUP('Données projet'!$B$10,Paramètres!$A$1:$I$89,3,0)*0.475*44/12</f>
        <v>3.3084873684074199E-15</v>
      </c>
      <c r="AX190" s="21">
        <f t="shared" si="166"/>
        <v>22.245298666774836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3.4106051316484809E-13</v>
      </c>
      <c r="O191" s="13">
        <f>N191*VLOOKUP('Données projet'!$B$9,Paramètres!$A$1:$I$89,3,0)*VLOOKUP('Données projet'!$B$9,Paramètres!$A$1:$I$89,5,0)</f>
        <v>2.0395418687257919E-13</v>
      </c>
      <c r="P191" s="13">
        <f t="shared" si="141"/>
        <v>2.8200388570161721E-12</v>
      </c>
      <c r="Q191" s="20">
        <f t="shared" si="162"/>
        <v>5.2667878847729083E-12</v>
      </c>
      <c r="R191" s="59">
        <f t="shared" si="109"/>
        <v>293.3333333333386</v>
      </c>
      <c r="S191" s="59">
        <f ca="1">AVERAGE(OFFSET($R$3,0,0,'Données projet'!$E$9+1,1))-AVERAGE(OFFSET($H$3,0,0,'Données projet'!$E$9+1,1))</f>
        <v>288.98981546396209</v>
      </c>
      <c r="T191" s="59">
        <f t="shared" si="142"/>
        <v>281.67720096117085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16.324897304989655</v>
      </c>
      <c r="AA191" s="21">
        <f>EXP(-LN(2)/25)*AA190+(1-EXP(-LN(2)/25))/(LN(2)/25)*Calculateur!V191*Calculateur!X191*VLOOKUP('Données projet'!$B$9,Paramètres!$A$1:$I$89,3,0)*0.475*44/12</f>
        <v>2.0648157114112795</v>
      </c>
      <c r="AB191" s="21">
        <f>EXP(-LN(2)/2)*AB190+(1-EXP(-LN(2)/2))/(LN(2)/2)*V191*Y191*VLOOKUP('Données projet'!$B$9,Paramètres!$A$1:$I$89,3,0)*0.475*44/12</f>
        <v>8.106880060924239E-17</v>
      </c>
      <c r="AC191" s="22">
        <f t="shared" si="163"/>
        <v>18.389713016400933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234.95901223517041</v>
      </c>
      <c r="AO191" s="59">
        <f t="shared" si="144"/>
        <v>179.39213799913273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19.373908915545037</v>
      </c>
      <c r="AV191" s="21">
        <f>EXP(-LN(2)/25)*AV190+(1-EXP(-LN(2)/25))/(LN(2)/25)*Calculateur!AQ191*Calculateur!AS191*VLOOKUP('Données projet'!$B$10,Paramètres!$A$1:$I$89,3,0)*0.475*44/12</f>
        <v>2.4159585521945384</v>
      </c>
      <c r="AW191" s="21">
        <f>EXP(-LN(2)/2)*AW190+(1-EXP(-LN(2)/2))/(LN(2)/2)*AQ191*AT191*VLOOKUP('Données projet'!$B$10,Paramètres!$A$1:$I$89,3,0)*0.475*44/12</f>
        <v>2.3394538536709219E-15</v>
      </c>
      <c r="AX191" s="21">
        <f t="shared" si="166"/>
        <v>21.78986746773958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3.4106051316484809E-13</v>
      </c>
      <c r="O192" s="13">
        <f>N192*VLOOKUP('Données projet'!$B$9,Paramètres!$A$1:$I$89,3,0)*VLOOKUP('Données projet'!$B$9,Paramètres!$A$1:$I$89,5,0)</f>
        <v>2.0395418687257919E-13</v>
      </c>
      <c r="P192" s="13">
        <f t="shared" si="141"/>
        <v>2.8200388570161721E-12</v>
      </c>
      <c r="Q192" s="20">
        <f t="shared" si="162"/>
        <v>5.2667878847729083E-12</v>
      </c>
      <c r="R192" s="59">
        <f t="shared" si="109"/>
        <v>293.3333333333386</v>
      </c>
      <c r="S192" s="59">
        <f ca="1">AVERAGE(OFFSET($R$3,0,0,'Données projet'!$E$9+1,1))-AVERAGE(OFFSET($H$3,0,0,'Données projet'!$E$9+1,1))</f>
        <v>288.98981546396209</v>
      </c>
      <c r="T192" s="59">
        <f t="shared" si="142"/>
        <v>281.67720096117085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16.004776026042972</v>
      </c>
      <c r="AA192" s="21">
        <f>EXP(-LN(2)/25)*AA191+(1-EXP(-LN(2)/25))/(LN(2)/25)*Calculateur!V192*Calculateur!X192*VLOOKUP('Données projet'!$B$9,Paramètres!$A$1:$I$89,3,0)*0.475*44/12</f>
        <v>2.008353217198799</v>
      </c>
      <c r="AB192" s="21">
        <f>EXP(-LN(2)/2)*AB191+(1-EXP(-LN(2)/2))/(LN(2)/2)*V192*Y192*VLOOKUP('Données projet'!$B$9,Paramètres!$A$1:$I$89,3,0)*0.475*44/12</f>
        <v>5.7324298653455409E-17</v>
      </c>
      <c r="AC192" s="22">
        <f t="shared" si="163"/>
        <v>18.013129243241771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234.95901223517041</v>
      </c>
      <c r="AO192" s="59">
        <f t="shared" si="144"/>
        <v>179.39213799913273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18.993998378628813</v>
      </c>
      <c r="AV192" s="21">
        <f>EXP(-LN(2)/25)*AV191+(1-EXP(-LN(2)/25))/(LN(2)/25)*Calculateur!AQ192*Calculateur!AS192*VLOOKUP('Données projet'!$B$10,Paramètres!$A$1:$I$89,3,0)*0.475*44/12</f>
        <v>2.3498940385350404</v>
      </c>
      <c r="AW192" s="21">
        <f>EXP(-LN(2)/2)*AW191+(1-EXP(-LN(2)/2))/(LN(2)/2)*AQ192*AT192*VLOOKUP('Données projet'!$B$10,Paramètres!$A$1:$I$89,3,0)*0.475*44/12</f>
        <v>1.65424368420371E-15</v>
      </c>
      <c r="AX192" s="21">
        <f t="shared" si="166"/>
        <v>21.343892417163854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3.4106051316484809E-13</v>
      </c>
      <c r="O193" s="13">
        <f>N193*VLOOKUP('Données projet'!$B$9,Paramètres!$A$1:$I$89,3,0)*VLOOKUP('Données projet'!$B$9,Paramètres!$A$1:$I$89,5,0)</f>
        <v>2.0395418687257919E-13</v>
      </c>
      <c r="P193" s="13">
        <f t="shared" si="141"/>
        <v>2.8200388570161721E-12</v>
      </c>
      <c r="Q193" s="20">
        <f t="shared" si="162"/>
        <v>5.2667878847729083E-12</v>
      </c>
      <c r="R193" s="59">
        <f t="shared" si="109"/>
        <v>293.3333333333386</v>
      </c>
      <c r="S193" s="59">
        <f ca="1">AVERAGE(OFFSET($R$3,0,0,'Données projet'!$E$9+1,1))-AVERAGE(OFFSET($H$3,0,0,'Données projet'!$E$9+1,1))</f>
        <v>288.98981546396209</v>
      </c>
      <c r="T193" s="59">
        <f t="shared" si="142"/>
        <v>281.67720096117085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15.690932130121732</v>
      </c>
      <c r="AA193" s="21">
        <f>EXP(-LN(2)/25)*AA192+(1-EXP(-LN(2)/25))/(LN(2)/25)*Calculateur!V193*Calculateur!X193*VLOOKUP('Données projet'!$B$9,Paramètres!$A$1:$I$89,3,0)*0.475*44/12</f>
        <v>1.9534346928597923</v>
      </c>
      <c r="AB193" s="21">
        <f>EXP(-LN(2)/2)*AB192+(1-EXP(-LN(2)/2))/(LN(2)/2)*V193*Y193*VLOOKUP('Données projet'!$B$9,Paramètres!$A$1:$I$89,3,0)*0.475*44/12</f>
        <v>4.0534400304621195E-17</v>
      </c>
      <c r="AC193" s="22">
        <f t="shared" si="163"/>
        <v>17.644366822981524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234.95901223517041</v>
      </c>
      <c r="AO193" s="59">
        <f t="shared" si="144"/>
        <v>179.39213799913273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18.621537655618969</v>
      </c>
      <c r="AV193" s="21">
        <f>EXP(-LN(2)/25)*AV192+(1-EXP(-LN(2)/25))/(LN(2)/25)*Calculateur!AQ193*Calculateur!AS193*VLOOKUP('Données projet'!$B$10,Paramètres!$A$1:$I$89,3,0)*0.475*44/12</f>
        <v>2.285636062475743</v>
      </c>
      <c r="AW193" s="21">
        <f>EXP(-LN(2)/2)*AW192+(1-EXP(-LN(2)/2))/(LN(2)/2)*AQ193*AT193*VLOOKUP('Données projet'!$B$10,Paramètres!$A$1:$I$89,3,0)*0.475*44/12</f>
        <v>1.1697269268354609E-15</v>
      </c>
      <c r="AX193" s="21">
        <f t="shared" si="166"/>
        <v>20.907173718094711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3.4106051316484809E-13</v>
      </c>
      <c r="O194" s="13">
        <f>N194*VLOOKUP('Données projet'!$B$9,Paramètres!$A$1:$I$89,3,0)*VLOOKUP('Données projet'!$B$9,Paramètres!$A$1:$I$89,5,0)</f>
        <v>2.0395418687257919E-13</v>
      </c>
      <c r="P194" s="13">
        <f t="shared" si="141"/>
        <v>2.8200388570161721E-12</v>
      </c>
      <c r="Q194" s="20">
        <f t="shared" si="162"/>
        <v>5.2667878847729083E-12</v>
      </c>
      <c r="R194" s="59">
        <f t="shared" si="109"/>
        <v>293.3333333333386</v>
      </c>
      <c r="S194" s="59">
        <f ca="1">AVERAGE(OFFSET($R$3,0,0,'Données projet'!$E$9+1,1))-AVERAGE(OFFSET($H$3,0,0,'Données projet'!$E$9+1,1))</f>
        <v>288.98981546396209</v>
      </c>
      <c r="T194" s="59">
        <f t="shared" si="142"/>
        <v>281.67720096117085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15.383242521573633</v>
      </c>
      <c r="AA194" s="21">
        <f>EXP(-LN(2)/25)*AA193+(1-EXP(-LN(2)/25))/(LN(2)/25)*Calculateur!V194*Calculateur!X194*VLOOKUP('Données projet'!$B$9,Paramètres!$A$1:$I$89,3,0)*0.475*44/12</f>
        <v>1.9000179184568755</v>
      </c>
      <c r="AB194" s="21">
        <f>EXP(-LN(2)/2)*AB193+(1-EXP(-LN(2)/2))/(LN(2)/2)*V194*Y194*VLOOKUP('Données projet'!$B$9,Paramètres!$A$1:$I$89,3,0)*0.475*44/12</f>
        <v>2.8662149326727704E-17</v>
      </c>
      <c r="AC194" s="22">
        <f t="shared" si="163"/>
        <v>17.28326044003051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234.95901223517041</v>
      </c>
      <c r="AO194" s="59">
        <f t="shared" si="144"/>
        <v>179.39213799913273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18.256380660208741</v>
      </c>
      <c r="AV194" s="21">
        <f>EXP(-LN(2)/25)*AV193+(1-EXP(-LN(2)/25))/(LN(2)/25)*Calculateur!AQ194*Calculateur!AS194*VLOOKUP('Données projet'!$B$10,Paramètres!$A$1:$I$89,3,0)*0.475*44/12</f>
        <v>2.2231352241509672</v>
      </c>
      <c r="AW194" s="21">
        <f>EXP(-LN(2)/2)*AW193+(1-EXP(-LN(2)/2))/(LN(2)/2)*AQ194*AT194*VLOOKUP('Données projet'!$B$10,Paramètres!$A$1:$I$89,3,0)*0.475*44/12</f>
        <v>8.2712184210185498E-16</v>
      </c>
      <c r="AX194" s="21">
        <f t="shared" si="166"/>
        <v>20.479515884359706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3.4106051316484809E-13</v>
      </c>
      <c r="O195" s="13">
        <f>N195*VLOOKUP('Données projet'!$B$9,Paramètres!$A$1:$I$89,3,0)*VLOOKUP('Données projet'!$B$9,Paramètres!$A$1:$I$89,5,0)</f>
        <v>2.0395418687257919E-13</v>
      </c>
      <c r="P195" s="13">
        <f t="shared" si="141"/>
        <v>2.8200388570161721E-12</v>
      </c>
      <c r="Q195" s="20">
        <f t="shared" si="162"/>
        <v>5.2667878847729083E-12</v>
      </c>
      <c r="R195" s="59">
        <f t="shared" ref="R195:R203" si="191">Q195+(I195+J195)*44/12</f>
        <v>293.3333333333386</v>
      </c>
      <c r="S195" s="59">
        <f ca="1">AVERAGE(OFFSET($R$3,0,0,'Données projet'!$E$9+1,1))-AVERAGE(OFFSET($H$3,0,0,'Données projet'!$E$9+1,1))</f>
        <v>288.98981546396209</v>
      </c>
      <c r="T195" s="59">
        <f t="shared" si="142"/>
        <v>281.67720096117085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15.081586518577033</v>
      </c>
      <c r="AA195" s="21">
        <f>EXP(-LN(2)/25)*AA194+(1-EXP(-LN(2)/25))/(LN(2)/25)*Calculateur!V195*Calculateur!X195*VLOOKUP('Données projet'!$B$9,Paramètres!$A$1:$I$89,3,0)*0.475*44/12</f>
        <v>1.8480618285590724</v>
      </c>
      <c r="AB195" s="21">
        <f>EXP(-LN(2)/2)*AB194+(1-EXP(-LN(2)/2))/(LN(2)/2)*V195*Y195*VLOOKUP('Données projet'!$B$9,Paramètres!$A$1:$I$89,3,0)*0.475*44/12</f>
        <v>2.0267200152310598E-17</v>
      </c>
      <c r="AC195" s="22">
        <f t="shared" si="163"/>
        <v>16.929648347136105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234.95901223517041</v>
      </c>
      <c r="AO195" s="59">
        <f t="shared" si="144"/>
        <v>179.39213799913273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17.898384170754731</v>
      </c>
      <c r="AV195" s="21">
        <f>EXP(-LN(2)/25)*AV194+(1-EXP(-LN(2)/25))/(LN(2)/25)*Calculateur!AQ195*Calculateur!AS195*VLOOKUP('Données projet'!$B$10,Paramètres!$A$1:$I$89,3,0)*0.475*44/12</f>
        <v>2.1623434745369585</v>
      </c>
      <c r="AW195" s="21">
        <f>EXP(-LN(2)/2)*AW194+(1-EXP(-LN(2)/2))/(LN(2)/2)*AQ195*AT195*VLOOKUP('Données projet'!$B$10,Paramètres!$A$1:$I$89,3,0)*0.475*44/12</f>
        <v>5.8486346341773047E-16</v>
      </c>
      <c r="AX195" s="21">
        <f t="shared" si="166"/>
        <v>20.060727645291689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3.4106051316484809E-13</v>
      </c>
      <c r="O196" s="13">
        <f>N196*VLOOKUP('Données projet'!$B$9,Paramètres!$A$1:$I$89,3,0)*VLOOKUP('Données projet'!$B$9,Paramètres!$A$1:$I$89,5,0)</f>
        <v>2.0395418687257919E-13</v>
      </c>
      <c r="P196" s="13">
        <f t="shared" si="141"/>
        <v>2.8200388570161721E-12</v>
      </c>
      <c r="Q196" s="20">
        <f t="shared" si="162"/>
        <v>5.2667878847729083E-12</v>
      </c>
      <c r="R196" s="59">
        <f t="shared" si="191"/>
        <v>293.3333333333386</v>
      </c>
      <c r="S196" s="59">
        <f ca="1">AVERAGE(OFFSET($R$3,0,0,'Données projet'!$E$9+1,1))-AVERAGE(OFFSET($H$3,0,0,'Données projet'!$E$9+1,1))</f>
        <v>288.98981546396209</v>
      </c>
      <c r="T196" s="59">
        <f t="shared" si="142"/>
        <v>281.67720096117085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14.785845805807202</v>
      </c>
      <c r="AA196" s="21">
        <f>EXP(-LN(2)/25)*AA195+(1-EXP(-LN(2)/25))/(LN(2)/25)*Calculateur!V196*Calculateur!X196*VLOOKUP('Données projet'!$B$9,Paramètres!$A$1:$I$89,3,0)*0.475*44/12</f>
        <v>1.7975264806717768</v>
      </c>
      <c r="AB196" s="21">
        <f>EXP(-LN(2)/2)*AB195+(1-EXP(-LN(2)/2))/(LN(2)/2)*V196*Y196*VLOOKUP('Données projet'!$B$9,Paramètres!$A$1:$I$89,3,0)*0.475*44/12</f>
        <v>1.4331074663363852E-17</v>
      </c>
      <c r="AC196" s="22">
        <f t="shared" si="163"/>
        <v>16.58337228647898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234.95901223517041</v>
      </c>
      <c r="AO196" s="59">
        <f t="shared" si="144"/>
        <v>179.39213799913273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17.547407774102616</v>
      </c>
      <c r="AV196" s="21">
        <f>EXP(-LN(2)/25)*AV195+(1-EXP(-LN(2)/25))/(LN(2)/25)*Calculateur!AQ196*Calculateur!AS196*VLOOKUP('Données projet'!$B$10,Paramètres!$A$1:$I$89,3,0)*0.475*44/12</f>
        <v>2.103214078513044</v>
      </c>
      <c r="AW196" s="21">
        <f>EXP(-LN(2)/2)*AW195+(1-EXP(-LN(2)/2))/(LN(2)/2)*AQ196*AT196*VLOOKUP('Données projet'!$B$10,Paramètres!$A$1:$I$89,3,0)*0.475*44/12</f>
        <v>4.1356092105092749E-16</v>
      </c>
      <c r="AX196" s="21">
        <f t="shared" si="166"/>
        <v>19.650621852615661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3.4106051316484809E-13</v>
      </c>
      <c r="O197" s="13">
        <f>N197*VLOOKUP('Données projet'!$B$9,Paramètres!$A$1:$I$89,3,0)*VLOOKUP('Données projet'!$B$9,Paramètres!$A$1:$I$89,5,0)</f>
        <v>2.0395418687257919E-13</v>
      </c>
      <c r="P197" s="13">
        <f t="shared" ref="P197:P203" si="203">EXP(-1.0587+0.8836*LN(O197)+0.284)</f>
        <v>2.8200388570161721E-12</v>
      </c>
      <c r="Q197" s="20">
        <f t="shared" si="162"/>
        <v>5.2667878847729083E-12</v>
      </c>
      <c r="R197" s="59">
        <f t="shared" si="191"/>
        <v>293.3333333333386</v>
      </c>
      <c r="S197" s="59">
        <f ca="1">AVERAGE(OFFSET($R$3,0,0,'Données projet'!$E$9+1,1))-AVERAGE(OFFSET($H$3,0,0,'Données projet'!$E$9+1,1))</f>
        <v>288.98981546396209</v>
      </c>
      <c r="T197" s="59">
        <f t="shared" ref="T197:T203" si="204">$T$3</f>
        <v>281.67720096117085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14.495904388030764</v>
      </c>
      <c r="AA197" s="21">
        <f>EXP(-LN(2)/25)*AA196+(1-EXP(-LN(2)/25))/(LN(2)/25)*Calculateur!V197*Calculateur!X197*VLOOKUP('Données projet'!$B$9,Paramètres!$A$1:$I$89,3,0)*0.475*44/12</f>
        <v>1.7483730245299978</v>
      </c>
      <c r="AB197" s="21">
        <f>EXP(-LN(2)/2)*AB196+(1-EXP(-LN(2)/2))/(LN(2)/2)*V197*Y197*VLOOKUP('Données projet'!$B$9,Paramètres!$A$1:$I$89,3,0)*0.475*44/12</f>
        <v>1.0133600076155299E-17</v>
      </c>
      <c r="AC197" s="22">
        <f t="shared" si="163"/>
        <v>16.244277412560763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234.95901223517041</v>
      </c>
      <c r="AO197" s="59">
        <f t="shared" ref="AO197:AO203" si="205">$AO$3</f>
        <v>179.39213799913273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17.203313810514388</v>
      </c>
      <c r="AV197" s="21">
        <f>EXP(-LN(2)/25)*AV196+(1-EXP(-LN(2)/25))/(LN(2)/25)*Calculateur!AQ197*Calculateur!AS197*VLOOKUP('Données projet'!$B$10,Paramètres!$A$1:$I$89,3,0)*0.475*44/12</f>
        <v>2.0457015789328832</v>
      </c>
      <c r="AW197" s="21">
        <f>EXP(-LN(2)/2)*AW196+(1-EXP(-LN(2)/2))/(LN(2)/2)*AQ197*AT197*VLOOKUP('Données projet'!$B$10,Paramètres!$A$1:$I$89,3,0)*0.475*44/12</f>
        <v>2.9243173170886524E-16</v>
      </c>
      <c r="AX197" s="21">
        <f t="shared" si="166"/>
        <v>19.249015389447273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3.4106051316484809E-13</v>
      </c>
      <c r="O198" s="13">
        <f>N198*VLOOKUP('Données projet'!$B$9,Paramètres!$A$1:$I$89,3,0)*VLOOKUP('Données projet'!$B$9,Paramètres!$A$1:$I$89,5,0)</f>
        <v>2.0395418687257919E-13</v>
      </c>
      <c r="P198" s="13">
        <f t="shared" si="203"/>
        <v>2.8200388570161721E-12</v>
      </c>
      <c r="Q198" s="20">
        <f t="shared" si="162"/>
        <v>5.2667878847729083E-12</v>
      </c>
      <c r="R198" s="59">
        <f t="shared" si="191"/>
        <v>293.3333333333386</v>
      </c>
      <c r="S198" s="59">
        <f ca="1">AVERAGE(OFFSET($R$3,0,0,'Données projet'!$E$9+1,1))-AVERAGE(OFFSET($H$3,0,0,'Données projet'!$E$9+1,1))</f>
        <v>288.98981546396209</v>
      </c>
      <c r="T198" s="59">
        <f t="shared" si="204"/>
        <v>281.67720096117085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14.211648544610119</v>
      </c>
      <c r="AA198" s="21">
        <f>EXP(-LN(2)/25)*AA197+(1-EXP(-LN(2)/25))/(LN(2)/25)*Calculateur!V198*Calculateur!X198*VLOOKUP('Données projet'!$B$9,Paramètres!$A$1:$I$89,3,0)*0.475*44/12</f>
        <v>1.7005636722312836</v>
      </c>
      <c r="AB198" s="21">
        <f>EXP(-LN(2)/2)*AB197+(1-EXP(-LN(2)/2))/(LN(2)/2)*V198*Y198*VLOOKUP('Données projet'!$B$9,Paramètres!$A$1:$I$89,3,0)*0.475*44/12</f>
        <v>7.1655373316819261E-18</v>
      </c>
      <c r="AC198" s="22">
        <f t="shared" si="163"/>
        <v>15.912212216841402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234.95901223517041</v>
      </c>
      <c r="AO198" s="59">
        <f t="shared" si="205"/>
        <v>179.39213799913273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16.86596731967553</v>
      </c>
      <c r="AV198" s="21">
        <f>EXP(-LN(2)/25)*AV197+(1-EXP(-LN(2)/25))/(LN(2)/25)*Calculateur!AQ198*Calculateur!AS198*VLOOKUP('Données projet'!$B$10,Paramètres!$A$1:$I$89,3,0)*0.475*44/12</f>
        <v>1.9897617616781931</v>
      </c>
      <c r="AW198" s="21">
        <f>EXP(-LN(2)/2)*AW197+(1-EXP(-LN(2)/2))/(LN(2)/2)*AQ198*AT198*VLOOKUP('Données projet'!$B$10,Paramètres!$A$1:$I$89,3,0)*0.475*44/12</f>
        <v>2.0678046052546375E-16</v>
      </c>
      <c r="AX198" s="21">
        <f t="shared" si="166"/>
        <v>18.855729081353722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3.4106051316484809E-13</v>
      </c>
      <c r="O199" s="13">
        <f>N199*VLOOKUP('Données projet'!$B$9,Paramètres!$A$1:$I$89,3,0)*VLOOKUP('Données projet'!$B$9,Paramètres!$A$1:$I$89,5,0)</f>
        <v>2.0395418687257919E-13</v>
      </c>
      <c r="P199" s="13">
        <f t="shared" si="203"/>
        <v>2.8200388570161721E-12</v>
      </c>
      <c r="Q199" s="20">
        <f t="shared" si="162"/>
        <v>5.2667878847729083E-12</v>
      </c>
      <c r="R199" s="59">
        <f t="shared" si="191"/>
        <v>293.3333333333386</v>
      </c>
      <c r="S199" s="59">
        <f ca="1">AVERAGE(OFFSET($R$3,0,0,'Données projet'!$E$9+1,1))-AVERAGE(OFFSET($H$3,0,0,'Données projet'!$E$9+1,1))</f>
        <v>288.98981546396209</v>
      </c>
      <c r="T199" s="59">
        <f t="shared" si="204"/>
        <v>281.67720096117085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13.932966784900009</v>
      </c>
      <c r="AA199" s="21">
        <f>EXP(-LN(2)/25)*AA198+(1-EXP(-LN(2)/25))/(LN(2)/25)*Calculateur!V199*Calculateur!X199*VLOOKUP('Données projet'!$B$9,Paramètres!$A$1:$I$89,3,0)*0.475*44/12</f>
        <v>1.6540616691853622</v>
      </c>
      <c r="AB199" s="21">
        <f>EXP(-LN(2)/2)*AB198+(1-EXP(-LN(2)/2))/(LN(2)/2)*V199*Y199*VLOOKUP('Données projet'!$B$9,Paramètres!$A$1:$I$89,3,0)*0.475*44/12</f>
        <v>5.0668000380776494E-18</v>
      </c>
      <c r="AC199" s="22">
        <f t="shared" si="163"/>
        <v>15.58702845408537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234.95901223517041</v>
      </c>
      <c r="AO199" s="59">
        <f t="shared" si="205"/>
        <v>179.39213799913273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16.535235987760977</v>
      </c>
      <c r="AV199" s="21">
        <f>EXP(-LN(2)/25)*AV198+(1-EXP(-LN(2)/25))/(LN(2)/25)*Calculateur!AQ199*Calculateur!AS199*VLOOKUP('Données projet'!$B$10,Paramètres!$A$1:$I$89,3,0)*0.475*44/12</f>
        <v>1.9353516216680795</v>
      </c>
      <c r="AW199" s="21">
        <f>EXP(-LN(2)/2)*AW198+(1-EXP(-LN(2)/2))/(LN(2)/2)*AQ199*AT199*VLOOKUP('Données projet'!$B$10,Paramètres!$A$1:$I$89,3,0)*0.475*44/12</f>
        <v>1.4621586585443262E-16</v>
      </c>
      <c r="AX199" s="21">
        <f t="shared" si="166"/>
        <v>18.470587609429057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3.4106051316484809E-13</v>
      </c>
      <c r="O200" s="13">
        <f>N200*VLOOKUP('Données projet'!$B$9,Paramètres!$A$1:$I$89,3,0)*VLOOKUP('Données projet'!$B$9,Paramètres!$A$1:$I$89,5,0)</f>
        <v>2.0395418687257919E-13</v>
      </c>
      <c r="P200" s="13">
        <f t="shared" si="203"/>
        <v>2.8200388570161721E-12</v>
      </c>
      <c r="Q200" s="20">
        <f t="shared" si="162"/>
        <v>5.2667878847729083E-12</v>
      </c>
      <c r="R200" s="59">
        <f t="shared" si="191"/>
        <v>293.3333333333386</v>
      </c>
      <c r="S200" s="59">
        <f ca="1">AVERAGE(OFFSET($R$3,0,0,'Données projet'!$E$9+1,1))-AVERAGE(OFFSET($H$3,0,0,'Données projet'!$E$9+1,1))</f>
        <v>288.98981546396209</v>
      </c>
      <c r="T200" s="59">
        <f t="shared" si="204"/>
        <v>281.67720096117085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13.659749804518723</v>
      </c>
      <c r="AA200" s="21">
        <f>EXP(-LN(2)/25)*AA199+(1-EXP(-LN(2)/25))/(LN(2)/25)*Calculateur!V200*Calculateur!X200*VLOOKUP('Données projet'!$B$9,Paramètres!$A$1:$I$89,3,0)*0.475*44/12</f>
        <v>1.6088312658581658</v>
      </c>
      <c r="AB200" s="21">
        <f>EXP(-LN(2)/2)*AB199+(1-EXP(-LN(2)/2))/(LN(2)/2)*V200*Y200*VLOOKUP('Données projet'!$B$9,Paramètres!$A$1:$I$89,3,0)*0.475*44/12</f>
        <v>3.582768665840963E-18</v>
      </c>
      <c r="AC200" s="22">
        <f t="shared" si="163"/>
        <v>15.268581070376889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234.95901223517041</v>
      </c>
      <c r="AO200" s="59">
        <f t="shared" si="205"/>
        <v>179.39213799913273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16.210990095539078</v>
      </c>
      <c r="AV200" s="21">
        <f>EXP(-LN(2)/25)*AV199+(1-EXP(-LN(2)/25))/(LN(2)/25)*Calculateur!AQ200*Calculateur!AS200*VLOOKUP('Données projet'!$B$10,Paramètres!$A$1:$I$89,3,0)*0.475*44/12</f>
        <v>1.8824293297978474</v>
      </c>
      <c r="AW200" s="21">
        <f>EXP(-LN(2)/2)*AW199+(1-EXP(-LN(2)/2))/(LN(2)/2)*AQ200*AT200*VLOOKUP('Données projet'!$B$10,Paramètres!$A$1:$I$89,3,0)*0.475*44/12</f>
        <v>1.0339023026273187E-16</v>
      </c>
      <c r="AX200" s="21">
        <f t="shared" si="166"/>
        <v>18.093419425336926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3.4106051316484809E-13</v>
      </c>
      <c r="O201" s="13">
        <f>N201*VLOOKUP('Données projet'!$B$9,Paramètres!$A$1:$I$89,3,0)*VLOOKUP('Données projet'!$B$9,Paramètres!$A$1:$I$89,5,0)</f>
        <v>2.0395418687257919E-13</v>
      </c>
      <c r="P201" s="13">
        <f t="shared" si="203"/>
        <v>2.8200388570161721E-12</v>
      </c>
      <c r="Q201" s="20">
        <f t="shared" si="162"/>
        <v>5.2667878847729083E-12</v>
      </c>
      <c r="R201" s="59">
        <f t="shared" si="191"/>
        <v>293.3333333333386</v>
      </c>
      <c r="S201" s="59">
        <f ca="1">AVERAGE(OFFSET($R$3,0,0,'Données projet'!$E$9+1,1))-AVERAGE(OFFSET($H$3,0,0,'Données projet'!$E$9+1,1))</f>
        <v>288.98981546396209</v>
      </c>
      <c r="T201" s="59">
        <f t="shared" si="204"/>
        <v>281.67720096117085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13.391890442476813</v>
      </c>
      <c r="AA201" s="21">
        <f>EXP(-LN(2)/25)*AA200+(1-EXP(-LN(2)/25))/(LN(2)/25)*Calculateur!V201*Calculateur!X201*VLOOKUP('Données projet'!$B$9,Paramètres!$A$1:$I$89,3,0)*0.475*44/12</f>
        <v>1.564837690288515</v>
      </c>
      <c r="AB201" s="21">
        <f>EXP(-LN(2)/2)*AB200+(1-EXP(-LN(2)/2))/(LN(2)/2)*V201*Y201*VLOOKUP('Données projet'!$B$9,Paramètres!$A$1:$I$89,3,0)*0.475*44/12</f>
        <v>2.5334000190388247E-18</v>
      </c>
      <c r="AC201" s="22">
        <f t="shared" si="163"/>
        <v>14.956728132765328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234.95901223517041</v>
      </c>
      <c r="AO201" s="59">
        <f t="shared" si="205"/>
        <v>179.39213799913273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15.893102467493183</v>
      </c>
      <c r="AV201" s="21">
        <f>EXP(-LN(2)/25)*AV200+(1-EXP(-LN(2)/25))/(LN(2)/25)*Calculateur!AQ201*Calculateur!AS201*VLOOKUP('Données projet'!$B$10,Paramètres!$A$1:$I$89,3,0)*0.475*44/12</f>
        <v>1.8309542007818691</v>
      </c>
      <c r="AW201" s="21">
        <f>EXP(-LN(2)/2)*AW200+(1-EXP(-LN(2)/2))/(LN(2)/2)*AQ201*AT201*VLOOKUP('Données projet'!$B$10,Paramètres!$A$1:$I$89,3,0)*0.475*44/12</f>
        <v>7.3107932927216309E-17</v>
      </c>
      <c r="AX201" s="21">
        <f t="shared" si="166"/>
        <v>17.72405666827505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3.4106051316484809E-13</v>
      </c>
      <c r="O202" s="13">
        <f>N202*VLOOKUP('Données projet'!$B$9,Paramètres!$A$1:$I$89,3,0)*VLOOKUP('Données projet'!$B$9,Paramètres!$A$1:$I$89,5,0)</f>
        <v>2.0395418687257919E-13</v>
      </c>
      <c r="P202" s="13">
        <f t="shared" si="203"/>
        <v>2.8200388570161721E-12</v>
      </c>
      <c r="Q202" s="20">
        <f t="shared" si="162"/>
        <v>5.2667878847729083E-12</v>
      </c>
      <c r="R202" s="59">
        <f t="shared" si="191"/>
        <v>293.3333333333386</v>
      </c>
      <c r="S202" s="59">
        <f ca="1">AVERAGE(OFFSET($R$3,0,0,'Données projet'!$E$9+1,1))-AVERAGE(OFFSET($H$3,0,0,'Données projet'!$E$9+1,1))</f>
        <v>288.98981546396209</v>
      </c>
      <c r="T202" s="59">
        <f t="shared" si="204"/>
        <v>281.67720096117085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13.129283639146465</v>
      </c>
      <c r="AA202" s="21">
        <f>EXP(-LN(2)/25)*AA201+(1-EXP(-LN(2)/25))/(LN(2)/25)*Calculateur!V202*Calculateur!X202*VLOOKUP('Données projet'!$B$9,Paramètres!$A$1:$I$89,3,0)*0.475*44/12</f>
        <v>1.522047121356338</v>
      </c>
      <c r="AB202" s="21">
        <f>EXP(-LN(2)/2)*AB201+(1-EXP(-LN(2)/2))/(LN(2)/2)*V202*Y202*VLOOKUP('Données projet'!$B$9,Paramètres!$A$1:$I$89,3,0)*0.475*44/12</f>
        <v>1.7913843329204815E-18</v>
      </c>
      <c r="AC202" s="22">
        <f t="shared" si="163"/>
        <v>14.651330760502802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234.95901223517041</v>
      </c>
      <c r="AO202" s="59">
        <f t="shared" si="205"/>
        <v>179.39213799913273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15.58144842194096</v>
      </c>
      <c r="AV202" s="21">
        <f>EXP(-LN(2)/25)*AV201+(1-EXP(-LN(2)/25))/(LN(2)/25)*Calculateur!AQ202*Calculateur!AS202*VLOOKUP('Données projet'!$B$10,Paramètres!$A$1:$I$89,3,0)*0.475*44/12</f>
        <v>1.7808866618757921</v>
      </c>
      <c r="AW202" s="21">
        <f>EXP(-LN(2)/2)*AW201+(1-EXP(-LN(2)/2))/(LN(2)/2)*AQ202*AT202*VLOOKUP('Données projet'!$B$10,Paramètres!$A$1:$I$89,3,0)*0.475*44/12</f>
        <v>5.1695115131365936E-17</v>
      </c>
      <c r="AX202" s="21">
        <f t="shared" si="166"/>
        <v>17.362335083816753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3.4106051316484809E-13</v>
      </c>
      <c r="O203" s="13">
        <f>N203*VLOOKUP('Données projet'!$B$9,Paramètres!$A$1:$I$89,3,0)*VLOOKUP('Données projet'!$B$9,Paramètres!$A$1:$I$89,5,0)</f>
        <v>2.0395418687257919E-13</v>
      </c>
      <c r="P203" s="13">
        <f t="shared" si="203"/>
        <v>2.8200388570161721E-12</v>
      </c>
      <c r="Q203" s="20">
        <f t="shared" si="162"/>
        <v>5.2667878847729083E-12</v>
      </c>
      <c r="R203" s="59">
        <f t="shared" si="191"/>
        <v>293.3333333333386</v>
      </c>
      <c r="S203" s="59">
        <f ca="1">AVERAGE(OFFSET($R$3,0,0,'Données projet'!$E$9+1,1))-AVERAGE(OFFSET($H$3,0,0,'Données projet'!$E$9+1,1))</f>
        <v>288.98981546396209</v>
      </c>
      <c r="T203" s="59">
        <f t="shared" si="204"/>
        <v>281.67720096117085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12.871826395055091</v>
      </c>
      <c r="AA203" s="21">
        <f>EXP(-LN(2)/25)*AA202+(1-EXP(-LN(2)/25))/(LN(2)/25)*Calculateur!V203*Calculateur!X203*VLOOKUP('Données projet'!$B$9,Paramètres!$A$1:$I$89,3,0)*0.475*44/12</f>
        <v>1.4804266627818696</v>
      </c>
      <c r="AB203" s="21">
        <f>EXP(-LN(2)/2)*AB202+(1-EXP(-LN(2)/2))/(LN(2)/2)*V203*Y203*VLOOKUP('Données projet'!$B$9,Paramètres!$A$1:$I$89,3,0)*0.475*44/12</f>
        <v>1.2667000095194124E-18</v>
      </c>
      <c r="AC203" s="22">
        <f t="shared" si="163"/>
        <v>14.352253057836961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234.95901223517041</v>
      </c>
      <c r="AO203" s="59">
        <f t="shared" si="205"/>
        <v>179.39213799913273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15.275905722131819</v>
      </c>
      <c r="AV203" s="21">
        <f>EXP(-LN(2)/25)*AV202+(1-EXP(-LN(2)/25))/(LN(2)/25)*Calculateur!AQ203*Calculateur!AS203*VLOOKUP('Données projet'!$B$10,Paramètres!$A$1:$I$89,3,0)*0.475*44/12</f>
        <v>1.7321882224540393</v>
      </c>
      <c r="AW203" s="21">
        <f>EXP(-LN(2)/2)*AW202+(1-EXP(-LN(2)/2))/(LN(2)/2)*AQ203*AT203*VLOOKUP('Données projet'!$B$10,Paramètres!$A$1:$I$89,3,0)*0.475*44/12</f>
        <v>3.6553966463608155E-17</v>
      </c>
      <c r="AX203" s="21">
        <f t="shared" si="166"/>
        <v>17.008093944585859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1.3335339730287799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1.2802842468510145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F6" sqref="F6:G7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laricio</v>
      </c>
      <c r="B6" s="146">
        <f>'Données projet'!D9</f>
        <v>1.70295</v>
      </c>
      <c r="C6" s="147">
        <f ca="1">IF(OR('Données projet'!B9="",'Données projet'!C9="",'Données projet'!C9=0%),0,Calculateur!S3)</f>
        <v>288.98981546396209</v>
      </c>
      <c r="D6" s="147">
        <f>IF(OR('Données projet'!B9="",'Données projet'!C9="",'Données projet'!C9=0%),0,Calculateur!T3)</f>
        <v>281.67720096117085</v>
      </c>
      <c r="E6" s="147">
        <f ca="1">MIN(C6,D6)</f>
        <v>281.67720096117085</v>
      </c>
      <c r="F6" s="147">
        <f ca="1">E6*B6</f>
        <v>479.68218937682587</v>
      </c>
      <c r="G6" s="147">
        <f ca="1">F6*(100%-'Données projet'!$C$24)*(100%-'Données projet'!$C$25)*(100%-'Données projet'!$C$26)*(100%-'Données projet'!$C$27)</f>
        <v>366.95687487327177</v>
      </c>
      <c r="H6" s="148">
        <f>IF(OR('Données projet'!B9="",'Données projet'!C9="",'Données projet'!C9=0%),0,AVERAGE(Calculateur!$AC$3:$AC$33)*B6)</f>
        <v>13.337332708139495</v>
      </c>
      <c r="I6" s="149">
        <f>H6*(100%-'Données projet'!$C$24)*(100%-'Données projet'!$C$25)*(100%-'Données projet'!$C$26)*(100%-'Données projet'!$C$27)</f>
        <v>10.203059521726713</v>
      </c>
      <c r="J6" s="150">
        <f>IF(OR('Données projet'!B9="",'Données projet'!C9="",'Données projet'!C9=0%),0,SUM(Calculateur!$V$3:$V$33)*VLOOKUP('Données projet'!$B$9,Paramètres!$A$1:$I$89,9,0)*B6)</f>
        <v>102.51758999999998</v>
      </c>
      <c r="K6" s="151">
        <f>J6*(100%-'Données projet'!$C$24)*(100%-'Données projet'!$C$25)*(100%-'Données projet'!$C$26)*(100%-'Données projet'!$C$27)</f>
        <v>78.425956349999993</v>
      </c>
      <c r="L6" s="152">
        <f ca="1">G6+I6+K6</f>
        <v>455.58589074499844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Cèdre de l'Atlas</v>
      </c>
      <c r="B7" s="154">
        <f>'Données projet'!D10</f>
        <v>1.70295</v>
      </c>
      <c r="C7" s="147">
        <f ca="1">IF(OR('Données projet'!B10="",'Données projet'!C10="",'Données projet'!C10=0%),0,Calculateur!AN3)</f>
        <v>234.95901223517041</v>
      </c>
      <c r="D7" s="147">
        <f>IF(OR('Données projet'!B10="",'Données projet'!C10="",'Données projet'!C10=0%),0,Calculateur!AO3)</f>
        <v>179.39213799913273</v>
      </c>
      <c r="E7" s="147">
        <f t="shared" ref="E7:E15" ca="1" si="0">MIN(C7,D7)</f>
        <v>179.39213799913273</v>
      </c>
      <c r="F7" s="147">
        <f t="shared" ref="F7:F15" ca="1" si="1">E7*B7</f>
        <v>305.49584140562308</v>
      </c>
      <c r="G7" s="147">
        <f ca="1">F7*(100%-'Données projet'!$C$24)*(100%-'Données projet'!$C$25)*(100%-'Données projet'!$C$26)*(100%-'Données projet'!$C$27)</f>
        <v>233.70431867530169</v>
      </c>
      <c r="H7" s="155">
        <f>IF(OR('Données projet'!B10="",'Données projet'!C10="",'Données projet'!C10=0%),0,AVERAGE(Calculateur!$AX$3:$AX$33)*B7)</f>
        <v>6.9537636796510931</v>
      </c>
      <c r="I7" s="149">
        <f>H7*(100%-'Données projet'!$C$24)*(100%-'Données projet'!$C$25)*(100%-'Données projet'!$C$26)*(100%-'Données projet'!$C$27)</f>
        <v>5.3196292149330855</v>
      </c>
      <c r="J7" s="150">
        <f>IF(OR('Données projet'!B10="",'Données projet'!C10="",'Données projet'!C10=0%),0,SUM(Calculateur!$AQ$3:$AQ$33)*VLOOKUP('Données projet'!$B$10,Paramètres!$A$1:$I$89,9,0)*B7)</f>
        <v>65.904165000000006</v>
      </c>
      <c r="K7" s="151">
        <f>J7*(100%-'Données projet'!$C$24)*(100%-'Données projet'!$C$25)*(100%-'Données projet'!$C$26)*(100%-'Données projet'!$C$27)</f>
        <v>50.416686225000007</v>
      </c>
      <c r="L7" s="152">
        <f t="shared" ref="L7:L15" ca="1" si="2">G7+I7+K7</f>
        <v>289.44063411523479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785.17803078244901</v>
      </c>
      <c r="G16" s="166">
        <f t="shared" ca="1" si="3"/>
        <v>600.66119354857346</v>
      </c>
      <c r="H16" s="167">
        <f t="shared" si="3"/>
        <v>20.291096387790589</v>
      </c>
      <c r="I16" s="167">
        <f t="shared" si="3"/>
        <v>15.522688736659799</v>
      </c>
      <c r="J16" s="168">
        <f t="shared" si="3"/>
        <v>168.42175499999999</v>
      </c>
      <c r="K16" s="168">
        <f t="shared" si="3"/>
        <v>128.84264257500001</v>
      </c>
      <c r="L16" s="169">
        <f t="shared" ca="1" si="3"/>
        <v>745.02652486023317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0" zoomScale="99" zoomScaleNormal="80" workbookViewId="0">
      <selection activeCell="Q29" sqref="Q29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-818.3587196907248</v>
      </c>
      <c r="U10" s="178">
        <f>'Données projet'!D9</f>
        <v>1.70295</v>
      </c>
      <c r="V10" s="177">
        <f>U10*T10</f>
        <v>-1393.6239816973198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Cèdre de l'Atlas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-860.27209032629969</v>
      </c>
      <c r="U11" s="178">
        <f>'Données projet'!D10</f>
        <v>1.70295</v>
      </c>
      <c r="V11" s="177">
        <f t="shared" ref="V11" si="0">U11*T11</f>
        <v>-1465.0003562211721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v>3833.05</v>
      </c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299.99999999999994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>
        <v>1500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600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v>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15</v>
      </c>
      <c r="B23" s="181">
        <f>'Données projet'!D36</f>
        <v>0</v>
      </c>
      <c r="C23" s="193">
        <f>35*'Données projet'!E36+19.4*('Données projet'!F36+'Données projet'!G36)+10*'Données projet'!G36</f>
        <v>23.799999999999997</v>
      </c>
      <c r="D23" s="182">
        <f>B23*C23</f>
        <v>0</v>
      </c>
      <c r="E23" s="193"/>
      <c r="F23" s="229"/>
      <c r="H23" s="190">
        <v>3</v>
      </c>
      <c r="I23" s="191">
        <v>0</v>
      </c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-9923.0150077749495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20</v>
      </c>
      <c r="B24" s="181">
        <f>'Données projet'!D37</f>
        <v>42</v>
      </c>
      <c r="C24" s="193">
        <f>35*'Données projet'!E37+19.4*('Données projet'!F37+'Données projet'!G37)+10*'Données projet'!G37</f>
        <v>23.799999999999997</v>
      </c>
      <c r="D24" s="182">
        <f t="shared" ref="D24:D42" si="2">B24*C24</f>
        <v>999.59999999999991</v>
      </c>
      <c r="E24" s="193"/>
      <c r="F24" s="232"/>
      <c r="H24" s="190">
        <v>4</v>
      </c>
      <c r="I24" s="191">
        <v>0</v>
      </c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272.81260584459045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25</v>
      </c>
      <c r="B25" s="181">
        <f>'Données projet'!D38</f>
        <v>49</v>
      </c>
      <c r="C25" s="193">
        <f>35*'Données projet'!E38+19.4*('Données projet'!F38+'Données projet'!G38)+10*'Données projet'!G38</f>
        <v>23.799999999999997</v>
      </c>
      <c r="D25" s="182">
        <f t="shared" si="2"/>
        <v>1166.1999999999998</v>
      </c>
      <c r="E25" s="193"/>
      <c r="F25" s="232"/>
      <c r="H25" s="190">
        <v>5</v>
      </c>
      <c r="I25" s="191">
        <v>0</v>
      </c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-10195.82761361954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30</v>
      </c>
      <c r="B26" s="181">
        <f>'Données projet'!D39</f>
        <v>49</v>
      </c>
      <c r="C26" s="193">
        <f>35*'Données projet'!E39+19.4*('Données projet'!F39+'Données projet'!G39)+10*'Données projet'!G39</f>
        <v>27.18</v>
      </c>
      <c r="D26" s="182">
        <f t="shared" si="2"/>
        <v>1331.82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35</v>
      </c>
      <c r="B27" s="181">
        <f>'Données projet'!D40</f>
        <v>49</v>
      </c>
      <c r="C27" s="193">
        <f>35*'Données projet'!E40+19.4*('Données projet'!F40+'Données projet'!G40)+10*'Données projet'!G40</f>
        <v>27.18</v>
      </c>
      <c r="D27" s="182">
        <f t="shared" si="2"/>
        <v>1331.82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40</v>
      </c>
      <c r="B28" s="181">
        <f>'Données projet'!D41</f>
        <v>49</v>
      </c>
      <c r="C28" s="193">
        <f>35*'Données projet'!E41+19.4*('Données projet'!F41+'Données projet'!G41)+10*'Données projet'!G41</f>
        <v>28.240000000000002</v>
      </c>
      <c r="D28" s="182">
        <f t="shared" si="2"/>
        <v>1383.76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45</v>
      </c>
      <c r="B29" s="181">
        <f>'Données projet'!D42</f>
        <v>49</v>
      </c>
      <c r="C29" s="193">
        <f>35*'Données projet'!E42+19.4*('Données projet'!F42+'Données projet'!G42)+10*'Données projet'!G42</f>
        <v>29.4</v>
      </c>
      <c r="D29" s="182">
        <f t="shared" si="2"/>
        <v>1440.6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50</v>
      </c>
      <c r="B30" s="181">
        <f>'Données projet'!D43</f>
        <v>45</v>
      </c>
      <c r="C30" s="193">
        <f>35*'Données projet'!E43+19.4*('Données projet'!F43+'Données projet'!G43)+10*'Données projet'!G43</f>
        <v>29.4</v>
      </c>
      <c r="D30" s="182">
        <f t="shared" si="2"/>
        <v>1323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55</v>
      </c>
      <c r="B31" s="181">
        <f>'Données projet'!D44</f>
        <v>38</v>
      </c>
      <c r="C31" s="193">
        <f>35*'Données projet'!E44+19.4*('Données projet'!F44+'Données projet'!G44)+10*'Données projet'!G44</f>
        <v>30.56</v>
      </c>
      <c r="D31" s="182">
        <f t="shared" si="2"/>
        <v>1161.28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60</v>
      </c>
      <c r="B32" s="181">
        <f>'Données projet'!D45</f>
        <v>33</v>
      </c>
      <c r="C32" s="193">
        <f>35*'Données projet'!E45+19.4*('Données projet'!F45+'Données projet'!G45)+10*'Données projet'!G45</f>
        <v>30.56</v>
      </c>
      <c r="D32" s="182">
        <f t="shared" si="2"/>
        <v>1008.4799999999999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65</v>
      </c>
      <c r="B33" s="181">
        <f>'Données projet'!D46</f>
        <v>29</v>
      </c>
      <c r="C33" s="193">
        <f>35*'Données projet'!E46+19.4*('Données projet'!F46+'Données projet'!G46)+10*'Données projet'!G46</f>
        <v>31.62</v>
      </c>
      <c r="D33" s="182">
        <f t="shared" si="2"/>
        <v>916.98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70</v>
      </c>
      <c r="B34" s="181">
        <f>'Données projet'!D47</f>
        <v>524</v>
      </c>
      <c r="C34" s="193">
        <f>35*'Données projet'!E47+19.4*('Données projet'!F47+'Données projet'!G47)+10*'Données projet'!G47</f>
        <v>31.62</v>
      </c>
      <c r="D34" s="182">
        <f t="shared" si="2"/>
        <v>16568.88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>
        <f>30*'Données projet'!E48+19.4*('Données projet'!F48+'Données projet'!G48)+10*'Données projet'!G48</f>
        <v>0</v>
      </c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>
        <f>30*'Données projet'!E49+19.4*('Données projet'!F49+'Données projet'!G49)+10*'Données projet'!G49</f>
        <v>0</v>
      </c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>
        <f>30*'Données projet'!E50+19.4*('Données projet'!F50+'Données projet'!G50)+10*'Données projet'!G50</f>
        <v>0</v>
      </c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>
        <f>30*'Données projet'!E51+19.4*('Données projet'!F51+'Données projet'!G51)+10*'Données projet'!G51</f>
        <v>0</v>
      </c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>
        <f>30*'Données projet'!E52+19.4*('Données projet'!F52+'Données projet'!G52)+10*'Données projet'!G52</f>
        <v>0</v>
      </c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>
        <f>30*'Données projet'!E53+19.4*('Données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>
        <f>30*'Données projet'!E54+19.4*('Données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30*'Données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>
        <v>2419.33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20</v>
      </c>
      <c r="B54" s="181">
        <f>'Données projet'!D62</f>
        <v>40</v>
      </c>
      <c r="C54" s="191">
        <f>55*'Données projet'!E62+13.8*('Données projet'!F62+'Données projet'!G62)+10*'Données projet'!H62</f>
        <v>13.8</v>
      </c>
      <c r="D54" s="179">
        <f>B54*C54</f>
        <v>552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30</v>
      </c>
      <c r="B55" s="181">
        <f>'Données projet'!D63</f>
        <v>50</v>
      </c>
      <c r="C55" s="191">
        <f>55*'Données projet'!E63+13.8*('Données projet'!F63+'Données projet'!G63)+10*'Données projet'!H63</f>
        <v>23.558</v>
      </c>
      <c r="D55" s="179">
        <f t="shared" ref="D55:D73" si="4">B55*C55</f>
        <v>1177.9000000000001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40</v>
      </c>
      <c r="B56" s="181">
        <f>'Données projet'!D64</f>
        <v>50</v>
      </c>
      <c r="C56" s="191">
        <f>55*'Données projet'!E64+13.8*('Données projet'!F64+'Données projet'!G64)+10*'Données projet'!H64</f>
        <v>26.16</v>
      </c>
      <c r="D56" s="179">
        <f t="shared" si="4"/>
        <v>1308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50</v>
      </c>
      <c r="B57" s="181">
        <f>'Données projet'!D65</f>
        <v>50</v>
      </c>
      <c r="C57" s="191">
        <f>55*'Données projet'!E65+13.8*('Données projet'!F65+'Données projet'!G65)+10*'Données projet'!H65</f>
        <v>30.28</v>
      </c>
      <c r="D57" s="179">
        <f t="shared" si="4"/>
        <v>1514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60</v>
      </c>
      <c r="B58" s="181">
        <f>'Données projet'!D66</f>
        <v>40</v>
      </c>
      <c r="C58" s="191">
        <f>55*'Données projet'!E66+13.8*('Données projet'!F66+'Données projet'!G66)+10*'Données projet'!H66</f>
        <v>34.4</v>
      </c>
      <c r="D58" s="179">
        <f t="shared" si="4"/>
        <v>1376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70</v>
      </c>
      <c r="B59" s="181">
        <f>'Données projet'!D67</f>
        <v>40</v>
      </c>
      <c r="C59" s="191">
        <f>55*'Données projet'!E67+13.8*('Données projet'!F67+'Données projet'!G67)+10*'Données projet'!H67</f>
        <v>38.520000000000003</v>
      </c>
      <c r="D59" s="179">
        <f t="shared" si="4"/>
        <v>1540.8000000000002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80</v>
      </c>
      <c r="B60" s="181">
        <f>'Données projet'!D68</f>
        <v>610</v>
      </c>
      <c r="C60" s="191">
        <f>55*'Données projet'!E68+13.8*('Données projet'!F68+'Données projet'!G68)+10*'Données projet'!H68</f>
        <v>42.64</v>
      </c>
      <c r="D60" s="179">
        <f t="shared" si="4"/>
        <v>26010.400000000001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>
        <f>17.5*'Données projet'!E69+13.8*('Données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>
        <f>17.5*'Données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>
        <f>17.5*'Données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17.5*'Données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17.5*'Données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17.5*'Données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17.5*'Données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17.5*'Données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17.5*'Données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>
        <f>42*'Données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>
        <f>42*'Données projet'!E90+19.4*('Données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>
        <f>42*'Données projet'!E91+19.4*('Données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>
        <f>42*'Données projet'!E92+19.4*('Données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>
        <f>42*'Données projet'!E93+19.4*('Données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>
        <f>42*'Données projet'!E94+19.4*('Données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>
        <f>42*'Données projet'!E95+19.4*('Données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2023-10-05T14:37:46Z</dcterms:modified>
</cp:coreProperties>
</file>