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Auxerre\2023\Bois Pierre\"/>
    </mc:Choice>
  </mc:AlternateContent>
  <xr:revisionPtr revIDLastSave="0" documentId="13_ncr:1_{935E175F-3450-4536-8AED-6FA58F061C58}" xr6:coauthVersionLast="47" xr6:coauthVersionMax="47" xr10:uidLastSave="{00000000-0000-0000-0000-000000000000}"/>
  <bookViews>
    <workbookView xWindow="9360" yWindow="996" windowWidth="10740" windowHeight="11628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D94" i="1" l="1"/>
  <c r="B68" i="1"/>
  <c r="D68" i="1" s="1"/>
  <c r="D4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AH19" i="2" a="1"/>
  <c r="AH1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<sst xmlns="http://schemas.openxmlformats.org/spreadsheetml/2006/main" count="1173" uniqueCount="324">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</sst>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9" fontId="9" fillId="14" borderId="1" xfId="1" applyFont="1" applyFill="1" applyBorder="1" applyAlignment="1" applyProtection="1">
      <alignment horizontal="center" vertical="center"/>
      <protection locked="0"/>
    </xf>
    <xf numFmtId="168" fontId="0" fillId="14" borderId="54" xfId="0" applyNumberForma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1.8729198340143851</c:v>
                </c:pt>
                <c:pt idx="2">
                  <c:v>2.4135479758512086</c:v>
                </c:pt>
                <c:pt idx="3">
                  <c:v>3.1108642363872612</c:v>
                </c:pt>
                <c:pt idx="4">
                  <c:v>4.0104541028705709</c:v>
                </c:pt>
                <c:pt idx="5">
                  <c:v>5.171212505727186</c:v>
                </c:pt>
                <c:pt idx="6">
                  <c:v>6.6692425447473553</c:v>
                </c:pt>
                <c:pt idx="7">
                  <c:v>8.6028997323613137</c:v>
                </c:pt>
                <c:pt idx="8">
                  <c:v>11.099319262358051</c:v>
                </c:pt>
                <c:pt idx="9">
                  <c:v>14.322863505049453</c:v>
                </c:pt>
                <c:pt idx="10">
                  <c:v>18.48605613691273</c:v>
                </c:pt>
                <c:pt idx="11">
                  <c:v>23.863736790004065</c:v>
                </c:pt>
                <c:pt idx="12">
                  <c:v>30.8113872121185</c:v>
                </c:pt>
                <c:pt idx="13">
                  <c:v>39.788861398043373</c:v>
                </c:pt>
                <c:pt idx="14">
                  <c:v>51.391117103362433</c:v>
                </c:pt>
                <c:pt idx="15">
                  <c:v>66.388019391585985</c:v>
                </c:pt>
                <c:pt idx="16">
                  <c:v>85.194768164020218</c:v>
                </c:pt>
                <c:pt idx="17">
                  <c:v>103.89641721710227</c:v>
                </c:pt>
                <c:pt idx="18">
                  <c:v>122.51465441021708</c:v>
                </c:pt>
                <c:pt idx="19">
                  <c:v>141.0639795757377</c:v>
                </c:pt>
                <c:pt idx="20">
                  <c:v>159.55474620160641</c:v>
                </c:pt>
                <c:pt idx="21">
                  <c:v>133.13939943138396</c:v>
                </c:pt>
                <c:pt idx="22">
                  <c:v>156.63870432465208</c:v>
                </c:pt>
                <c:pt idx="23">
                  <c:v>180.05418366507502</c:v>
                </c:pt>
                <c:pt idx="24">
                  <c:v>203.39828527691671</c:v>
                </c:pt>
                <c:pt idx="25">
                  <c:v>226.68035747382177</c:v>
                </c:pt>
                <c:pt idx="26">
                  <c:v>249.9076676355476</c:v>
                </c:pt>
                <c:pt idx="27">
                  <c:v>273.0860202554062</c:v>
                </c:pt>
                <c:pt idx="28">
                  <c:v>296.22015335819344</c:v>
                </c:pt>
                <c:pt idx="29">
                  <c:v>319.31400424598922</c:v>
                </c:pt>
                <c:pt idx="30">
                  <c:v>342.37089418257483</c:v>
                </c:pt>
                <c:pt idx="31">
                  <c:v>248.5851964020159</c:v>
                </c:pt>
                <c:pt idx="32">
                  <c:v>272.24615340699222</c:v>
                </c:pt>
                <c:pt idx="33">
                  <c:v>295.86087296854095</c:v>
                </c:pt>
                <c:pt idx="34">
                  <c:v>319.43356261528817</c:v>
                </c:pt>
                <c:pt idx="35">
                  <c:v>342.96775814565075</c:v>
                </c:pt>
                <c:pt idx="36">
                  <c:v>366.466470577667</c:v>
                </c:pt>
                <c:pt idx="37">
                  <c:v>389.93229339466257</c:v>
                </c:pt>
                <c:pt idx="38">
                  <c:v>413.36748260656083</c:v>
                </c:pt>
                <c:pt idx="39">
                  <c:v>436.77401769885142</c:v>
                </c:pt>
                <c:pt idx="40">
                  <c:v>460.15364883178995</c:v>
                </c:pt>
                <c:pt idx="41">
                  <c:v>364.32078190612714</c:v>
                </c:pt>
                <c:pt idx="42">
                  <c:v>385.05113818847946</c:v>
                </c:pt>
                <c:pt idx="43">
                  <c:v>405.75725330406408</c:v>
                </c:pt>
                <c:pt idx="44">
                  <c:v>426.44053752617054</c:v>
                </c:pt>
                <c:pt idx="45">
                  <c:v>447.10225323882605</c:v>
                </c:pt>
                <c:pt idx="46">
                  <c:v>467.74353670259165</c:v>
                </c:pt>
                <c:pt idx="47">
                  <c:v>488.3654157785586</c:v>
                </c:pt>
                <c:pt idx="48">
                  <c:v>508.96882450341235</c:v>
                </c:pt>
                <c:pt idx="49">
                  <c:v>529.55461518233449</c:v>
                </c:pt>
                <c:pt idx="50">
                  <c:v>550.12356850440324</c:v>
                </c:pt>
                <c:pt idx="51">
                  <c:v>451.61182640363944</c:v>
                </c:pt>
                <c:pt idx="52">
                  <c:v>469.16634705737187</c:v>
                </c:pt>
                <c:pt idx="53">
                  <c:v>486.70687929481687</c:v>
                </c:pt>
                <c:pt idx="54">
                  <c:v>504.2339979485501</c:v>
                </c:pt>
                <c:pt idx="55">
                  <c:v>521.74823465158636</c:v>
                </c:pt>
                <c:pt idx="56">
                  <c:v>539.25008245479557</c:v>
                </c:pt>
                <c:pt idx="57">
                  <c:v>556.73999981392342</c:v>
                </c:pt>
                <c:pt idx="58">
                  <c:v>574.21841404977397</c:v>
                </c:pt>
                <c:pt idx="59">
                  <c:v>591.68572436540137</c:v>
                </c:pt>
                <c:pt idx="60">
                  <c:v>609.14230448868682</c:v>
                </c:pt>
                <c:pt idx="61">
                  <c:v>533.69337715807103</c:v>
                </c:pt>
                <c:pt idx="62">
                  <c:v>547.99650503993337</c:v>
                </c:pt>
                <c:pt idx="63">
                  <c:v>562.29180424199478</c:v>
                </c:pt>
                <c:pt idx="64">
                  <c:v>576.57950175211442</c:v>
                </c:pt>
                <c:pt idx="65">
                  <c:v>590.85981239620548</c:v>
                </c:pt>
                <c:pt idx="66">
                  <c:v>605.13293977416163</c:v>
                </c:pt>
                <c:pt idx="67">
                  <c:v>619.39907710293414</c:v>
                </c:pt>
                <c:pt idx="68">
                  <c:v>633.65840797793805</c:v>
                </c:pt>
                <c:pt idx="69">
                  <c:v>647.91110706239272</c:v>
                </c:pt>
                <c:pt idx="70">
                  <c:v>662.15734071289023</c:v>
                </c:pt>
                <c:pt idx="71">
                  <c:v>601.24096984763185</c:v>
                </c:pt>
                <c:pt idx="72">
                  <c:v>612.2079194949057</c:v>
                </c:pt>
                <c:pt idx="73">
                  <c:v>623.17079450314816</c:v>
                </c:pt>
                <c:pt idx="74">
                  <c:v>634.12967663933784</c:v>
                </c:pt>
                <c:pt idx="75">
                  <c:v>645.08464461462631</c:v>
                </c:pt>
                <c:pt idx="76">
                  <c:v>656.03577424959133</c:v>
                </c:pt>
                <c:pt idx="77">
                  <c:v>666.98313862789018</c:v>
                </c:pt>
                <c:pt idx="78">
                  <c:v>677.92680823930039</c:v>
                </c:pt>
                <c:pt idx="79">
                  <c:v>688.8668511130528</c:v>
                </c:pt>
                <c:pt idx="80">
                  <c:v>699.8033329422542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1.543209846573063</c:v>
                </c:pt>
                <c:pt idx="2">
                  <c:v>1.8931270034990766</c:v>
                </c:pt>
                <c:pt idx="3">
                  <c:v>2.3226972068244187</c:v>
                </c:pt>
                <c:pt idx="4">
                  <c:v>2.8501191400066332</c:v>
                </c:pt>
                <c:pt idx="5">
                  <c:v>3.4977637902213932</c:v>
                </c:pt>
                <c:pt idx="6">
                  <c:v>4.2931340810336343</c:v>
                </c:pt>
                <c:pt idx="7">
                  <c:v>5.2700458763142404</c:v>
                </c:pt>
                <c:pt idx="8">
                  <c:v>6.4700815612336875</c:v>
                </c:pt>
                <c:pt idx="9">
                  <c:v>7.9443792801710416</c:v>
                </c:pt>
                <c:pt idx="10">
                  <c:v>9.7558355450491874</c:v>
                </c:pt>
                <c:pt idx="11">
                  <c:v>11.981816963637812</c:v>
                </c:pt>
                <c:pt idx="12">
                  <c:v>14.717499068398817</c:v>
                </c:pt>
                <c:pt idx="13">
                  <c:v>18.07997763012369</c:v>
                </c:pt>
                <c:pt idx="14">
                  <c:v>22.213331622810383</c:v>
                </c:pt>
                <c:pt idx="15">
                  <c:v>27.294858654442084</c:v>
                </c:pt>
                <c:pt idx="16">
                  <c:v>33.542755027534618</c:v>
                </c:pt>
                <c:pt idx="17">
                  <c:v>41.225575907264208</c:v>
                </c:pt>
                <c:pt idx="18">
                  <c:v>50.673889146538166</c:v>
                </c:pt>
                <c:pt idx="19">
                  <c:v>62.29463259236838</c:v>
                </c:pt>
                <c:pt idx="20">
                  <c:v>76.588803428045381</c:v>
                </c:pt>
                <c:pt idx="21">
                  <c:v>96.748201162142621</c:v>
                </c:pt>
                <c:pt idx="22">
                  <c:v>116.8026363404107</c:v>
                </c:pt>
                <c:pt idx="23">
                  <c:v>136.77275046012139</c:v>
                </c:pt>
                <c:pt idx="24">
                  <c:v>156.67261914934736</c:v>
                </c:pt>
                <c:pt idx="25">
                  <c:v>176.51243283769338</c:v>
                </c:pt>
                <c:pt idx="26">
                  <c:v>196.29989659034709</c:v>
                </c:pt>
                <c:pt idx="27">
                  <c:v>216.04103178653338</c:v>
                </c:pt>
                <c:pt idx="28">
                  <c:v>235.74066784528793</c:v>
                </c:pt>
                <c:pt idx="29">
                  <c:v>255.40276031425742</c:v>
                </c:pt>
                <c:pt idx="30">
                  <c:v>275.03060557796795</c:v>
                </c:pt>
                <c:pt idx="31">
                  <c:v>227.65819966268168</c:v>
                </c:pt>
                <c:pt idx="32">
                  <c:v>248.5768081265179</c:v>
                </c:pt>
                <c:pt idx="33">
                  <c:v>269.45547844836511</c:v>
                </c:pt>
                <c:pt idx="34">
                  <c:v>290.29773958159905</c:v>
                </c:pt>
                <c:pt idx="35">
                  <c:v>311.10657224324092</c:v>
                </c:pt>
                <c:pt idx="36">
                  <c:v>331.88452583698489</c:v>
                </c:pt>
                <c:pt idx="37">
                  <c:v>352.63380452820792</c:v>
                </c:pt>
                <c:pt idx="38">
                  <c:v>373.35633198287354</c:v>
                </c:pt>
                <c:pt idx="39">
                  <c:v>394.05380097365111</c:v>
                </c:pt>
                <c:pt idx="40">
                  <c:v>414.72771201550307</c:v>
                </c:pt>
                <c:pt idx="41">
                  <c:v>333.94015543739573</c:v>
                </c:pt>
                <c:pt idx="42">
                  <c:v>353.66028681516491</c:v>
                </c:pt>
                <c:pt idx="43">
                  <c:v>373.35633198287337</c:v>
                </c:pt>
                <c:pt idx="44">
                  <c:v>393.02973970258654</c:v>
                </c:pt>
                <c:pt idx="45">
                  <c:v>412.68180191993201</c:v>
                </c:pt>
                <c:pt idx="46">
                  <c:v>432.31367755114564</c:v>
                </c:pt>
                <c:pt idx="47">
                  <c:v>451.92641172379848</c:v>
                </c:pt>
                <c:pt idx="48">
                  <c:v>471.5209515036068</c:v>
                </c:pt>
                <c:pt idx="49">
                  <c:v>491.09815887130026</c:v>
                </c:pt>
                <c:pt idx="50">
                  <c:v>510.65882152300293</c:v>
                </c:pt>
                <c:pt idx="51">
                  <c:v>428.32753438228252</c:v>
                </c:pt>
                <c:pt idx="52">
                  <c:v>446.00369113404878</c:v>
                </c:pt>
                <c:pt idx="53">
                  <c:v>463.66485287394136</c:v>
                </c:pt>
                <c:pt idx="54">
                  <c:v>481.31167088067355</c:v>
                </c:pt>
                <c:pt idx="55">
                  <c:v>498.94474480501361</c:v>
                </c:pt>
                <c:pt idx="56">
                  <c:v>516.56462847980106</c:v>
                </c:pt>
                <c:pt idx="57">
                  <c:v>534.17183489626336</c:v>
                </c:pt>
                <c:pt idx="58">
                  <c:v>551.7668404903385</c:v>
                </c:pt>
                <c:pt idx="59">
                  <c:v>569.35008885406353</c:v>
                </c:pt>
                <c:pt idx="60">
                  <c:v>586.92199396486865</c:v>
                </c:pt>
                <c:pt idx="61">
                  <c:v>505.87202351750028</c:v>
                </c:pt>
                <c:pt idx="62">
                  <c:v>521.45111470089739</c:v>
                </c:pt>
                <c:pt idx="63">
                  <c:v>537.02039698297347</c:v>
                </c:pt>
                <c:pt idx="64">
                  <c:v>552.5801946628734</c:v>
                </c:pt>
                <c:pt idx="65">
                  <c:v>568.13081229593536</c:v>
                </c:pt>
                <c:pt idx="66">
                  <c:v>583.67253641440209</c:v>
                </c:pt>
                <c:pt idx="67">
                  <c:v>599.2056370554144</c:v>
                </c:pt>
                <c:pt idx="68">
                  <c:v>614.73036912240661</c:v>
                </c:pt>
                <c:pt idx="69">
                  <c:v>630.24697360189998</c:v>
                </c:pt>
                <c:pt idx="70">
                  <c:v>645.75567865431015</c:v>
                </c:pt>
                <c:pt idx="71">
                  <c:v>580.11801026374542</c:v>
                </c:pt>
                <c:pt idx="72">
                  <c:v>593.62281914234006</c:v>
                </c:pt>
                <c:pt idx="73">
                  <c:v>607.1212365471323</c:v>
                </c:pt>
                <c:pt idx="74">
                  <c:v>620.61342454410953</c:v>
                </c:pt>
                <c:pt idx="75">
                  <c:v>634.09953758126471</c:v>
                </c:pt>
                <c:pt idx="76">
                  <c:v>647.5797230044642</c:v>
                </c:pt>
                <c:pt idx="77">
                  <c:v>661.05412152814836</c:v>
                </c:pt>
                <c:pt idx="78">
                  <c:v>674.52286766568147</c:v>
                </c:pt>
                <c:pt idx="79">
                  <c:v>687.98609012356519</c:v>
                </c:pt>
                <c:pt idx="80">
                  <c:v>701.44391216320446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182.10072116599244</c:v>
                </c:pt>
                <c:pt idx="22">
                  <c:v>204.40159586063615</c:v>
                </c:pt>
                <c:pt idx="23">
                  <c:v>226.64617327952342</c:v>
                </c:pt>
                <c:pt idx="24">
                  <c:v>248.84075611692765</c:v>
                </c:pt>
                <c:pt idx="25">
                  <c:v>270.99042974399362</c:v>
                </c:pt>
                <c:pt idx="26">
                  <c:v>293.09937981445825</c:v>
                </c:pt>
                <c:pt idx="27">
                  <c:v>315.17110877697831</c:v>
                </c:pt>
                <c:pt idx="28">
                  <c:v>337.20858844808726</c:v>
                </c:pt>
                <c:pt idx="29">
                  <c:v>359.21437055941556</c:v>
                </c:pt>
                <c:pt idx="30">
                  <c:v>381.1906687730571</c:v>
                </c:pt>
                <c:pt idx="31">
                  <c:v>261.79785034899129</c:v>
                </c:pt>
                <c:pt idx="32">
                  <c:v>280.73815459645317</c:v>
                </c:pt>
                <c:pt idx="33">
                  <c:v>299.64981878720499</c:v>
                </c:pt>
                <c:pt idx="34">
                  <c:v>318.53490425391584</c:v>
                </c:pt>
                <c:pt idx="35">
                  <c:v>337.39520795625043</c:v>
                </c:pt>
                <c:pt idx="36">
                  <c:v>356.23230957994474</c:v>
                </c:pt>
                <c:pt idx="37">
                  <c:v>375.04760814704065</c:v>
                </c:pt>
                <c:pt idx="38">
                  <c:v>393.84235089269197</c:v>
                </c:pt>
                <c:pt idx="39">
                  <c:v>412.61765634058537</c:v>
                </c:pt>
                <c:pt idx="40">
                  <c:v>431.37453295867743</c:v>
                </c:pt>
                <c:pt idx="41">
                  <c:v>318.16118821698825</c:v>
                </c:pt>
                <c:pt idx="42">
                  <c:v>333.47571872180367</c:v>
                </c:pt>
                <c:pt idx="43">
                  <c:v>348.77475306916625</c:v>
                </c:pt>
                <c:pt idx="44">
                  <c:v>364.05906664989811</c:v>
                </c:pt>
                <c:pt idx="45">
                  <c:v>379.32936443758246</c:v>
                </c:pt>
                <c:pt idx="46">
                  <c:v>394.58629002009144</c:v>
                </c:pt>
                <c:pt idx="47">
                  <c:v>409.83043316117727</c:v>
                </c:pt>
                <c:pt idx="48">
                  <c:v>425.06233617824199</c:v>
                </c:pt>
                <c:pt idx="49">
                  <c:v>440.28249935825096</c:v>
                </c:pt>
                <c:pt idx="50">
                  <c:v>455.49138558575515</c:v>
                </c:pt>
                <c:pt idx="51">
                  <c:v>357.72340809979374</c:v>
                </c:pt>
                <c:pt idx="52">
                  <c:v>369.64735159591163</c:v>
                </c:pt>
                <c:pt idx="53">
                  <c:v>381.56290588111841</c:v>
                </c:pt>
                <c:pt idx="54">
                  <c:v>393.47036990588686</c:v>
                </c:pt>
                <c:pt idx="55">
                  <c:v>405.37002304691237</c:v>
                </c:pt>
                <c:pt idx="56">
                  <c:v>417.26212693788676</c:v>
                </c:pt>
                <c:pt idx="57">
                  <c:v>429.14692708065195</c:v>
                </c:pt>
                <c:pt idx="58">
                  <c:v>441.02465426855321</c:v>
                </c:pt>
                <c:pt idx="59">
                  <c:v>452.89552584845791</c:v>
                </c:pt>
                <c:pt idx="60">
                  <c:v>464.75974684355998</c:v>
                </c:pt>
                <c:pt idx="61">
                  <c:v>386.58733728708853</c:v>
                </c:pt>
                <c:pt idx="62">
                  <c:v>395.70214171866638</c:v>
                </c:pt>
                <c:pt idx="63">
                  <c:v>404.81239742338335</c:v>
                </c:pt>
                <c:pt idx="64">
                  <c:v>413.91822125259881</c:v>
                </c:pt>
                <c:pt idx="65">
                  <c:v>423.01972449465944</c:v>
                </c:pt>
                <c:pt idx="66">
                  <c:v>432.11701325632816</c:v>
                </c:pt>
                <c:pt idx="67">
                  <c:v>441.21018881041033</c:v>
                </c:pt>
                <c:pt idx="68">
                  <c:v>450.29934791321972</c:v>
                </c:pt>
                <c:pt idx="69">
                  <c:v>459.38458309507399</c:v>
                </c:pt>
                <c:pt idx="70">
                  <c:v>468.46598292660593</c:v>
                </c:pt>
                <c:pt idx="71">
                  <c:v>406.67108505050049</c:v>
                </c:pt>
                <c:pt idx="72">
                  <c:v>413.54664028818587</c:v>
                </c:pt>
                <c:pt idx="73">
                  <c:v>420.41972959273056</c:v>
                </c:pt>
                <c:pt idx="74">
                  <c:v>427.29039899318792</c:v>
                </c:pt>
                <c:pt idx="75">
                  <c:v>434.1586929165548</c:v>
                </c:pt>
                <c:pt idx="76">
                  <c:v>441.02465426855321</c:v>
                </c:pt>
                <c:pt idx="77">
                  <c:v>447.88832450911667</c:v>
                </c:pt>
                <c:pt idx="78">
                  <c:v>454.74974372300727</c:v>
                </c:pt>
                <c:pt idx="79">
                  <c:v>461.60895068594567</c:v>
                </c:pt>
                <c:pt idx="80">
                  <c:v>468.4659829266057</c:v>
                </c:pt>
                <c:pt idx="81">
                  <c:v>421.90548322992339</c:v>
                </c:pt>
                <c:pt idx="82">
                  <c:v>427.29039899318786</c:v>
                </c:pt>
                <c:pt idx="83">
                  <c:v>432.67385549047032</c:v>
                </c:pt>
                <c:pt idx="84">
                  <c:v>438.05587345614805</c:v>
                </c:pt>
                <c:pt idx="85">
                  <c:v>443.43647307310084</c:v>
                </c:pt>
                <c:pt idx="86">
                  <c:v>448.81567399404236</c:v>
                </c:pt>
                <c:pt idx="87">
                  <c:v>454.19349536177742</c:v>
                </c:pt>
                <c:pt idx="88">
                  <c:v>459.56995582844655</c:v>
                </c:pt>
                <c:pt idx="89">
                  <c:v>464.94507357382491</c:v>
                </c:pt>
                <c:pt idx="90">
                  <c:v>470.31886632272813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0" t="s">
        <v>291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</row>
    <row r="13" spans="2:13" ht="15" customHeight="1" x14ac:dyDescent="0.3"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</row>
    <row r="14" spans="2:13" ht="15" customHeight="1" x14ac:dyDescent="0.3"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</row>
    <row r="15" spans="2:13" ht="18.75" customHeight="1" x14ac:dyDescent="0.3"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</row>
    <row r="16" spans="2:13" ht="18.75" customHeight="1" x14ac:dyDescent="0.3"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</row>
    <row r="18" spans="2:13" ht="12" customHeight="1" x14ac:dyDescent="0.3">
      <c r="B18" s="260" t="s">
        <v>292</v>
      </c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</row>
    <row r="19" spans="2:13" ht="12" customHeight="1" x14ac:dyDescent="0.3">
      <c r="B19" s="260"/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</row>
    <row r="20" spans="2:13" ht="12" customHeight="1" x14ac:dyDescent="0.3"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</row>
    <row r="21" spans="2:13" ht="12" customHeight="1" x14ac:dyDescent="0.3"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</row>
    <row r="22" spans="2:13" ht="12" customHeight="1" x14ac:dyDescent="0.3"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</row>
    <row r="23" spans="2:13" ht="12" customHeight="1" x14ac:dyDescent="0.3"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</row>
    <row r="24" spans="2:13" ht="12" customHeight="1" x14ac:dyDescent="0.3"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</row>
    <row r="25" spans="2:13" ht="12" customHeight="1" x14ac:dyDescent="0.3"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</row>
    <row r="26" spans="2:13" ht="12" customHeight="1" x14ac:dyDescent="0.3"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</row>
    <row r="27" spans="2:13" ht="12" customHeight="1" x14ac:dyDescent="0.3"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</row>
    <row r="28" spans="2:13" ht="12" customHeight="1" x14ac:dyDescent="0.3"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</row>
    <row r="29" spans="2:13" ht="12" customHeight="1" x14ac:dyDescent="0.3"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</row>
    <row r="30" spans="2:13" ht="12" customHeight="1" x14ac:dyDescent="0.3"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</row>
    <row r="31" spans="2:13" ht="12" customHeight="1" x14ac:dyDescent="0.3"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G22" sqref="G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5" t="s">
        <v>190</v>
      </c>
      <c r="D1" s="265"/>
      <c r="E1" s="26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6" t="s">
        <v>192</v>
      </c>
      <c r="C3" s="267"/>
      <c r="D3" s="267"/>
      <c r="E3" s="267"/>
      <c r="F3" s="268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1" t="s">
        <v>231</v>
      </c>
      <c r="B5" s="271"/>
      <c r="C5" s="24">
        <v>19.98</v>
      </c>
      <c r="D5" s="272" t="s">
        <v>229</v>
      </c>
      <c r="E5" s="273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0" t="s">
        <v>226</v>
      </c>
      <c r="B7" s="270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0.5</v>
      </c>
      <c r="D9" s="33">
        <f t="shared" ref="D9:D18" si="0">C9*$C$5</f>
        <v>9.99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47</v>
      </c>
      <c r="C10" s="32">
        <v>0.25</v>
      </c>
      <c r="D10" s="33">
        <f t="shared" si="0"/>
        <v>4.9950000000000001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35</v>
      </c>
      <c r="C11" s="32">
        <v>0.13</v>
      </c>
      <c r="D11" s="33">
        <f t="shared" si="0"/>
        <v>2.5973999999999999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13</v>
      </c>
      <c r="C12" s="32">
        <v>0.12</v>
      </c>
      <c r="D12" s="33">
        <f t="shared" si="0"/>
        <v>2.3976000000000002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19.98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9" t="s">
        <v>232</v>
      </c>
      <c r="B22" s="269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0" t="s">
        <v>227</v>
      </c>
      <c r="B30" s="270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1" t="s">
        <v>186</v>
      </c>
      <c r="D34" s="261"/>
      <c r="E34" s="262" t="s">
        <v>187</v>
      </c>
      <c r="F34" s="263"/>
      <c r="G34" s="263"/>
      <c r="H34" s="264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15</v>
      </c>
      <c r="B36" s="257">
        <v>52</v>
      </c>
      <c r="C36" s="257"/>
      <c r="D36" s="257">
        <v>0</v>
      </c>
      <c r="E36" s="63"/>
      <c r="F36" s="63"/>
      <c r="G36" s="63"/>
      <c r="H36" s="258"/>
      <c r="I36" s="49">
        <f>IFERROR(B36/A36,"")</f>
        <v>3.4666666666666668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7">
        <v>20</v>
      </c>
      <c r="B37" s="257">
        <v>128</v>
      </c>
      <c r="C37" s="257">
        <v>1</v>
      </c>
      <c r="D37" s="257">
        <v>41</v>
      </c>
      <c r="E37" s="63"/>
      <c r="F37" s="63">
        <v>0.5</v>
      </c>
      <c r="G37" s="63">
        <v>0.5</v>
      </c>
      <c r="H37" s="258"/>
      <c r="I37" s="53">
        <f t="shared" ref="I37:I55" si="1">IF(A37&lt;&gt;0,(B37-(B36-D36))/(A37-A36),"")</f>
        <v>15.2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7">
        <v>30</v>
      </c>
      <c r="B38" s="257">
        <v>280</v>
      </c>
      <c r="C38" s="257">
        <v>2</v>
      </c>
      <c r="D38" s="257">
        <v>98</v>
      </c>
      <c r="E38" s="63">
        <v>0.1</v>
      </c>
      <c r="F38" s="63">
        <v>0.45</v>
      </c>
      <c r="G38" s="63">
        <v>0.45</v>
      </c>
      <c r="H38" s="258"/>
      <c r="I38" s="53">
        <f t="shared" si="1"/>
        <v>19.3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7">
        <v>40</v>
      </c>
      <c r="B39" s="257">
        <v>379</v>
      </c>
      <c r="C39" s="257">
        <v>3</v>
      </c>
      <c r="D39" s="257">
        <v>98</v>
      </c>
      <c r="E39" s="63"/>
      <c r="F39" s="63"/>
      <c r="G39" s="63"/>
      <c r="H39" s="258"/>
      <c r="I39" s="49">
        <f t="shared" si="1"/>
        <v>19.7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7">
        <v>50</v>
      </c>
      <c r="B40" s="257">
        <v>455</v>
      </c>
      <c r="C40" s="257">
        <v>4</v>
      </c>
      <c r="D40" s="257">
        <v>98</v>
      </c>
      <c r="E40" s="63"/>
      <c r="F40" s="63"/>
      <c r="G40" s="63"/>
      <c r="H40" s="258"/>
      <c r="I40" s="49">
        <f t="shared" si="1"/>
        <v>17.399999999999999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7">
        <v>60</v>
      </c>
      <c r="B41" s="257">
        <v>505</v>
      </c>
      <c r="C41" s="257">
        <v>5</v>
      </c>
      <c r="D41" s="257">
        <v>76</v>
      </c>
      <c r="E41" s="63"/>
      <c r="F41" s="63"/>
      <c r="G41" s="63"/>
      <c r="H41" s="258"/>
      <c r="I41" s="53">
        <f t="shared" si="1"/>
        <v>14.8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7">
        <v>70</v>
      </c>
      <c r="B42" s="257">
        <v>550</v>
      </c>
      <c r="C42" s="257">
        <v>6</v>
      </c>
      <c r="D42" s="257">
        <v>61</v>
      </c>
      <c r="E42" s="63"/>
      <c r="F42" s="63"/>
      <c r="G42" s="63"/>
      <c r="H42" s="258"/>
      <c r="I42" s="53">
        <f t="shared" si="1"/>
        <v>12.1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7">
        <v>80</v>
      </c>
      <c r="B43" s="257">
        <v>582</v>
      </c>
      <c r="C43" s="257">
        <v>7</v>
      </c>
      <c r="D43" s="257">
        <f>B43</f>
        <v>582</v>
      </c>
      <c r="E43" s="63"/>
      <c r="F43" s="63"/>
      <c r="G43" s="63"/>
      <c r="H43" s="258"/>
      <c r="I43" s="49">
        <f t="shared" si="1"/>
        <v>9.3000000000000007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Sapin méditerranéen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1" t="s">
        <v>186</v>
      </c>
      <c r="D60" s="261"/>
      <c r="E60" s="262" t="s">
        <v>187</v>
      </c>
      <c r="F60" s="263"/>
      <c r="G60" s="263"/>
      <c r="H60" s="264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55">
        <v>70</v>
      </c>
      <c r="C62" s="55"/>
      <c r="D62" s="55">
        <v>0</v>
      </c>
      <c r="E62" s="51"/>
      <c r="F62" s="51">
        <v>0.5</v>
      </c>
      <c r="G62" s="51">
        <v>0.5</v>
      </c>
      <c r="H62" s="63"/>
      <c r="I62" s="53">
        <f>IFERROR(B62/A62,"")</f>
        <v>3.5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55">
        <v>260</v>
      </c>
      <c r="C63" s="55">
        <v>1</v>
      </c>
      <c r="D63" s="55">
        <v>66</v>
      </c>
      <c r="E63" s="51">
        <v>0.2</v>
      </c>
      <c r="F63" s="51">
        <v>0.4</v>
      </c>
      <c r="G63" s="51">
        <v>0.4</v>
      </c>
      <c r="H63" s="63"/>
      <c r="I63" s="49">
        <f>IF(A63&lt;&gt;0,(B63-(B62-D62))/(A63-A62),"")</f>
        <v>19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55">
        <v>396</v>
      </c>
      <c r="C64" s="55">
        <v>2</v>
      </c>
      <c r="D64" s="55">
        <v>98</v>
      </c>
      <c r="E64" s="51"/>
      <c r="F64" s="51"/>
      <c r="G64" s="51"/>
      <c r="H64" s="63"/>
      <c r="I64" s="49">
        <f>IF(A64&lt;&gt;0,(B64-(B63-D63))/(A64-A63),"")</f>
        <v>20.2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55">
        <v>490</v>
      </c>
      <c r="C65" s="55">
        <v>3</v>
      </c>
      <c r="D65" s="55">
        <v>98</v>
      </c>
      <c r="E65" s="51"/>
      <c r="F65" s="51"/>
      <c r="G65" s="51"/>
      <c r="H65" s="63"/>
      <c r="I65" s="49">
        <f>IF(A65&lt;&gt;0,(B65-(B64-D64))/(A65-A64),"")</f>
        <v>19.2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55">
        <v>565</v>
      </c>
      <c r="C66" s="55">
        <v>4</v>
      </c>
      <c r="D66" s="55">
        <v>95</v>
      </c>
      <c r="E66" s="63"/>
      <c r="F66" s="63"/>
      <c r="G66" s="51"/>
      <c r="H66" s="63"/>
      <c r="I66" s="49">
        <f t="shared" ref="I66:I81" si="2">IF(A66&lt;&gt;0,(B66-(B65-D65))/(A66-A65),"")</f>
        <v>17.3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55">
        <v>623</v>
      </c>
      <c r="C67" s="55">
        <v>5</v>
      </c>
      <c r="D67" s="55">
        <v>78</v>
      </c>
      <c r="E67" s="63"/>
      <c r="F67" s="63"/>
      <c r="G67" s="51"/>
      <c r="H67" s="63"/>
      <c r="I67" s="49">
        <f t="shared" si="2"/>
        <v>15.3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55">
        <f>605+73</f>
        <v>678</v>
      </c>
      <c r="C68" s="55">
        <v>6</v>
      </c>
      <c r="D68" s="55">
        <f>B68</f>
        <v>678</v>
      </c>
      <c r="E68" s="63"/>
      <c r="F68" s="63"/>
      <c r="G68" s="51"/>
      <c r="H68" s="63"/>
      <c r="I68" s="49">
        <f t="shared" si="2"/>
        <v>13.3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1" t="s">
        <v>186</v>
      </c>
      <c r="D86" s="261"/>
      <c r="E86" s="262" t="s">
        <v>187</v>
      </c>
      <c r="F86" s="263"/>
      <c r="G86" s="263"/>
      <c r="H86" s="264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60">
        <v>20</v>
      </c>
      <c r="B88" s="60">
        <v>91</v>
      </c>
      <c r="C88" s="60">
        <v>1</v>
      </c>
      <c r="D88" s="60">
        <v>3</v>
      </c>
      <c r="E88" s="51"/>
      <c r="F88" s="51">
        <v>0.5</v>
      </c>
      <c r="G88" s="51">
        <v>0.5</v>
      </c>
      <c r="H88" s="51"/>
      <c r="I88" s="53">
        <f>IFERROR(B88/A88,"")</f>
        <v>4.55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60">
        <v>30</v>
      </c>
      <c r="B89" s="60">
        <v>218</v>
      </c>
      <c r="C89" s="60">
        <v>2</v>
      </c>
      <c r="D89" s="60">
        <v>70</v>
      </c>
      <c r="E89" s="51"/>
      <c r="F89" s="51">
        <v>0.5</v>
      </c>
      <c r="G89" s="51">
        <v>0.5</v>
      </c>
      <c r="H89" s="51"/>
      <c r="I89" s="53">
        <f t="shared" ref="I89:I107" si="3">IF(A89&lt;&gt;0,(B89-(B88-D88))/(A89-A88),"")</f>
        <v>13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60">
        <v>40</v>
      </c>
      <c r="B90" s="60">
        <v>285</v>
      </c>
      <c r="C90" s="60">
        <v>3</v>
      </c>
      <c r="D90" s="60">
        <v>70</v>
      </c>
      <c r="E90" s="51"/>
      <c r="F90" s="51"/>
      <c r="G90" s="51"/>
      <c r="H90" s="51"/>
      <c r="I90" s="53">
        <f t="shared" si="3"/>
        <v>13.7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60">
        <v>50</v>
      </c>
      <c r="B91" s="60">
        <v>343</v>
      </c>
      <c r="C91" s="60">
        <v>4</v>
      </c>
      <c r="D91" s="60">
        <v>70</v>
      </c>
      <c r="E91" s="51"/>
      <c r="F91" s="51"/>
      <c r="G91" s="51"/>
      <c r="H91" s="51"/>
      <c r="I91" s="53">
        <f t="shared" si="3"/>
        <v>12.8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60">
        <v>60</v>
      </c>
      <c r="B92" s="60">
        <v>387</v>
      </c>
      <c r="C92" s="60">
        <v>5</v>
      </c>
      <c r="D92" s="60">
        <v>57</v>
      </c>
      <c r="E92" s="51"/>
      <c r="F92" s="51"/>
      <c r="G92" s="51"/>
      <c r="H92" s="51"/>
      <c r="I92" s="53">
        <f t="shared" si="3"/>
        <v>11.4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60">
        <v>70</v>
      </c>
      <c r="B93" s="60">
        <v>422</v>
      </c>
      <c r="C93" s="60">
        <v>6</v>
      </c>
      <c r="D93" s="60">
        <v>44</v>
      </c>
      <c r="E93" s="51"/>
      <c r="F93" s="51"/>
      <c r="G93" s="51"/>
      <c r="H93" s="51"/>
      <c r="I93" s="53">
        <f t="shared" si="3"/>
        <v>9.1999999999999993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60">
        <v>80</v>
      </c>
      <c r="B94" s="60">
        <v>450</v>
      </c>
      <c r="C94" s="60">
        <v>7</v>
      </c>
      <c r="D94" s="60">
        <f>B94</f>
        <v>450</v>
      </c>
      <c r="E94" s="51"/>
      <c r="F94" s="51"/>
      <c r="G94" s="51"/>
      <c r="H94" s="51"/>
      <c r="I94" s="53">
        <f t="shared" si="3"/>
        <v>7.2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rouge d'Amérique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1" t="s">
        <v>186</v>
      </c>
      <c r="D112" s="261"/>
      <c r="E112" s="262" t="s">
        <v>187</v>
      </c>
      <c r="F112" s="263"/>
      <c r="G112" s="263"/>
      <c r="H112" s="264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50">
        <v>132</v>
      </c>
      <c r="C114" s="50">
        <v>1</v>
      </c>
      <c r="D114" s="50">
        <v>50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6.6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50">
        <v>200</v>
      </c>
      <c r="C115" s="50">
        <v>2</v>
      </c>
      <c r="D115" s="50">
        <v>74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4">IF(A115&lt;&gt;0,(B115-(B114-D114))/(A115-A114),"")</f>
        <v>11.8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50">
        <v>227</v>
      </c>
      <c r="C116" s="50">
        <v>3</v>
      </c>
      <c r="D116" s="50">
        <v>69</v>
      </c>
      <c r="E116" s="51"/>
      <c r="F116" s="51"/>
      <c r="G116" s="51"/>
      <c r="H116" s="51"/>
      <c r="I116" s="53">
        <f t="shared" si="4"/>
        <v>10.1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50">
        <v>240</v>
      </c>
      <c r="C117" s="50">
        <v>4</v>
      </c>
      <c r="D117" s="50">
        <v>59</v>
      </c>
      <c r="E117" s="51"/>
      <c r="F117" s="51"/>
      <c r="G117" s="51"/>
      <c r="H117" s="51"/>
      <c r="I117" s="53">
        <f t="shared" si="4"/>
        <v>8.1999999999999993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50">
        <v>245</v>
      </c>
      <c r="C118" s="50">
        <v>5</v>
      </c>
      <c r="D118" s="50">
        <v>47</v>
      </c>
      <c r="E118" s="51"/>
      <c r="F118" s="51"/>
      <c r="G118" s="51"/>
      <c r="H118" s="51"/>
      <c r="I118" s="53">
        <f t="shared" si="4"/>
        <v>6.4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50">
        <v>247</v>
      </c>
      <c r="C119" s="50">
        <v>6</v>
      </c>
      <c r="D119" s="50">
        <v>37</v>
      </c>
      <c r="E119" s="51"/>
      <c r="F119" s="51"/>
      <c r="G119" s="51"/>
      <c r="H119" s="51"/>
      <c r="I119" s="53">
        <f t="shared" si="4"/>
        <v>4.9000000000000004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0">
        <v>80</v>
      </c>
      <c r="B120" s="50">
        <v>247</v>
      </c>
      <c r="C120" s="50">
        <v>7</v>
      </c>
      <c r="D120" s="50">
        <v>28</v>
      </c>
      <c r="E120" s="65"/>
      <c r="F120" s="65"/>
      <c r="G120" s="65"/>
      <c r="H120" s="65"/>
      <c r="I120" s="53">
        <f t="shared" si="4"/>
        <v>3.7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0">
        <v>90</v>
      </c>
      <c r="B121" s="50">
        <v>248</v>
      </c>
      <c r="C121" s="50">
        <v>8</v>
      </c>
      <c r="D121" s="50">
        <v>248</v>
      </c>
      <c r="E121" s="54"/>
      <c r="F121" s="54"/>
      <c r="G121" s="54"/>
      <c r="H121" s="54"/>
      <c r="I121" s="53">
        <f t="shared" si="4"/>
        <v>2.9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1" t="s">
        <v>186</v>
      </c>
      <c r="D138" s="261"/>
      <c r="E138" s="262" t="s">
        <v>187</v>
      </c>
      <c r="F138" s="263"/>
      <c r="G138" s="263"/>
      <c r="H138" s="264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1" t="s">
        <v>186</v>
      </c>
      <c r="D164" s="261"/>
      <c r="E164" s="262" t="s">
        <v>187</v>
      </c>
      <c r="F164" s="263"/>
      <c r="G164" s="263"/>
      <c r="H164" s="264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1" t="s">
        <v>186</v>
      </c>
      <c r="D190" s="261"/>
      <c r="E190" s="262" t="s">
        <v>187</v>
      </c>
      <c r="F190" s="263"/>
      <c r="G190" s="263"/>
      <c r="H190" s="264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1" t="s">
        <v>186</v>
      </c>
      <c r="D216" s="261"/>
      <c r="E216" s="262" t="s">
        <v>187</v>
      </c>
      <c r="F216" s="263"/>
      <c r="G216" s="263"/>
      <c r="H216" s="264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1" t="s">
        <v>186</v>
      </c>
      <c r="D242" s="261"/>
      <c r="E242" s="262" t="s">
        <v>187</v>
      </c>
      <c r="F242" s="263"/>
      <c r="G242" s="263"/>
      <c r="H242" s="264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1" t="s">
        <v>186</v>
      </c>
      <c r="D268" s="261"/>
      <c r="E268" s="262" t="s">
        <v>187</v>
      </c>
      <c r="F268" s="263"/>
      <c r="G268" s="263"/>
      <c r="H268" s="264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5" t="s">
        <v>191</v>
      </c>
      <c r="C2" s="276"/>
      <c r="D2" s="276"/>
      <c r="E2" s="276"/>
      <c r="F2" s="276"/>
      <c r="G2" s="277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4"/>
      <c r="C4" s="274"/>
      <c r="D4" s="274"/>
      <c r="E4" s="274"/>
      <c r="F4" s="274"/>
      <c r="G4" s="274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1" t="s">
        <v>176</v>
      </c>
      <c r="C1" s="282"/>
      <c r="D1" s="282"/>
      <c r="E1" s="282"/>
      <c r="F1" s="282"/>
      <c r="G1" s="282"/>
      <c r="H1" s="283"/>
      <c r="I1" s="278" t="str">
        <f>IF('Données projet'!$B$9="","",'Données projet'!$B$9)</f>
        <v>Douglas</v>
      </c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80"/>
      <c r="AD1" s="279" t="str">
        <f>IF('Données projet'!$B$10="","",'Données projet'!$B$10)</f>
        <v>Sapin méditerranéen</v>
      </c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80"/>
      <c r="AY1" s="278" t="str">
        <f>IF('Données projet'!$B$11="","",'Données projet'!$B$11)</f>
        <v>Pin laricio</v>
      </c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80"/>
      <c r="BT1" s="278" t="str">
        <f>IF('Données projet'!$B$12="","",'Données projet'!$B$12)</f>
        <v>Chêne rouge d'Amérique</v>
      </c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80"/>
      <c r="CO1" s="278" t="str">
        <f>IF('Données projet'!$B$13="","",'Données projet'!$B$13)</f>
        <v/>
      </c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80"/>
      <c r="DJ1" s="278" t="str">
        <f>IF('Données projet'!$B$14="","",'Données projet'!$B$14)</f>
        <v/>
      </c>
      <c r="DK1" s="279"/>
      <c r="DL1" s="279"/>
      <c r="DM1" s="279"/>
      <c r="DN1" s="279"/>
      <c r="DO1" s="279"/>
      <c r="DP1" s="279"/>
      <c r="DQ1" s="279"/>
      <c r="DR1" s="279"/>
      <c r="DS1" s="279"/>
      <c r="DT1" s="279"/>
      <c r="DU1" s="279"/>
      <c r="DV1" s="279"/>
      <c r="DW1" s="279"/>
      <c r="DX1" s="279"/>
      <c r="DY1" s="279"/>
      <c r="DZ1" s="279"/>
      <c r="EA1" s="279"/>
      <c r="EB1" s="279"/>
      <c r="EC1" s="279"/>
      <c r="ED1" s="280"/>
      <c r="EE1" s="278" t="str">
        <f>IF('Données projet'!$B$15="","",'Données projet'!$B$15)</f>
        <v/>
      </c>
      <c r="EF1" s="279"/>
      <c r="EG1" s="279"/>
      <c r="EH1" s="279"/>
      <c r="EI1" s="279"/>
      <c r="EJ1" s="279"/>
      <c r="EK1" s="279"/>
      <c r="EL1" s="279"/>
      <c r="EM1" s="279"/>
      <c r="EN1" s="279"/>
      <c r="EO1" s="279"/>
      <c r="EP1" s="279"/>
      <c r="EQ1" s="279"/>
      <c r="ER1" s="279"/>
      <c r="ES1" s="279"/>
      <c r="ET1" s="279"/>
      <c r="EU1" s="279"/>
      <c r="EV1" s="279"/>
      <c r="EW1" s="279"/>
      <c r="EX1" s="279"/>
      <c r="EY1" s="280"/>
      <c r="EZ1" s="278" t="str">
        <f>IF('Données projet'!$B$16="","",'Données projet'!$B$16)</f>
        <v/>
      </c>
      <c r="FA1" s="279"/>
      <c r="FB1" s="279"/>
      <c r="FC1" s="279"/>
      <c r="FD1" s="279"/>
      <c r="FE1" s="279"/>
      <c r="FF1" s="279"/>
      <c r="FG1" s="279"/>
      <c r="FH1" s="279"/>
      <c r="FI1" s="279"/>
      <c r="FJ1" s="279"/>
      <c r="FK1" s="279"/>
      <c r="FL1" s="279"/>
      <c r="FM1" s="279"/>
      <c r="FN1" s="279"/>
      <c r="FO1" s="279"/>
      <c r="FP1" s="279"/>
      <c r="FQ1" s="279"/>
      <c r="FR1" s="279"/>
      <c r="FS1" s="279"/>
      <c r="FT1" s="280"/>
      <c r="FU1" s="278" t="str">
        <f>IF('Données projet'!$B$17="","",'Données projet'!$B$17)</f>
        <v/>
      </c>
      <c r="FV1" s="279"/>
      <c r="FW1" s="279"/>
      <c r="FX1" s="279"/>
      <c r="FY1" s="279"/>
      <c r="FZ1" s="279"/>
      <c r="GA1" s="279"/>
      <c r="GB1" s="279"/>
      <c r="GC1" s="279"/>
      <c r="GD1" s="279"/>
      <c r="GE1" s="279"/>
      <c r="GF1" s="279"/>
      <c r="GG1" s="279"/>
      <c r="GH1" s="279"/>
      <c r="GI1" s="279"/>
      <c r="GJ1" s="279"/>
      <c r="GK1" s="279"/>
      <c r="GL1" s="279"/>
      <c r="GM1" s="279"/>
      <c r="GN1" s="279"/>
      <c r="GO1" s="280"/>
      <c r="GP1" s="278" t="str">
        <f>IF('Données projet'!$B$18="","",'Données projet'!$B$18)</f>
        <v/>
      </c>
      <c r="GQ1" s="279"/>
      <c r="GR1" s="279"/>
      <c r="GS1" s="279"/>
      <c r="GT1" s="279"/>
      <c r="GU1" s="279"/>
      <c r="GV1" s="279"/>
      <c r="GW1" s="279"/>
      <c r="GX1" s="279"/>
      <c r="GY1" s="279"/>
      <c r="GZ1" s="279"/>
      <c r="HA1" s="279"/>
      <c r="HB1" s="279"/>
      <c r="HC1" s="279"/>
      <c r="HD1" s="279"/>
      <c r="HE1" s="279"/>
      <c r="HF1" s="279"/>
      <c r="HG1" s="279"/>
      <c r="HH1" s="279"/>
      <c r="HI1" s="279"/>
      <c r="HJ1" s="280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279.98352834501759</v>
      </c>
      <c r="T3" s="59">
        <f>IF('Données projet'!E9&gt;30,$R$33-$H$33,LOOKUP('Données projet'!$E$9,$A$3:$A$203,R3:R203)-LOOKUP('Données projet'!$E$9,$A$3:$A$203,$H$3:$H$203))</f>
        <v>281.30062655265488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252.30925789500111</v>
      </c>
      <c r="AO3" s="59">
        <f>IF('Données projet'!E10&gt;30,$AM$33-$H$33,LOOKUP('Données projet'!$E$10,$A$3:$A$203,AM3:AM203)-LOOKUP('Données projet'!$E$10,$A$3:$A$203,$H$3:$H$203))</f>
        <v>213.96033794804805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216.94426559495264</v>
      </c>
      <c r="BJ3" s="59">
        <f>IF('Données projet'!E11&gt;30,$BH$33-$H$33,LOOKUP('Données projet'!$E$11,$A$3:$A$203,BH3:BH203)-LOOKUP('Données projet'!$E$11,$A$3:$A$203,$H$3:$H$203))</f>
        <v>225.33715877618704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223.81948236065614</v>
      </c>
      <c r="CE3" s="59">
        <f>IF('Données projet'!E12&gt;30,$CC$33-$H$33,LOOKUP('Données projet'!$E$12,$A$3:$A$203,CC3:CC203)-LOOKUP('Données projet'!$E$12,$A$3:$A$203,$H$3:$H$203))</f>
        <v>320.1204011431372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3.4666666666666668</v>
      </c>
      <c r="N4" s="13">
        <f>IF('Données projet'!$A$36&gt;35,N3+M4-V3,IF(A4&lt;'Données projet'!$A$36,$K$205^A4,IF(A4='Données projet'!$A$36,'Données projet'!$B$36,N3+M4-V3)))</f>
        <v>1.3013682980565777</v>
      </c>
      <c r="O4" s="13">
        <f>N4*VLOOKUP('Données projet'!$B$9,Paramètres!$A$1:$I$89,3,0)*VLOOKUP('Données projet'!$B$9,Paramètres!$A$1:$I$89,5,0)</f>
        <v>0.72746487861362696</v>
      </c>
      <c r="P4" s="13">
        <f>EXP(-1.0587+0.8836*LN(O4)+0.284)</f>
        <v>0.34789579163386686</v>
      </c>
      <c r="Q4" s="20">
        <f t="shared" ref="Q4:Q34" si="2">(O4+P4)*0.475*44/12</f>
        <v>1.8729198340143851</v>
      </c>
      <c r="R4" s="59">
        <f t="shared" si="0"/>
        <v>295.20625316734771</v>
      </c>
      <c r="S4" s="59">
        <f ca="1">AVERAGE(OFFSET($R$3,0,0,'Données projet'!$E$9+1,1))-AVERAGE(OFFSET($H$3,0,0,'Données projet'!$E$9+1,1))</f>
        <v>279.98352834501759</v>
      </c>
      <c r="T4" s="59">
        <f>$T$3</f>
        <v>281.30062655265488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3.5</v>
      </c>
      <c r="AI4" s="13">
        <f>IF('Données projet'!$A$62&gt;35,AI3+AH4-AQ3,IF(A4&lt;'Données projet'!$A$62,$AF$205^A4,IF(A4='Données projet'!$A$62,'Données projet'!$B$62,AI3+AH4-AQ3)))</f>
        <v>1.2366730653835798</v>
      </c>
      <c r="AJ4" s="13">
        <f>AI4*VLOOKUP('Données projet'!$B$10,Paramètres!$A$1:$I$89,3,0)*VLOOKUP('Données projet'!$B$10,Paramètres!$A$1:$I$89,5,0)</f>
        <v>0.59483974444950194</v>
      </c>
      <c r="AK4" s="13">
        <f>EXP(-1.0587+0.8836*LN(AJ4)+0.284)</f>
        <v>0.29121375597522325</v>
      </c>
      <c r="AL4" s="20">
        <f t="shared" ref="AL4:AL67" si="4">(AJ4+AK4)*0.475*44/12</f>
        <v>1.543209846573063</v>
      </c>
      <c r="AM4" s="59">
        <f t="shared" ref="AM4:AM67" si="5">AL4+(AD4+AE4)*44/12</f>
        <v>294.87654317990638</v>
      </c>
      <c r="AN4" s="59">
        <f ca="1">AVERAGE(OFFSET($AM$3,0,0,'Données projet'!$E$10+1,1))-AVERAGE(OFFSET($H$3,0,0,'Données projet'!$E$10+1,1))</f>
        <v>252.30925789500111</v>
      </c>
      <c r="AO4" s="59">
        <f>$AO$3</f>
        <v>213.96033794804805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4.55</v>
      </c>
      <c r="BD4" s="12">
        <f>IF('Données projet'!$A$88&gt;35,BD3+BC4-BL3,IF(A4&lt;'Données projet'!$A$88,$BA$205^A4,IF(A4='Données projet'!$A$88,'Données projet'!$B$88,BD3+BC4-BL3)))</f>
        <v>1.2530028811664373</v>
      </c>
      <c r="BE4" s="13">
        <f>BD4*VLOOKUP('Données projet'!$B$11,Paramètres!$A$1:$I$89,3,0)*VLOOKUP('Données projet'!$B$11,Paramètres!$A$1:$I$89,5,0)</f>
        <v>0.74929572293752955</v>
      </c>
      <c r="BF4" s="13">
        <f>EXP(-1.0587+0.8836*LN(BE4)+0.284)</f>
        <v>0.35710479340754359</v>
      </c>
      <c r="BG4" s="20">
        <f t="shared" ref="BG4:BG67" si="7">(BE4+BF4)*0.475*44/12</f>
        <v>1.9269808993010022</v>
      </c>
      <c r="BH4" s="59">
        <f t="shared" ref="BH4:BH67" si="8">BG4+(AY4+AZ4)*44/12</f>
        <v>295.2603142326343</v>
      </c>
      <c r="BI4" s="59">
        <f ca="1">AVERAGE(OFFSET($BH$3,0,0,'Données projet'!$E$11+1,1))-AVERAGE(OFFSET($H$3,0,0,'Données projet'!$E$11+1,1))</f>
        <v>216.94426559495264</v>
      </c>
      <c r="BJ4" s="59">
        <f>$BJ$3</f>
        <v>225.33715877618704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6.6</v>
      </c>
      <c r="BY4" s="12">
        <f>IF('Données projet'!$A$114&gt;35,BY3+BX4-CG3,IF(A4&lt;'Données projet'!$A$114,$BV$205^A4,IF(A4='Données projet'!$A$114,'Données projet'!$B$114,BY3+BX4-CG3)))</f>
        <v>1.2765231539157764</v>
      </c>
      <c r="BZ4" s="13">
        <f>BY4*VLOOKUP('Données projet'!$B$12,Paramètres!$A$1:$I$89,3,0)*VLOOKUP('Données projet'!$B$12,Paramètres!$A$1:$I$89,5,0)</f>
        <v>1.1151706272608224</v>
      </c>
      <c r="CA4" s="13">
        <f>EXP(-1.0587+0.8836*LN(BZ4)+0.284)</f>
        <v>0.50743784838663863</v>
      </c>
      <c r="CB4" s="20">
        <f t="shared" ref="CB4:CB67" si="10">(BZ4+CA4)*0.475*44/12</f>
        <v>2.8260430950859945</v>
      </c>
      <c r="CC4" s="59">
        <f t="shared" ref="CC4:CC67" si="11">CB4+(BT4+BU4)*44/12</f>
        <v>296.15937642841931</v>
      </c>
      <c r="CD4" s="59">
        <f ca="1">AVERAGE(OFFSET($CC$3,0,0,'Données projet'!$E$12+1,1))-AVERAGE(OFFSET($H$3,0,0,'Données projet'!$E$12+1,1))</f>
        <v>223.81948236065614</v>
      </c>
      <c r="CE4" s="59">
        <f>$CE$3</f>
        <v>320.1204011431372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3.4666666666666668</v>
      </c>
      <c r="N5" s="13">
        <f>IF('Données projet'!$A$36&gt;35,N4+M5-V4,IF(A5&lt;'Données projet'!$A$36,$K$205^A5,IF(A5='Données projet'!$A$36,'Données projet'!$B$36,N4+M5-V4)))</f>
        <v>1.6935594471866737</v>
      </c>
      <c r="O5" s="13">
        <f>N5*VLOOKUP('Données projet'!$B$9,Paramètres!$A$1:$I$89,3,0)*VLOOKUP('Données projet'!$B$9,Paramètres!$A$1:$I$89,5,0)</f>
        <v>0.94669973097735072</v>
      </c>
      <c r="P5" s="13">
        <f t="shared" ref="P5:P68" si="33">EXP(-1.0587+0.8836*LN(O5)+0.284)</f>
        <v>0.43906944176018564</v>
      </c>
      <c r="Q5" s="20">
        <f t="shared" si="2"/>
        <v>2.4135479758512086</v>
      </c>
      <c r="R5" s="59">
        <f t="shared" si="0"/>
        <v>295.74688130918452</v>
      </c>
      <c r="S5" s="59">
        <f ca="1">AVERAGE(OFFSET($R$3,0,0,'Données projet'!$E$9+1,1))-AVERAGE(OFFSET($H$3,0,0,'Données projet'!$E$9+1,1))</f>
        <v>279.98352834501759</v>
      </c>
      <c r="T5" s="59">
        <f t="shared" ref="T5:T68" si="34">$T$3</f>
        <v>281.30062655265488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3.5</v>
      </c>
      <c r="AI5" s="13">
        <f>IF('Données projet'!$A$62&gt;35,AI4+AH5-AQ4,IF(A5&lt;'Données projet'!$A$62,$AF$205^A5,IF(A5='Données projet'!$A$62,'Données projet'!$B$62,AI4+AH5-AQ4)))</f>
        <v>1.5293602706452198</v>
      </c>
      <c r="AJ5" s="13">
        <f>AI5*VLOOKUP('Données projet'!$B$10,Paramètres!$A$1:$I$89,3,0)*VLOOKUP('Données projet'!$B$10,Paramètres!$A$1:$I$89,5,0)</f>
        <v>0.73562229018035075</v>
      </c>
      <c r="AK5" s="13">
        <f t="shared" ref="AK5:AK68" si="35">EXP(-1.0587+0.8836*LN(AJ5)+0.284)</f>
        <v>0.35134058264208584</v>
      </c>
      <c r="AL5" s="20">
        <f t="shared" si="4"/>
        <v>1.8931270034990766</v>
      </c>
      <c r="AM5" s="59">
        <f t="shared" si="5"/>
        <v>295.22646033683242</v>
      </c>
      <c r="AN5" s="59">
        <f ca="1">AVERAGE(OFFSET($AM$3,0,0,'Données projet'!$E$10+1,1))-AVERAGE(OFFSET($H$3,0,0,'Données projet'!$E$10+1,1))</f>
        <v>252.30925789500111</v>
      </c>
      <c r="AO5" s="59">
        <f t="shared" ref="AO5:AO68" si="36">$AO$3</f>
        <v>213.96033794804805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4.55</v>
      </c>
      <c r="BD5" s="12">
        <f>IF('Données projet'!$A$88&gt;35,BD4+BC5-BL4,IF(A5&lt;'Données projet'!$A$88,$BA$205^A5,IF(A5='Données projet'!$A$88,'Données projet'!$B$88,BD4+BC5-BL4)))</f>
        <v>1.570016220211393</v>
      </c>
      <c r="BE5" s="13">
        <f>BD5*VLOOKUP('Données projet'!$B$11,Paramètres!$A$1:$I$89,3,0)*VLOOKUP('Données projet'!$B$11,Paramètres!$A$1:$I$89,5,0)</f>
        <v>0.9388696996864131</v>
      </c>
      <c r="BF5" s="13">
        <f t="shared" ref="BF5:BF68" si="37">EXP(-1.0587+0.8836*LN(BE5)+0.284)</f>
        <v>0.43585911075604999</v>
      </c>
      <c r="BG5" s="20">
        <f t="shared" si="7"/>
        <v>2.3943193448539568</v>
      </c>
      <c r="BH5" s="59">
        <f t="shared" si="8"/>
        <v>295.72765267818727</v>
      </c>
      <c r="BI5" s="59">
        <f ca="1">AVERAGE(OFFSET($BH$3,0,0,'Données projet'!$E$11+1,1))-AVERAGE(OFFSET($H$3,0,0,'Données projet'!$E$11+1,1))</f>
        <v>216.94426559495264</v>
      </c>
      <c r="BJ5" s="59">
        <f t="shared" ref="BJ5:BJ68" si="38">$BJ$3</f>
        <v>225.33715877618704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6.6</v>
      </c>
      <c r="BY5" s="12">
        <f>IF('Données projet'!$A$114&gt;35,BY4+BX5-CG4,IF(A5&lt;'Données projet'!$A$114,$BV$205^A5,IF(A5='Données projet'!$A$114,'Données projet'!$B$114,BY4+BX5-CG4)))</f>
        <v>1.629511362483081</v>
      </c>
      <c r="BZ5" s="13">
        <f>BY5*VLOOKUP('Données projet'!$B$12,Paramètres!$A$1:$I$89,3,0)*VLOOKUP('Données projet'!$B$12,Paramètres!$A$1:$I$89,5,0)</f>
        <v>1.4235411262652198</v>
      </c>
      <c r="CA5" s="13">
        <f t="shared" ref="CA5:CA68" si="39">EXP(-1.0587+0.8836*LN(BZ5)+0.284)</f>
        <v>0.62960738463416654</v>
      </c>
      <c r="CB5" s="20">
        <f t="shared" si="10"/>
        <v>3.5759003231497637</v>
      </c>
      <c r="CC5" s="59">
        <f t="shared" si="11"/>
        <v>296.90923365648308</v>
      </c>
      <c r="CD5" s="59">
        <f ca="1">AVERAGE(OFFSET($CC$3,0,0,'Données projet'!$E$12+1,1))-AVERAGE(OFFSET($H$3,0,0,'Données projet'!$E$12+1,1))</f>
        <v>223.81948236065614</v>
      </c>
      <c r="CE5" s="59">
        <f t="shared" ref="CE5:CE68" si="40">$CE$3</f>
        <v>320.1204011431372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3.4666666666666668</v>
      </c>
      <c r="N6" s="13">
        <f>IF('Données projet'!$A$36&gt;35,N5+M6-V5,IF(A6&lt;'Données projet'!$A$36,$K$205^A6,IF(A6='Données projet'!$A$36,'Données projet'!$B$36,N5+M6-V5)))</f>
        <v>2.2039445754429603</v>
      </c>
      <c r="O6" s="13">
        <f>N6*VLOOKUP('Données projet'!$B$9,Paramètres!$A$1:$I$89,3,0)*VLOOKUP('Données projet'!$B$9,Paramètres!$A$1:$I$89,5,0)</f>
        <v>1.2320050176726147</v>
      </c>
      <c r="P6" s="13">
        <f t="shared" si="33"/>
        <v>0.55413712762150624</v>
      </c>
      <c r="Q6" s="20">
        <f t="shared" si="2"/>
        <v>3.1108642363872612</v>
      </c>
      <c r="R6" s="59">
        <f t="shared" si="0"/>
        <v>296.44419756972059</v>
      </c>
      <c r="S6" s="59">
        <f ca="1">AVERAGE(OFFSET($R$3,0,0,'Données projet'!$E$9+1,1))-AVERAGE(OFFSET($H$3,0,0,'Données projet'!$E$9+1,1))</f>
        <v>279.98352834501759</v>
      </c>
      <c r="T6" s="59">
        <f t="shared" si="34"/>
        <v>281.30062655265488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3.5</v>
      </c>
      <c r="AI6" s="13">
        <f>IF('Données projet'!$A$62&gt;35,AI5+AH6-AQ5,IF(A6&lt;'Données projet'!$A$62,$AF$205^A6,IF(A6='Données projet'!$A$62,'Données projet'!$B$62,AI5+AH6-AQ5)))</f>
        <v>1.8913186539746853</v>
      </c>
      <c r="AJ6" s="13">
        <f>AI6*VLOOKUP('Données projet'!$B$10,Paramètres!$A$1:$I$89,3,0)*VLOOKUP('Données projet'!$B$10,Paramètres!$A$1:$I$89,5,0)</f>
        <v>0.90972427256182364</v>
      </c>
      <c r="AK6" s="13">
        <f t="shared" si="35"/>
        <v>0.42388177920339304</v>
      </c>
      <c r="AL6" s="20">
        <f t="shared" si="4"/>
        <v>2.3226972068244187</v>
      </c>
      <c r="AM6" s="59">
        <f t="shared" si="5"/>
        <v>295.65603054015776</v>
      </c>
      <c r="AN6" s="59">
        <f ca="1">AVERAGE(OFFSET($AM$3,0,0,'Données projet'!$E$10+1,1))-AVERAGE(OFFSET($H$3,0,0,'Données projet'!$E$10+1,1))</f>
        <v>252.30925789500111</v>
      </c>
      <c r="AO6" s="59">
        <f t="shared" si="36"/>
        <v>213.96033794804805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4.55</v>
      </c>
      <c r="BD6" s="12">
        <f>IF('Données projet'!$A$88&gt;35,BD5+BC6-BL5,IF(A6&lt;'Données projet'!$A$88,$BA$205^A6,IF(A6='Données projet'!$A$88,'Données projet'!$B$88,BD5+BC6-BL5)))</f>
        <v>1.9672348474029151</v>
      </c>
      <c r="BE6" s="13">
        <f>BD6*VLOOKUP('Données projet'!$B$11,Paramètres!$A$1:$I$89,3,0)*VLOOKUP('Données projet'!$B$11,Paramètres!$A$1:$I$89,5,0)</f>
        <v>1.1764064387469433</v>
      </c>
      <c r="BF6" s="13">
        <f t="shared" si="37"/>
        <v>0.53198155817597481</v>
      </c>
      <c r="BG6" s="20">
        <f t="shared" si="7"/>
        <v>2.9754424279740825</v>
      </c>
      <c r="BH6" s="59">
        <f t="shared" si="8"/>
        <v>296.3087757613074</v>
      </c>
      <c r="BI6" s="59">
        <f ca="1">AVERAGE(OFFSET($BH$3,0,0,'Données projet'!$E$11+1,1))-AVERAGE(OFFSET($H$3,0,0,'Données projet'!$E$11+1,1))</f>
        <v>216.94426559495264</v>
      </c>
      <c r="BJ6" s="59">
        <f t="shared" si="38"/>
        <v>225.33715877618704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6.6</v>
      </c>
      <c r="BY6" s="12">
        <f>IF('Données projet'!$A$114&gt;35,BY5+BX6-CG5,IF(A6&lt;'Données projet'!$A$114,$BV$205^A6,IF(A6='Données projet'!$A$114,'Données projet'!$B$114,BY5+BX6-CG5)))</f>
        <v>2.0801089837784965</v>
      </c>
      <c r="BZ6" s="13">
        <f>BY6*VLOOKUP('Données projet'!$B$12,Paramètres!$A$1:$I$89,3,0)*VLOOKUP('Données projet'!$B$12,Paramètres!$A$1:$I$89,5,0)</f>
        <v>1.8171832082288948</v>
      </c>
      <c r="CA6" s="13">
        <f t="shared" si="39"/>
        <v>0.7811901694881791</v>
      </c>
      <c r="CB6" s="20">
        <f t="shared" si="10"/>
        <v>4.5255002995239044</v>
      </c>
      <c r="CC6" s="59">
        <f t="shared" si="11"/>
        <v>297.85883363285723</v>
      </c>
      <c r="CD6" s="59">
        <f ca="1">AVERAGE(OFFSET($CC$3,0,0,'Données projet'!$E$12+1,1))-AVERAGE(OFFSET($H$3,0,0,'Données projet'!$E$12+1,1))</f>
        <v>223.81948236065614</v>
      </c>
      <c r="CE6" s="59">
        <f t="shared" si="40"/>
        <v>320.1204011431372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3.4666666666666668</v>
      </c>
      <c r="N7" s="13">
        <f>IF('Données projet'!$A$36&gt;35,N6+M7-V6,IF(A7&lt;'Données projet'!$A$36,$K$205^A7,IF(A7='Données projet'!$A$36,'Données projet'!$B$36,N6+M7-V6)))</f>
        <v>2.8681436011552317</v>
      </c>
      <c r="O7" s="13">
        <f>N7*VLOOKUP('Données projet'!$B$9,Paramètres!$A$1:$I$89,3,0)*VLOOKUP('Données projet'!$B$9,Paramètres!$A$1:$I$89,5,0)</f>
        <v>1.6032922730457746</v>
      </c>
      <c r="P7" s="13">
        <f t="shared" si="33"/>
        <v>0.69936080037273529</v>
      </c>
      <c r="Q7" s="20">
        <f t="shared" si="2"/>
        <v>4.0104541028705709</v>
      </c>
      <c r="R7" s="59">
        <f t="shared" si="0"/>
        <v>297.34378743620391</v>
      </c>
      <c r="S7" s="59">
        <f ca="1">AVERAGE(OFFSET($R$3,0,0,'Données projet'!$E$9+1,1))-AVERAGE(OFFSET($H$3,0,0,'Données projet'!$E$9+1,1))</f>
        <v>279.98352834501759</v>
      </c>
      <c r="T7" s="59">
        <f t="shared" si="34"/>
        <v>281.30062655265488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3.5</v>
      </c>
      <c r="AI7" s="13">
        <f>IF('Données projet'!$A$62&gt;35,AI6+AH7-AQ6,IF(A7&lt;'Données projet'!$A$62,$AF$205^A7,IF(A7='Données projet'!$A$62,'Données projet'!$B$62,AI6+AH7-AQ6)))</f>
        <v>2.3389428374280201</v>
      </c>
      <c r="AJ7" s="13">
        <f>AI7*VLOOKUP('Données projet'!$B$10,Paramètres!$A$1:$I$89,3,0)*VLOOKUP('Données projet'!$B$10,Paramètres!$A$1:$I$89,5,0)</f>
        <v>1.1250315048028776</v>
      </c>
      <c r="AK7" s="13">
        <f t="shared" si="35"/>
        <v>0.51140053730619417</v>
      </c>
      <c r="AL7" s="20">
        <f t="shared" si="4"/>
        <v>2.8501191400066332</v>
      </c>
      <c r="AM7" s="59">
        <f t="shared" si="5"/>
        <v>296.18345247333997</v>
      </c>
      <c r="AN7" s="59">
        <f ca="1">AVERAGE(OFFSET($AM$3,0,0,'Données projet'!$E$10+1,1))-AVERAGE(OFFSET($H$3,0,0,'Données projet'!$E$10+1,1))</f>
        <v>252.30925789500111</v>
      </c>
      <c r="AO7" s="59">
        <f t="shared" si="36"/>
        <v>213.96033794804805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4.55</v>
      </c>
      <c r="BD7" s="12">
        <f>IF('Données projet'!$A$88&gt;35,BD6+BC7-BL6,IF(A7&lt;'Données projet'!$A$88,$BA$205^A7,IF(A7='Données projet'!$A$88,'Données projet'!$B$88,BD6+BC7-BL6)))</f>
        <v>2.4649509317268694</v>
      </c>
      <c r="BE7" s="13">
        <f>BD7*VLOOKUP('Données projet'!$B$11,Paramètres!$A$1:$I$89,3,0)*VLOOKUP('Données projet'!$B$11,Paramètres!$A$1:$I$89,5,0)</f>
        <v>1.4740406571726681</v>
      </c>
      <c r="BF7" s="13">
        <f t="shared" si="37"/>
        <v>0.64930242653052039</v>
      </c>
      <c r="BG7" s="20">
        <f t="shared" si="7"/>
        <v>3.6981558707830531</v>
      </c>
      <c r="BH7" s="59">
        <f t="shared" si="8"/>
        <v>297.03148920411638</v>
      </c>
      <c r="BI7" s="59">
        <f ca="1">AVERAGE(OFFSET($BH$3,0,0,'Données projet'!$E$11+1,1))-AVERAGE(OFFSET($H$3,0,0,'Données projet'!$E$11+1,1))</f>
        <v>216.94426559495264</v>
      </c>
      <c r="BJ7" s="59">
        <f t="shared" si="38"/>
        <v>225.33715877618704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6.6</v>
      </c>
      <c r="BY7" s="12">
        <f>IF('Données projet'!$A$114&gt;35,BY6+BX7-CG6,IF(A7&lt;'Données projet'!$A$114,$BV$205^A7,IF(A7='Données projet'!$A$114,'Données projet'!$B$114,BY6+BX7-CG6)))</f>
        <v>2.655307280461467</v>
      </c>
      <c r="BZ7" s="13">
        <f>BY7*VLOOKUP('Données projet'!$B$12,Paramètres!$A$1:$I$89,3,0)*VLOOKUP('Données projet'!$B$12,Paramètres!$A$1:$I$89,5,0)</f>
        <v>2.3196764402111376</v>
      </c>
      <c r="CA7" s="13">
        <f t="shared" si="39"/>
        <v>0.96926766711854973</v>
      </c>
      <c r="CB7" s="20">
        <f t="shared" si="10"/>
        <v>5.7282443202658717</v>
      </c>
      <c r="CC7" s="59">
        <f t="shared" si="11"/>
        <v>299.06157765359916</v>
      </c>
      <c r="CD7" s="59">
        <f ca="1">AVERAGE(OFFSET($CC$3,0,0,'Données projet'!$E$12+1,1))-AVERAGE(OFFSET($H$3,0,0,'Données projet'!$E$12+1,1))</f>
        <v>223.81948236065614</v>
      </c>
      <c r="CE7" s="59">
        <f t="shared" si="40"/>
        <v>320.1204011431372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3.4666666666666668</v>
      </c>
      <c r="N8" s="13">
        <f>IF('Données projet'!$A$36&gt;35,N7+M8-V7,IF(A8&lt;'Données projet'!$A$36,$K$205^A8,IF(A8='Données projet'!$A$36,'Données projet'!$B$36,N7+M8-V7)))</f>
        <v>3.7325111568172478</v>
      </c>
      <c r="O8" s="13">
        <f>N8*VLOOKUP('Données projet'!$B$9,Paramètres!$A$1:$I$89,3,0)*VLOOKUP('Données projet'!$B$9,Paramètres!$A$1:$I$89,5,0)</f>
        <v>2.0864737366608415</v>
      </c>
      <c r="P8" s="13">
        <f t="shared" si="33"/>
        <v>0.88264349150787802</v>
      </c>
      <c r="Q8" s="20">
        <f t="shared" si="2"/>
        <v>5.171212505727186</v>
      </c>
      <c r="R8" s="59">
        <f t="shared" si="0"/>
        <v>298.50454583906048</v>
      </c>
      <c r="S8" s="59">
        <f ca="1">AVERAGE(OFFSET($R$3,0,0,'Données projet'!$E$9+1,1))-AVERAGE(OFFSET($H$3,0,0,'Données projet'!$E$9+1,1))</f>
        <v>279.98352834501759</v>
      </c>
      <c r="T8" s="59">
        <f t="shared" si="34"/>
        <v>281.30062655265488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3.5</v>
      </c>
      <c r="AI8" s="13">
        <f>IF('Données projet'!$A$62&gt;35,AI7+AH8-AQ7,IF(A8&lt;'Données projet'!$A$62,$AF$205^A8,IF(A8='Données projet'!$A$62,'Données projet'!$B$62,AI7+AH8-AQ7)))</f>
        <v>2.8925076085190775</v>
      </c>
      <c r="AJ8" s="13">
        <f>AI8*VLOOKUP('Données projet'!$B$10,Paramètres!$A$1:$I$89,3,0)*VLOOKUP('Données projet'!$B$10,Paramètres!$A$1:$I$89,5,0)</f>
        <v>1.3912961596976763</v>
      </c>
      <c r="AK8" s="13">
        <f t="shared" si="35"/>
        <v>0.61698927009451099</v>
      </c>
      <c r="AL8" s="20">
        <f t="shared" si="4"/>
        <v>3.4977637902213932</v>
      </c>
      <c r="AM8" s="59">
        <f t="shared" si="5"/>
        <v>296.83109712355468</v>
      </c>
      <c r="AN8" s="59">
        <f ca="1">AVERAGE(OFFSET($AM$3,0,0,'Données projet'!$E$10+1,1))-AVERAGE(OFFSET($H$3,0,0,'Données projet'!$E$10+1,1))</f>
        <v>252.30925789500111</v>
      </c>
      <c r="AO8" s="59">
        <f t="shared" si="36"/>
        <v>213.96033794804805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4.55</v>
      </c>
      <c r="BD8" s="12">
        <f>IF('Données projet'!$A$88&gt;35,BD7+BC8-BL7,IF(A8&lt;'Données projet'!$A$88,$BA$205^A8,IF(A8='Données projet'!$A$88,'Données projet'!$B$88,BD7+BC8-BL7)))</f>
        <v>3.0885906193876616</v>
      </c>
      <c r="BE8" s="13">
        <f>BD8*VLOOKUP('Données projet'!$B$11,Paramètres!$A$1:$I$89,3,0)*VLOOKUP('Données projet'!$B$11,Paramètres!$A$1:$I$89,5,0)</f>
        <v>1.8469771903938217</v>
      </c>
      <c r="BF8" s="13">
        <f t="shared" si="37"/>
        <v>0.79249672214945899</v>
      </c>
      <c r="BG8" s="20">
        <f t="shared" si="7"/>
        <v>4.59708373101288</v>
      </c>
      <c r="BH8" s="59">
        <f t="shared" si="8"/>
        <v>297.93041706434622</v>
      </c>
      <c r="BI8" s="59">
        <f ca="1">AVERAGE(OFFSET($BH$3,0,0,'Données projet'!$E$11+1,1))-AVERAGE(OFFSET($H$3,0,0,'Données projet'!$E$11+1,1))</f>
        <v>216.94426559495264</v>
      </c>
      <c r="BJ8" s="59">
        <f t="shared" si="38"/>
        <v>225.33715877618704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6.6</v>
      </c>
      <c r="BY8" s="12">
        <f>IF('Données projet'!$A$114&gt;35,BY7+BX8-CG7,IF(A8&lt;'Données projet'!$A$114,$BV$205^A8,IF(A8='Données projet'!$A$114,'Données projet'!$B$114,BY7+BX8-CG7)))</f>
        <v>3.3895612242701949</v>
      </c>
      <c r="BZ8" s="13">
        <f>BY8*VLOOKUP('Données projet'!$B$12,Paramètres!$A$1:$I$89,3,0)*VLOOKUP('Données projet'!$B$12,Paramètres!$A$1:$I$89,5,0)</f>
        <v>2.9611206855224426</v>
      </c>
      <c r="CA8" s="13">
        <f t="shared" si="39"/>
        <v>1.2026262582604759</v>
      </c>
      <c r="CB8" s="20">
        <f t="shared" si="10"/>
        <v>7.2518592604219156</v>
      </c>
      <c r="CC8" s="59">
        <f t="shared" si="11"/>
        <v>300.58519259375521</v>
      </c>
      <c r="CD8" s="59">
        <f ca="1">AVERAGE(OFFSET($CC$3,0,0,'Données projet'!$E$12+1,1))-AVERAGE(OFFSET($H$3,0,0,'Données projet'!$E$12+1,1))</f>
        <v>223.81948236065614</v>
      </c>
      <c r="CE8" s="59">
        <f t="shared" si="40"/>
        <v>320.1204011431372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3.4666666666666668</v>
      </c>
      <c r="N9" s="13">
        <f>IF('Données projet'!$A$36&gt;35,N8+M9-V8,IF(A9&lt;'Données projet'!$A$36,$K$205^A9,IF(A9='Données projet'!$A$36,'Données projet'!$B$36,N8+M9-V8)))</f>
        <v>4.8573716916244498</v>
      </c>
      <c r="O9" s="13">
        <f>N9*VLOOKUP('Données projet'!$B$9,Paramètres!$A$1:$I$89,3,0)*VLOOKUP('Données projet'!$B$9,Paramètres!$A$1:$I$89,5,0)</f>
        <v>2.7152707756180678</v>
      </c>
      <c r="P9" s="13">
        <f t="shared" si="33"/>
        <v>1.1139593936148635</v>
      </c>
      <c r="Q9" s="20">
        <f t="shared" si="2"/>
        <v>6.6692425447473553</v>
      </c>
      <c r="R9" s="59">
        <f t="shared" si="0"/>
        <v>300.00257587808068</v>
      </c>
      <c r="S9" s="59">
        <f ca="1">AVERAGE(OFFSET($R$3,0,0,'Données projet'!$E$9+1,1))-AVERAGE(OFFSET($H$3,0,0,'Données projet'!$E$9+1,1))</f>
        <v>279.98352834501759</v>
      </c>
      <c r="T9" s="59">
        <f t="shared" si="34"/>
        <v>281.30062655265488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3.5</v>
      </c>
      <c r="AI9" s="13">
        <f>IF('Données projet'!$A$62&gt;35,AI8+AH9-AQ8,IF(A9&lt;'Données projet'!$A$62,$AF$205^A9,IF(A9='Données projet'!$A$62,'Données projet'!$B$62,AI8+AH9-AQ8)))</f>
        <v>3.5770862508726151</v>
      </c>
      <c r="AJ9" s="13">
        <f>AI9*VLOOKUP('Données projet'!$B$10,Paramètres!$A$1:$I$89,3,0)*VLOOKUP('Données projet'!$B$10,Paramètres!$A$1:$I$89,5,0)</f>
        <v>1.720578486669728</v>
      </c>
      <c r="AK9" s="13">
        <f t="shared" si="35"/>
        <v>0.74437888043092337</v>
      </c>
      <c r="AL9" s="20">
        <f t="shared" si="4"/>
        <v>4.2931340810336343</v>
      </c>
      <c r="AM9" s="59">
        <f t="shared" si="5"/>
        <v>297.62646741436697</v>
      </c>
      <c r="AN9" s="59">
        <f ca="1">AVERAGE(OFFSET($AM$3,0,0,'Données projet'!$E$10+1,1))-AVERAGE(OFFSET($H$3,0,0,'Données projet'!$E$10+1,1))</f>
        <v>252.30925789500111</v>
      </c>
      <c r="AO9" s="59">
        <f t="shared" si="36"/>
        <v>213.96033794804805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4.55</v>
      </c>
      <c r="BD9" s="12">
        <f>IF('Données projet'!$A$88&gt;35,BD8+BC9-BL8,IF(A9&lt;'Données projet'!$A$88,$BA$205^A9,IF(A9='Données projet'!$A$88,'Données projet'!$B$88,BD8+BC9-BL8)))</f>
        <v>3.8700129448363709</v>
      </c>
      <c r="BE9" s="13">
        <f>BD9*VLOOKUP('Données projet'!$B$11,Paramètres!$A$1:$I$89,3,0)*VLOOKUP('Données projet'!$B$11,Paramètres!$A$1:$I$89,5,0)</f>
        <v>2.3142677410121499</v>
      </c>
      <c r="BF9" s="13">
        <f t="shared" si="37"/>
        <v>0.96727045665540168</v>
      </c>
      <c r="BG9" s="20">
        <f t="shared" si="7"/>
        <v>5.7153456942709857</v>
      </c>
      <c r="BH9" s="59">
        <f t="shared" si="8"/>
        <v>299.04867902760429</v>
      </c>
      <c r="BI9" s="59">
        <f ca="1">AVERAGE(OFFSET($BH$3,0,0,'Données projet'!$E$11+1,1))-AVERAGE(OFFSET($H$3,0,0,'Données projet'!$E$11+1,1))</f>
        <v>216.94426559495264</v>
      </c>
      <c r="BJ9" s="59">
        <f t="shared" si="38"/>
        <v>225.33715877618704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6.6</v>
      </c>
      <c r="BY9" s="12">
        <f>IF('Données projet'!$A$114&gt;35,BY8+BX9-CG8,IF(A9&lt;'Données projet'!$A$114,$BV$205^A9,IF(A9='Données projet'!$A$114,'Données projet'!$B$114,BY8+BX9-CG8)))</f>
        <v>4.32685338439601</v>
      </c>
      <c r="BZ9" s="13">
        <f>BY9*VLOOKUP('Données projet'!$B$12,Paramètres!$A$1:$I$89,3,0)*VLOOKUP('Données projet'!$B$12,Paramètres!$A$1:$I$89,5,0)</f>
        <v>3.7799391166083551</v>
      </c>
      <c r="CA9" s="13">
        <f t="shared" si="39"/>
        <v>1.4921677118944865</v>
      </c>
      <c r="CB9" s="20">
        <f t="shared" si="10"/>
        <v>9.1822527263091143</v>
      </c>
      <c r="CC9" s="59">
        <f t="shared" si="11"/>
        <v>302.51558605964243</v>
      </c>
      <c r="CD9" s="59">
        <f ca="1">AVERAGE(OFFSET($CC$3,0,0,'Données projet'!$E$12+1,1))-AVERAGE(OFFSET($H$3,0,0,'Données projet'!$E$12+1,1))</f>
        <v>223.81948236065614</v>
      </c>
      <c r="CE9" s="59">
        <f t="shared" si="40"/>
        <v>320.1204011431372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3.4666666666666668</v>
      </c>
      <c r="N10" s="13">
        <f>IF('Données projet'!$A$36&gt;35,N9+M10-V9,IF(A10&lt;'Données projet'!$A$36,$K$205^A10,IF(A10='Données projet'!$A$36,'Données projet'!$B$36,N9+M10-V9)))</f>
        <v>6.3212295313575106</v>
      </c>
      <c r="O10" s="13">
        <f>N10*VLOOKUP('Données projet'!$B$9,Paramètres!$A$1:$I$89,3,0)*VLOOKUP('Données projet'!$B$9,Paramètres!$A$1:$I$89,5,0)</f>
        <v>3.5335673080288488</v>
      </c>
      <c r="P10" s="13">
        <f t="shared" si="33"/>
        <v>1.405896653135541</v>
      </c>
      <c r="Q10" s="20">
        <f t="shared" si="2"/>
        <v>8.6028997323613137</v>
      </c>
      <c r="R10" s="59">
        <f t="shared" si="0"/>
        <v>301.93623306569464</v>
      </c>
      <c r="S10" s="59">
        <f ca="1">AVERAGE(OFFSET($R$3,0,0,'Données projet'!$E$9+1,1))-AVERAGE(OFFSET($H$3,0,0,'Données projet'!$E$9+1,1))</f>
        <v>279.98352834501759</v>
      </c>
      <c r="T10" s="59">
        <f t="shared" si="34"/>
        <v>281.30062655265488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3.5</v>
      </c>
      <c r="AI10" s="13">
        <f>IF('Données projet'!$A$62&gt;35,AI9+AH10-AQ9,IF(A10&lt;'Données projet'!$A$62,$AF$205^A10,IF(A10='Données projet'!$A$62,'Données projet'!$B$62,AI9+AH10-AQ9)))</f>
        <v>4.4236862190080943</v>
      </c>
      <c r="AJ10" s="13">
        <f>AI10*VLOOKUP('Données projet'!$B$10,Paramètres!$A$1:$I$89,3,0)*VLOOKUP('Données projet'!$B$10,Paramètres!$A$1:$I$89,5,0)</f>
        <v>2.1277930713428934</v>
      </c>
      <c r="AK10" s="13">
        <f t="shared" si="35"/>
        <v>0.89807058969877585</v>
      </c>
      <c r="AL10" s="20">
        <f t="shared" si="4"/>
        <v>5.2700458763142404</v>
      </c>
      <c r="AM10" s="59">
        <f t="shared" si="5"/>
        <v>298.60337920964753</v>
      </c>
      <c r="AN10" s="59">
        <f ca="1">AVERAGE(OFFSET($AM$3,0,0,'Données projet'!$E$10+1,1))-AVERAGE(OFFSET($H$3,0,0,'Données projet'!$E$10+1,1))</f>
        <v>252.30925789500111</v>
      </c>
      <c r="AO10" s="59">
        <f t="shared" si="36"/>
        <v>213.96033794804805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4.55</v>
      </c>
      <c r="BD10" s="12">
        <f>IF('Données projet'!$A$88&gt;35,BD9+BC10-BL9,IF(A10&lt;'Données projet'!$A$88,$BA$205^A10,IF(A10='Données projet'!$A$88,'Données projet'!$B$88,BD9+BC10-BL9)))</f>
        <v>4.8491373700313813</v>
      </c>
      <c r="BE10" s="13">
        <f>BD10*VLOOKUP('Données projet'!$B$11,Paramètres!$A$1:$I$89,3,0)*VLOOKUP('Données projet'!$B$11,Paramètres!$A$1:$I$89,5,0)</f>
        <v>2.8997841472787664</v>
      </c>
      <c r="BF10" s="13">
        <f t="shared" si="37"/>
        <v>1.1805880203273573</v>
      </c>
      <c r="BG10" s="20">
        <f t="shared" si="7"/>
        <v>7.1066481919139983</v>
      </c>
      <c r="BH10" s="59">
        <f t="shared" si="8"/>
        <v>300.43998152524733</v>
      </c>
      <c r="BI10" s="59">
        <f ca="1">AVERAGE(OFFSET($BH$3,0,0,'Données projet'!$E$11+1,1))-AVERAGE(OFFSET($H$3,0,0,'Données projet'!$E$11+1,1))</f>
        <v>216.94426559495264</v>
      </c>
      <c r="BJ10" s="59">
        <f t="shared" si="38"/>
        <v>225.33715877618704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6.6</v>
      </c>
      <c r="BY10" s="12">
        <f>IF('Données projet'!$A$114&gt;35,BY9+BX10-CG9,IF(A10&lt;'Données projet'!$A$114,$BV$205^A10,IF(A10='Données projet'!$A$114,'Données projet'!$B$114,BY9+BX10-CG9)))</f>
        <v>5.5233285287803451</v>
      </c>
      <c r="BZ10" s="13">
        <f>BY10*VLOOKUP('Données projet'!$B$12,Paramètres!$A$1:$I$89,3,0)*VLOOKUP('Données projet'!$B$12,Paramètres!$A$1:$I$89,5,0)</f>
        <v>4.8251798027425101</v>
      </c>
      <c r="CA10" s="13">
        <f t="shared" si="39"/>
        <v>1.8514184811173284</v>
      </c>
      <c r="CB10" s="20">
        <f t="shared" si="10"/>
        <v>11.628408677722552</v>
      </c>
      <c r="CC10" s="59">
        <f t="shared" si="11"/>
        <v>304.96174201105589</v>
      </c>
      <c r="CD10" s="59">
        <f ca="1">AVERAGE(OFFSET($CC$3,0,0,'Données projet'!$E$12+1,1))-AVERAGE(OFFSET($H$3,0,0,'Données projet'!$E$12+1,1))</f>
        <v>223.81948236065614</v>
      </c>
      <c r="CE10" s="59">
        <f t="shared" si="40"/>
        <v>320.1204011431372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3.4666666666666668</v>
      </c>
      <c r="N11" s="13">
        <f>IF('Données projet'!$A$36&gt;35,N10+M11-V10,IF(A11&lt;'Données projet'!$A$36,$K$205^A11,IF(A11='Données projet'!$A$36,'Données projet'!$B$36,N10+M11-V10)))</f>
        <v>8.2262477168477002</v>
      </c>
      <c r="O11" s="13">
        <f>N11*VLOOKUP('Données projet'!$B$9,Paramètres!$A$1:$I$89,3,0)*VLOOKUP('Données projet'!$B$9,Paramètres!$A$1:$I$89,5,0)</f>
        <v>4.598472473717865</v>
      </c>
      <c r="P11" s="13">
        <f t="shared" si="33"/>
        <v>1.7743424137604424</v>
      </c>
      <c r="Q11" s="20">
        <f t="shared" si="2"/>
        <v>11.099319262358051</v>
      </c>
      <c r="R11" s="59">
        <f t="shared" si="0"/>
        <v>304.43265259569137</v>
      </c>
      <c r="S11" s="59">
        <f ca="1">AVERAGE(OFFSET($R$3,0,0,'Données projet'!$E$9+1,1))-AVERAGE(OFFSET($H$3,0,0,'Données projet'!$E$9+1,1))</f>
        <v>279.98352834501759</v>
      </c>
      <c r="T11" s="59">
        <f t="shared" si="34"/>
        <v>281.30062655265488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3.5</v>
      </c>
      <c r="AI11" s="13">
        <f>IF('Données projet'!$A$62&gt;35,AI10+AH11-AQ10,IF(A11&lt;'Données projet'!$A$62,$AF$205^A11,IF(A11='Données projet'!$A$62,'Données projet'!$B$62,AI10+AH11-AQ10)))</f>
        <v>5.4706535967558381</v>
      </c>
      <c r="AJ11" s="13">
        <f>AI11*VLOOKUP('Données projet'!$B$10,Paramètres!$A$1:$I$89,3,0)*VLOOKUP('Données projet'!$B$10,Paramètres!$A$1:$I$89,5,0)</f>
        <v>2.6313843800395582</v>
      </c>
      <c r="AK11" s="13">
        <f t="shared" si="35"/>
        <v>1.0834949852620803</v>
      </c>
      <c r="AL11" s="20">
        <f t="shared" si="4"/>
        <v>6.4700815612336875</v>
      </c>
      <c r="AM11" s="59">
        <f t="shared" si="5"/>
        <v>299.80341489456703</v>
      </c>
      <c r="AN11" s="59">
        <f ca="1">AVERAGE(OFFSET($AM$3,0,0,'Données projet'!$E$10+1,1))-AVERAGE(OFFSET($H$3,0,0,'Données projet'!$E$10+1,1))</f>
        <v>252.30925789500111</v>
      </c>
      <c r="AO11" s="59">
        <f t="shared" si="36"/>
        <v>213.96033794804805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4.55</v>
      </c>
      <c r="BD11" s="12">
        <f>IF('Données projet'!$A$88&gt;35,BD10+BC11-BL10,IF(A11&lt;'Données projet'!$A$88,$BA$205^A11,IF(A11='Données projet'!$A$88,'Données projet'!$B$88,BD10+BC11-BL10)))</f>
        <v>6.0759830958211616</v>
      </c>
      <c r="BE11" s="13">
        <f>BD11*VLOOKUP('Données projet'!$B$11,Paramètres!$A$1:$I$89,3,0)*VLOOKUP('Données projet'!$B$11,Paramètres!$A$1:$I$89,5,0)</f>
        <v>3.633437891301055</v>
      </c>
      <c r="BF11" s="13">
        <f t="shared" si="37"/>
        <v>1.4409496993838373</v>
      </c>
      <c r="BG11" s="20">
        <f t="shared" si="7"/>
        <v>8.8378917204428529</v>
      </c>
      <c r="BH11" s="59">
        <f t="shared" si="8"/>
        <v>302.17122505377614</v>
      </c>
      <c r="BI11" s="59">
        <f ca="1">AVERAGE(OFFSET($BH$3,0,0,'Données projet'!$E$11+1,1))-AVERAGE(OFFSET($H$3,0,0,'Données projet'!$E$11+1,1))</f>
        <v>216.94426559495264</v>
      </c>
      <c r="BJ11" s="59">
        <f t="shared" si="38"/>
        <v>225.33715877618704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6.6</v>
      </c>
      <c r="BY11" s="12">
        <f>IF('Données projet'!$A$114&gt;35,BY10+BX11-CG10,IF(A11&lt;'Données projet'!$A$114,$BV$205^A11,IF(A11='Données projet'!$A$114,'Données projet'!$B$114,BY10+BX11-CG10)))</f>
        <v>7.0506567536716718</v>
      </c>
      <c r="BZ11" s="13">
        <f>BY11*VLOOKUP('Données projet'!$B$12,Paramètres!$A$1:$I$89,3,0)*VLOOKUP('Données projet'!$B$12,Paramètres!$A$1:$I$89,5,0)</f>
        <v>6.1594537400075735</v>
      </c>
      <c r="CA11" s="13">
        <f t="shared" si="39"/>
        <v>2.2971616158822084</v>
      </c>
      <c r="CB11" s="20">
        <f t="shared" si="10"/>
        <v>14.728605078174702</v>
      </c>
      <c r="CC11" s="59">
        <f t="shared" si="11"/>
        <v>308.06193841150804</v>
      </c>
      <c r="CD11" s="59">
        <f ca="1">AVERAGE(OFFSET($CC$3,0,0,'Données projet'!$E$12+1,1))-AVERAGE(OFFSET($H$3,0,0,'Données projet'!$E$12+1,1))</f>
        <v>223.81948236065614</v>
      </c>
      <c r="CE11" s="59">
        <f t="shared" si="40"/>
        <v>320.1204011431372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3.4666666666666668</v>
      </c>
      <c r="N12" s="13">
        <f>IF('Données projet'!$A$36&gt;35,N11+M12-V11,IF(A12&lt;'Données projet'!$A$36,$K$205^A12,IF(A12='Données projet'!$A$36,'Données projet'!$B$36,N11+M12-V11)))</f>
        <v>10.7053779906659</v>
      </c>
      <c r="O12" s="13">
        <f>N12*VLOOKUP('Données projet'!$B$9,Paramètres!$A$1:$I$89,3,0)*VLOOKUP('Données projet'!$B$9,Paramètres!$A$1:$I$89,5,0)</f>
        <v>5.984306296782238</v>
      </c>
      <c r="P12" s="13">
        <f t="shared" si="33"/>
        <v>2.2393473903274947</v>
      </c>
      <c r="Q12" s="20">
        <f t="shared" si="2"/>
        <v>14.322863505049453</v>
      </c>
      <c r="R12" s="59">
        <f t="shared" si="0"/>
        <v>307.65619683838275</v>
      </c>
      <c r="S12" s="59">
        <f ca="1">AVERAGE(OFFSET($R$3,0,0,'Données projet'!$E$9+1,1))-AVERAGE(OFFSET($H$3,0,0,'Données projet'!$E$9+1,1))</f>
        <v>279.98352834501759</v>
      </c>
      <c r="T12" s="59">
        <f t="shared" si="34"/>
        <v>281.30062655265488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3.5</v>
      </c>
      <c r="AI12" s="13">
        <f>IF('Données projet'!$A$62&gt;35,AI11+AH12-AQ11,IF(A12&lt;'Données projet'!$A$62,$AF$205^A12,IF(A12='Données projet'!$A$62,'Données projet'!$B$62,AI11+AH12-AQ11)))</f>
        <v>6.7654099531517486</v>
      </c>
      <c r="AJ12" s="13">
        <f>AI12*VLOOKUP('Données projet'!$B$10,Paramètres!$A$1:$I$89,3,0)*VLOOKUP('Données projet'!$B$10,Paramètres!$A$1:$I$89,5,0)</f>
        <v>3.2541621874659912</v>
      </c>
      <c r="AK12" s="13">
        <f t="shared" si="35"/>
        <v>1.3072039064121193</v>
      </c>
      <c r="AL12" s="20">
        <f t="shared" si="4"/>
        <v>7.9443792801710416</v>
      </c>
      <c r="AM12" s="59">
        <f t="shared" si="5"/>
        <v>301.27771261350438</v>
      </c>
      <c r="AN12" s="59">
        <f ca="1">AVERAGE(OFFSET($AM$3,0,0,'Données projet'!$E$10+1,1))-AVERAGE(OFFSET($H$3,0,0,'Données projet'!$E$10+1,1))</f>
        <v>252.30925789500111</v>
      </c>
      <c r="AO12" s="59">
        <f t="shared" si="36"/>
        <v>213.96033794804805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4.55</v>
      </c>
      <c r="BD12" s="12">
        <f>IF('Données projet'!$A$88&gt;35,BD11+BC12-BL11,IF(A12&lt;'Données projet'!$A$88,$BA$205^A12,IF(A12='Données projet'!$A$88,'Données projet'!$B$88,BD11+BC12-BL11)))</f>
        <v>7.6132243249824851</v>
      </c>
      <c r="BE12" s="13">
        <f>BD12*VLOOKUP('Données projet'!$B$11,Paramètres!$A$1:$I$89,3,0)*VLOOKUP('Données projet'!$B$11,Paramètres!$A$1:$I$89,5,0)</f>
        <v>4.5527081463395263</v>
      </c>
      <c r="BF12" s="13">
        <f t="shared" si="37"/>
        <v>1.758730395704539</v>
      </c>
      <c r="BG12" s="20">
        <f t="shared" si="7"/>
        <v>10.992422127393413</v>
      </c>
      <c r="BH12" s="59">
        <f t="shared" si="8"/>
        <v>304.32575546072673</v>
      </c>
      <c r="BI12" s="59">
        <f ca="1">AVERAGE(OFFSET($BH$3,0,0,'Données projet'!$E$11+1,1))-AVERAGE(OFFSET($H$3,0,0,'Données projet'!$E$11+1,1))</f>
        <v>216.94426559495264</v>
      </c>
      <c r="BJ12" s="59">
        <f t="shared" si="38"/>
        <v>225.33715877618704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6.6</v>
      </c>
      <c r="BY12" s="12">
        <f>IF('Données projet'!$A$114&gt;35,BY11+BX12-CG11,IF(A12&lt;'Données projet'!$A$114,$BV$205^A12,IF(A12='Données projet'!$A$114,'Données projet'!$B$114,BY11+BX12-CG11)))</f>
        <v>9.0003265963745314</v>
      </c>
      <c r="BZ12" s="13">
        <f>BY12*VLOOKUP('Données projet'!$B$12,Paramètres!$A$1:$I$89,3,0)*VLOOKUP('Données projet'!$B$12,Paramètres!$A$1:$I$89,5,0)</f>
        <v>7.8626853145927917</v>
      </c>
      <c r="CA12" s="13">
        <f t="shared" si="39"/>
        <v>2.8502208135558442</v>
      </c>
      <c r="CB12" s="20">
        <f t="shared" si="10"/>
        <v>18.658311506525539</v>
      </c>
      <c r="CC12" s="59">
        <f t="shared" si="11"/>
        <v>311.99164483985885</v>
      </c>
      <c r="CD12" s="59">
        <f ca="1">AVERAGE(OFFSET($CC$3,0,0,'Données projet'!$E$12+1,1))-AVERAGE(OFFSET($H$3,0,0,'Données projet'!$E$12+1,1))</f>
        <v>223.81948236065614</v>
      </c>
      <c r="CE12" s="59">
        <f t="shared" si="40"/>
        <v>320.1204011431372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3.4666666666666668</v>
      </c>
      <c r="N13" s="13">
        <f>IF('Données projet'!$A$36&gt;35,N12+M13-V12,IF(A13&lt;'Données projet'!$A$36,$K$205^A13,IF(A13='Données projet'!$A$36,'Données projet'!$B$36,N12+M13-V12)))</f>
        <v>13.931639535765228</v>
      </c>
      <c r="O13" s="13">
        <f>N13*VLOOKUP('Données projet'!$B$9,Paramètres!$A$1:$I$89,3,0)*VLOOKUP('Données projet'!$B$9,Paramètres!$A$1:$I$89,5,0)</f>
        <v>7.7877865004927633</v>
      </c>
      <c r="P13" s="13">
        <f t="shared" si="33"/>
        <v>2.826217023093494</v>
      </c>
      <c r="Q13" s="20">
        <f t="shared" si="2"/>
        <v>18.48605613691273</v>
      </c>
      <c r="R13" s="59">
        <f t="shared" si="0"/>
        <v>311.81938947024605</v>
      </c>
      <c r="S13" s="59">
        <f ca="1">AVERAGE(OFFSET($R$3,0,0,'Données projet'!$E$9+1,1))-AVERAGE(OFFSET($H$3,0,0,'Données projet'!$E$9+1,1))</f>
        <v>279.98352834501759</v>
      </c>
      <c r="T13" s="59">
        <f t="shared" si="34"/>
        <v>281.30062655265488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3.5</v>
      </c>
      <c r="AI13" s="13">
        <f>IF('Données projet'!$A$62&gt;35,AI12+AH13-AQ12,IF(A13&lt;'Données projet'!$A$62,$AF$205^A13,IF(A13='Données projet'!$A$62,'Données projet'!$B$62,AI12+AH13-AQ12)))</f>
        <v>8.3666002653407539</v>
      </c>
      <c r="AJ13" s="13">
        <f>AI13*VLOOKUP('Données projet'!$B$10,Paramètres!$A$1:$I$89,3,0)*VLOOKUP('Données projet'!$B$10,Paramètres!$A$1:$I$89,5,0)</f>
        <v>4.0243347276289025</v>
      </c>
      <c r="AK13" s="13">
        <f t="shared" si="35"/>
        <v>1.5771019489543625</v>
      </c>
      <c r="AL13" s="20">
        <f t="shared" si="4"/>
        <v>9.7558355450491874</v>
      </c>
      <c r="AM13" s="59">
        <f t="shared" si="5"/>
        <v>303.08916887838251</v>
      </c>
      <c r="AN13" s="59">
        <f ca="1">AVERAGE(OFFSET($AM$3,0,0,'Données projet'!$E$10+1,1))-AVERAGE(OFFSET($H$3,0,0,'Données projet'!$E$10+1,1))</f>
        <v>252.30925789500111</v>
      </c>
      <c r="AO13" s="59">
        <f t="shared" si="36"/>
        <v>213.96033794804805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4.55</v>
      </c>
      <c r="BD13" s="12">
        <f>IF('Données projet'!$A$88&gt;35,BD12+BC13-BL12,IF(A13&lt;'Données projet'!$A$88,$BA$205^A13,IF(A13='Données projet'!$A$88,'Données projet'!$B$88,BD12+BC13-BL12)))</f>
        <v>9.5393920141694579</v>
      </c>
      <c r="BE13" s="13">
        <f>BD13*VLOOKUP('Données projet'!$B$11,Paramètres!$A$1:$I$89,3,0)*VLOOKUP('Données projet'!$B$11,Paramètres!$A$1:$I$89,5,0)</f>
        <v>5.7045564244733367</v>
      </c>
      <c r="BF13" s="13">
        <f t="shared" si="37"/>
        <v>2.1465930463066791</v>
      </c>
      <c r="BG13" s="20">
        <f t="shared" si="7"/>
        <v>13.674085328275192</v>
      </c>
      <c r="BH13" s="59">
        <f t="shared" si="8"/>
        <v>307.00741866160848</v>
      </c>
      <c r="BI13" s="59">
        <f ca="1">AVERAGE(OFFSET($BH$3,0,0,'Données projet'!$E$11+1,1))-AVERAGE(OFFSET($H$3,0,0,'Données projet'!$E$11+1,1))</f>
        <v>216.94426559495264</v>
      </c>
      <c r="BJ13" s="59">
        <f t="shared" si="38"/>
        <v>225.33715877618704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6.6</v>
      </c>
      <c r="BY13" s="12">
        <f>IF('Données projet'!$A$114&gt;35,BY12+BX13-CG12,IF(A13&lt;'Données projet'!$A$114,$BV$205^A13,IF(A13='Données projet'!$A$114,'Données projet'!$B$114,BY12+BX13-CG12)))</f>
        <v>11.489125293076063</v>
      </c>
      <c r="BZ13" s="13">
        <f>BY13*VLOOKUP('Données projet'!$B$12,Paramètres!$A$1:$I$89,3,0)*VLOOKUP('Données projet'!$B$12,Paramètres!$A$1:$I$89,5,0)</f>
        <v>10.036899856031249</v>
      </c>
      <c r="CA13" s="13">
        <f t="shared" si="39"/>
        <v>3.5364332356333024</v>
      </c>
      <c r="CB13" s="20">
        <f t="shared" si="10"/>
        <v>23.640221801315761</v>
      </c>
      <c r="CC13" s="59">
        <f t="shared" si="11"/>
        <v>316.97355513464908</v>
      </c>
      <c r="CD13" s="59">
        <f ca="1">AVERAGE(OFFSET($CC$3,0,0,'Données projet'!$E$12+1,1))-AVERAGE(OFFSET($H$3,0,0,'Données projet'!$E$12+1,1))</f>
        <v>223.81948236065614</v>
      </c>
      <c r="CE13" s="59">
        <f t="shared" si="40"/>
        <v>320.1204011431372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3.4666666666666668</v>
      </c>
      <c r="N14" s="13">
        <f>IF('Données projet'!$A$36&gt;35,N13+M14-V13,IF(A14&lt;'Données projet'!$A$36,$K$205^A14,IF(A14='Données projet'!$A$36,'Données projet'!$B$36,N13+M14-V13)))</f>
        <v>18.130194031796528</v>
      </c>
      <c r="O14" s="13">
        <f>N14*VLOOKUP('Données projet'!$B$9,Paramètres!$A$1:$I$89,3,0)*VLOOKUP('Données projet'!$B$9,Paramètres!$A$1:$I$89,5,0)</f>
        <v>10.134778463774259</v>
      </c>
      <c r="P14" s="13">
        <f t="shared" si="33"/>
        <v>3.5668885926874059</v>
      </c>
      <c r="Q14" s="20">
        <f t="shared" si="2"/>
        <v>23.863736790004065</v>
      </c>
      <c r="R14" s="59">
        <f t="shared" si="0"/>
        <v>317.19707012333737</v>
      </c>
      <c r="S14" s="59">
        <f ca="1">AVERAGE(OFFSET($R$3,0,0,'Données projet'!$E$9+1,1))-AVERAGE(OFFSET($H$3,0,0,'Données projet'!$E$9+1,1))</f>
        <v>279.98352834501759</v>
      </c>
      <c r="T14" s="59">
        <f t="shared" si="34"/>
        <v>281.30062655265488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3.5</v>
      </c>
      <c r="AI14" s="13">
        <f>IF('Données projet'!$A$62&gt;35,AI13+AH14-AQ13,IF(A14&lt;'Données projet'!$A$62,$AF$205^A14,IF(A14='Données projet'!$A$62,'Données projet'!$B$62,AI13+AH14-AQ13)))</f>
        <v>10.346749196978022</v>
      </c>
      <c r="AJ14" s="13">
        <f>AI14*VLOOKUP('Données projet'!$B$10,Paramètres!$A$1:$I$89,3,0)*VLOOKUP('Données projet'!$B$10,Paramètres!$A$1:$I$89,5,0)</f>
        <v>4.9767863637464291</v>
      </c>
      <c r="AK14" s="13">
        <f t="shared" si="35"/>
        <v>1.9027257684858068</v>
      </c>
      <c r="AL14" s="20">
        <f t="shared" si="4"/>
        <v>11.981816963637812</v>
      </c>
      <c r="AM14" s="59">
        <f t="shared" si="5"/>
        <v>305.31515029697113</v>
      </c>
      <c r="AN14" s="59">
        <f ca="1">AVERAGE(OFFSET($AM$3,0,0,'Données projet'!$E$10+1,1))-AVERAGE(OFFSET($H$3,0,0,'Données projet'!$E$10+1,1))</f>
        <v>252.30925789500111</v>
      </c>
      <c r="AO14" s="59">
        <f t="shared" si="36"/>
        <v>213.96033794804805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4.55</v>
      </c>
      <c r="BD14" s="12">
        <f>IF('Données projet'!$A$88&gt;35,BD13+BC14-BL13,IF(A14&lt;'Données projet'!$A$88,$BA$205^A14,IF(A14='Données projet'!$A$88,'Données projet'!$B$88,BD13+BC14-BL13)))</f>
        <v>11.952885678330434</v>
      </c>
      <c r="BE14" s="13">
        <f>BD14*VLOOKUP('Données projet'!$B$11,Paramètres!$A$1:$I$89,3,0)*VLOOKUP('Données projet'!$B$11,Paramètres!$A$1:$I$89,5,0)</f>
        <v>7.147825635641599</v>
      </c>
      <c r="BF14" s="13">
        <f t="shared" si="37"/>
        <v>2.6199932165306663</v>
      </c>
      <c r="BG14" s="20">
        <f t="shared" si="7"/>
        <v>17.012284500866695</v>
      </c>
      <c r="BH14" s="59">
        <f t="shared" si="8"/>
        <v>310.34561783420003</v>
      </c>
      <c r="BI14" s="59">
        <f ca="1">AVERAGE(OFFSET($BH$3,0,0,'Données projet'!$E$11+1,1))-AVERAGE(OFFSET($H$3,0,0,'Données projet'!$E$11+1,1))</f>
        <v>216.94426559495264</v>
      </c>
      <c r="BJ14" s="59">
        <f t="shared" si="38"/>
        <v>225.33715877618704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6.6</v>
      </c>
      <c r="BY14" s="12">
        <f>IF('Données projet'!$A$114&gt;35,BY13+BX14-CG13,IF(A14&lt;'Données projet'!$A$114,$BV$205^A14,IF(A14='Données projet'!$A$114,'Données projet'!$B$114,BY13+BX14-CG13)))</f>
        <v>14.666134454850974</v>
      </c>
      <c r="BZ14" s="13">
        <f>BY14*VLOOKUP('Données projet'!$B$12,Paramètres!$A$1:$I$89,3,0)*VLOOKUP('Données projet'!$B$12,Paramètres!$A$1:$I$89,5,0)</f>
        <v>12.812335059757812</v>
      </c>
      <c r="CA14" s="13">
        <f t="shared" si="39"/>
        <v>4.3878565375042955</v>
      </c>
      <c r="CB14" s="20">
        <f t="shared" si="10"/>
        <v>29.957000365231504</v>
      </c>
      <c r="CC14" s="59">
        <f t="shared" si="11"/>
        <v>323.29033369856484</v>
      </c>
      <c r="CD14" s="59">
        <f ca="1">AVERAGE(OFFSET($CC$3,0,0,'Données projet'!$E$12+1,1))-AVERAGE(OFFSET($H$3,0,0,'Données projet'!$E$12+1,1))</f>
        <v>223.81948236065614</v>
      </c>
      <c r="CE14" s="59">
        <f t="shared" si="40"/>
        <v>320.1204011431372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3.4666666666666668</v>
      </c>
      <c r="N15" s="13">
        <f>IF('Données projet'!$A$36&gt;35,N14+M15-V14,IF(A15&lt;'Données projet'!$A$36,$K$205^A15,IF(A15='Données projet'!$A$36,'Données projet'!$B$36,N14+M15-V14)))</f>
        <v>23.594059750594564</v>
      </c>
      <c r="O15" s="13">
        <f>N15*VLOOKUP('Données projet'!$B$9,Paramètres!$A$1:$I$89,3,0)*VLOOKUP('Données projet'!$B$9,Paramètres!$A$1:$I$89,5,0)</f>
        <v>13.189079400582363</v>
      </c>
      <c r="P15" s="13">
        <f t="shared" si="33"/>
        <v>4.501669237954574</v>
      </c>
      <c r="Q15" s="20">
        <f t="shared" si="2"/>
        <v>30.8113872121185</v>
      </c>
      <c r="R15" s="59">
        <f t="shared" si="0"/>
        <v>324.14472054545183</v>
      </c>
      <c r="S15" s="59">
        <f ca="1">AVERAGE(OFFSET($R$3,0,0,'Données projet'!$E$9+1,1))-AVERAGE(OFFSET($H$3,0,0,'Données projet'!$E$9+1,1))</f>
        <v>279.98352834501759</v>
      </c>
      <c r="T15" s="59">
        <f t="shared" si="34"/>
        <v>281.30062655265488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3.5</v>
      </c>
      <c r="AI15" s="13">
        <f>IF('Données projet'!$A$62&gt;35,AI14+AH15-AQ14,IF(A15&lt;'Données projet'!$A$62,$AF$205^A15,IF(A15='Données projet'!$A$62,'Données projet'!$B$62,AI14+AH15-AQ14)))</f>
        <v>12.795546046181904</v>
      </c>
      <c r="AJ15" s="13">
        <f>AI15*VLOOKUP('Données projet'!$B$10,Paramètres!$A$1:$I$89,3,0)*VLOOKUP('Données projet'!$B$10,Paramètres!$A$1:$I$89,5,0)</f>
        <v>6.1546576482134956</v>
      </c>
      <c r="AK15" s="13">
        <f t="shared" si="35"/>
        <v>2.2955810513456334</v>
      </c>
      <c r="AL15" s="20">
        <f t="shared" si="4"/>
        <v>14.717499068398817</v>
      </c>
      <c r="AM15" s="59">
        <f t="shared" si="5"/>
        <v>308.05083240173212</v>
      </c>
      <c r="AN15" s="59">
        <f ca="1">AVERAGE(OFFSET($AM$3,0,0,'Données projet'!$E$10+1,1))-AVERAGE(OFFSET($H$3,0,0,'Données projet'!$E$10+1,1))</f>
        <v>252.30925789500111</v>
      </c>
      <c r="AO15" s="59">
        <f t="shared" si="36"/>
        <v>213.96033794804805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4.55</v>
      </c>
      <c r="BD15" s="12">
        <f>IF('Données projet'!$A$88&gt;35,BD14+BC15-BL14,IF(A15&lt;'Données projet'!$A$88,$BA$205^A15,IF(A15='Données projet'!$A$88,'Données projet'!$B$88,BD14+BC15-BL14)))</f>
        <v>14.97700019320108</v>
      </c>
      <c r="BE15" s="13">
        <f>BD15*VLOOKUP('Données projet'!$B$11,Paramètres!$A$1:$I$89,3,0)*VLOOKUP('Données projet'!$B$11,Paramètres!$A$1:$I$89,5,0)</f>
        <v>8.9562461155342472</v>
      </c>
      <c r="BF15" s="13">
        <f t="shared" si="37"/>
        <v>3.1977949739831653</v>
      </c>
      <c r="BG15" s="20">
        <f t="shared" si="7"/>
        <v>21.168288230909493</v>
      </c>
      <c r="BH15" s="59">
        <f t="shared" si="8"/>
        <v>314.50162156424278</v>
      </c>
      <c r="BI15" s="59">
        <f ca="1">AVERAGE(OFFSET($BH$3,0,0,'Données projet'!$E$11+1,1))-AVERAGE(OFFSET($H$3,0,0,'Données projet'!$E$11+1,1))</f>
        <v>216.94426559495264</v>
      </c>
      <c r="BJ15" s="59">
        <f t="shared" si="38"/>
        <v>225.33715877618704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6.6</v>
      </c>
      <c r="BY15" s="12">
        <f>IF('Données projet'!$A$114&gt;35,BY14+BX15-CG14,IF(A15&lt;'Données projet'!$A$114,$BV$205^A15,IF(A15='Données projet'!$A$114,'Données projet'!$B$114,BY14+BX15-CG14)))</f>
        <v>18.721660210059202</v>
      </c>
      <c r="BZ15" s="13">
        <f>BY15*VLOOKUP('Données projet'!$B$12,Paramètres!$A$1:$I$89,3,0)*VLOOKUP('Données projet'!$B$12,Paramètres!$A$1:$I$89,5,0)</f>
        <v>16.35524235950772</v>
      </c>
      <c r="CA15" s="13">
        <f t="shared" si="39"/>
        <v>5.4442664998513175</v>
      </c>
      <c r="CB15" s="20">
        <f t="shared" si="10"/>
        <v>37.967477930050322</v>
      </c>
      <c r="CC15" s="59">
        <f t="shared" si="11"/>
        <v>331.30081126338365</v>
      </c>
      <c r="CD15" s="59">
        <f ca="1">AVERAGE(OFFSET($CC$3,0,0,'Données projet'!$E$12+1,1))-AVERAGE(OFFSET($H$3,0,0,'Données projet'!$E$12+1,1))</f>
        <v>223.81948236065614</v>
      </c>
      <c r="CE15" s="59">
        <f t="shared" si="40"/>
        <v>320.1204011431372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3.4666666666666668</v>
      </c>
      <c r="N16" s="13">
        <f>IF('Données projet'!$A$36&gt;35,N15+M16-V15,IF(A16&lt;'Données projet'!$A$36,$K$205^A16,IF(A16='Données projet'!$A$36,'Données projet'!$B$36,N15+M16-V15)))</f>
        <v>30.704561381876452</v>
      </c>
      <c r="O16" s="13">
        <f>N16*VLOOKUP('Données projet'!$B$9,Paramètres!$A$1:$I$89,3,0)*VLOOKUP('Données projet'!$B$9,Paramètres!$A$1:$I$89,5,0)</f>
        <v>17.163849812468936</v>
      </c>
      <c r="P16" s="13">
        <f t="shared" si="33"/>
        <v>5.681429459134919</v>
      </c>
      <c r="Q16" s="20">
        <f t="shared" si="2"/>
        <v>39.788861398043373</v>
      </c>
      <c r="R16" s="59">
        <f t="shared" si="0"/>
        <v>333.12219473137668</v>
      </c>
      <c r="S16" s="59">
        <f ca="1">AVERAGE(OFFSET($R$3,0,0,'Données projet'!$E$9+1,1))-AVERAGE(OFFSET($H$3,0,0,'Données projet'!$E$9+1,1))</f>
        <v>279.98352834501759</v>
      </c>
      <c r="T16" s="59">
        <f t="shared" si="34"/>
        <v>281.30062655265488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3.5</v>
      </c>
      <c r="AI16" s="13">
        <f>IF('Données projet'!$A$62&gt;35,AI15+AH16-AQ15,IF(A16&lt;'Données projet'!$A$62,$AF$205^A16,IF(A16='Données projet'!$A$62,'Données projet'!$B$62,AI15+AH16-AQ15)))</f>
        <v>15.82390715218852</v>
      </c>
      <c r="AJ16" s="13">
        <f>AI16*VLOOKUP('Données projet'!$B$10,Paramètres!$A$1:$I$89,3,0)*VLOOKUP('Données projet'!$B$10,Paramètres!$A$1:$I$89,5,0)</f>
        <v>7.6112993402026783</v>
      </c>
      <c r="AK16" s="13">
        <f t="shared" si="35"/>
        <v>2.7695490598683374</v>
      </c>
      <c r="AL16" s="20">
        <f t="shared" si="4"/>
        <v>18.07997763012369</v>
      </c>
      <c r="AM16" s="59">
        <f t="shared" si="5"/>
        <v>311.41331096345698</v>
      </c>
      <c r="AN16" s="59">
        <f ca="1">AVERAGE(OFFSET($AM$3,0,0,'Données projet'!$E$10+1,1))-AVERAGE(OFFSET($H$3,0,0,'Données projet'!$E$10+1,1))</f>
        <v>252.30925789500111</v>
      </c>
      <c r="AO16" s="59">
        <f t="shared" si="36"/>
        <v>213.96033794804805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4.55</v>
      </c>
      <c r="BD16" s="12">
        <f>IF('Données projet'!$A$88&gt;35,BD15+BC16-BL15,IF(A16&lt;'Données projet'!$A$88,$BA$205^A16,IF(A16='Données projet'!$A$88,'Données projet'!$B$88,BD15+BC16-BL15)))</f>
        <v>18.766224393311244</v>
      </c>
      <c r="BE16" s="13">
        <f>BD16*VLOOKUP('Données projet'!$B$11,Paramètres!$A$1:$I$89,3,0)*VLOOKUP('Données projet'!$B$11,Paramètres!$A$1:$I$89,5,0)</f>
        <v>11.222202187200125</v>
      </c>
      <c r="BF16" s="13">
        <f t="shared" si="37"/>
        <v>3.903022584605345</v>
      </c>
      <c r="BG16" s="20">
        <f t="shared" si="7"/>
        <v>26.343099810894525</v>
      </c>
      <c r="BH16" s="59">
        <f t="shared" si="8"/>
        <v>319.67643314422781</v>
      </c>
      <c r="BI16" s="59">
        <f ca="1">AVERAGE(OFFSET($BH$3,0,0,'Données projet'!$E$11+1,1))-AVERAGE(OFFSET($H$3,0,0,'Données projet'!$E$11+1,1))</f>
        <v>216.94426559495264</v>
      </c>
      <c r="BJ16" s="59">
        <f t="shared" si="38"/>
        <v>225.33715877618704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6.6</v>
      </c>
      <c r="BY16" s="12">
        <f>IF('Données projet'!$A$114&gt;35,BY15+BX16-CG15,IF(A16&lt;'Données projet'!$A$114,$BV$205^A16,IF(A16='Données projet'!$A$114,'Données projet'!$B$114,BY15+BX16-CG15)))</f>
        <v>23.89863273788427</v>
      </c>
      <c r="BZ16" s="13">
        <f>BY16*VLOOKUP('Données projet'!$B$12,Paramètres!$A$1:$I$89,3,0)*VLOOKUP('Données projet'!$B$12,Paramètres!$A$1:$I$89,5,0)</f>
        <v>20.8778455598157</v>
      </c>
      <c r="CA16" s="13">
        <f t="shared" si="39"/>
        <v>6.7550152262411558</v>
      </c>
      <c r="CB16" s="20">
        <f t="shared" si="10"/>
        <v>48.127232535715684</v>
      </c>
      <c r="CC16" s="59">
        <f t="shared" si="11"/>
        <v>341.46056586904899</v>
      </c>
      <c r="CD16" s="59">
        <f ca="1">AVERAGE(OFFSET($CC$3,0,0,'Données projet'!$E$12+1,1))-AVERAGE(OFFSET($H$3,0,0,'Données projet'!$E$12+1,1))</f>
        <v>223.81948236065614</v>
      </c>
      <c r="CE16" s="59">
        <f t="shared" si="40"/>
        <v>320.1204011431372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3.4666666666666668</v>
      </c>
      <c r="N17" s="13">
        <f>IF('Données projet'!$A$36&gt;35,N16+M17-V16,IF(A17&lt;'Données projet'!$A$36,$K$205^A17,IF(A17='Données projet'!$A$36,'Données projet'!$B$36,N16+M17-V16)))</f>
        <v>39.95794278810628</v>
      </c>
      <c r="O17" s="13">
        <f>N17*VLOOKUP('Données projet'!$B$9,Paramètres!$A$1:$I$89,3,0)*VLOOKUP('Données projet'!$B$9,Paramètres!$A$1:$I$89,5,0)</f>
        <v>22.336490018551409</v>
      </c>
      <c r="P17" s="13">
        <f t="shared" si="33"/>
        <v>7.1703714762021402</v>
      </c>
      <c r="Q17" s="20">
        <f t="shared" si="2"/>
        <v>51.391117103362433</v>
      </c>
      <c r="R17" s="59">
        <f t="shared" si="0"/>
        <v>344.72445043669575</v>
      </c>
      <c r="S17" s="59">
        <f ca="1">AVERAGE(OFFSET($R$3,0,0,'Données projet'!$E$9+1,1))-AVERAGE(OFFSET($H$3,0,0,'Données projet'!$E$9+1,1))</f>
        <v>279.98352834501759</v>
      </c>
      <c r="T17" s="59">
        <f t="shared" si="34"/>
        <v>281.30062655265488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3.5</v>
      </c>
      <c r="AI17" s="13">
        <f>IF('Données projet'!$A$62&gt;35,AI16+AH17-AQ16,IF(A17&lt;'Données projet'!$A$62,$AF$205^A17,IF(A17='Données projet'!$A$62,'Données projet'!$B$62,AI16+AH17-AQ16)))</f>
        <v>19.568999764242129</v>
      </c>
      <c r="AJ17" s="13">
        <f>AI17*VLOOKUP('Données projet'!$B$10,Paramètres!$A$1:$I$89,3,0)*VLOOKUP('Données projet'!$B$10,Paramètres!$A$1:$I$89,5,0)</f>
        <v>9.4126888866004634</v>
      </c>
      <c r="AK17" s="13">
        <f t="shared" si="35"/>
        <v>3.3413771169270281</v>
      </c>
      <c r="AL17" s="20">
        <f t="shared" si="4"/>
        <v>22.213331622810383</v>
      </c>
      <c r="AM17" s="59">
        <f t="shared" si="5"/>
        <v>315.54666495614367</v>
      </c>
      <c r="AN17" s="59">
        <f ca="1">AVERAGE(OFFSET($AM$3,0,0,'Données projet'!$E$10+1,1))-AVERAGE(OFFSET($H$3,0,0,'Données projet'!$E$10+1,1))</f>
        <v>252.30925789500111</v>
      </c>
      <c r="AO17" s="59">
        <f t="shared" si="36"/>
        <v>213.96033794804805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4.55</v>
      </c>
      <c r="BD17" s="12">
        <f>IF('Données projet'!$A$88&gt;35,BD16+BC17-BL16,IF(A17&lt;'Données projet'!$A$88,$BA$205^A17,IF(A17='Données projet'!$A$88,'Données projet'!$B$88,BD16+BC17-BL16)))</f>
        <v>23.514133233434862</v>
      </c>
      <c r="BE17" s="13">
        <f>BD17*VLOOKUP('Données projet'!$B$11,Paramètres!$A$1:$I$89,3,0)*VLOOKUP('Données projet'!$B$11,Paramètres!$A$1:$I$89,5,0)</f>
        <v>14.061451673594048</v>
      </c>
      <c r="BF17" s="13">
        <f t="shared" si="37"/>
        <v>4.7637779844792423</v>
      </c>
      <c r="BG17" s="20">
        <f t="shared" si="7"/>
        <v>32.787274987810981</v>
      </c>
      <c r="BH17" s="59">
        <f t="shared" si="8"/>
        <v>326.12060832114429</v>
      </c>
      <c r="BI17" s="59">
        <f ca="1">AVERAGE(OFFSET($BH$3,0,0,'Données projet'!$E$11+1,1))-AVERAGE(OFFSET($H$3,0,0,'Données projet'!$E$11+1,1))</f>
        <v>216.94426559495264</v>
      </c>
      <c r="BJ17" s="59">
        <f t="shared" si="38"/>
        <v>225.33715877618704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6.6</v>
      </c>
      <c r="BY17" s="12">
        <f>IF('Données projet'!$A$114&gt;35,BY16+BX17-CG16,IF(A17&lt;'Données projet'!$A$114,$BV$205^A17,IF(A17='Données projet'!$A$114,'Données projet'!$B$114,BY16+BX17-CG16)))</f>
        <v>30.50715803683886</v>
      </c>
      <c r="BZ17" s="13">
        <f>BY17*VLOOKUP('Données projet'!$B$12,Paramètres!$A$1:$I$89,3,0)*VLOOKUP('Données projet'!$B$12,Paramètres!$A$1:$I$89,5,0)</f>
        <v>26.651053260982433</v>
      </c>
      <c r="CA17" s="13">
        <f t="shared" si="39"/>
        <v>8.3813367159737684</v>
      </c>
      <c r="CB17" s="20">
        <f t="shared" si="10"/>
        <v>61.014745876532061</v>
      </c>
      <c r="CC17" s="59">
        <f t="shared" si="11"/>
        <v>354.34807920986538</v>
      </c>
      <c r="CD17" s="59">
        <f ca="1">AVERAGE(OFFSET($CC$3,0,0,'Données projet'!$E$12+1,1))-AVERAGE(OFFSET($H$3,0,0,'Données projet'!$E$12+1,1))</f>
        <v>223.81948236065614</v>
      </c>
      <c r="CE17" s="59">
        <f t="shared" si="40"/>
        <v>320.1204011431372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52</v>
      </c>
      <c r="L18" s="12">
        <f>VLOOKUP(A18,'Données projet'!$A$35:$I$55,9,0)</f>
        <v>3.4666666666666668</v>
      </c>
      <c r="M18" s="12">
        <f t="array" ref="M18">INDEX(L:L,MIN(IF(ISNUMBER(L18:L214),ROW(L18:L214),"")))</f>
        <v>3.4666666666666668</v>
      </c>
      <c r="N18" s="13">
        <f>IF('Données projet'!$A$36&gt;35,N17+M18-V17,IF(A18&lt;'Données projet'!$A$36,$K$205^A18,IF(A18='Données projet'!$A$36,'Données projet'!$B$36,N17+M18-V17)))</f>
        <v>52</v>
      </c>
      <c r="O18" s="13">
        <f>N18*VLOOKUP('Données projet'!$B$9,Paramètres!$A$1:$I$89,3,0)*VLOOKUP('Données projet'!$B$9,Paramètres!$A$1:$I$89,5,0)</f>
        <v>29.068000000000001</v>
      </c>
      <c r="P18" s="13">
        <f t="shared" si="33"/>
        <v>9.0495230956474551</v>
      </c>
      <c r="Q18" s="20">
        <f t="shared" si="2"/>
        <v>66.388019391585985</v>
      </c>
      <c r="R18" s="59">
        <f t="shared" si="0"/>
        <v>359.72135272491931</v>
      </c>
      <c r="S18" s="59">
        <f ca="1">AVERAGE(OFFSET($R$3,0,0,'Données projet'!$E$9+1,1))-AVERAGE(OFFSET($H$3,0,0,'Données projet'!$E$9+1,1))</f>
        <v>279.98352834501759</v>
      </c>
      <c r="T18" s="59">
        <f t="shared" si="34"/>
        <v>281.30062655265488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3.5</v>
      </c>
      <c r="AI18" s="13">
        <f>IF('Données projet'!$A$62&gt;35,AI17+AH18-AQ17,IF(A18&lt;'Données projet'!$A$62,$AF$205^A18,IF(A18='Données projet'!$A$62,'Données projet'!$B$62,AI17+AH18-AQ17)))</f>
        <v>24.200454924935865</v>
      </c>
      <c r="AJ18" s="13">
        <f>AI18*VLOOKUP('Données projet'!$B$10,Paramètres!$A$1:$I$89,3,0)*VLOOKUP('Données projet'!$B$10,Paramètres!$A$1:$I$89,5,0)</f>
        <v>11.640418818894151</v>
      </c>
      <c r="AK18" s="13">
        <f t="shared" si="35"/>
        <v>4.0312703606898195</v>
      </c>
      <c r="AL18" s="20">
        <f t="shared" si="4"/>
        <v>27.294858654442084</v>
      </c>
      <c r="AM18" s="59">
        <f t="shared" si="5"/>
        <v>320.62819198777538</v>
      </c>
      <c r="AN18" s="59">
        <f ca="1">AVERAGE(OFFSET($AM$3,0,0,'Données projet'!$E$10+1,1))-AVERAGE(OFFSET($H$3,0,0,'Données projet'!$E$10+1,1))</f>
        <v>252.30925789500111</v>
      </c>
      <c r="AO18" s="59">
        <f t="shared" si="36"/>
        <v>213.96033794804805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4.55</v>
      </c>
      <c r="BD18" s="12">
        <f>IF('Données projet'!$A$88&gt;35,BD17+BC18-BL17,IF(A18&lt;'Données projet'!$A$88,$BA$205^A18,IF(A18='Données projet'!$A$88,'Données projet'!$B$88,BD17+BC18-BL17)))</f>
        <v>29.463276689625356</v>
      </c>
      <c r="BE18" s="13">
        <f>BD18*VLOOKUP('Données projet'!$B$11,Paramètres!$A$1:$I$89,3,0)*VLOOKUP('Données projet'!$B$11,Paramètres!$A$1:$I$89,5,0)</f>
        <v>17.619039460395964</v>
      </c>
      <c r="BF18" s="13">
        <f t="shared" si="37"/>
        <v>5.8143605868229411</v>
      </c>
      <c r="BG18" s="20">
        <f t="shared" si="7"/>
        <v>40.81317174890625</v>
      </c>
      <c r="BH18" s="59">
        <f t="shared" si="8"/>
        <v>334.14650508223957</v>
      </c>
      <c r="BI18" s="59">
        <f ca="1">AVERAGE(OFFSET($BH$3,0,0,'Données projet'!$E$11+1,1))-AVERAGE(OFFSET($H$3,0,0,'Données projet'!$E$11+1,1))</f>
        <v>216.94426559495264</v>
      </c>
      <c r="BJ18" s="59">
        <f t="shared" si="38"/>
        <v>225.33715877618704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6.6</v>
      </c>
      <c r="BY18" s="12">
        <f>IF('Données projet'!$A$114&gt;35,BY17+BX18-CG17,IF(A18&lt;'Données projet'!$A$114,$BV$205^A18,IF(A18='Données projet'!$A$114,'Données projet'!$B$114,BY17+BX18-CG17)))</f>
        <v>38.943093594192561</v>
      </c>
      <c r="BZ18" s="13">
        <f>BY18*VLOOKUP('Données projet'!$B$12,Paramètres!$A$1:$I$89,3,0)*VLOOKUP('Données projet'!$B$12,Paramètres!$A$1:$I$89,5,0)</f>
        <v>34.02068656388662</v>
      </c>
      <c r="CA18" s="13">
        <f t="shared" si="39"/>
        <v>10.399207521197393</v>
      </c>
      <c r="CB18" s="20">
        <f t="shared" si="10"/>
        <v>77.364648864854644</v>
      </c>
      <c r="CC18" s="59">
        <f t="shared" si="11"/>
        <v>370.69798219818796</v>
      </c>
      <c r="CD18" s="59">
        <f ca="1">AVERAGE(OFFSET($CC$3,0,0,'Données projet'!$E$12+1,1))-AVERAGE(OFFSET($H$3,0,0,'Données projet'!$E$12+1,1))</f>
        <v>223.81948236065614</v>
      </c>
      <c r="CE18" s="59">
        <f t="shared" si="40"/>
        <v>320.1204011431372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15.2</v>
      </c>
      <c r="N19" s="13">
        <f>IF('Données projet'!$A$36&gt;35,N18+M19-V18,IF(A19&lt;'Données projet'!$A$36,$K$205^A19,IF(A19='Données projet'!$A$36,'Données projet'!$B$36,N18+M19-V18)))</f>
        <v>67.2</v>
      </c>
      <c r="O19" s="13">
        <f>N19*VLOOKUP('Données projet'!$B$9,Paramètres!$A$1:$I$89,3,0)*VLOOKUP('Données projet'!$B$9,Paramètres!$A$1:$I$89,5,0)</f>
        <v>37.564800000000005</v>
      </c>
      <c r="P19" s="13">
        <f t="shared" si="33"/>
        <v>11.350856362116868</v>
      </c>
      <c r="Q19" s="20">
        <f t="shared" si="2"/>
        <v>85.194768164020218</v>
      </c>
      <c r="R19" s="59">
        <f t="shared" si="0"/>
        <v>378.52810149735353</v>
      </c>
      <c r="S19" s="59">
        <f ca="1">AVERAGE(OFFSET($R$3,0,0,'Données projet'!$E$9+1,1))-AVERAGE(OFFSET($H$3,0,0,'Données projet'!$E$9+1,1))</f>
        <v>279.98352834501759</v>
      </c>
      <c r="T19" s="59">
        <f t="shared" si="34"/>
        <v>281.30062655265488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3.5</v>
      </c>
      <c r="AI19" s="13">
        <f>IF('Données projet'!$A$62&gt;35,AI18+AH19-AQ18,IF(A19&lt;'Données projet'!$A$62,$AF$205^A19,IF(A19='Données projet'!$A$62,'Données projet'!$B$62,AI18+AH19-AQ18)))</f>
        <v>29.928050775697589</v>
      </c>
      <c r="AJ19" s="13">
        <f>AI19*VLOOKUP('Données projet'!$B$10,Paramètres!$A$1:$I$89,3,0)*VLOOKUP('Données projet'!$B$10,Paramètres!$A$1:$I$89,5,0)</f>
        <v>14.395392423110541</v>
      </c>
      <c r="AK19" s="13">
        <f t="shared" si="35"/>
        <v>4.8636056788232134</v>
      </c>
      <c r="AL19" s="20">
        <f t="shared" si="4"/>
        <v>33.542755027534618</v>
      </c>
      <c r="AM19" s="59">
        <f t="shared" si="5"/>
        <v>326.87608836086793</v>
      </c>
      <c r="AN19" s="59">
        <f ca="1">AVERAGE(OFFSET($AM$3,0,0,'Données projet'!$E$10+1,1))-AVERAGE(OFFSET($H$3,0,0,'Données projet'!$E$10+1,1))</f>
        <v>252.30925789500111</v>
      </c>
      <c r="AO19" s="59">
        <f t="shared" si="36"/>
        <v>213.96033794804805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4.55</v>
      </c>
      <c r="BD19" s="12">
        <f>IF('Données projet'!$A$88&gt;35,BD18+BC19-BL18,IF(A19&lt;'Données projet'!$A$88,$BA$205^A19,IF(A19='Données projet'!$A$88,'Données projet'!$B$88,BD18+BC19-BL18)))</f>
        <v>36.917570580704506</v>
      </c>
      <c r="BE19" s="13">
        <f>BD19*VLOOKUP('Données projet'!$B$11,Paramètres!$A$1:$I$89,3,0)*VLOOKUP('Données projet'!$B$11,Paramètres!$A$1:$I$89,5,0)</f>
        <v>22.076707207261297</v>
      </c>
      <c r="BF19" s="13">
        <f t="shared" si="37"/>
        <v>7.0966340462853541</v>
      </c>
      <c r="BG19" s="20">
        <f t="shared" si="7"/>
        <v>50.810236016593741</v>
      </c>
      <c r="BH19" s="59">
        <f t="shared" si="8"/>
        <v>344.14356934992708</v>
      </c>
      <c r="BI19" s="59">
        <f ca="1">AVERAGE(OFFSET($BH$3,0,0,'Données projet'!$E$11+1,1))-AVERAGE(OFFSET($H$3,0,0,'Données projet'!$E$11+1,1))</f>
        <v>216.94426559495264</v>
      </c>
      <c r="BJ19" s="59">
        <f t="shared" si="38"/>
        <v>225.33715877618704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6.6</v>
      </c>
      <c r="BY19" s="12">
        <f>IF('Données projet'!$A$114&gt;35,BY18+BX19-CG18,IF(A19&lt;'Données projet'!$A$114,$BV$205^A19,IF(A19='Données projet'!$A$114,'Données projet'!$B$114,BY18+BX19-CG18)))</f>
        <v>49.711760658095955</v>
      </c>
      <c r="BZ19" s="13">
        <f>BY19*VLOOKUP('Données projet'!$B$12,Paramètres!$A$1:$I$89,3,0)*VLOOKUP('Données projet'!$B$12,Paramètres!$A$1:$I$89,5,0)</f>
        <v>43.428194110912635</v>
      </c>
      <c r="CA19" s="13">
        <f t="shared" si="39"/>
        <v>12.902896129065022</v>
      </c>
      <c r="CB19" s="20">
        <f t="shared" si="10"/>
        <v>98.109982167961064</v>
      </c>
      <c r="CC19" s="59">
        <f t="shared" si="11"/>
        <v>391.44331550129436</v>
      </c>
      <c r="CD19" s="59">
        <f ca="1">AVERAGE(OFFSET($CC$3,0,0,'Données projet'!$E$12+1,1))-AVERAGE(OFFSET($H$3,0,0,'Données projet'!$E$12+1,1))</f>
        <v>223.81948236065614</v>
      </c>
      <c r="CE19" s="59">
        <f t="shared" si="40"/>
        <v>320.1204011431372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15.2</v>
      </c>
      <c r="N20" s="13">
        <f>IF('Données projet'!$A$36&gt;35,N19+M20-V19,IF(A20&lt;'Données projet'!$A$36,$K$205^A20,IF(A20='Données projet'!$A$36,'Données projet'!$B$36,N19+M20-V19)))</f>
        <v>82.4</v>
      </c>
      <c r="O20" s="13">
        <f>N20*VLOOKUP('Données projet'!$B$9,Paramètres!$A$1:$I$89,3,0)*VLOOKUP('Données projet'!$B$9,Paramètres!$A$1:$I$89,5,0)</f>
        <v>46.061600000000006</v>
      </c>
      <c r="P20" s="13">
        <f t="shared" si="33"/>
        <v>13.591845292116128</v>
      </c>
      <c r="Q20" s="20">
        <f t="shared" si="2"/>
        <v>103.89641721710227</v>
      </c>
      <c r="R20" s="59">
        <f t="shared" si="0"/>
        <v>397.2297505504356</v>
      </c>
      <c r="S20" s="59">
        <f ca="1">AVERAGE(OFFSET($R$3,0,0,'Données projet'!$E$9+1,1))-AVERAGE(OFFSET($H$3,0,0,'Données projet'!$E$9+1,1))</f>
        <v>279.98352834501759</v>
      </c>
      <c r="T20" s="59">
        <f t="shared" si="34"/>
        <v>281.30062655265488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3.5</v>
      </c>
      <c r="AI20" s="13">
        <f>IF('Données projet'!$A$62&gt;35,AI19+AH20-AQ19,IF(A20&lt;'Données projet'!$A$62,$AF$205^A20,IF(A20='Données projet'!$A$62,'Données projet'!$B$62,AI19+AH20-AQ19)))</f>
        <v>37.01121429373736</v>
      </c>
      <c r="AJ20" s="13">
        <f>AI20*VLOOKUP('Données projet'!$B$10,Paramètres!$A$1:$I$89,3,0)*VLOOKUP('Données projet'!$B$10,Paramètres!$A$1:$I$89,5,0)</f>
        <v>17.802394075287669</v>
      </c>
      <c r="AK20" s="13">
        <f t="shared" si="35"/>
        <v>5.867793048500392</v>
      </c>
      <c r="AL20" s="20">
        <f t="shared" si="4"/>
        <v>41.225575907264208</v>
      </c>
      <c r="AM20" s="59">
        <f t="shared" si="5"/>
        <v>334.55890924059753</v>
      </c>
      <c r="AN20" s="59">
        <f ca="1">AVERAGE(OFFSET($AM$3,0,0,'Données projet'!$E$10+1,1))-AVERAGE(OFFSET($H$3,0,0,'Données projet'!$E$10+1,1))</f>
        <v>252.30925789500111</v>
      </c>
      <c r="AO20" s="59">
        <f t="shared" si="36"/>
        <v>213.96033794804805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4.55</v>
      </c>
      <c r="BD20" s="12">
        <f>IF('Données projet'!$A$88&gt;35,BD19+BC20-BL19,IF(A20&lt;'Données projet'!$A$88,$BA$205^A20,IF(A20='Données projet'!$A$88,'Données projet'!$B$88,BD19+BC20-BL19)))</f>
        <v>46.257822303288052</v>
      </c>
      <c r="BE20" s="13">
        <f>BD20*VLOOKUP('Données projet'!$B$11,Paramètres!$A$1:$I$89,3,0)*VLOOKUP('Données projet'!$B$11,Paramètres!$A$1:$I$89,5,0)</f>
        <v>27.66217773736626</v>
      </c>
      <c r="BF20" s="13">
        <f t="shared" si="37"/>
        <v>8.6616944434151719</v>
      </c>
      <c r="BG20" s="20">
        <f t="shared" si="7"/>
        <v>63.264077381527663</v>
      </c>
      <c r="BH20" s="59">
        <f t="shared" si="8"/>
        <v>356.59741071486098</v>
      </c>
      <c r="BI20" s="59">
        <f ca="1">AVERAGE(OFFSET($BH$3,0,0,'Données projet'!$E$11+1,1))-AVERAGE(OFFSET($H$3,0,0,'Données projet'!$E$11+1,1))</f>
        <v>216.94426559495264</v>
      </c>
      <c r="BJ20" s="59">
        <f t="shared" si="38"/>
        <v>225.33715877618704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6.6</v>
      </c>
      <c r="BY20" s="12">
        <f>IF('Données projet'!$A$114&gt;35,BY19+BX20-CG19,IF(A20&lt;'Données projet'!$A$114,$BV$205^A20,IF(A20='Données projet'!$A$114,'Données projet'!$B$114,BY19+BX20-CG19)))</f>
        <v>63.458213501978861</v>
      </c>
      <c r="BZ20" s="13">
        <f>BY20*VLOOKUP('Données projet'!$B$12,Paramètres!$A$1:$I$89,3,0)*VLOOKUP('Données projet'!$B$12,Paramètres!$A$1:$I$89,5,0)</f>
        <v>55.437095315328747</v>
      </c>
      <c r="CA20" s="13">
        <f t="shared" si="39"/>
        <v>16.009366884744278</v>
      </c>
      <c r="CB20" s="20">
        <f t="shared" si="10"/>
        <v>124.4359216651272</v>
      </c>
      <c r="CC20" s="59">
        <f t="shared" si="11"/>
        <v>417.7692549984605</v>
      </c>
      <c r="CD20" s="59">
        <f ca="1">AVERAGE(OFFSET($CC$3,0,0,'Données projet'!$E$12+1,1))-AVERAGE(OFFSET($H$3,0,0,'Données projet'!$E$12+1,1))</f>
        <v>223.81948236065614</v>
      </c>
      <c r="CE20" s="59">
        <f t="shared" si="40"/>
        <v>320.1204011431372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15.2</v>
      </c>
      <c r="N21" s="13">
        <f>IF('Données projet'!$A$36&gt;35,N20+M21-V20,IF(A21&lt;'Données projet'!$A$36,$K$205^A21,IF(A21='Données projet'!$A$36,'Données projet'!$B$36,N20+M21-V20)))</f>
        <v>97.600000000000009</v>
      </c>
      <c r="O21" s="13">
        <f>N21*VLOOKUP('Données projet'!$B$9,Paramètres!$A$1:$I$89,3,0)*VLOOKUP('Données projet'!$B$9,Paramètres!$A$1:$I$89,5,0)</f>
        <v>54.558400000000006</v>
      </c>
      <c r="P21" s="13">
        <f t="shared" si="33"/>
        <v>15.784942245100703</v>
      </c>
      <c r="Q21" s="20">
        <f t="shared" si="2"/>
        <v>122.51465441021708</v>
      </c>
      <c r="R21" s="59">
        <f t="shared" si="0"/>
        <v>415.84798774355039</v>
      </c>
      <c r="S21" s="59">
        <f ca="1">AVERAGE(OFFSET($R$3,0,0,'Données projet'!$E$9+1,1))-AVERAGE(OFFSET($H$3,0,0,'Données projet'!$E$9+1,1))</f>
        <v>279.98352834501759</v>
      </c>
      <c r="T21" s="59">
        <f t="shared" si="34"/>
        <v>281.30062655265488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3.5</v>
      </c>
      <c r="AI21" s="13">
        <f>IF('Données projet'!$A$62&gt;35,AI20+AH21-AQ20,IF(A21&lt;'Données projet'!$A$62,$AF$205^A21,IF(A21='Données projet'!$A$62,'Données projet'!$B$62,AI20+AH21-AQ20)))</f>
        <v>45.770771834204744</v>
      </c>
      <c r="AJ21" s="13">
        <f>AI21*VLOOKUP('Données projet'!$B$10,Paramètres!$A$1:$I$89,3,0)*VLOOKUP('Données projet'!$B$10,Paramètres!$A$1:$I$89,5,0)</f>
        <v>22.015741252252482</v>
      </c>
      <c r="AK21" s="13">
        <f t="shared" si="35"/>
        <v>7.0793147170517283</v>
      </c>
      <c r="AL21" s="20">
        <f t="shared" si="4"/>
        <v>50.673889146538166</v>
      </c>
      <c r="AM21" s="59">
        <f t="shared" si="5"/>
        <v>344.00722247987147</v>
      </c>
      <c r="AN21" s="59">
        <f ca="1">AVERAGE(OFFSET($AM$3,0,0,'Données projet'!$E$10+1,1))-AVERAGE(OFFSET($H$3,0,0,'Données projet'!$E$10+1,1))</f>
        <v>252.30925789500111</v>
      </c>
      <c r="AO21" s="59">
        <f t="shared" si="36"/>
        <v>213.96033794804805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4.55</v>
      </c>
      <c r="BD21" s="12">
        <f>IF('Données projet'!$A$88&gt;35,BD20+BC21-BL20,IF(A21&lt;'Données projet'!$A$88,$BA$205^A21,IF(A21='Données projet'!$A$88,'Données projet'!$B$88,BD20+BC21-BL20)))</f>
        <v>57.961184622505009</v>
      </c>
      <c r="BE21" s="13">
        <f>BD21*VLOOKUP('Données projet'!$B$11,Paramètres!$A$1:$I$89,3,0)*VLOOKUP('Données projet'!$B$11,Paramètres!$A$1:$I$89,5,0)</f>
        <v>34.660788404258</v>
      </c>
      <c r="BF21" s="13">
        <f t="shared" si="37"/>
        <v>10.571906363180744</v>
      </c>
      <c r="BG21" s="20">
        <f t="shared" si="7"/>
        <v>78.780276719955808</v>
      </c>
      <c r="BH21" s="59">
        <f t="shared" si="8"/>
        <v>372.11361005328911</v>
      </c>
      <c r="BI21" s="59">
        <f ca="1">AVERAGE(OFFSET($BH$3,0,0,'Données projet'!$E$11+1,1))-AVERAGE(OFFSET($H$3,0,0,'Données projet'!$E$11+1,1))</f>
        <v>216.94426559495264</v>
      </c>
      <c r="BJ21" s="59">
        <f t="shared" si="38"/>
        <v>225.33715877618704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6.6</v>
      </c>
      <c r="BY21" s="12">
        <f>IF('Données projet'!$A$114&gt;35,BY20+BX21-CG20,IF(A21&lt;'Données projet'!$A$114,$BV$205^A21,IF(A21='Données projet'!$A$114,'Données projet'!$B$114,BY20+BX21-CG20)))</f>
        <v>81.005878841406769</v>
      </c>
      <c r="BZ21" s="13">
        <f>BY21*VLOOKUP('Données projet'!$B$12,Paramètres!$A$1:$I$89,3,0)*VLOOKUP('Données projet'!$B$12,Paramètres!$A$1:$I$89,5,0)</f>
        <v>70.766735755852963</v>
      </c>
      <c r="CA21" s="13">
        <f t="shared" si="39"/>
        <v>19.863744192515547</v>
      </c>
      <c r="CB21" s="20">
        <f t="shared" si="10"/>
        <v>157.84808591007513</v>
      </c>
      <c r="CC21" s="59">
        <f t="shared" si="11"/>
        <v>451.18141924340841</v>
      </c>
      <c r="CD21" s="59">
        <f ca="1">AVERAGE(OFFSET($CC$3,0,0,'Données projet'!$E$12+1,1))-AVERAGE(OFFSET($H$3,0,0,'Données projet'!$E$12+1,1))</f>
        <v>223.81948236065614</v>
      </c>
      <c r="CE21" s="59">
        <f t="shared" si="40"/>
        <v>320.1204011431372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15.2</v>
      </c>
      <c r="N22" s="13">
        <f>IF('Données projet'!$A$36&gt;35,N21+M22-V21,IF(A22&lt;'Données projet'!$A$36,$K$205^A22,IF(A22='Données projet'!$A$36,'Données projet'!$B$36,N21+M22-V21)))</f>
        <v>112.80000000000001</v>
      </c>
      <c r="O22" s="13">
        <f>N22*VLOOKUP('Données projet'!$B$9,Paramètres!$A$1:$I$89,3,0)*VLOOKUP('Données projet'!$B$9,Paramètres!$A$1:$I$89,5,0)</f>
        <v>63.055200000000006</v>
      </c>
      <c r="P22" s="13">
        <f t="shared" si="33"/>
        <v>17.938472483677149</v>
      </c>
      <c r="Q22" s="20">
        <f t="shared" si="2"/>
        <v>141.0639795757377</v>
      </c>
      <c r="R22" s="59">
        <f t="shared" si="0"/>
        <v>434.39731290907105</v>
      </c>
      <c r="S22" s="59">
        <f ca="1">AVERAGE(OFFSET($R$3,0,0,'Données projet'!$E$9+1,1))-AVERAGE(OFFSET($H$3,0,0,'Données projet'!$E$9+1,1))</f>
        <v>279.98352834501759</v>
      </c>
      <c r="T22" s="59">
        <f t="shared" si="34"/>
        <v>281.30062655265488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3.5</v>
      </c>
      <c r="AI22" s="13">
        <f>IF('Données projet'!$A$62&gt;35,AI21+AH22-AQ21,IF(A22&lt;'Données projet'!$A$62,$AF$205^A22,IF(A22='Données projet'!$A$62,'Données projet'!$B$62,AI21+AH22-AQ21)))</f>
        <v>56.603480709178399</v>
      </c>
      <c r="AJ22" s="13">
        <f>AI22*VLOOKUP('Données projet'!$B$10,Paramètres!$A$1:$I$89,3,0)*VLOOKUP('Données projet'!$B$10,Paramètres!$A$1:$I$89,5,0)</f>
        <v>27.226274221114814</v>
      </c>
      <c r="AK22" s="13">
        <f t="shared" si="35"/>
        <v>8.5409789419675128</v>
      </c>
      <c r="AL22" s="20">
        <f t="shared" si="4"/>
        <v>62.29463259236838</v>
      </c>
      <c r="AM22" s="59">
        <f t="shared" si="5"/>
        <v>355.62796592570169</v>
      </c>
      <c r="AN22" s="59">
        <f ca="1">AVERAGE(OFFSET($AM$3,0,0,'Données projet'!$E$10+1,1))-AVERAGE(OFFSET($H$3,0,0,'Données projet'!$E$10+1,1))</f>
        <v>252.30925789500111</v>
      </c>
      <c r="AO22" s="59">
        <f t="shared" si="36"/>
        <v>213.96033794804805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4.55</v>
      </c>
      <c r="BD22" s="12">
        <f>IF('Données projet'!$A$88&gt;35,BD21+BC22-BL21,IF(A22&lt;'Données projet'!$A$88,$BA$205^A22,IF(A22='Données projet'!$A$88,'Données projet'!$B$88,BD21+BC22-BL21)))</f>
        <v>72.625531327818578</v>
      </c>
      <c r="BE22" s="13">
        <f>BD22*VLOOKUP('Données projet'!$B$11,Paramètres!$A$1:$I$89,3,0)*VLOOKUP('Données projet'!$B$11,Paramètres!$A$1:$I$89,5,0)</f>
        <v>43.430067734035511</v>
      </c>
      <c r="BF22" s="13">
        <f t="shared" si="37"/>
        <v>12.903388001273598</v>
      </c>
      <c r="BG22" s="20">
        <f t="shared" si="7"/>
        <v>98.114102072330027</v>
      </c>
      <c r="BH22" s="59">
        <f t="shared" si="8"/>
        <v>391.44743540566333</v>
      </c>
      <c r="BI22" s="59">
        <f ca="1">AVERAGE(OFFSET($BH$3,0,0,'Données projet'!$E$11+1,1))-AVERAGE(OFFSET($H$3,0,0,'Données projet'!$E$11+1,1))</f>
        <v>216.94426559495264</v>
      </c>
      <c r="BJ22" s="59">
        <f t="shared" si="38"/>
        <v>225.33715877618704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6.6</v>
      </c>
      <c r="BY22" s="12">
        <f>IF('Données projet'!$A$114&gt;35,BY21+BX22-CG21,IF(A22&lt;'Données projet'!$A$114,$BV$205^A22,IF(A22='Données projet'!$A$114,'Données projet'!$B$114,BY21+BX22-CG21)))</f>
        <v>103.40587994435182</v>
      </c>
      <c r="BZ22" s="13">
        <f>BY22*VLOOKUP('Données projet'!$B$12,Paramètres!$A$1:$I$89,3,0)*VLOOKUP('Données projet'!$B$12,Paramètres!$A$1:$I$89,5,0)</f>
        <v>90.335376719385764</v>
      </c>
      <c r="CA22" s="13">
        <f t="shared" si="39"/>
        <v>24.646092265003244</v>
      </c>
      <c r="CB22" s="20">
        <f t="shared" si="10"/>
        <v>200.25939181447754</v>
      </c>
      <c r="CC22" s="59">
        <f t="shared" si="11"/>
        <v>493.59272514781082</v>
      </c>
      <c r="CD22" s="59">
        <f ca="1">AVERAGE(OFFSET($CC$3,0,0,'Données projet'!$E$12+1,1))-AVERAGE(OFFSET($H$3,0,0,'Données projet'!$E$12+1,1))</f>
        <v>223.81948236065614</v>
      </c>
      <c r="CE22" s="59">
        <f t="shared" si="40"/>
        <v>320.1204011431372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128</v>
      </c>
      <c r="L23" s="12">
        <f>VLOOKUP(A23,'Données projet'!$A$35:$I$55,9,0)</f>
        <v>15.2</v>
      </c>
      <c r="M23" s="12">
        <f t="array" ref="M23">INDEX(L:L,MIN(IF(ISNUMBER(L23:L219),ROW(L23:L219),"")))</f>
        <v>15.2</v>
      </c>
      <c r="N23" s="13">
        <f>IF('Données projet'!$A$36&gt;35,N22+M23-V22,IF(A23&lt;'Données projet'!$A$36,$K$205^A23,IF(A23='Données projet'!$A$36,'Données projet'!$B$36,N22+M23-V22)))</f>
        <v>128</v>
      </c>
      <c r="O23" s="13">
        <f>N23*VLOOKUP('Données projet'!$B$9,Paramètres!$A$1:$I$89,3,0)*VLOOKUP('Données projet'!$B$9,Paramètres!$A$1:$I$89,5,0)</f>
        <v>71.552000000000007</v>
      </c>
      <c r="P23" s="13">
        <f t="shared" si="33"/>
        <v>20.058380594223774</v>
      </c>
      <c r="Q23" s="20">
        <f t="shared" si="2"/>
        <v>159.55474620160641</v>
      </c>
      <c r="R23" s="59">
        <f t="shared" si="0"/>
        <v>452.88807953493972</v>
      </c>
      <c r="S23" s="59">
        <f ca="1">AVERAGE(OFFSET($R$3,0,0,'Données projet'!$E$9+1,1))-AVERAGE(OFFSET($H$3,0,0,'Données projet'!$E$9+1,1))</f>
        <v>279.98352834501759</v>
      </c>
      <c r="T23" s="59">
        <f t="shared" si="34"/>
        <v>281.30062655265488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41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8.3280506289711571</v>
      </c>
      <c r="AB23" s="21">
        <f>EXP(-LN(2)/2)*AB22+(1-EXP(-LN(2)/2))/(LN(2)/2)*V23*Y23*VLOOKUP('Données projet'!$B$9,Paramètres!$A$1:$I$89,3,0)*0.475*44/12</f>
        <v>12.974816013504537</v>
      </c>
      <c r="AC23" s="22">
        <f t="shared" si="3"/>
        <v>21.302866642475692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70</v>
      </c>
      <c r="AG23" s="12">
        <f>VLOOKUP(A23,'Données projet'!$A$61:$I$81,9,0)</f>
        <v>3.5</v>
      </c>
      <c r="AH23" s="12">
        <f t="array" ref="AH23">INDEX(AG:AG,MIN(IF(ISNUMBER(AG23:AG219),ROW(AG23:AG219),"")))</f>
        <v>3.5</v>
      </c>
      <c r="AI23" s="13">
        <f>IF('Données projet'!$A$62&gt;35,AI22+AH23-AQ22,IF(A23&lt;'Données projet'!$A$62,$AF$205^A23,IF(A23='Données projet'!$A$62,'Données projet'!$B$62,AI22+AH23-AQ22)))</f>
        <v>70</v>
      </c>
      <c r="AJ23" s="13">
        <f>AI23*VLOOKUP('Données projet'!$B$10,Paramètres!$A$1:$I$89,3,0)*VLOOKUP('Données projet'!$B$10,Paramètres!$A$1:$I$89,5,0)</f>
        <v>33.67</v>
      </c>
      <c r="AK23" s="13">
        <f t="shared" si="35"/>
        <v>10.304432590265284</v>
      </c>
      <c r="AL23" s="20">
        <f t="shared" si="4"/>
        <v>76.588803428045381</v>
      </c>
      <c r="AM23" s="59">
        <f t="shared" si="5"/>
        <v>369.92213676137868</v>
      </c>
      <c r="AN23" s="59">
        <f ca="1">AVERAGE(OFFSET($AM$3,0,0,'Données projet'!$E$10+1,1))-AVERAGE(OFFSET($H$3,0,0,'Données projet'!$E$10+1,1))</f>
        <v>252.30925789500111</v>
      </c>
      <c r="AO23" s="59">
        <f t="shared" si="36"/>
        <v>213.96033794804805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0.27500000000000002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91</v>
      </c>
      <c r="BB23" s="12">
        <f>VLOOKUP(A23,'Données projet'!$A$87:$I$107,9,0)</f>
        <v>4.55</v>
      </c>
      <c r="BC23" s="12">
        <f t="array" ref="BC23">INDEX(BB:BB,MIN(IF(ISNUMBER(BB23:BB219),ROW(BB23:BB219),"")))</f>
        <v>4.55</v>
      </c>
      <c r="BD23" s="12">
        <f>IF('Données projet'!$A$88&gt;35,BD22+BC23-BL22,IF(A23&lt;'Données projet'!$A$88,$BA$205^A23,IF(A23='Données projet'!$A$88,'Données projet'!$B$88,BD22+BC23-BL22)))</f>
        <v>91</v>
      </c>
      <c r="BE23" s="13">
        <f>BD23*VLOOKUP('Données projet'!$B$11,Paramètres!$A$1:$I$89,3,0)*VLOOKUP('Données projet'!$B$11,Paramètres!$A$1:$I$89,5,0)</f>
        <v>54.417999999999999</v>
      </c>
      <c r="BF23" s="13">
        <f t="shared" si="37"/>
        <v>15.749044324804036</v>
      </c>
      <c r="BG23" s="20">
        <f t="shared" si="7"/>
        <v>122.20760219903367</v>
      </c>
      <c r="BH23" s="59">
        <f t="shared" si="8"/>
        <v>415.54093553236697</v>
      </c>
      <c r="BI23" s="59">
        <f ca="1">AVERAGE(OFFSET($BH$3,0,0,'Données projet'!$E$11+1,1))-AVERAGE(OFFSET($H$3,0,0,'Données projet'!$E$11+1,1))</f>
        <v>216.94426559495264</v>
      </c>
      <c r="BJ23" s="59">
        <f t="shared" si="38"/>
        <v>225.33715877618704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0.22500000000000001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0.53335940190698583</v>
      </c>
      <c r="BR23" s="21">
        <f>EXP(-LN(2)/2)*BR22+(1-EXP(-LN(2)/2))/(LN(2)/2)*BL23*BO23*VLOOKUP('Données projet'!$B$11,Paramètres!$A$1:$I$89,3,0)*0.475*44/12</f>
        <v>1.0156123708812399</v>
      </c>
      <c r="BS23" s="22">
        <f t="shared" si="9"/>
        <v>1.5489717727882257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132</v>
      </c>
      <c r="BW23" s="12">
        <f>VLOOKUP(A23,'Données projet'!$A$113:$I$133,9,0)</f>
        <v>6.6</v>
      </c>
      <c r="BX23" s="12">
        <f t="array" ref="BX23">INDEX(BW:BW,MIN(IF(ISNUMBER(BW23:BW219),ROW(BW23:BW219),"")))</f>
        <v>6.6</v>
      </c>
      <c r="BY23" s="12">
        <f>IF('Données projet'!$A$114&gt;35,BY22+BX23-CG22,IF(A23&lt;'Données projet'!$A$114,$BV$205^A23,IF(A23='Données projet'!$A$114,'Données projet'!$B$114,BY22+BX23-CG22)))</f>
        <v>132</v>
      </c>
      <c r="BZ23" s="13">
        <f>BY23*VLOOKUP('Données projet'!$B$12,Paramètres!$A$1:$I$89,3,0)*VLOOKUP('Données projet'!$B$12,Paramètres!$A$1:$I$89,5,0)</f>
        <v>115.3152</v>
      </c>
      <c r="CA23" s="13">
        <f t="shared" si="39"/>
        <v>30.579827148797317</v>
      </c>
      <c r="CB23" s="20">
        <f t="shared" si="10"/>
        <v>254.10050561748861</v>
      </c>
      <c r="CC23" s="59">
        <f t="shared" si="11"/>
        <v>547.43383895082195</v>
      </c>
      <c r="CD23" s="59">
        <f ca="1">AVERAGE(OFFSET($CC$3,0,0,'Données projet'!$E$12+1,1))-AVERAGE(OFFSET($H$3,0,0,'Données projet'!$E$12+1,1))</f>
        <v>223.81948236065614</v>
      </c>
      <c r="CE23" s="59">
        <f t="shared" si="40"/>
        <v>320.1204011431372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50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5.1704083727537116</v>
      </c>
      <c r="CM23" s="21">
        <f>EXP(-LN(2)/2)*CM22+(1-EXP(-LN(2)/2))/(LN(2)/2)*CG23*CJ23*VLOOKUP('Données projet'!$B$12,Paramètres!$A$1:$I$89,3,0)*0.475*44/12</f>
        <v>10.303313907490841</v>
      </c>
      <c r="CN23" s="22">
        <f t="shared" si="12"/>
        <v>15.473722280244552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19.3</v>
      </c>
      <c r="N24" s="13">
        <f>IF('Données projet'!$A$36&gt;35,N23+M24-V23,IF(A24&lt;'Données projet'!$A$36,$K$205^A24,IF(A24='Données projet'!$A$36,'Données projet'!$B$36,N23+M24-V23)))</f>
        <v>106.30000000000001</v>
      </c>
      <c r="O24" s="13">
        <f>N24*VLOOKUP('Données projet'!$B$9,Paramètres!$A$1:$I$89,3,0)*VLOOKUP('Données projet'!$B$9,Paramètres!$A$1:$I$89,5,0)</f>
        <v>59.421700000000008</v>
      </c>
      <c r="P24" s="13">
        <f t="shared" si="33"/>
        <v>17.021974314670206</v>
      </c>
      <c r="Q24" s="20">
        <f t="shared" si="2"/>
        <v>133.13939943138396</v>
      </c>
      <c r="R24" s="59">
        <f t="shared" si="0"/>
        <v>426.47273276471731</v>
      </c>
      <c r="S24" s="59">
        <f ca="1">AVERAGE(OFFSET($R$3,0,0,'Données projet'!$E$9+1,1))-AVERAGE(OFFSET($H$3,0,0,'Données projet'!$E$9+1,1))</f>
        <v>279.98352834501759</v>
      </c>
      <c r="T24" s="59">
        <f t="shared" si="34"/>
        <v>281.30062655265488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8.1003196465687921</v>
      </c>
      <c r="AB24" s="21">
        <f>EXP(-LN(2)/2)*AB23+(1-EXP(-LN(2)/2))/(LN(2)/2)*V24*Y24*VLOOKUP('Données projet'!$B$9,Paramètres!$A$1:$I$89,3,0)*0.475*44/12</f>
        <v>9.1745803877968655</v>
      </c>
      <c r="AC24" s="22">
        <f t="shared" si="3"/>
        <v>17.274900034365658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</v>
      </c>
      <c r="AI24" s="13">
        <f>IF('Données projet'!$A$62&gt;35,AI23+AH24-AQ23,IF(A24&lt;'Données projet'!$A$62,$AF$205^A24,IF(A24='Données projet'!$A$62,'Données projet'!$B$62,AI23+AH24-AQ23)))</f>
        <v>89</v>
      </c>
      <c r="AJ24" s="13">
        <f>AI24*VLOOKUP('Données projet'!$B$10,Paramètres!$A$1:$I$89,3,0)*VLOOKUP('Données projet'!$B$10,Paramètres!$A$1:$I$89,5,0)</f>
        <v>42.809000000000005</v>
      </c>
      <c r="AK24" s="13">
        <f t="shared" si="35"/>
        <v>12.740206408885715</v>
      </c>
      <c r="AL24" s="20">
        <f t="shared" si="4"/>
        <v>96.748201162142621</v>
      </c>
      <c r="AM24" s="59">
        <f t="shared" si="5"/>
        <v>390.08153449547592</v>
      </c>
      <c r="AN24" s="59">
        <f ca="1">AVERAGE(OFFSET($AM$3,0,0,'Données projet'!$E$10+1,1))-AVERAGE(OFFSET($H$3,0,0,'Données projet'!$E$10+1,1))</f>
        <v>252.30925789500111</v>
      </c>
      <c r="AO24" s="59">
        <f t="shared" si="36"/>
        <v>213.96033794804805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13</v>
      </c>
      <c r="BD24" s="12">
        <f>IF('Données projet'!$A$88&gt;35,BD23+BC24-BL23,IF(A24&lt;'Données projet'!$A$88,$BA$205^A24,IF(A24='Données projet'!$A$88,'Données projet'!$B$88,BD23+BC24-BL23)))</f>
        <v>101</v>
      </c>
      <c r="BE24" s="13">
        <f>BD24*VLOOKUP('Données projet'!$B$11,Paramètres!$A$1:$I$89,3,0)*VLOOKUP('Données projet'!$B$11,Paramètres!$A$1:$I$89,5,0)</f>
        <v>60.398000000000003</v>
      </c>
      <c r="BF24" s="13">
        <f t="shared" si="37"/>
        <v>17.26885714728807</v>
      </c>
      <c r="BG24" s="20">
        <f t="shared" si="7"/>
        <v>135.26977619819337</v>
      </c>
      <c r="BH24" s="59">
        <f t="shared" si="8"/>
        <v>428.60310953152668</v>
      </c>
      <c r="BI24" s="59">
        <f ca="1">AVERAGE(OFFSET($BH$3,0,0,'Données projet'!$E$11+1,1))-AVERAGE(OFFSET($H$3,0,0,'Données projet'!$E$11+1,1))</f>
        <v>216.94426559495264</v>
      </c>
      <c r="BJ24" s="59">
        <f t="shared" si="38"/>
        <v>225.33715877618704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0.51877466101368741</v>
      </c>
      <c r="BR24" s="21">
        <f>EXP(-LN(2)/2)*BR23+(1-EXP(-LN(2)/2))/(LN(2)/2)*BL24*BO24*VLOOKUP('Données projet'!$B$11,Paramètres!$A$1:$I$89,3,0)*0.475*44/12</f>
        <v>0.71814639450707174</v>
      </c>
      <c r="BS24" s="22">
        <f t="shared" si="9"/>
        <v>1.2369210555207593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11.8</v>
      </c>
      <c r="BY24" s="12">
        <f>IF('Données projet'!$A$114&gt;35,BY23+BX24-CG23,IF(A24&lt;'Données projet'!$A$114,$BV$205^A24,IF(A24='Données projet'!$A$114,'Données projet'!$B$114,BY23+BX24-CG23)))</f>
        <v>93.800000000000011</v>
      </c>
      <c r="BZ24" s="13">
        <f>BY24*VLOOKUP('Données projet'!$B$12,Paramètres!$A$1:$I$89,3,0)*VLOOKUP('Données projet'!$B$12,Paramètres!$A$1:$I$89,5,0)</f>
        <v>81.943680000000029</v>
      </c>
      <c r="CA24" s="13">
        <f t="shared" si="39"/>
        <v>22.611757990043472</v>
      </c>
      <c r="CB24" s="20">
        <f t="shared" si="10"/>
        <v>182.10072116599244</v>
      </c>
      <c r="CC24" s="59">
        <f t="shared" si="11"/>
        <v>475.43405449932573</v>
      </c>
      <c r="CD24" s="59">
        <f ca="1">AVERAGE(OFFSET($CC$3,0,0,'Données projet'!$E$12+1,1))-AVERAGE(OFFSET($H$3,0,0,'Données projet'!$E$12+1,1))</f>
        <v>223.81948236065614</v>
      </c>
      <c r="CE24" s="59">
        <f t="shared" si="40"/>
        <v>320.1204011431372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5.029023283900802</v>
      </c>
      <c r="CM24" s="21">
        <f>EXP(-LN(2)/2)*CM23+(1-EXP(-LN(2)/2))/(LN(2)/2)*CG24*CJ24*VLOOKUP('Données projet'!$B$12,Paramètres!$A$1:$I$89,3,0)*0.475*44/12</f>
        <v>7.2855431326804387</v>
      </c>
      <c r="CN24" s="22">
        <f t="shared" si="12"/>
        <v>12.31456641658124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19.3</v>
      </c>
      <c r="N25" s="13">
        <f>IF('Données projet'!$A$36&gt;35,N24+M25-V24,IF(A25&lt;'Données projet'!$A$36,$K$205^A25,IF(A25='Données projet'!$A$36,'Données projet'!$B$36,N24+M25-V24)))</f>
        <v>125.60000000000001</v>
      </c>
      <c r="O25" s="13">
        <f>N25*VLOOKUP('Données projet'!$B$9,Paramètres!$A$1:$I$89,3,0)*VLOOKUP('Données projet'!$B$9,Paramètres!$A$1:$I$89,5,0)</f>
        <v>70.210400000000007</v>
      </c>
      <c r="P25" s="13">
        <f t="shared" si="33"/>
        <v>19.725698176833735</v>
      </c>
      <c r="Q25" s="20">
        <f t="shared" si="2"/>
        <v>156.63870432465208</v>
      </c>
      <c r="R25" s="59">
        <f t="shared" si="0"/>
        <v>449.97203765798542</v>
      </c>
      <c r="S25" s="59">
        <f ca="1">AVERAGE(OFFSET($R$3,0,0,'Données projet'!$E$9+1,1))-AVERAGE(OFFSET($H$3,0,0,'Données projet'!$E$9+1,1))</f>
        <v>279.98352834501759</v>
      </c>
      <c r="T25" s="59">
        <f t="shared" si="34"/>
        <v>281.30062655265488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7.8788159798560722</v>
      </c>
      <c r="AB25" s="21">
        <f>EXP(-LN(2)/2)*AB24+(1-EXP(-LN(2)/2))/(LN(2)/2)*V25*Y25*VLOOKUP('Données projet'!$B$9,Paramètres!$A$1:$I$89,3,0)*0.475*44/12</f>
        <v>6.4874080067522693</v>
      </c>
      <c r="AC25" s="22">
        <f t="shared" si="3"/>
        <v>14.366223986608341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</v>
      </c>
      <c r="AI25" s="13">
        <f>IF('Données projet'!$A$62&gt;35,AI24+AH25-AQ24,IF(A25&lt;'Données projet'!$A$62,$AF$205^A25,IF(A25='Données projet'!$A$62,'Données projet'!$B$62,AI24+AH25-AQ24)))</f>
        <v>108</v>
      </c>
      <c r="AJ25" s="13">
        <f>AI25*VLOOKUP('Données projet'!$B$10,Paramètres!$A$1:$I$89,3,0)*VLOOKUP('Données projet'!$B$10,Paramètres!$A$1:$I$89,5,0)</f>
        <v>51.948</v>
      </c>
      <c r="AK25" s="13">
        <f t="shared" si="35"/>
        <v>15.115714645211892</v>
      </c>
      <c r="AL25" s="20">
        <f t="shared" si="4"/>
        <v>116.8026363404107</v>
      </c>
      <c r="AM25" s="59">
        <f t="shared" si="5"/>
        <v>410.135969673744</v>
      </c>
      <c r="AN25" s="59">
        <f ca="1">AVERAGE(OFFSET($AM$3,0,0,'Données projet'!$E$10+1,1))-AVERAGE(OFFSET($H$3,0,0,'Données projet'!$E$10+1,1))</f>
        <v>252.30925789500111</v>
      </c>
      <c r="AO25" s="59">
        <f t="shared" si="36"/>
        <v>213.96033794804805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13</v>
      </c>
      <c r="BD25" s="12">
        <f>IF('Données projet'!$A$88&gt;35,BD24+BC25-BL24,IF(A25&lt;'Données projet'!$A$88,$BA$205^A25,IF(A25='Données projet'!$A$88,'Données projet'!$B$88,BD24+BC25-BL24)))</f>
        <v>114</v>
      </c>
      <c r="BE25" s="13">
        <f>BD25*VLOOKUP('Données projet'!$B$11,Paramètres!$A$1:$I$89,3,0)*VLOOKUP('Données projet'!$B$11,Paramètres!$A$1:$I$89,5,0)</f>
        <v>68.172000000000011</v>
      </c>
      <c r="BF25" s="13">
        <f t="shared" si="37"/>
        <v>19.21880399855084</v>
      </c>
      <c r="BG25" s="20">
        <f t="shared" si="7"/>
        <v>152.20565029747607</v>
      </c>
      <c r="BH25" s="59">
        <f t="shared" si="8"/>
        <v>445.53898363080941</v>
      </c>
      <c r="BI25" s="59">
        <f ca="1">AVERAGE(OFFSET($BH$3,0,0,'Données projet'!$E$11+1,1))-AVERAGE(OFFSET($H$3,0,0,'Données projet'!$E$11+1,1))</f>
        <v>216.94426559495264</v>
      </c>
      <c r="BJ25" s="59">
        <f t="shared" si="38"/>
        <v>225.33715877618704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0.50458874062709436</v>
      </c>
      <c r="BR25" s="21">
        <f>EXP(-LN(2)/2)*BR24+(1-EXP(-LN(2)/2))/(LN(2)/2)*BL25*BO25*VLOOKUP('Données projet'!$B$11,Paramètres!$A$1:$I$89,3,0)*0.475*44/12</f>
        <v>0.50780618544062006</v>
      </c>
      <c r="BS25" s="22">
        <f t="shared" si="9"/>
        <v>1.0123949260677145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11.8</v>
      </c>
      <c r="BY25" s="12">
        <f>IF('Données projet'!$A$114&gt;35,BY24+BX25-CG24,IF(A25&lt;'Données projet'!$A$114,$BV$205^A25,IF(A25='Données projet'!$A$114,'Données projet'!$B$114,BY24+BX25-CG24)))</f>
        <v>105.60000000000001</v>
      </c>
      <c r="BZ25" s="13">
        <f>BY25*VLOOKUP('Données projet'!$B$12,Paramètres!$A$1:$I$89,3,0)*VLOOKUP('Données projet'!$B$12,Paramètres!$A$1:$I$89,5,0)</f>
        <v>92.252160000000018</v>
      </c>
      <c r="CA25" s="13">
        <f t="shared" si="39"/>
        <v>25.107607958259987</v>
      </c>
      <c r="CB25" s="20">
        <f t="shared" si="10"/>
        <v>204.40159586063615</v>
      </c>
      <c r="CC25" s="59">
        <f t="shared" si="11"/>
        <v>497.73492919396949</v>
      </c>
      <c r="CD25" s="59">
        <f ca="1">AVERAGE(OFFSET($CC$3,0,0,'Données projet'!$E$12+1,1))-AVERAGE(OFFSET($H$3,0,0,'Données projet'!$E$12+1,1))</f>
        <v>223.81948236065614</v>
      </c>
      <c r="CE25" s="59">
        <f t="shared" si="40"/>
        <v>320.1204011431372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4.8915043777376939</v>
      </c>
      <c r="CM25" s="21">
        <f>EXP(-LN(2)/2)*CM24+(1-EXP(-LN(2)/2))/(LN(2)/2)*CG25*CJ25*VLOOKUP('Données projet'!$B$12,Paramètres!$A$1:$I$89,3,0)*0.475*44/12</f>
        <v>5.1516569537454213</v>
      </c>
      <c r="CN25" s="22">
        <f t="shared" si="12"/>
        <v>10.043161331483116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19.3</v>
      </c>
      <c r="N26" s="13">
        <f>IF('Données projet'!$A$36&gt;35,N25+M26-V25,IF(A26&lt;'Données projet'!$A$36,$K$205^A26,IF(A26='Données projet'!$A$36,'Données projet'!$B$36,N25+M26-V25)))</f>
        <v>144.9</v>
      </c>
      <c r="O26" s="13">
        <f>N26*VLOOKUP('Données projet'!$B$9,Paramètres!$A$1:$I$89,3,0)*VLOOKUP('Données projet'!$B$9,Paramètres!$A$1:$I$89,5,0)</f>
        <v>80.999099999999999</v>
      </c>
      <c r="P26" s="13">
        <f t="shared" si="33"/>
        <v>22.381292534971308</v>
      </c>
      <c r="Q26" s="20">
        <f t="shared" si="2"/>
        <v>180.05418366507502</v>
      </c>
      <c r="R26" s="59">
        <f t="shared" si="0"/>
        <v>473.38751699840833</v>
      </c>
      <c r="S26" s="59">
        <f ca="1">AVERAGE(OFFSET($R$3,0,0,'Données projet'!$E$9+1,1))-AVERAGE(OFFSET($H$3,0,0,'Données projet'!$E$9+1,1))</f>
        <v>279.98352834501759</v>
      </c>
      <c r="T26" s="59">
        <f t="shared" si="34"/>
        <v>281.30062655265488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7.6633693425579832</v>
      </c>
      <c r="AB26" s="21">
        <f>EXP(-LN(2)/2)*AB25+(1-EXP(-LN(2)/2))/(LN(2)/2)*V26*Y26*VLOOKUP('Données projet'!$B$9,Paramètres!$A$1:$I$89,3,0)*0.475*44/12</f>
        <v>4.5872901938984336</v>
      </c>
      <c r="AC26" s="22">
        <f t="shared" si="3"/>
        <v>12.250659536456418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</v>
      </c>
      <c r="AI26" s="13">
        <f>IF('Données projet'!$A$62&gt;35,AI25+AH26-AQ25,IF(A26&lt;'Données projet'!$A$62,$AF$205^A26,IF(A26='Données projet'!$A$62,'Données projet'!$B$62,AI25+AH26-AQ25)))</f>
        <v>127</v>
      </c>
      <c r="AJ26" s="13">
        <f>AI26*VLOOKUP('Données projet'!$B$10,Paramètres!$A$1:$I$89,3,0)*VLOOKUP('Données projet'!$B$10,Paramètres!$A$1:$I$89,5,0)</f>
        <v>61.087000000000003</v>
      </c>
      <c r="AK26" s="13">
        <f t="shared" si="35"/>
        <v>17.442808876624724</v>
      </c>
      <c r="AL26" s="20">
        <f t="shared" si="4"/>
        <v>136.77275046012139</v>
      </c>
      <c r="AM26" s="59">
        <f t="shared" si="5"/>
        <v>430.10608379345467</v>
      </c>
      <c r="AN26" s="59">
        <f ca="1">AVERAGE(OFFSET($AM$3,0,0,'Données projet'!$E$10+1,1))-AVERAGE(OFFSET($H$3,0,0,'Données projet'!$E$10+1,1))</f>
        <v>252.30925789500111</v>
      </c>
      <c r="AO26" s="59">
        <f t="shared" si="36"/>
        <v>213.96033794804805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13</v>
      </c>
      <c r="BD26" s="12">
        <f>IF('Données projet'!$A$88&gt;35,BD25+BC26-BL25,IF(A26&lt;'Données projet'!$A$88,$BA$205^A26,IF(A26='Données projet'!$A$88,'Données projet'!$B$88,BD25+BC26-BL25)))</f>
        <v>127</v>
      </c>
      <c r="BE26" s="13">
        <f>BD26*VLOOKUP('Données projet'!$B$11,Paramètres!$A$1:$I$89,3,0)*VLOOKUP('Données projet'!$B$11,Paramètres!$A$1:$I$89,5,0)</f>
        <v>75.945999999999998</v>
      </c>
      <c r="BF26" s="13">
        <f t="shared" si="37"/>
        <v>21.142979995226831</v>
      </c>
      <c r="BG26" s="20">
        <f t="shared" si="7"/>
        <v>169.09664015835338</v>
      </c>
      <c r="BH26" s="59">
        <f t="shared" si="8"/>
        <v>462.42997349168672</v>
      </c>
      <c r="BI26" s="59">
        <f ca="1">AVERAGE(OFFSET($BH$3,0,0,'Données projet'!$E$11+1,1))-AVERAGE(OFFSET($H$3,0,0,'Données projet'!$E$11+1,1))</f>
        <v>216.94426559495264</v>
      </c>
      <c r="BJ26" s="59">
        <f t="shared" si="38"/>
        <v>225.33715877618704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0.49079073497947784</v>
      </c>
      <c r="BR26" s="21">
        <f>EXP(-LN(2)/2)*BR25+(1-EXP(-LN(2)/2))/(LN(2)/2)*BL26*BO26*VLOOKUP('Données projet'!$B$11,Paramètres!$A$1:$I$89,3,0)*0.475*44/12</f>
        <v>0.35907319725353593</v>
      </c>
      <c r="BS26" s="22">
        <f t="shared" si="9"/>
        <v>0.84986393223301371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11.8</v>
      </c>
      <c r="BY26" s="12">
        <f>IF('Données projet'!$A$114&gt;35,BY25+BX26-CG25,IF(A26&lt;'Données projet'!$A$114,$BV$205^A26,IF(A26='Données projet'!$A$114,'Données projet'!$B$114,BY25+BX26-CG25)))</f>
        <v>117.4</v>
      </c>
      <c r="BZ26" s="13">
        <f>BY26*VLOOKUP('Données projet'!$B$12,Paramètres!$A$1:$I$89,3,0)*VLOOKUP('Données projet'!$B$12,Paramètres!$A$1:$I$89,5,0)</f>
        <v>102.56064000000002</v>
      </c>
      <c r="CA26" s="13">
        <f t="shared" si="39"/>
        <v>27.571134131783779</v>
      </c>
      <c r="CB26" s="20">
        <f t="shared" si="10"/>
        <v>226.64617327952342</v>
      </c>
      <c r="CC26" s="59">
        <f t="shared" si="11"/>
        <v>519.97950661285677</v>
      </c>
      <c r="CD26" s="59">
        <f ca="1">AVERAGE(OFFSET($CC$3,0,0,'Données projet'!$E$12+1,1))-AVERAGE(OFFSET($H$3,0,0,'Données projet'!$E$12+1,1))</f>
        <v>223.81948236065614</v>
      </c>
      <c r="CE26" s="59">
        <f t="shared" si="40"/>
        <v>320.1204011431372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4.7577459332954213</v>
      </c>
      <c r="CM26" s="21">
        <f>EXP(-LN(2)/2)*CM25+(1-EXP(-LN(2)/2))/(LN(2)/2)*CG26*CJ26*VLOOKUP('Données projet'!$B$12,Paramètres!$A$1:$I$89,3,0)*0.475*44/12</f>
        <v>3.6427715663402198</v>
      </c>
      <c r="CN26" s="22">
        <f t="shared" si="12"/>
        <v>8.4005174996356402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19.3</v>
      </c>
      <c r="N27" s="13">
        <f>IF('Données projet'!$A$36&gt;35,N26+M27-V26,IF(A27&lt;'Données projet'!$A$36,$K$205^A27,IF(A27='Données projet'!$A$36,'Données projet'!$B$36,N26+M27-V26)))</f>
        <v>164.20000000000002</v>
      </c>
      <c r="O27" s="13">
        <f>N27*VLOOKUP('Données projet'!$B$9,Paramètres!$A$1:$I$89,3,0)*VLOOKUP('Données projet'!$B$9,Paramètres!$A$1:$I$89,5,0)</f>
        <v>91.787800000000018</v>
      </c>
      <c r="P27" s="13">
        <f t="shared" si="33"/>
        <v>24.995904465215339</v>
      </c>
      <c r="Q27" s="20">
        <f t="shared" si="2"/>
        <v>203.39828527691671</v>
      </c>
      <c r="R27" s="59">
        <f t="shared" si="0"/>
        <v>496.73161861025005</v>
      </c>
      <c r="S27" s="59">
        <f ca="1">AVERAGE(OFFSET($R$3,0,0,'Données projet'!$E$9+1,1))-AVERAGE(OFFSET($H$3,0,0,'Données projet'!$E$9+1,1))</f>
        <v>279.98352834501759</v>
      </c>
      <c r="T27" s="59">
        <f t="shared" si="34"/>
        <v>281.30062655265488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7.4538141048866562</v>
      </c>
      <c r="AB27" s="21">
        <f>EXP(-LN(2)/2)*AB26+(1-EXP(-LN(2)/2))/(LN(2)/2)*V27*Y27*VLOOKUP('Données projet'!$B$9,Paramètres!$A$1:$I$89,3,0)*0.475*44/12</f>
        <v>3.2437040033761351</v>
      </c>
      <c r="AC27" s="22">
        <f t="shared" si="3"/>
        <v>10.697518108262791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19</v>
      </c>
      <c r="AI27" s="13">
        <f>IF('Données projet'!$A$62&gt;35,AI26+AH27-AQ26,IF(A27&lt;'Données projet'!$A$62,$AF$205^A27,IF(A27='Données projet'!$A$62,'Données projet'!$B$62,AI26+AH27-AQ26)))</f>
        <v>146</v>
      </c>
      <c r="AJ27" s="13">
        <f>AI27*VLOOKUP('Données projet'!$B$10,Paramètres!$A$1:$I$89,3,0)*VLOOKUP('Données projet'!$B$10,Paramètres!$A$1:$I$89,5,0)</f>
        <v>70.225999999999999</v>
      </c>
      <c r="AK27" s="13">
        <f t="shared" si="35"/>
        <v>19.729570803453036</v>
      </c>
      <c r="AL27" s="20">
        <f t="shared" si="4"/>
        <v>156.67261914934736</v>
      </c>
      <c r="AM27" s="59">
        <f t="shared" si="5"/>
        <v>450.00595248268064</v>
      </c>
      <c r="AN27" s="59">
        <f ca="1">AVERAGE(OFFSET($AM$3,0,0,'Données projet'!$E$10+1,1))-AVERAGE(OFFSET($H$3,0,0,'Données projet'!$E$10+1,1))</f>
        <v>252.30925789500111</v>
      </c>
      <c r="AO27" s="59">
        <f t="shared" si="36"/>
        <v>213.96033794804805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13</v>
      </c>
      <c r="BD27" s="12">
        <f>IF('Données projet'!$A$88&gt;35,BD26+BC27-BL26,IF(A27&lt;'Données projet'!$A$88,$BA$205^A27,IF(A27='Données projet'!$A$88,'Données projet'!$B$88,BD26+BC27-BL26)))</f>
        <v>140</v>
      </c>
      <c r="BE27" s="13">
        <f>BD27*VLOOKUP('Données projet'!$B$11,Paramètres!$A$1:$I$89,3,0)*VLOOKUP('Données projet'!$B$11,Paramètres!$A$1:$I$89,5,0)</f>
        <v>83.720000000000013</v>
      </c>
      <c r="BF27" s="13">
        <f t="shared" si="37"/>
        <v>23.044323503842598</v>
      </c>
      <c r="BG27" s="20">
        <f t="shared" si="7"/>
        <v>185.9478634358592</v>
      </c>
      <c r="BH27" s="59">
        <f t="shared" si="8"/>
        <v>479.28119676919255</v>
      </c>
      <c r="BI27" s="59">
        <f ca="1">AVERAGE(OFFSET($BH$3,0,0,'Données projet'!$E$11+1,1))-AVERAGE(OFFSET($H$3,0,0,'Données projet'!$E$11+1,1))</f>
        <v>216.94426559495264</v>
      </c>
      <c r="BJ27" s="59">
        <f t="shared" si="38"/>
        <v>225.33715877618704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0.47737003652190096</v>
      </c>
      <c r="BR27" s="21">
        <f>EXP(-LN(2)/2)*BR26+(1-EXP(-LN(2)/2))/(LN(2)/2)*BL27*BO27*VLOOKUP('Données projet'!$B$11,Paramètres!$A$1:$I$89,3,0)*0.475*44/12</f>
        <v>0.25390309272031009</v>
      </c>
      <c r="BS27" s="22">
        <f t="shared" si="9"/>
        <v>0.731273129242211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11.8</v>
      </c>
      <c r="BY27" s="12">
        <f>IF('Données projet'!$A$114&gt;35,BY26+BX27-CG26,IF(A27&lt;'Données projet'!$A$114,$BV$205^A27,IF(A27='Données projet'!$A$114,'Données projet'!$B$114,BY26+BX27-CG26)))</f>
        <v>129.20000000000002</v>
      </c>
      <c r="BZ27" s="13">
        <f>BY27*VLOOKUP('Données projet'!$B$12,Paramètres!$A$1:$I$89,3,0)*VLOOKUP('Données projet'!$B$12,Paramètres!$A$1:$I$89,5,0)</f>
        <v>112.86912000000004</v>
      </c>
      <c r="CA27" s="13">
        <f t="shared" si="39"/>
        <v>30.00595528244644</v>
      </c>
      <c r="CB27" s="20">
        <f t="shared" si="10"/>
        <v>248.84075611692765</v>
      </c>
      <c r="CC27" s="59">
        <f t="shared" si="11"/>
        <v>542.17408945026091</v>
      </c>
      <c r="CD27" s="59">
        <f ca="1">AVERAGE(OFFSET($CC$3,0,0,'Données projet'!$E$12+1,1))-AVERAGE(OFFSET($H$3,0,0,'Données projet'!$E$12+1,1))</f>
        <v>223.81948236065614</v>
      </c>
      <c r="CE27" s="59">
        <f t="shared" si="40"/>
        <v>320.1204011431372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4.6276451205504729</v>
      </c>
      <c r="CM27" s="21">
        <f>EXP(-LN(2)/2)*CM26+(1-EXP(-LN(2)/2))/(LN(2)/2)*CG27*CJ27*VLOOKUP('Données projet'!$B$12,Paramètres!$A$1:$I$89,3,0)*0.475*44/12</f>
        <v>2.5758284768727111</v>
      </c>
      <c r="CN27" s="22">
        <f t="shared" si="12"/>
        <v>7.2034735974231836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19.3</v>
      </c>
      <c r="N28" s="13">
        <f>IF('Données projet'!$A$36&gt;35,N27+M28-V27,IF(A28&lt;'Données projet'!$A$36,$K$205^A28,IF(A28='Données projet'!$A$36,'Données projet'!$B$36,N27+M28-V27)))</f>
        <v>183.50000000000003</v>
      </c>
      <c r="O28" s="13">
        <f>N28*VLOOKUP('Données projet'!$B$9,Paramètres!$A$1:$I$89,3,0)*VLOOKUP('Données projet'!$B$9,Paramètres!$A$1:$I$89,5,0)</f>
        <v>102.57650000000002</v>
      </c>
      <c r="P28" s="13">
        <f t="shared" si="33"/>
        <v>27.574901420376108</v>
      </c>
      <c r="Q28" s="20">
        <f t="shared" si="2"/>
        <v>226.68035747382177</v>
      </c>
      <c r="R28" s="59">
        <f t="shared" si="0"/>
        <v>520.01369080715506</v>
      </c>
      <c r="S28" s="59">
        <f ca="1">AVERAGE(OFFSET($R$3,0,0,'Données projet'!$E$9+1,1))-AVERAGE(OFFSET($H$3,0,0,'Données projet'!$E$9+1,1))</f>
        <v>279.98352834501759</v>
      </c>
      <c r="T28" s="59">
        <f t="shared" si="34"/>
        <v>281.30062655265488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7.2499891662094829</v>
      </c>
      <c r="AB28" s="21">
        <f>EXP(-LN(2)/2)*AB27+(1-EXP(-LN(2)/2))/(LN(2)/2)*V28*Y28*VLOOKUP('Données projet'!$B$9,Paramètres!$A$1:$I$89,3,0)*0.475*44/12</f>
        <v>2.2936450969492173</v>
      </c>
      <c r="AC28" s="22">
        <f t="shared" si="3"/>
        <v>9.543634263158701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19</v>
      </c>
      <c r="AI28" s="13">
        <f>IF('Données projet'!$A$62&gt;35,AI27+AH28-AQ27,IF(A28&lt;'Données projet'!$A$62,$AF$205^A28,IF(A28='Données projet'!$A$62,'Données projet'!$B$62,AI27+AH28-AQ27)))</f>
        <v>165</v>
      </c>
      <c r="AJ28" s="13">
        <f>AI28*VLOOKUP('Données projet'!$B$10,Paramètres!$A$1:$I$89,3,0)*VLOOKUP('Données projet'!$B$10,Paramètres!$A$1:$I$89,5,0)</f>
        <v>79.364999999999995</v>
      </c>
      <c r="AK28" s="13">
        <f t="shared" si="35"/>
        <v>21.981851390063195</v>
      </c>
      <c r="AL28" s="20">
        <f t="shared" si="4"/>
        <v>176.51243283769338</v>
      </c>
      <c r="AM28" s="59">
        <f t="shared" si="5"/>
        <v>469.8457661710267</v>
      </c>
      <c r="AN28" s="59">
        <f ca="1">AVERAGE(OFFSET($AM$3,0,0,'Données projet'!$E$10+1,1))-AVERAGE(OFFSET($H$3,0,0,'Données projet'!$E$10+1,1))</f>
        <v>252.30925789500111</v>
      </c>
      <c r="AO28" s="59">
        <f t="shared" si="36"/>
        <v>213.96033794804805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13</v>
      </c>
      <c r="BD28" s="12">
        <f>IF('Données projet'!$A$88&gt;35,BD27+BC28-BL27,IF(A28&lt;'Données projet'!$A$88,$BA$205^A28,IF(A28='Données projet'!$A$88,'Données projet'!$B$88,BD27+BC28-BL27)))</f>
        <v>153</v>
      </c>
      <c r="BE28" s="13">
        <f>BD28*VLOOKUP('Données projet'!$B$11,Paramètres!$A$1:$I$89,3,0)*VLOOKUP('Données projet'!$B$11,Paramètres!$A$1:$I$89,5,0)</f>
        <v>91.494000000000014</v>
      </c>
      <c r="BF28" s="13">
        <f t="shared" si="37"/>
        <v>24.925195840896542</v>
      </c>
      <c r="BG28" s="20">
        <f t="shared" si="7"/>
        <v>202.76343275622813</v>
      </c>
      <c r="BH28" s="59">
        <f t="shared" si="8"/>
        <v>496.09676608956147</v>
      </c>
      <c r="BI28" s="59">
        <f ca="1">AVERAGE(OFFSET($BH$3,0,0,'Données projet'!$E$11+1,1))-AVERAGE(OFFSET($H$3,0,0,'Données projet'!$E$11+1,1))</f>
        <v>216.94426559495264</v>
      </c>
      <c r="BJ28" s="59">
        <f t="shared" si="38"/>
        <v>225.33715877618704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0.4643163277694104</v>
      </c>
      <c r="BR28" s="21">
        <f>EXP(-LN(2)/2)*BR27+(1-EXP(-LN(2)/2))/(LN(2)/2)*BL28*BO28*VLOOKUP('Données projet'!$B$11,Paramètres!$A$1:$I$89,3,0)*0.475*44/12</f>
        <v>0.17953659862676799</v>
      </c>
      <c r="BS28" s="22">
        <f t="shared" si="9"/>
        <v>0.64385292639617842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11.8</v>
      </c>
      <c r="BY28" s="12">
        <f>IF('Données projet'!$A$114&gt;35,BY27+BX28-CG27,IF(A28&lt;'Données projet'!$A$114,$BV$205^A28,IF(A28='Données projet'!$A$114,'Données projet'!$B$114,BY27+BX28-CG27)))</f>
        <v>141.00000000000003</v>
      </c>
      <c r="BZ28" s="13">
        <f>BY28*VLOOKUP('Données projet'!$B$12,Paramètres!$A$1:$I$89,3,0)*VLOOKUP('Données projet'!$B$12,Paramètres!$A$1:$I$89,5,0)</f>
        <v>123.17760000000004</v>
      </c>
      <c r="CA28" s="13">
        <f t="shared" si="39"/>
        <v>32.414991240570451</v>
      </c>
      <c r="CB28" s="20">
        <f t="shared" si="10"/>
        <v>270.99042974399362</v>
      </c>
      <c r="CC28" s="59">
        <f t="shared" si="11"/>
        <v>564.32376307732693</v>
      </c>
      <c r="CD28" s="59">
        <f ca="1">AVERAGE(OFFSET($CC$3,0,0,'Données projet'!$E$12+1,1))-AVERAGE(OFFSET($H$3,0,0,'Données projet'!$E$12+1,1))</f>
        <v>223.81948236065614</v>
      </c>
      <c r="CE28" s="59">
        <f t="shared" si="40"/>
        <v>320.1204011431372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4.50110192137174</v>
      </c>
      <c r="CM28" s="21">
        <f>EXP(-LN(2)/2)*CM27+(1-EXP(-LN(2)/2))/(LN(2)/2)*CG28*CJ28*VLOOKUP('Données projet'!$B$12,Paramètres!$A$1:$I$89,3,0)*0.475*44/12</f>
        <v>1.8213857831701104</v>
      </c>
      <c r="CN28" s="22">
        <f t="shared" si="12"/>
        <v>6.3224877045418504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19.3</v>
      </c>
      <c r="N29" s="13">
        <f>IF('Données projet'!$A$36&gt;35,N28+M29-V28,IF(A29&lt;'Données projet'!$A$36,$K$205^A29,IF(A29='Données projet'!$A$36,'Données projet'!$B$36,N28+M29-V28)))</f>
        <v>202.80000000000004</v>
      </c>
      <c r="O29" s="13">
        <f>N29*VLOOKUP('Données projet'!$B$9,Paramètres!$A$1:$I$89,3,0)*VLOOKUP('Données projet'!$B$9,Paramètres!$A$1:$I$89,5,0)</f>
        <v>113.36520000000003</v>
      </c>
      <c r="P29" s="13">
        <f t="shared" si="33"/>
        <v>30.122456058687614</v>
      </c>
      <c r="Q29" s="20">
        <f t="shared" si="2"/>
        <v>249.9076676355476</v>
      </c>
      <c r="R29" s="59">
        <f t="shared" si="0"/>
        <v>543.24100096888094</v>
      </c>
      <c r="S29" s="59">
        <f ca="1">AVERAGE(OFFSET($R$3,0,0,'Données projet'!$E$9+1,1))-AVERAGE(OFFSET($H$3,0,0,'Données projet'!$E$9+1,1))</f>
        <v>279.98352834501759</v>
      </c>
      <c r="T29" s="59">
        <f t="shared" si="34"/>
        <v>281.30062655265488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7.0517378311991248</v>
      </c>
      <c r="AB29" s="21">
        <f>EXP(-LN(2)/2)*AB28+(1-EXP(-LN(2)/2))/(LN(2)/2)*V29*Y29*VLOOKUP('Données projet'!$B$9,Paramètres!$A$1:$I$89,3,0)*0.475*44/12</f>
        <v>1.6218520016880678</v>
      </c>
      <c r="AC29" s="22">
        <f t="shared" si="3"/>
        <v>8.6735898328871919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19</v>
      </c>
      <c r="AI29" s="13">
        <f>IF('Données projet'!$A$62&gt;35,AI28+AH29-AQ28,IF(A29&lt;'Données projet'!$A$62,$AF$205^A29,IF(A29='Données projet'!$A$62,'Données projet'!$B$62,AI28+AH29-AQ28)))</f>
        <v>184</v>
      </c>
      <c r="AJ29" s="13">
        <f>AI29*VLOOKUP('Données projet'!$B$10,Paramètres!$A$1:$I$89,3,0)*VLOOKUP('Données projet'!$B$10,Paramètres!$A$1:$I$89,5,0)</f>
        <v>88.504000000000005</v>
      </c>
      <c r="AK29" s="13">
        <f t="shared" si="35"/>
        <v>24.204074597328468</v>
      </c>
      <c r="AL29" s="20">
        <f t="shared" si="4"/>
        <v>196.29989659034709</v>
      </c>
      <c r="AM29" s="59">
        <f t="shared" si="5"/>
        <v>489.6332299236804</v>
      </c>
      <c r="AN29" s="59">
        <f ca="1">AVERAGE(OFFSET($AM$3,0,0,'Données projet'!$E$10+1,1))-AVERAGE(OFFSET($H$3,0,0,'Données projet'!$E$10+1,1))</f>
        <v>252.30925789500111</v>
      </c>
      <c r="AO29" s="59">
        <f t="shared" si="36"/>
        <v>213.96033794804805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</v>
      </c>
      <c r="BD29" s="12">
        <f>IF('Données projet'!$A$88&gt;35,BD28+BC29-BL28,IF(A29&lt;'Données projet'!$A$88,$BA$205^A29,IF(A29='Données projet'!$A$88,'Données projet'!$B$88,BD28+BC29-BL28)))</f>
        <v>166</v>
      </c>
      <c r="BE29" s="13">
        <f>BD29*VLOOKUP('Données projet'!$B$11,Paramètres!$A$1:$I$89,3,0)*VLOOKUP('Données projet'!$B$11,Paramètres!$A$1:$I$89,5,0)</f>
        <v>99.268000000000001</v>
      </c>
      <c r="BF29" s="13">
        <f t="shared" si="37"/>
        <v>26.78753414535981</v>
      </c>
      <c r="BG29" s="20">
        <f t="shared" si="7"/>
        <v>219.54672196983498</v>
      </c>
      <c r="BH29" s="59">
        <f t="shared" si="8"/>
        <v>512.88005530316832</v>
      </c>
      <c r="BI29" s="59">
        <f ca="1">AVERAGE(OFFSET($BH$3,0,0,'Données projet'!$E$11+1,1))-AVERAGE(OFFSET($H$3,0,0,'Données projet'!$E$11+1,1))</f>
        <v>216.94426559495264</v>
      </c>
      <c r="BJ29" s="59">
        <f t="shared" si="38"/>
        <v>225.33715877618704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0.45161957336922143</v>
      </c>
      <c r="BR29" s="21">
        <f>EXP(-LN(2)/2)*BR28+(1-EXP(-LN(2)/2))/(LN(2)/2)*BL29*BO29*VLOOKUP('Données projet'!$B$11,Paramètres!$A$1:$I$89,3,0)*0.475*44/12</f>
        <v>0.12695154636015504</v>
      </c>
      <c r="BS29" s="22">
        <f t="shared" si="9"/>
        <v>0.57857111972937647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152.80000000000004</v>
      </c>
      <c r="BZ29" s="13">
        <f>BY29*VLOOKUP('Données projet'!$B$12,Paramètres!$A$1:$I$89,3,0)*VLOOKUP('Données projet'!$B$12,Paramètres!$A$1:$I$89,5,0)</f>
        <v>133.48608000000004</v>
      </c>
      <c r="CA29" s="13">
        <f t="shared" si="39"/>
        <v>34.800645252320514</v>
      </c>
      <c r="CB29" s="20">
        <f t="shared" si="10"/>
        <v>293.09937981445825</v>
      </c>
      <c r="CC29" s="59">
        <f t="shared" si="11"/>
        <v>586.43271314779156</v>
      </c>
      <c r="CD29" s="59">
        <f ca="1">AVERAGE(OFFSET($CC$3,0,0,'Données projet'!$E$12+1,1))-AVERAGE(OFFSET($H$3,0,0,'Données projet'!$E$12+1,1))</f>
        <v>223.81948236065614</v>
      </c>
      <c r="CE29" s="59">
        <f t="shared" si="40"/>
        <v>320.1204011431372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4.3780190526291669</v>
      </c>
      <c r="CM29" s="21">
        <f>EXP(-LN(2)/2)*CM28+(1-EXP(-LN(2)/2))/(LN(2)/2)*CG29*CJ29*VLOOKUP('Données projet'!$B$12,Paramètres!$A$1:$I$89,3,0)*0.475*44/12</f>
        <v>1.2879142384363558</v>
      </c>
      <c r="CN29" s="22">
        <f t="shared" si="12"/>
        <v>5.6659332910655227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</v>
      </c>
      <c r="N30" s="13">
        <f>IF('Données projet'!$A$36&gt;35,N29+M30-V29,IF(A30&lt;'Données projet'!$A$36,$K$205^A30,IF(A30='Données projet'!$A$36,'Données projet'!$B$36,N29+M30-V29)))</f>
        <v>222.10000000000005</v>
      </c>
      <c r="O30" s="13">
        <f>N30*VLOOKUP('Données projet'!$B$9,Paramètres!$A$1:$I$89,3,0)*VLOOKUP('Données projet'!$B$9,Paramètres!$A$1:$I$89,5,0)</f>
        <v>124.15390000000002</v>
      </c>
      <c r="P30" s="13">
        <f t="shared" si="33"/>
        <v>32.641901103582477</v>
      </c>
      <c r="Q30" s="20">
        <f t="shared" si="2"/>
        <v>273.0860202554062</v>
      </c>
      <c r="R30" s="59">
        <f t="shared" si="0"/>
        <v>566.41935358873957</v>
      </c>
      <c r="S30" s="59">
        <f ca="1">AVERAGE(OFFSET($R$3,0,0,'Données projet'!$E$9+1,1))-AVERAGE(OFFSET($H$3,0,0,'Données projet'!$E$9+1,1))</f>
        <v>279.98352834501759</v>
      </c>
      <c r="T30" s="59">
        <f t="shared" si="34"/>
        <v>281.30062655265488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6.8589076893702092</v>
      </c>
      <c r="AB30" s="21">
        <f>EXP(-LN(2)/2)*AB29+(1-EXP(-LN(2)/2))/(LN(2)/2)*V30*Y30*VLOOKUP('Données projet'!$B$9,Paramètres!$A$1:$I$89,3,0)*0.475*44/12</f>
        <v>1.1468225484746086</v>
      </c>
      <c r="AC30" s="22">
        <f t="shared" si="3"/>
        <v>8.0057302378448174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19</v>
      </c>
      <c r="AI30" s="13">
        <f>IF('Données projet'!$A$62&gt;35,AI29+AH30-AQ29,IF(A30&lt;'Données projet'!$A$62,$AF$205^A30,IF(A30='Données projet'!$A$62,'Données projet'!$B$62,AI29+AH30-AQ29)))</f>
        <v>203</v>
      </c>
      <c r="AJ30" s="13">
        <f>AI30*VLOOKUP('Données projet'!$B$10,Paramètres!$A$1:$I$89,3,0)*VLOOKUP('Données projet'!$B$10,Paramètres!$A$1:$I$89,5,0)</f>
        <v>97.643000000000001</v>
      </c>
      <c r="AK30" s="13">
        <f t="shared" si="35"/>
        <v>26.399697676478496</v>
      </c>
      <c r="AL30" s="20">
        <f t="shared" si="4"/>
        <v>216.04103178653338</v>
      </c>
      <c r="AM30" s="59">
        <f t="shared" si="5"/>
        <v>509.3743651198667</v>
      </c>
      <c r="AN30" s="59">
        <f ca="1">AVERAGE(OFFSET($AM$3,0,0,'Données projet'!$E$10+1,1))-AVERAGE(OFFSET($H$3,0,0,'Données projet'!$E$10+1,1))</f>
        <v>252.30925789500111</v>
      </c>
      <c r="AO30" s="59">
        <f t="shared" si="36"/>
        <v>213.96033794804805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</v>
      </c>
      <c r="BD30" s="12">
        <f>IF('Données projet'!$A$88&gt;35,BD29+BC30-BL29,IF(A30&lt;'Données projet'!$A$88,$BA$205^A30,IF(A30='Données projet'!$A$88,'Données projet'!$B$88,BD29+BC30-BL29)))</f>
        <v>179</v>
      </c>
      <c r="BE30" s="13">
        <f>BD30*VLOOKUP('Données projet'!$B$11,Paramètres!$A$1:$I$89,3,0)*VLOOKUP('Données projet'!$B$11,Paramètres!$A$1:$I$89,5,0)</f>
        <v>107.042</v>
      </c>
      <c r="BF30" s="13">
        <f t="shared" si="37"/>
        <v>28.632954900548082</v>
      </c>
      <c r="BG30" s="20">
        <f t="shared" si="7"/>
        <v>236.30054645178791</v>
      </c>
      <c r="BH30" s="59">
        <f t="shared" si="8"/>
        <v>529.63387978512128</v>
      </c>
      <c r="BI30" s="59">
        <f ca="1">AVERAGE(OFFSET($BH$3,0,0,'Données projet'!$E$11+1,1))-AVERAGE(OFFSET($H$3,0,0,'Données projet'!$E$11+1,1))</f>
        <v>216.94426559495264</v>
      </c>
      <c r="BJ30" s="59">
        <f t="shared" si="38"/>
        <v>225.33715877618704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0.43927001238579888</v>
      </c>
      <c r="BR30" s="21">
        <f>EXP(-LN(2)/2)*BR29+(1-EXP(-LN(2)/2))/(LN(2)/2)*BL30*BO30*VLOOKUP('Données projet'!$B$11,Paramètres!$A$1:$I$89,3,0)*0.475*44/12</f>
        <v>8.9768299313383995E-2</v>
      </c>
      <c r="BS30" s="22">
        <f t="shared" si="9"/>
        <v>0.52903831169918292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164.60000000000005</v>
      </c>
      <c r="BZ30" s="13">
        <f>BY30*VLOOKUP('Données projet'!$B$12,Paramètres!$A$1:$I$89,3,0)*VLOOKUP('Données projet'!$B$12,Paramètres!$A$1:$I$89,5,0)</f>
        <v>143.79456000000005</v>
      </c>
      <c r="CA30" s="13">
        <f t="shared" si="39"/>
        <v>37.164928293001893</v>
      </c>
      <c r="CB30" s="20">
        <f t="shared" si="10"/>
        <v>315.17110877697831</v>
      </c>
      <c r="CC30" s="59">
        <f t="shared" si="11"/>
        <v>608.50444211031163</v>
      </c>
      <c r="CD30" s="59">
        <f ca="1">AVERAGE(OFFSET($CC$3,0,0,'Données projet'!$E$12+1,1))-AVERAGE(OFFSET($H$3,0,0,'Données projet'!$E$12+1,1))</f>
        <v>223.81948236065614</v>
      </c>
      <c r="CE30" s="59">
        <f t="shared" si="40"/>
        <v>320.1204011431372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4.2583018914050061</v>
      </c>
      <c r="CM30" s="21">
        <f>EXP(-LN(2)/2)*CM29+(1-EXP(-LN(2)/2))/(LN(2)/2)*CG30*CJ30*VLOOKUP('Données projet'!$B$12,Paramètres!$A$1:$I$89,3,0)*0.475*44/12</f>
        <v>0.91069289158505529</v>
      </c>
      <c r="CN30" s="22">
        <f t="shared" si="12"/>
        <v>5.1689947829900618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</v>
      </c>
      <c r="N31" s="13">
        <f>IF('Données projet'!$A$36&gt;35,N30+M31-V30,IF(A31&lt;'Données projet'!$A$36,$K$205^A31,IF(A31='Données projet'!$A$36,'Données projet'!$B$36,N30+M31-V30)))</f>
        <v>241.40000000000006</v>
      </c>
      <c r="O31" s="13">
        <f>N31*VLOOKUP('Données projet'!$B$9,Paramètres!$A$1:$I$89,3,0)*VLOOKUP('Données projet'!$B$9,Paramètres!$A$1:$I$89,5,0)</f>
        <v>134.94260000000003</v>
      </c>
      <c r="P31" s="13">
        <f t="shared" si="33"/>
        <v>35.135956952072789</v>
      </c>
      <c r="Q31" s="20">
        <f t="shared" si="2"/>
        <v>296.22015335819344</v>
      </c>
      <c r="R31" s="59">
        <f t="shared" si="0"/>
        <v>589.55348669152681</v>
      </c>
      <c r="S31" s="59">
        <f ca="1">AVERAGE(OFFSET($R$3,0,0,'Données projet'!$E$9+1,1))-AVERAGE(OFFSET($H$3,0,0,'Données projet'!$E$9+1,1))</f>
        <v>279.98352834501759</v>
      </c>
      <c r="T31" s="59">
        <f t="shared" si="34"/>
        <v>281.30062655265488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6.6713504979101019</v>
      </c>
      <c r="AB31" s="21">
        <f>EXP(-LN(2)/2)*AB30+(1-EXP(-LN(2)/2))/(LN(2)/2)*V31*Y31*VLOOKUP('Données projet'!$B$9,Paramètres!$A$1:$I$89,3,0)*0.475*44/12</f>
        <v>0.81092600084403388</v>
      </c>
      <c r="AC31" s="22">
        <f t="shared" si="3"/>
        <v>7.4822764987541355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19</v>
      </c>
      <c r="AI31" s="13">
        <f>IF('Données projet'!$A$62&gt;35,AI30+AH31-AQ30,IF(A31&lt;'Données projet'!$A$62,$AF$205^A31,IF(A31='Données projet'!$A$62,'Données projet'!$B$62,AI30+AH31-AQ30)))</f>
        <v>222</v>
      </c>
      <c r="AJ31" s="13">
        <f>AI31*VLOOKUP('Données projet'!$B$10,Paramètres!$A$1:$I$89,3,0)*VLOOKUP('Données projet'!$B$10,Paramètres!$A$1:$I$89,5,0)</f>
        <v>106.78200000000001</v>
      </c>
      <c r="AK31" s="13">
        <f t="shared" si="35"/>
        <v>28.571493499686834</v>
      </c>
      <c r="AL31" s="20">
        <f t="shared" si="4"/>
        <v>235.74066784528793</v>
      </c>
      <c r="AM31" s="59">
        <f t="shared" si="5"/>
        <v>529.0740011786213</v>
      </c>
      <c r="AN31" s="59">
        <f ca="1">AVERAGE(OFFSET($AM$3,0,0,'Données projet'!$E$10+1,1))-AVERAGE(OFFSET($H$3,0,0,'Données projet'!$E$10+1,1))</f>
        <v>252.30925789500111</v>
      </c>
      <c r="AO31" s="59">
        <f t="shared" si="36"/>
        <v>213.96033794804805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</v>
      </c>
      <c r="BD31" s="12">
        <f>IF('Données projet'!$A$88&gt;35,BD30+BC31-BL30,IF(A31&lt;'Données projet'!$A$88,$BA$205^A31,IF(A31='Données projet'!$A$88,'Données projet'!$B$88,BD30+BC31-BL30)))</f>
        <v>192</v>
      </c>
      <c r="BE31" s="13">
        <f>BD31*VLOOKUP('Données projet'!$B$11,Paramètres!$A$1:$I$89,3,0)*VLOOKUP('Données projet'!$B$11,Paramètres!$A$1:$I$89,5,0)</f>
        <v>114.81600000000002</v>
      </c>
      <c r="BF31" s="13">
        <f t="shared" si="37"/>
        <v>30.462826482209831</v>
      </c>
      <c r="BG31" s="20">
        <f t="shared" si="7"/>
        <v>253.02728945651543</v>
      </c>
      <c r="BH31" s="59">
        <f t="shared" si="8"/>
        <v>546.36062278984878</v>
      </c>
      <c r="BI31" s="59">
        <f ca="1">AVERAGE(OFFSET($BH$3,0,0,'Données projet'!$E$11+1,1))-AVERAGE(OFFSET($H$3,0,0,'Données projet'!$E$11+1,1))</f>
        <v>216.94426559495264</v>
      </c>
      <c r="BJ31" s="59">
        <f t="shared" si="38"/>
        <v>225.33715877618704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0.42725815079690321</v>
      </c>
      <c r="BR31" s="21">
        <f>EXP(-LN(2)/2)*BR30+(1-EXP(-LN(2)/2))/(LN(2)/2)*BL31*BO31*VLOOKUP('Données projet'!$B$11,Paramètres!$A$1:$I$89,3,0)*0.475*44/12</f>
        <v>6.3475773180077522E-2</v>
      </c>
      <c r="BS31" s="22">
        <f t="shared" si="9"/>
        <v>0.49073392397698073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176.40000000000006</v>
      </c>
      <c r="BZ31" s="13">
        <f>BY31*VLOOKUP('Données projet'!$B$12,Paramètres!$A$1:$I$89,3,0)*VLOOKUP('Données projet'!$B$12,Paramètres!$A$1:$I$89,5,0)</f>
        <v>154.10304000000008</v>
      </c>
      <c r="CA31" s="13">
        <f t="shared" si="39"/>
        <v>39.509546668758176</v>
      </c>
      <c r="CB31" s="20">
        <f t="shared" si="10"/>
        <v>337.20858844808726</v>
      </c>
      <c r="CC31" s="59">
        <f t="shared" si="11"/>
        <v>630.54192178142057</v>
      </c>
      <c r="CD31" s="59">
        <f ca="1">AVERAGE(OFFSET($CC$3,0,0,'Données projet'!$E$12+1,1))-AVERAGE(OFFSET($H$3,0,0,'Données projet'!$E$12+1,1))</f>
        <v>223.81948236065614</v>
      </c>
      <c r="CE31" s="59">
        <f t="shared" si="40"/>
        <v>320.1204011431372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4.1418584022501719</v>
      </c>
      <c r="CM31" s="21">
        <f>EXP(-LN(2)/2)*CM30+(1-EXP(-LN(2)/2))/(LN(2)/2)*CG31*CJ31*VLOOKUP('Données projet'!$B$12,Paramètres!$A$1:$I$89,3,0)*0.475*44/12</f>
        <v>0.643957119218178</v>
      </c>
      <c r="CN31" s="22">
        <f t="shared" si="12"/>
        <v>4.7858155214683498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</v>
      </c>
      <c r="N32" s="13">
        <f>IF('Données projet'!$A$36&gt;35,N31+M32-V31,IF(A32&lt;'Données projet'!$A$36,$K$205^A32,IF(A32='Données projet'!$A$36,'Données projet'!$B$36,N31+M32-V31)))</f>
        <v>260.70000000000005</v>
      </c>
      <c r="O32" s="13">
        <f>N32*VLOOKUP('Données projet'!$B$9,Paramètres!$A$1:$I$89,3,0)*VLOOKUP('Données projet'!$B$9,Paramètres!$A$1:$I$89,5,0)</f>
        <v>145.73130000000003</v>
      </c>
      <c r="P32" s="13">
        <f t="shared" si="33"/>
        <v>37.606884256070316</v>
      </c>
      <c r="Q32" s="20">
        <f t="shared" si="2"/>
        <v>319.31400424598922</v>
      </c>
      <c r="R32" s="59">
        <f t="shared" si="0"/>
        <v>612.64733757932254</v>
      </c>
      <c r="S32" s="59">
        <f ca="1">AVERAGE(OFFSET($R$3,0,0,'Données projet'!$E$9+1,1))-AVERAGE(OFFSET($H$3,0,0,'Données projet'!$E$9+1,1))</f>
        <v>279.98352834501759</v>
      </c>
      <c r="T32" s="59">
        <f t="shared" si="34"/>
        <v>281.30062655265488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6.4889220677136752</v>
      </c>
      <c r="AB32" s="21">
        <f>EXP(-LN(2)/2)*AB31+(1-EXP(-LN(2)/2))/(LN(2)/2)*V32*Y32*VLOOKUP('Données projet'!$B$9,Paramètres!$A$1:$I$89,3,0)*0.475*44/12</f>
        <v>0.57341127423730431</v>
      </c>
      <c r="AC32" s="22">
        <f t="shared" si="3"/>
        <v>7.0623333419509793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19</v>
      </c>
      <c r="AI32" s="13">
        <f>IF('Données projet'!$A$62&gt;35,AI31+AH32-AQ31,IF(A32&lt;'Données projet'!$A$62,$AF$205^A32,IF(A32='Données projet'!$A$62,'Données projet'!$B$62,AI31+AH32-AQ31)))</f>
        <v>241</v>
      </c>
      <c r="AJ32" s="13">
        <f>AI32*VLOOKUP('Données projet'!$B$10,Paramètres!$A$1:$I$89,3,0)*VLOOKUP('Données projet'!$B$10,Paramètres!$A$1:$I$89,5,0)</f>
        <v>115.92100000000001</v>
      </c>
      <c r="AK32" s="13">
        <f t="shared" si="35"/>
        <v>30.721733194788964</v>
      </c>
      <c r="AL32" s="20">
        <f t="shared" si="4"/>
        <v>255.40276031425742</v>
      </c>
      <c r="AM32" s="59">
        <f t="shared" si="5"/>
        <v>548.73609364759068</v>
      </c>
      <c r="AN32" s="59">
        <f ca="1">AVERAGE(OFFSET($AM$3,0,0,'Données projet'!$E$10+1,1))-AVERAGE(OFFSET($H$3,0,0,'Données projet'!$E$10+1,1))</f>
        <v>252.30925789500111</v>
      </c>
      <c r="AO32" s="59">
        <f t="shared" si="36"/>
        <v>213.96033794804805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</v>
      </c>
      <c r="BD32" s="12">
        <f>IF('Données projet'!$A$88&gt;35,BD31+BC32-BL31,IF(A32&lt;'Données projet'!$A$88,$BA$205^A32,IF(A32='Données projet'!$A$88,'Données projet'!$B$88,BD31+BC32-BL31)))</f>
        <v>205</v>
      </c>
      <c r="BE32" s="13">
        <f>BD32*VLOOKUP('Données projet'!$B$11,Paramètres!$A$1:$I$89,3,0)*VLOOKUP('Données projet'!$B$11,Paramètres!$A$1:$I$89,5,0)</f>
        <v>122.59</v>
      </c>
      <c r="BF32" s="13">
        <f t="shared" si="37"/>
        <v>32.278321478706822</v>
      </c>
      <c r="BG32" s="20">
        <f t="shared" si="7"/>
        <v>269.72899324208106</v>
      </c>
      <c r="BH32" s="59">
        <f t="shared" si="8"/>
        <v>563.06232657541432</v>
      </c>
      <c r="BI32" s="59">
        <f ca="1">AVERAGE(OFFSET($BH$3,0,0,'Données projet'!$E$11+1,1))-AVERAGE(OFFSET($H$3,0,0,'Données projet'!$E$11+1,1))</f>
        <v>216.94426559495264</v>
      </c>
      <c r="BJ32" s="59">
        <f t="shared" si="38"/>
        <v>225.33715877618704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0.41557475419483225</v>
      </c>
      <c r="BR32" s="21">
        <f>EXP(-LN(2)/2)*BR31+(1-EXP(-LN(2)/2))/(LN(2)/2)*BL32*BO32*VLOOKUP('Données projet'!$B$11,Paramètres!$A$1:$I$89,3,0)*0.475*44/12</f>
        <v>4.4884149656691998E-2</v>
      </c>
      <c r="BS32" s="22">
        <f t="shared" si="9"/>
        <v>0.46045890385152427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188.20000000000007</v>
      </c>
      <c r="BZ32" s="13">
        <f>BY32*VLOOKUP('Données projet'!$B$12,Paramètres!$A$1:$I$89,3,0)*VLOOKUP('Données projet'!$B$12,Paramètres!$A$1:$I$89,5,0)</f>
        <v>164.41152000000008</v>
      </c>
      <c r="CA32" s="13">
        <f t="shared" si="39"/>
        <v>41.835965488659568</v>
      </c>
      <c r="CB32" s="20">
        <f t="shared" si="10"/>
        <v>359.21437055941556</v>
      </c>
      <c r="CC32" s="59">
        <f t="shared" si="11"/>
        <v>652.54770389274881</v>
      </c>
      <c r="CD32" s="59">
        <f ca="1">AVERAGE(OFFSET($CC$3,0,0,'Données projet'!$E$12+1,1))-AVERAGE(OFFSET($H$3,0,0,'Données projet'!$E$12+1,1))</f>
        <v>223.81948236065614</v>
      </c>
      <c r="CE32" s="59">
        <f t="shared" si="40"/>
        <v>320.1204011431372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4.0285990664297735</v>
      </c>
      <c r="CM32" s="21">
        <f>EXP(-LN(2)/2)*CM31+(1-EXP(-LN(2)/2))/(LN(2)/2)*CG32*CJ32*VLOOKUP('Données projet'!$B$12,Paramètres!$A$1:$I$89,3,0)*0.475*44/12</f>
        <v>0.4553464457925277</v>
      </c>
      <c r="CN32" s="22">
        <f t="shared" si="12"/>
        <v>4.4839455122223013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280</v>
      </c>
      <c r="L33" s="12">
        <f>VLOOKUP(A33,'Données projet'!$A$35:$I$55,9,0)</f>
        <v>19.3</v>
      </c>
      <c r="M33" s="12">
        <f t="array" ref="M33">INDEX(L:L,MIN(IF(ISNUMBER(L33:L229),ROW(L33:L229),"")))</f>
        <v>19.3</v>
      </c>
      <c r="N33" s="13">
        <f>IF('Données projet'!$A$36&gt;35,N32+M33-V32,IF(A33&lt;'Données projet'!$A$36,$K$205^A33,IF(A33='Données projet'!$A$36,'Données projet'!$B$36,N32+M33-V32)))</f>
        <v>280.00000000000006</v>
      </c>
      <c r="O33" s="13">
        <f>N33*VLOOKUP('Données projet'!$B$9,Paramètres!$A$1:$I$89,3,0)*VLOOKUP('Données projet'!$B$9,Paramètres!$A$1:$I$89,5,0)</f>
        <v>156.52000000000004</v>
      </c>
      <c r="P33" s="13">
        <f t="shared" si="33"/>
        <v>40.056589961286939</v>
      </c>
      <c r="Q33" s="20">
        <f t="shared" si="2"/>
        <v>342.37089418257483</v>
      </c>
      <c r="R33" s="59">
        <f t="shared" si="0"/>
        <v>635.70422751590809</v>
      </c>
      <c r="S33" s="59">
        <f ca="1">AVERAGE(OFFSET($R$3,0,0,'Données projet'!$E$9+1,1))-AVERAGE(OFFSET($H$3,0,0,'Données projet'!$E$9+1,1))</f>
        <v>279.98352834501759</v>
      </c>
      <c r="T33" s="59">
        <f t="shared" si="34"/>
        <v>281.30062655265488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98</v>
      </c>
      <c r="W33" s="16">
        <f>IF(ISNA(VLOOKUP(A33,'Données projet'!$A$35:$I$55,5,0)),0%,VLOOKUP(A33,'Données projet'!$A$35:$I$55,5,0)*VLOOKUP('Données projet'!$B$9,Paramètres!$A$1:$I$89,7,0))</f>
        <v>5.5000000000000007E-2</v>
      </c>
      <c r="X33" s="16">
        <f>IF(ISNA(VLOOKUP(A33,'Données projet'!$A$35:$I$55,6,0)),0%,VLOOKUP(A33,'Données projet'!$A$35:$I$55,6,0)*VLOOKUP('Données projet'!$B$9,Paramètres!$A$1:$I$89,7,0))</f>
        <v>0.24750000000000003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3.9969519698838893</v>
      </c>
      <c r="AA33" s="21">
        <f>EXP(-LN(2)/25)*AA32+(1-EXP(-LN(2)/25))/(LN(2)/25)*Calculateur!V33*Calculateur!X33*VLOOKUP('Données projet'!$B$9,Paramètres!$A$1:$I$89,3,0)*0.475*44/12</f>
        <v>24.226947164126074</v>
      </c>
      <c r="AB33" s="21">
        <f>EXP(-LN(2)/2)*AB32+(1-EXP(-LN(2)/2))/(LN(2)/2)*V33*Y33*VLOOKUP('Données projet'!$B$9,Paramètres!$A$1:$I$89,3,0)*0.475*44/12</f>
        <v>28.317140375814699</v>
      </c>
      <c r="AC33" s="22">
        <f t="shared" si="3"/>
        <v>56.541039509824657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260</v>
      </c>
      <c r="AG33" s="12">
        <f>VLOOKUP(A33,'Données projet'!$A$61:$I$81,9,0)</f>
        <v>19</v>
      </c>
      <c r="AH33" s="12">
        <f t="array" ref="AH33">INDEX(AG:AG,MIN(IF(ISNUMBER(AG33:AG229),ROW(AG33:AG229),"")))</f>
        <v>19</v>
      </c>
      <c r="AI33" s="13">
        <f>IF('Données projet'!$A$62&gt;35,AI32+AH33-AQ32,IF(A33&lt;'Données projet'!$A$62,$AF$205^A33,IF(A33='Données projet'!$A$62,'Données projet'!$B$62,AI32+AH33-AQ32)))</f>
        <v>260</v>
      </c>
      <c r="AJ33" s="13">
        <f>AI33*VLOOKUP('Données projet'!$B$10,Paramètres!$A$1:$I$89,3,0)*VLOOKUP('Données projet'!$B$10,Paramètres!$A$1:$I$89,5,0)</f>
        <v>125.06</v>
      </c>
      <c r="AK33" s="13">
        <f t="shared" si="35"/>
        <v>32.852309422756704</v>
      </c>
      <c r="AL33" s="20">
        <f t="shared" si="4"/>
        <v>275.03060557796795</v>
      </c>
      <c r="AM33" s="59">
        <f t="shared" si="5"/>
        <v>568.36393891130126</v>
      </c>
      <c r="AN33" s="59">
        <f ca="1">AVERAGE(OFFSET($AM$3,0,0,'Données projet'!$E$10+1,1))-AVERAGE(OFFSET($H$3,0,0,'Données projet'!$E$10+1,1))</f>
        <v>252.30925789500111</v>
      </c>
      <c r="AO33" s="59">
        <f t="shared" si="36"/>
        <v>213.96033794804805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66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0.22000000000000003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4.6324426722622016</v>
      </c>
      <c r="AV33" s="21">
        <f>EXP(-LN(2)/25)*AV32+(1-EXP(-LN(2)/25))/(LN(2)/25)*Calculateur!AQ33*Calculateur!AS33*VLOOKUP('Données projet'!$B$10,Paramètres!$A$1:$I$89,3,0)*0.475*44/12</f>
        <v>9.2284059607249294</v>
      </c>
      <c r="AW33" s="21">
        <f>EXP(-LN(2)/2)*AW32+(1-EXP(-LN(2)/2))/(LN(2)/2)*AQ33*AT33*VLOOKUP('Données projet'!$B$10,Paramètres!$A$1:$I$89,3,0)*0.475*44/12</f>
        <v>14.377538606910074</v>
      </c>
      <c r="AX33" s="21">
        <f t="shared" si="6"/>
        <v>28.238387239897207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218</v>
      </c>
      <c r="BB33" s="12">
        <f>VLOOKUP(A33,'Données projet'!$A$87:$I$107,9,0)</f>
        <v>13</v>
      </c>
      <c r="BC33" s="12">
        <f t="array" ref="BC33">INDEX(BB:BB,MIN(IF(ISNUMBER(BB33:BB229),ROW(BB33:BB229),"")))</f>
        <v>13</v>
      </c>
      <c r="BD33" s="12">
        <f>IF('Données projet'!$A$88&gt;35,BD32+BC33-BL32,IF(A33&lt;'Données projet'!$A$88,$BA$205^A33,IF(A33='Données projet'!$A$88,'Données projet'!$B$88,BD32+BC33-BL32)))</f>
        <v>218</v>
      </c>
      <c r="BE33" s="13">
        <f>BD33*VLOOKUP('Données projet'!$B$11,Paramètres!$A$1:$I$89,3,0)*VLOOKUP('Données projet'!$B$11,Paramètres!$A$1:$I$89,5,0)</f>
        <v>130.364</v>
      </c>
      <c r="BF33" s="13">
        <f t="shared" si="37"/>
        <v>34.080455352788661</v>
      </c>
      <c r="BG33" s="20">
        <f t="shared" si="7"/>
        <v>286.40742640610694</v>
      </c>
      <c r="BH33" s="59">
        <f t="shared" si="8"/>
        <v>579.74075973944025</v>
      </c>
      <c r="BI33" s="59">
        <f ca="1">AVERAGE(OFFSET($BH$3,0,0,'Données projet'!$E$11+1,1))-AVERAGE(OFFSET($H$3,0,0,'Données projet'!$E$11+1,1))</f>
        <v>216.94426559495264</v>
      </c>
      <c r="BJ33" s="59">
        <f t="shared" si="38"/>
        <v>225.33715877618704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0.22500000000000001</v>
      </c>
      <c r="BO33" s="16">
        <f>IF(ISNA(VLOOKUP(A33,'Données projet'!$A$87:$I$107,7,0)),0%,VLOOKUP(A33,'Données projet'!$A$87:$I$107,7,0))</f>
        <v>0.5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12.84926355185025</v>
      </c>
      <c r="BR33" s="21">
        <f>EXP(-LN(2)/2)*BR32+(1-EXP(-LN(2)/2))/(LN(2)/2)*BL33*BO33*VLOOKUP('Données projet'!$B$11,Paramètres!$A$1:$I$89,3,0)*0.475*44/12</f>
        <v>23.729359873818968</v>
      </c>
      <c r="BS33" s="22">
        <f t="shared" si="9"/>
        <v>36.578623425669221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200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200.00000000000009</v>
      </c>
      <c r="BZ33" s="13">
        <f>BY33*VLOOKUP('Données projet'!$B$12,Paramètres!$A$1:$I$89,3,0)*VLOOKUP('Données projet'!$B$12,Paramètres!$A$1:$I$89,5,0)</f>
        <v>174.72000000000008</v>
      </c>
      <c r="CA33" s="13">
        <f t="shared" si="39"/>
        <v>44.145455754865246</v>
      </c>
      <c r="CB33" s="20">
        <f t="shared" si="10"/>
        <v>381.1906687730571</v>
      </c>
      <c r="CC33" s="59">
        <f t="shared" si="11"/>
        <v>674.52400210639041</v>
      </c>
      <c r="CD33" s="59">
        <f ca="1">AVERAGE(OFFSET($CC$3,0,0,'Données projet'!$E$12+1,1))-AVERAGE(OFFSET($H$3,0,0,'Données projet'!$E$12+1,1))</f>
        <v>223.81948236065614</v>
      </c>
      <c r="CE33" s="59">
        <f t="shared" si="40"/>
        <v>320.1204011431372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74</v>
      </c>
      <c r="CH33" s="16">
        <f>IF(ISNA(VLOOKUP(A33,'Données projet'!$A$113:$I$133,5,0)),0%,VLOOKUP(A33,'Données projet'!$A$113:$I$133,5,0)*VLOOKUP('Données projet'!$B$12,Paramètres!$A$1:$I$89,7,0))</f>
        <v>4.3000000000000003E-2</v>
      </c>
      <c r="CI33" s="16">
        <f>IF(ISNA(VLOOKUP(A33,'Données projet'!$A$113:$I$133,6,0)),0%,VLOOKUP(A33,'Données projet'!$A$113:$I$133,6,0)*VLOOKUP('Données projet'!$B$12,Paramètres!$A$1:$I$89,7,0))</f>
        <v>0.19350000000000001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3.0729812547678734</v>
      </c>
      <c r="CL33" s="21">
        <f>EXP(-LN(2)/25)*CL32+(1-EXP(-LN(2)/25))/(LN(2)/25)*Calculateur!CG33*Calculateur!CI33*VLOOKUP('Données projet'!$B$12,Paramètres!$A$1:$I$89,3,0)*0.475*44/12</f>
        <v>17.692404718119324</v>
      </c>
      <c r="CM33" s="21">
        <f>EXP(-LN(2)/2)*CM32+(1-EXP(-LN(2)/2))/(LN(2)/2)*CG33*CJ33*VLOOKUP('Données projet'!$B$12,Paramètres!$A$1:$I$89,3,0)*0.475*44/12</f>
        <v>27.770006809164684</v>
      </c>
      <c r="CN33" s="22">
        <f t="shared" si="12"/>
        <v>48.535392782051886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19.7</v>
      </c>
      <c r="N34" s="13">
        <f>IF('Données projet'!$A$36&gt;35,N33+M34-V33,IF(A34&lt;'Données projet'!$A$36,$K$205^A34,IF(A34='Données projet'!$A$36,'Données projet'!$B$36,N33+M34-V33)))</f>
        <v>201.70000000000005</v>
      </c>
      <c r="O34" s="13">
        <f>N34*VLOOKUP('Données projet'!$B$9,Paramètres!$A$1:$I$89,3,0)*VLOOKUP('Données projet'!$B$9,Paramètres!$A$1:$I$89,5,0)</f>
        <v>112.75030000000004</v>
      </c>
      <c r="P34" s="13">
        <f t="shared" si="33"/>
        <v>29.978042431779432</v>
      </c>
      <c r="Q34" s="20">
        <f t="shared" si="2"/>
        <v>248.5851964020159</v>
      </c>
      <c r="R34" s="59">
        <f t="shared" si="0"/>
        <v>541.91852973534924</v>
      </c>
      <c r="S34" s="59">
        <f ca="1">AVERAGE(OFFSET($R$3,0,0,'Données projet'!$E$9+1,1))-AVERAGE(OFFSET($H$3,0,0,'Données projet'!$E$9+1,1))</f>
        <v>279.98352834501759</v>
      </c>
      <c r="T34" s="59">
        <f t="shared" si="34"/>
        <v>281.30062655265488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3.9185741796544451</v>
      </c>
      <c r="AA34" s="21">
        <f>EXP(-LN(2)/25)*AA33+(1-EXP(-LN(2)/25))/(LN(2)/25)*Calculateur!V34*Calculateur!X34*VLOOKUP('Données projet'!$B$9,Paramètres!$A$1:$I$89,3,0)*0.475*44/12</f>
        <v>23.564460019883267</v>
      </c>
      <c r="AB34" s="21">
        <f>EXP(-LN(2)/2)*AB33+(1-EXP(-LN(2)/2))/(LN(2)/2)*V34*Y34*VLOOKUP('Données projet'!$B$9,Paramètres!$A$1:$I$89,3,0)*0.475*44/12</f>
        <v>20.023241983549955</v>
      </c>
      <c r="AC34" s="22">
        <f t="shared" si="3"/>
        <v>47.506276183087664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20.2</v>
      </c>
      <c r="AI34" s="13">
        <f>IF('Données projet'!$A$62&gt;35,AI33+AH34-AQ33,IF(A34&lt;'Données projet'!$A$62,$AF$205^A34,IF(A34='Données projet'!$A$62,'Données projet'!$B$62,AI33+AH34-AQ33)))</f>
        <v>214.2</v>
      </c>
      <c r="AJ34" s="13">
        <f>AI34*VLOOKUP('Données projet'!$B$10,Paramètres!$A$1:$I$89,3,0)*VLOOKUP('Données projet'!$B$10,Paramètres!$A$1:$I$89,5,0)</f>
        <v>103.03019999999999</v>
      </c>
      <c r="AK34" s="13">
        <f t="shared" si="35"/>
        <v>27.682641911587602</v>
      </c>
      <c r="AL34" s="20">
        <f t="shared" si="4"/>
        <v>227.65819966268168</v>
      </c>
      <c r="AM34" s="59">
        <f t="shared" si="5"/>
        <v>520.99153299601494</v>
      </c>
      <c r="AN34" s="59">
        <f ca="1">AVERAGE(OFFSET($AM$3,0,0,'Données projet'!$E$10+1,1))-AVERAGE(OFFSET($H$3,0,0,'Données projet'!$E$10+1,1))</f>
        <v>252.30925789500111</v>
      </c>
      <c r="AO34" s="59">
        <f t="shared" si="36"/>
        <v>213.96033794804805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4.5416032969701741</v>
      </c>
      <c r="AV34" s="21">
        <f>EXP(-LN(2)/25)*AV33+(1-EXP(-LN(2)/25))/(LN(2)/25)*Calculateur!AQ34*Calculateur!AS34*VLOOKUP('Données projet'!$B$10,Paramètres!$A$1:$I$89,3,0)*0.475*44/12</f>
        <v>8.9760547144281286</v>
      </c>
      <c r="AW34" s="21">
        <f>EXP(-LN(2)/2)*AW33+(1-EXP(-LN(2)/2))/(LN(2)/2)*AQ34*AT34*VLOOKUP('Données projet'!$B$10,Paramètres!$A$1:$I$89,3,0)*0.475*44/12</f>
        <v>10.166455045717502</v>
      </c>
      <c r="AX34" s="21">
        <f t="shared" si="6"/>
        <v>23.684113057115805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13.7</v>
      </c>
      <c r="BD34" s="12">
        <f>IF('Données projet'!$A$88&gt;35,BD33+BC34-BL33,IF(A34&lt;'Données projet'!$A$88,$BA$205^A34,IF(A34='Données projet'!$A$88,'Données projet'!$B$88,BD33+BC34-BL33)))</f>
        <v>161.69999999999999</v>
      </c>
      <c r="BE34" s="13">
        <f>BD34*VLOOKUP('Données projet'!$B$11,Paramètres!$A$1:$I$89,3,0)*VLOOKUP('Données projet'!$B$11,Paramètres!$A$1:$I$89,5,0)</f>
        <v>96.696600000000004</v>
      </c>
      <c r="BF34" s="13">
        <f t="shared" si="37"/>
        <v>26.173476069859898</v>
      </c>
      <c r="BG34" s="20">
        <f t="shared" si="7"/>
        <v>213.99871582167268</v>
      </c>
      <c r="BH34" s="59">
        <f t="shared" si="8"/>
        <v>507.33204915500596</v>
      </c>
      <c r="BI34" s="59">
        <f ca="1">AVERAGE(OFFSET($BH$3,0,0,'Données projet'!$E$11+1,1))-AVERAGE(OFFSET($H$3,0,0,'Données projet'!$E$11+1,1))</f>
        <v>216.94426559495264</v>
      </c>
      <c r="BJ34" s="59">
        <f t="shared" si="38"/>
        <v>225.33715877618704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12.497899764311502</v>
      </c>
      <c r="BR34" s="21">
        <f>EXP(-LN(2)/2)*BR33+(1-EXP(-LN(2)/2))/(LN(2)/2)*BL34*BO34*VLOOKUP('Données projet'!$B$11,Paramètres!$A$1:$I$89,3,0)*0.475*44/12</f>
        <v>16.779191279993352</v>
      </c>
      <c r="BS34" s="22">
        <f t="shared" si="9"/>
        <v>29.277091044304854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10.1</v>
      </c>
      <c r="BY34" s="12">
        <f>IF('Données projet'!$A$114&gt;35,BY33+BX34-CG33,IF(A34&lt;'Données projet'!$A$114,$BV$205^A34,IF(A34='Données projet'!$A$114,'Données projet'!$B$114,BY33+BX34-CG33)))</f>
        <v>136.10000000000008</v>
      </c>
      <c r="BZ34" s="13">
        <f>BY34*VLOOKUP('Données projet'!$B$12,Paramètres!$A$1:$I$89,3,0)*VLOOKUP('Données projet'!$B$12,Paramètres!$A$1:$I$89,5,0)</f>
        <v>118.89696000000008</v>
      </c>
      <c r="CA34" s="13">
        <f t="shared" si="39"/>
        <v>31.417595224301145</v>
      </c>
      <c r="CB34" s="20">
        <f t="shared" si="10"/>
        <v>261.79785034899129</v>
      </c>
      <c r="CC34" s="59">
        <f t="shared" si="11"/>
        <v>555.1311836823246</v>
      </c>
      <c r="CD34" s="59">
        <f ca="1">AVERAGE(OFFSET($CC$3,0,0,'Données projet'!$E$12+1,1))-AVERAGE(OFFSET($H$3,0,0,'Données projet'!$E$12+1,1))</f>
        <v>223.81948236065614</v>
      </c>
      <c r="CE34" s="59">
        <f t="shared" si="40"/>
        <v>320.1204011431372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3.012721966695366</v>
      </c>
      <c r="CL34" s="21">
        <f>EXP(-LN(2)/25)*CL33+(1-EXP(-LN(2)/25))/(LN(2)/25)*Calculateur!CG34*Calculateur!CI34*VLOOKUP('Données projet'!$B$12,Paramètres!$A$1:$I$89,3,0)*0.475*44/12</f>
        <v>17.208604980699224</v>
      </c>
      <c r="CM34" s="21">
        <f>EXP(-LN(2)/2)*CM33+(1-EXP(-LN(2)/2))/(LN(2)/2)*CG34*CJ34*VLOOKUP('Données projet'!$B$12,Paramètres!$A$1:$I$89,3,0)*0.475*44/12</f>
        <v>19.636360128356948</v>
      </c>
      <c r="CN34" s="22">
        <f t="shared" si="12"/>
        <v>39.857687075751542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19.7</v>
      </c>
      <c r="N35" s="13">
        <f>IF('Données projet'!$A$36&gt;35,N34+M35-V34,IF(A35&lt;'Données projet'!$A$36,$K$205^A35,IF(A35='Données projet'!$A$36,'Données projet'!$B$36,N34+M35-V34)))</f>
        <v>221.40000000000003</v>
      </c>
      <c r="O35" s="13">
        <f>N35*VLOOKUP('Données projet'!$B$9,Paramètres!$A$1:$I$89,3,0)*VLOOKUP('Données projet'!$B$9,Paramètres!$A$1:$I$89,5,0)</f>
        <v>123.76260000000002</v>
      </c>
      <c r="P35" s="13">
        <f t="shared" si="33"/>
        <v>32.550980903536193</v>
      </c>
      <c r="Q35" s="20">
        <f t="shared" ref="Q35:Q66" si="53">(O35+P35)*0.475*44/12</f>
        <v>272.24615340699222</v>
      </c>
      <c r="R35" s="59">
        <f t="shared" si="0"/>
        <v>565.57948674032559</v>
      </c>
      <c r="S35" s="59">
        <f ca="1">AVERAGE(OFFSET($R$3,0,0,'Données projet'!$E$9+1,1))-AVERAGE(OFFSET($H$3,0,0,'Données projet'!$E$9+1,1))</f>
        <v>279.98352834501759</v>
      </c>
      <c r="T35" s="59">
        <f t="shared" si="34"/>
        <v>281.30062655265488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3.8417333300856686</v>
      </c>
      <c r="AA35" s="21">
        <f>EXP(-LN(2)/25)*AA34+(1-EXP(-LN(2)/25))/(LN(2)/25)*Calculateur!V35*Calculateur!X35*VLOOKUP('Données projet'!$B$9,Paramètres!$A$1:$I$89,3,0)*0.475*44/12</f>
        <v>22.920088621438463</v>
      </c>
      <c r="AB35" s="21">
        <f>EXP(-LN(2)/2)*AB34+(1-EXP(-LN(2)/2))/(LN(2)/2)*V35*Y35*VLOOKUP('Données projet'!$B$9,Paramètres!$A$1:$I$89,3,0)*0.475*44/12</f>
        <v>14.158570187907351</v>
      </c>
      <c r="AC35" s="22">
        <f t="shared" si="3"/>
        <v>40.920392139431485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20.2</v>
      </c>
      <c r="AI35" s="13">
        <f>IF('Données projet'!$A$62&gt;35,AI34+AH35-AQ34,IF(A35&lt;'Données projet'!$A$62,$AF$205^A35,IF(A35='Données projet'!$A$62,'Données projet'!$B$62,AI34+AH35-AQ34)))</f>
        <v>234.39999999999998</v>
      </c>
      <c r="AJ35" s="13">
        <f>AI35*VLOOKUP('Données projet'!$B$10,Paramètres!$A$1:$I$89,3,0)*VLOOKUP('Données projet'!$B$10,Paramètres!$A$1:$I$89,5,0)</f>
        <v>112.74639999999999</v>
      </c>
      <c r="AK35" s="13">
        <f t="shared" si="35"/>
        <v>29.977126197043795</v>
      </c>
      <c r="AL35" s="20">
        <f t="shared" si="4"/>
        <v>248.5768081265179</v>
      </c>
      <c r="AM35" s="59">
        <f t="shared" si="5"/>
        <v>541.91014145985127</v>
      </c>
      <c r="AN35" s="59">
        <f ca="1">AVERAGE(OFFSET($AM$3,0,0,'Données projet'!$E$10+1,1))-AVERAGE(OFFSET($H$3,0,0,'Données projet'!$E$10+1,1))</f>
        <v>252.30925789500111</v>
      </c>
      <c r="AO35" s="59">
        <f t="shared" si="36"/>
        <v>213.96033794804805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4.4525452264210754</v>
      </c>
      <c r="AV35" s="21">
        <f>EXP(-LN(2)/25)*AV34+(1-EXP(-LN(2)/25))/(LN(2)/25)*Calculateur!AQ35*Calculateur!AS35*VLOOKUP('Données projet'!$B$10,Paramètres!$A$1:$I$89,3,0)*0.475*44/12</f>
        <v>8.7306040262318891</v>
      </c>
      <c r="AW35" s="21">
        <f>EXP(-LN(2)/2)*AW34+(1-EXP(-LN(2)/2))/(LN(2)/2)*AQ35*AT35*VLOOKUP('Données projet'!$B$10,Paramètres!$A$1:$I$89,3,0)*0.475*44/12</f>
        <v>7.1887693034550377</v>
      </c>
      <c r="AX35" s="21">
        <f t="shared" si="6"/>
        <v>20.371918556108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13.7</v>
      </c>
      <c r="BD35" s="12">
        <f>IF('Données projet'!$A$88&gt;35,BD34+BC35-BL34,IF(A35&lt;'Données projet'!$A$88,$BA$205^A35,IF(A35='Données projet'!$A$88,'Données projet'!$B$88,BD34+BC35-BL34)))</f>
        <v>175.39999999999998</v>
      </c>
      <c r="BE35" s="13">
        <f>BD35*VLOOKUP('Données projet'!$B$11,Paramètres!$A$1:$I$89,3,0)*VLOOKUP('Données projet'!$B$11,Paramètres!$A$1:$I$89,5,0)</f>
        <v>104.8892</v>
      </c>
      <c r="BF35" s="13">
        <f t="shared" si="37"/>
        <v>28.123526406473545</v>
      </c>
      <c r="BG35" s="20">
        <f t="shared" si="7"/>
        <v>231.66383182460808</v>
      </c>
      <c r="BH35" s="59">
        <f t="shared" si="8"/>
        <v>524.99716515794137</v>
      </c>
      <c r="BI35" s="59">
        <f ca="1">AVERAGE(OFFSET($BH$3,0,0,'Données projet'!$E$11+1,1))-AVERAGE(OFFSET($H$3,0,0,'Données projet'!$E$11+1,1))</f>
        <v>216.94426559495264</v>
      </c>
      <c r="BJ35" s="59">
        <f t="shared" si="38"/>
        <v>225.33715877618704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12.15614403802042</v>
      </c>
      <c r="BR35" s="21">
        <f>EXP(-LN(2)/2)*BR34+(1-EXP(-LN(2)/2))/(LN(2)/2)*BL35*BO35*VLOOKUP('Données projet'!$B$11,Paramètres!$A$1:$I$89,3,0)*0.475*44/12</f>
        <v>11.864679936909486</v>
      </c>
      <c r="BS35" s="22">
        <f t="shared" si="9"/>
        <v>24.020823974929904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10.1</v>
      </c>
      <c r="BY35" s="12">
        <f>IF('Données projet'!$A$114&gt;35,BY34+BX35-CG34,IF(A35&lt;'Données projet'!$A$114,$BV$205^A35,IF(A35='Données projet'!$A$114,'Données projet'!$B$114,BY34+BX35-CG34)))</f>
        <v>146.20000000000007</v>
      </c>
      <c r="BZ35" s="13">
        <f>BY35*VLOOKUP('Données projet'!$B$12,Paramètres!$A$1:$I$89,3,0)*VLOOKUP('Données projet'!$B$12,Paramètres!$A$1:$I$89,5,0)</f>
        <v>127.72032000000007</v>
      </c>
      <c r="CA35" s="13">
        <f t="shared" si="39"/>
        <v>33.469051060164432</v>
      </c>
      <c r="CB35" s="20">
        <f t="shared" si="10"/>
        <v>280.73815459645317</v>
      </c>
      <c r="CC35" s="59">
        <f t="shared" si="11"/>
        <v>574.07148792978649</v>
      </c>
      <c r="CD35" s="59">
        <f ca="1">AVERAGE(OFFSET($CC$3,0,0,'Données projet'!$E$12+1,1))-AVERAGE(OFFSET($H$3,0,0,'Données projet'!$E$12+1,1))</f>
        <v>223.81948236065614</v>
      </c>
      <c r="CE35" s="59">
        <f t="shared" si="40"/>
        <v>320.1204011431372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2.9536443265074235</v>
      </c>
      <c r="CL35" s="21">
        <f>EXP(-LN(2)/25)*CL34+(1-EXP(-LN(2)/25))/(LN(2)/25)*Calculateur!CG35*Calculateur!CI35*VLOOKUP('Données projet'!$B$12,Paramètres!$A$1:$I$89,3,0)*0.475*44/12</f>
        <v>16.7380347725408</v>
      </c>
      <c r="CM35" s="21">
        <f>EXP(-LN(2)/2)*CM34+(1-EXP(-LN(2)/2))/(LN(2)/2)*CG35*CJ35*VLOOKUP('Données projet'!$B$12,Paramètres!$A$1:$I$89,3,0)*0.475*44/12</f>
        <v>13.885003404582344</v>
      </c>
      <c r="CN35" s="22">
        <f t="shared" si="12"/>
        <v>33.576682503630565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19.7</v>
      </c>
      <c r="N36" s="13">
        <f>IF('Données projet'!$A$36&gt;35,N35+M36-V35,IF(A36&lt;'Données projet'!$A$36,$K$205^A36,IF(A36='Données projet'!$A$36,'Données projet'!$B$36,N35+M36-V35)))</f>
        <v>241.10000000000002</v>
      </c>
      <c r="O36" s="13">
        <f>N36*VLOOKUP('Données projet'!$B$9,Paramètres!$A$1:$I$89,3,0)*VLOOKUP('Données projet'!$B$9,Paramètres!$A$1:$I$89,5,0)</f>
        <v>134.7749</v>
      </c>
      <c r="P36" s="13">
        <f t="shared" si="33"/>
        <v>35.097371560884767</v>
      </c>
      <c r="Q36" s="20">
        <f t="shared" si="53"/>
        <v>295.86087296854095</v>
      </c>
      <c r="R36" s="59">
        <f t="shared" si="0"/>
        <v>589.19420630187426</v>
      </c>
      <c r="S36" s="59">
        <f ca="1">AVERAGE(OFFSET($R$3,0,0,'Données projet'!$E$9+1,1))-AVERAGE(OFFSET($H$3,0,0,'Données projet'!$E$9+1,1))</f>
        <v>279.98352834501759</v>
      </c>
      <c r="T36" s="59">
        <f t="shared" si="34"/>
        <v>281.30062655265488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3.7663992827086457</v>
      </c>
      <c r="AA36" s="21">
        <f>EXP(-LN(2)/25)*AA35+(1-EXP(-LN(2)/25))/(LN(2)/25)*Calculateur!V36*Calculateur!X36*VLOOKUP('Données projet'!$B$9,Paramètres!$A$1:$I$89,3,0)*0.475*44/12</f>
        <v>22.293337592770154</v>
      </c>
      <c r="AB36" s="21">
        <f>EXP(-LN(2)/2)*AB35+(1-EXP(-LN(2)/2))/(LN(2)/2)*V36*Y36*VLOOKUP('Données projet'!$B$9,Paramètres!$A$1:$I$89,3,0)*0.475*44/12</f>
        <v>10.011620991774979</v>
      </c>
      <c r="AC36" s="22">
        <f t="shared" si="3"/>
        <v>36.071357867253781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20.2</v>
      </c>
      <c r="AI36" s="13">
        <f>IF('Données projet'!$A$62&gt;35,AI35+AH36-AQ35,IF(A36&lt;'Données projet'!$A$62,$AF$205^A36,IF(A36='Données projet'!$A$62,'Données projet'!$B$62,AI35+AH36-AQ35)))</f>
        <v>254.59999999999997</v>
      </c>
      <c r="AJ36" s="13">
        <f>AI36*VLOOKUP('Données projet'!$B$10,Paramètres!$A$1:$I$89,3,0)*VLOOKUP('Données projet'!$B$10,Paramètres!$A$1:$I$89,5,0)</f>
        <v>122.46259999999998</v>
      </c>
      <c r="AK36" s="13">
        <f t="shared" si="35"/>
        <v>32.248679491884289</v>
      </c>
      <c r="AL36" s="20">
        <f t="shared" si="4"/>
        <v>269.45547844836511</v>
      </c>
      <c r="AM36" s="59">
        <f t="shared" si="5"/>
        <v>562.78881178169843</v>
      </c>
      <c r="AN36" s="59">
        <f ca="1">AVERAGE(OFFSET($AM$3,0,0,'Données projet'!$E$10+1,1))-AVERAGE(OFFSET($H$3,0,0,'Données projet'!$E$10+1,1))</f>
        <v>252.30925789500111</v>
      </c>
      <c r="AO36" s="59">
        <f t="shared" si="36"/>
        <v>213.96033794804805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4.3652335303153844</v>
      </c>
      <c r="AV36" s="21">
        <f>EXP(-LN(2)/25)*AV35+(1-EXP(-LN(2)/25))/(LN(2)/25)*Calculateur!AQ36*Calculateur!AS36*VLOOKUP('Données projet'!$B$10,Paramètres!$A$1:$I$89,3,0)*0.475*44/12</f>
        <v>8.4918652000120662</v>
      </c>
      <c r="AW36" s="21">
        <f>EXP(-LN(2)/2)*AW35+(1-EXP(-LN(2)/2))/(LN(2)/2)*AQ36*AT36*VLOOKUP('Données projet'!$B$10,Paramètres!$A$1:$I$89,3,0)*0.475*44/12</f>
        <v>5.0832275228587518</v>
      </c>
      <c r="AX36" s="21">
        <f t="shared" si="6"/>
        <v>17.940326253186203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13.7</v>
      </c>
      <c r="BD36" s="12">
        <f>IF('Données projet'!$A$88&gt;35,BD35+BC36-BL35,IF(A36&lt;'Données projet'!$A$88,$BA$205^A36,IF(A36='Données projet'!$A$88,'Données projet'!$B$88,BD35+BC36-BL35)))</f>
        <v>189.09999999999997</v>
      </c>
      <c r="BE36" s="13">
        <f>BD36*VLOOKUP('Données projet'!$B$11,Paramètres!$A$1:$I$89,3,0)*VLOOKUP('Données projet'!$B$11,Paramètres!$A$1:$I$89,5,0)</f>
        <v>113.08179999999999</v>
      </c>
      <c r="BF36" s="13">
        <f t="shared" si="37"/>
        <v>30.055908915657483</v>
      </c>
      <c r="BG36" s="20">
        <f t="shared" si="7"/>
        <v>249.29817636143676</v>
      </c>
      <c r="BH36" s="59">
        <f t="shared" si="8"/>
        <v>542.6315096947701</v>
      </c>
      <c r="BI36" s="59">
        <f ca="1">AVERAGE(OFFSET($BH$3,0,0,'Données projet'!$E$11+1,1))-AVERAGE(OFFSET($H$3,0,0,'Données projet'!$E$11+1,1))</f>
        <v>216.94426559495264</v>
      </c>
      <c r="BJ36" s="59">
        <f t="shared" si="38"/>
        <v>225.33715877618704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11.82373364003692</v>
      </c>
      <c r="BR36" s="21">
        <f>EXP(-LN(2)/2)*BR35+(1-EXP(-LN(2)/2))/(LN(2)/2)*BL36*BO36*VLOOKUP('Données projet'!$B$11,Paramètres!$A$1:$I$89,3,0)*0.475*44/12</f>
        <v>8.389595639996676</v>
      </c>
      <c r="BS36" s="22">
        <f t="shared" si="9"/>
        <v>20.213329280033598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10.1</v>
      </c>
      <c r="BY36" s="12">
        <f>IF('Données projet'!$A$114&gt;35,BY35+BX36-CG35,IF(A36&lt;'Données projet'!$A$114,$BV$205^A36,IF(A36='Données projet'!$A$114,'Données projet'!$B$114,BY35+BX36-CG35)))</f>
        <v>156.30000000000007</v>
      </c>
      <c r="BZ36" s="13">
        <f>BY36*VLOOKUP('Données projet'!$B$12,Paramètres!$A$1:$I$89,3,0)*VLOOKUP('Données projet'!$B$12,Paramètres!$A$1:$I$89,5,0)</f>
        <v>136.54368000000008</v>
      </c>
      <c r="CA36" s="13">
        <f t="shared" si="39"/>
        <v>35.504062844328153</v>
      </c>
      <c r="CB36" s="20">
        <f t="shared" si="10"/>
        <v>299.64981878720499</v>
      </c>
      <c r="CC36" s="59">
        <f t="shared" si="11"/>
        <v>592.98315212053831</v>
      </c>
      <c r="CD36" s="59">
        <f ca="1">AVERAGE(OFFSET($CC$3,0,0,'Données projet'!$E$12+1,1))-AVERAGE(OFFSET($H$3,0,0,'Données projet'!$E$12+1,1))</f>
        <v>223.81948236065614</v>
      </c>
      <c r="CE36" s="59">
        <f t="shared" si="40"/>
        <v>320.1204011431372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2.8957251628097644</v>
      </c>
      <c r="CL36" s="21">
        <f>EXP(-LN(2)/25)*CL35+(1-EXP(-LN(2)/25))/(LN(2)/25)*Calculateur!CG36*Calculateur!CI36*VLOOKUP('Données projet'!$B$12,Paramètres!$A$1:$I$89,3,0)*0.475*44/12</f>
        <v>16.280332331470678</v>
      </c>
      <c r="CM36" s="21">
        <f>EXP(-LN(2)/2)*CM35+(1-EXP(-LN(2)/2))/(LN(2)/2)*CG36*CJ36*VLOOKUP('Données projet'!$B$12,Paramètres!$A$1:$I$89,3,0)*0.475*44/12</f>
        <v>9.8181800641784758</v>
      </c>
      <c r="CN36" s="22">
        <f t="shared" si="12"/>
        <v>28.99423755845892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19.7</v>
      </c>
      <c r="N37" s="13">
        <f>IF('Données projet'!$A$36&gt;35,N36+M37-V36,IF(A37&lt;'Données projet'!$A$36,$K$205^A37,IF(A37='Données projet'!$A$36,'Données projet'!$B$36,N36+M37-V36)))</f>
        <v>260.8</v>
      </c>
      <c r="O37" s="13">
        <f>N37*VLOOKUP('Données projet'!$B$9,Paramètres!$A$1:$I$89,3,0)*VLOOKUP('Données projet'!$B$9,Paramètres!$A$1:$I$89,5,0)</f>
        <v>145.78720000000001</v>
      </c>
      <c r="P37" s="13">
        <f t="shared" si="33"/>
        <v>37.619630209734858</v>
      </c>
      <c r="Q37" s="20">
        <f t="shared" si="53"/>
        <v>319.43356261528817</v>
      </c>
      <c r="R37" s="59">
        <f t="shared" si="0"/>
        <v>612.76689594862148</v>
      </c>
      <c r="S37" s="59">
        <f ca="1">AVERAGE(OFFSET($R$3,0,0,'Données projet'!$E$9+1,1))-AVERAGE(OFFSET($H$3,0,0,'Données projet'!$E$9+1,1))</f>
        <v>279.98352834501759</v>
      </c>
      <c r="T37" s="59">
        <f t="shared" si="34"/>
        <v>281.30062655265488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3.6925424900514545</v>
      </c>
      <c r="AA37" s="21">
        <f>EXP(-LN(2)/25)*AA36+(1-EXP(-LN(2)/25))/(LN(2)/25)*Calculateur!V37*Calculateur!X37*VLOOKUP('Données projet'!$B$9,Paramètres!$A$1:$I$89,3,0)*0.475*44/12</f>
        <v>21.683725103940183</v>
      </c>
      <c r="AB37" s="21">
        <f>EXP(-LN(2)/2)*AB36+(1-EXP(-LN(2)/2))/(LN(2)/2)*V37*Y37*VLOOKUP('Données projet'!$B$9,Paramètres!$A$1:$I$89,3,0)*0.475*44/12</f>
        <v>7.0792850939536764</v>
      </c>
      <c r="AC37" s="22">
        <f t="shared" si="3"/>
        <v>32.455552687945314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20.2</v>
      </c>
      <c r="AI37" s="13">
        <f>IF('Données projet'!$A$62&gt;35,AI36+AH37-AQ36,IF(A37&lt;'Données projet'!$A$62,$AF$205^A37,IF(A37='Données projet'!$A$62,'Données projet'!$B$62,AI36+AH37-AQ36)))</f>
        <v>274.79999999999995</v>
      </c>
      <c r="AJ37" s="13">
        <f>AI37*VLOOKUP('Données projet'!$B$10,Paramètres!$A$1:$I$89,3,0)*VLOOKUP('Données projet'!$B$10,Paramètres!$A$1:$I$89,5,0)</f>
        <v>132.1788</v>
      </c>
      <c r="AK37" s="13">
        <f t="shared" si="35"/>
        <v>34.49932798943486</v>
      </c>
      <c r="AL37" s="20">
        <f t="shared" si="4"/>
        <v>290.29773958159905</v>
      </c>
      <c r="AM37" s="59">
        <f t="shared" si="5"/>
        <v>583.63107291493236</v>
      </c>
      <c r="AN37" s="59">
        <f ca="1">AVERAGE(OFFSET($AM$3,0,0,'Données projet'!$E$10+1,1))-AVERAGE(OFFSET($H$3,0,0,'Données projet'!$E$10+1,1))</f>
        <v>252.30925789500111</v>
      </c>
      <c r="AO37" s="59">
        <f t="shared" si="36"/>
        <v>213.96033794804805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4.2796339633154501</v>
      </c>
      <c r="AV37" s="21">
        <f>EXP(-LN(2)/25)*AV36+(1-EXP(-LN(2)/25))/(LN(2)/25)*Calculateur!AQ37*Calculateur!AS37*VLOOKUP('Données projet'!$B$10,Paramètres!$A$1:$I$89,3,0)*0.475*44/12</f>
        <v>8.2596546995499533</v>
      </c>
      <c r="AW37" s="21">
        <f>EXP(-LN(2)/2)*AW36+(1-EXP(-LN(2)/2))/(LN(2)/2)*AQ37*AT37*VLOOKUP('Données projet'!$B$10,Paramètres!$A$1:$I$89,3,0)*0.475*44/12</f>
        <v>3.5943846517275198</v>
      </c>
      <c r="AX37" s="21">
        <f t="shared" si="6"/>
        <v>16.133673314592922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13.7</v>
      </c>
      <c r="BD37" s="12">
        <f>IF('Données projet'!$A$88&gt;35,BD36+BC37-BL36,IF(A37&lt;'Données projet'!$A$88,$BA$205^A37,IF(A37='Données projet'!$A$88,'Données projet'!$B$88,BD36+BC37-BL36)))</f>
        <v>202.79999999999995</v>
      </c>
      <c r="BE37" s="13">
        <f>BD37*VLOOKUP('Données projet'!$B$11,Paramètres!$A$1:$I$89,3,0)*VLOOKUP('Données projet'!$B$11,Paramètres!$A$1:$I$89,5,0)</f>
        <v>121.27439999999999</v>
      </c>
      <c r="BF37" s="13">
        <f t="shared" si="37"/>
        <v>31.972049173215385</v>
      </c>
      <c r="BG37" s="20">
        <f t="shared" si="7"/>
        <v>266.90423231001677</v>
      </c>
      <c r="BH37" s="59">
        <f t="shared" si="8"/>
        <v>560.23756564335008</v>
      </c>
      <c r="BI37" s="59">
        <f ca="1">AVERAGE(OFFSET($BH$3,0,0,'Données projet'!$E$11+1,1))-AVERAGE(OFFSET($H$3,0,0,'Données projet'!$E$11+1,1))</f>
        <v>216.94426559495264</v>
      </c>
      <c r="BJ37" s="59">
        <f t="shared" si="38"/>
        <v>225.33715877618704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11.500413021866981</v>
      </c>
      <c r="BR37" s="21">
        <f>EXP(-LN(2)/2)*BR36+(1-EXP(-LN(2)/2))/(LN(2)/2)*BL37*BO37*VLOOKUP('Données projet'!$B$11,Paramètres!$A$1:$I$89,3,0)*0.475*44/12</f>
        <v>5.9323399684547429</v>
      </c>
      <c r="BS37" s="22">
        <f t="shared" si="9"/>
        <v>17.432752990321724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10.1</v>
      </c>
      <c r="BY37" s="12">
        <f>IF('Données projet'!$A$114&gt;35,BY36+BX37-CG36,IF(A37&lt;'Données projet'!$A$114,$BV$205^A37,IF(A37='Données projet'!$A$114,'Données projet'!$B$114,BY36+BX37-CG36)))</f>
        <v>166.40000000000006</v>
      </c>
      <c r="BZ37" s="13">
        <f>BY37*VLOOKUP('Données projet'!$B$12,Paramètres!$A$1:$I$89,3,0)*VLOOKUP('Données projet'!$B$12,Paramètres!$A$1:$I$89,5,0)</f>
        <v>145.36704000000006</v>
      </c>
      <c r="CA37" s="13">
        <f t="shared" si="39"/>
        <v>37.523814117080832</v>
      </c>
      <c r="CB37" s="20">
        <f t="shared" si="10"/>
        <v>318.53490425391584</v>
      </c>
      <c r="CC37" s="59">
        <f t="shared" si="11"/>
        <v>611.86823758724915</v>
      </c>
      <c r="CD37" s="59">
        <f ca="1">AVERAGE(OFFSET($CC$3,0,0,'Données projet'!$E$12+1,1))-AVERAGE(OFFSET($H$3,0,0,'Données projet'!$E$12+1,1))</f>
        <v>223.81948236065614</v>
      </c>
      <c r="CE37" s="59">
        <f t="shared" si="40"/>
        <v>320.1204011431372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2.8389417585850145</v>
      </c>
      <c r="CL37" s="21">
        <f>EXP(-LN(2)/25)*CL36+(1-EXP(-LN(2)/25))/(LN(2)/25)*Calculateur!CG37*Calculateur!CI37*VLOOKUP('Données projet'!$B$12,Paramètres!$A$1:$I$89,3,0)*0.475*44/12</f>
        <v>15.835145787721144</v>
      </c>
      <c r="CM37" s="21">
        <f>EXP(-LN(2)/2)*CM36+(1-EXP(-LN(2)/2))/(LN(2)/2)*CG37*CJ37*VLOOKUP('Données projet'!$B$12,Paramètres!$A$1:$I$89,3,0)*0.475*44/12</f>
        <v>6.9425017022911728</v>
      </c>
      <c r="CN37" s="22">
        <f t="shared" si="12"/>
        <v>25.616589248597329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19.7</v>
      </c>
      <c r="N38" s="13">
        <f>IF('Données projet'!$A$36&gt;35,N37+M38-V37,IF(A38&lt;'Données projet'!$A$36,$K$205^A38,IF(A38='Données projet'!$A$36,'Données projet'!$B$36,N37+M38-V37)))</f>
        <v>280.5</v>
      </c>
      <c r="O38" s="13">
        <f>N38*VLOOKUP('Données projet'!$B$9,Paramètres!$A$1:$I$89,3,0)*VLOOKUP('Données projet'!$B$9,Paramètres!$A$1:$I$89,5,0)</f>
        <v>156.79949999999999</v>
      </c>
      <c r="P38" s="13">
        <f t="shared" si="33"/>
        <v>40.119786973579373</v>
      </c>
      <c r="Q38" s="20">
        <f t="shared" si="53"/>
        <v>342.96775814565075</v>
      </c>
      <c r="R38" s="59">
        <f t="shared" si="0"/>
        <v>636.30109147898406</v>
      </c>
      <c r="S38" s="59">
        <f ca="1">AVERAGE(OFFSET($R$3,0,0,'Données projet'!$E$9+1,1))-AVERAGE(OFFSET($H$3,0,0,'Données projet'!$E$9+1,1))</f>
        <v>279.98352834501759</v>
      </c>
      <c r="T38" s="59">
        <f t="shared" si="34"/>
        <v>281.30062655265488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3.6201339840500752</v>
      </c>
      <c r="AA38" s="21">
        <f>EXP(-LN(2)/25)*AA37+(1-EXP(-LN(2)/25))/(LN(2)/25)*Calculateur!V38*Calculateur!X38*VLOOKUP('Données projet'!$B$9,Paramètres!$A$1:$I$89,3,0)*0.475*44/12</f>
        <v>21.090782500675395</v>
      </c>
      <c r="AB38" s="21">
        <f>EXP(-LN(2)/2)*AB37+(1-EXP(-LN(2)/2))/(LN(2)/2)*V38*Y38*VLOOKUP('Données projet'!$B$9,Paramètres!$A$1:$I$89,3,0)*0.475*44/12</f>
        <v>5.0058104958874905</v>
      </c>
      <c r="AC38" s="22">
        <f t="shared" si="3"/>
        <v>29.716726980612961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20.2</v>
      </c>
      <c r="AI38" s="13">
        <f>IF('Données projet'!$A$62&gt;35,AI37+AH38-AQ37,IF(A38&lt;'Données projet'!$A$62,$AF$205^A38,IF(A38='Données projet'!$A$62,'Données projet'!$B$62,AI37+AH38-AQ37)))</f>
        <v>294.99999999999994</v>
      </c>
      <c r="AJ38" s="13">
        <f>AI38*VLOOKUP('Données projet'!$B$10,Paramètres!$A$1:$I$89,3,0)*VLOOKUP('Données projet'!$B$10,Paramètres!$A$1:$I$89,5,0)</f>
        <v>141.89499999999998</v>
      </c>
      <c r="AK38" s="13">
        <f t="shared" si="35"/>
        <v>36.730783106167067</v>
      </c>
      <c r="AL38" s="20">
        <f t="shared" si="4"/>
        <v>311.10657224324092</v>
      </c>
      <c r="AM38" s="59">
        <f t="shared" si="5"/>
        <v>604.43990557657423</v>
      </c>
      <c r="AN38" s="59">
        <f ca="1">AVERAGE(OFFSET($AM$3,0,0,'Données projet'!$E$10+1,1))-AVERAGE(OFFSET($H$3,0,0,'Données projet'!$E$10+1,1))</f>
        <v>252.30925789500111</v>
      </c>
      <c r="AO38" s="59">
        <f t="shared" si="36"/>
        <v>213.96033794804805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4.1957129516138041</v>
      </c>
      <c r="AV38" s="21">
        <f>EXP(-LN(2)/25)*AV37+(1-EXP(-LN(2)/25))/(LN(2)/25)*Calculateur!AQ38*Calculateur!AS38*VLOOKUP('Données projet'!$B$10,Paramètres!$A$1:$I$89,3,0)*0.475*44/12</f>
        <v>8.0337940074343965</v>
      </c>
      <c r="AW38" s="21">
        <f>EXP(-LN(2)/2)*AW37+(1-EXP(-LN(2)/2))/(LN(2)/2)*AQ38*AT38*VLOOKUP('Données projet'!$B$10,Paramètres!$A$1:$I$89,3,0)*0.475*44/12</f>
        <v>2.5416137614293763</v>
      </c>
      <c r="AX38" s="21">
        <f t="shared" si="6"/>
        <v>14.771120720477578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13.7</v>
      </c>
      <c r="BD38" s="12">
        <f>IF('Données projet'!$A$88&gt;35,BD37+BC38-BL37,IF(A38&lt;'Données projet'!$A$88,$BA$205^A38,IF(A38='Données projet'!$A$88,'Données projet'!$B$88,BD37+BC38-BL37)))</f>
        <v>216.49999999999994</v>
      </c>
      <c r="BE38" s="13">
        <f>BD38*VLOOKUP('Données projet'!$B$11,Paramètres!$A$1:$I$89,3,0)*VLOOKUP('Données projet'!$B$11,Paramètres!$A$1:$I$89,5,0)</f>
        <v>129.46699999999998</v>
      </c>
      <c r="BF38" s="13">
        <f t="shared" si="37"/>
        <v>33.873169248083329</v>
      </c>
      <c r="BG38" s="20">
        <f t="shared" si="7"/>
        <v>284.48412810707845</v>
      </c>
      <c r="BH38" s="59">
        <f t="shared" si="8"/>
        <v>577.81746144041176</v>
      </c>
      <c r="BI38" s="59">
        <f ca="1">AVERAGE(OFFSET($BH$3,0,0,'Données projet'!$E$11+1,1))-AVERAGE(OFFSET($H$3,0,0,'Données projet'!$E$11+1,1))</f>
        <v>216.94426559495264</v>
      </c>
      <c r="BJ38" s="59">
        <f t="shared" si="38"/>
        <v>225.33715877618704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11.185933623003592</v>
      </c>
      <c r="BR38" s="21">
        <f>EXP(-LN(2)/2)*BR37+(1-EXP(-LN(2)/2))/(LN(2)/2)*BL38*BO38*VLOOKUP('Données projet'!$B$11,Paramètres!$A$1:$I$89,3,0)*0.475*44/12</f>
        <v>4.194797819998338</v>
      </c>
      <c r="BS38" s="22">
        <f t="shared" si="9"/>
        <v>15.380731443001931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10.1</v>
      </c>
      <c r="BY38" s="12">
        <f>IF('Données projet'!$A$114&gt;35,BY37+BX38-CG37,IF(A38&lt;'Données projet'!$A$114,$BV$205^A38,IF(A38='Données projet'!$A$114,'Données projet'!$B$114,BY37+BX38-CG37)))</f>
        <v>176.50000000000006</v>
      </c>
      <c r="BZ38" s="13">
        <f>BY38*VLOOKUP('Données projet'!$B$12,Paramètres!$A$1:$I$89,3,0)*VLOOKUP('Données projet'!$B$12,Paramètres!$A$1:$I$89,5,0)</f>
        <v>154.19040000000007</v>
      </c>
      <c r="CA38" s="13">
        <f t="shared" si="39"/>
        <v>39.529336625598283</v>
      </c>
      <c r="CB38" s="20">
        <f t="shared" si="10"/>
        <v>337.39520795625043</v>
      </c>
      <c r="CC38" s="59">
        <f t="shared" si="11"/>
        <v>630.72854128958375</v>
      </c>
      <c r="CD38" s="59">
        <f ca="1">AVERAGE(OFFSET($CC$3,0,0,'Données projet'!$E$12+1,1))-AVERAGE(OFFSET($H$3,0,0,'Données projet'!$E$12+1,1))</f>
        <v>223.81948236065614</v>
      </c>
      <c r="CE38" s="59">
        <f t="shared" si="40"/>
        <v>320.1204011431372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2.7832718422826557</v>
      </c>
      <c r="CL38" s="21">
        <f>EXP(-LN(2)/25)*CL37+(1-EXP(-LN(2)/25))/(LN(2)/25)*Calculateur!CG38*Calculateur!CI38*VLOOKUP('Données projet'!$B$12,Paramètres!$A$1:$I$89,3,0)*0.475*44/12</f>
        <v>15.402132893421784</v>
      </c>
      <c r="CM38" s="21">
        <f>EXP(-LN(2)/2)*CM37+(1-EXP(-LN(2)/2))/(LN(2)/2)*CG38*CJ38*VLOOKUP('Données projet'!$B$12,Paramètres!$A$1:$I$89,3,0)*0.475*44/12</f>
        <v>4.9090900320892388</v>
      </c>
      <c r="CN38" s="22">
        <f t="shared" si="12"/>
        <v>23.09449476779368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19.7</v>
      </c>
      <c r="N39" s="13">
        <f>IF('Données projet'!$A$36&gt;35,N38+M39-V38,IF(A39&lt;'Données projet'!$A$36,$K$205^A39,IF(A39='Données projet'!$A$36,'Données projet'!$B$36,N38+M39-V38)))</f>
        <v>300.2</v>
      </c>
      <c r="O39" s="13">
        <f>N39*VLOOKUP('Données projet'!$B$9,Paramètres!$A$1:$I$89,3,0)*VLOOKUP('Données projet'!$B$9,Paramètres!$A$1:$I$89,5,0)</f>
        <v>167.81179999999998</v>
      </c>
      <c r="P39" s="13">
        <f t="shared" si="33"/>
        <v>42.599570666603093</v>
      </c>
      <c r="Q39" s="20">
        <f t="shared" si="53"/>
        <v>366.466470577667</v>
      </c>
      <c r="R39" s="59">
        <f t="shared" si="0"/>
        <v>659.79980391100025</v>
      </c>
      <c r="S39" s="59">
        <f ca="1">AVERAGE(OFFSET($R$3,0,0,'Données projet'!$E$9+1,1))-AVERAGE(OFFSET($H$3,0,0,'Données projet'!$E$9+1,1))</f>
        <v>279.98352834501759</v>
      </c>
      <c r="T39" s="59">
        <f t="shared" si="34"/>
        <v>281.30062655265488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3.5491453646865554</v>
      </c>
      <c r="AA39" s="21">
        <f>EXP(-LN(2)/25)*AA38+(1-EXP(-LN(2)/25))/(LN(2)/25)*Calculateur!V39*Calculateur!X39*VLOOKUP('Données projet'!$B$9,Paramètres!$A$1:$I$89,3,0)*0.475*44/12</f>
        <v>20.514053944078377</v>
      </c>
      <c r="AB39" s="21">
        <f>EXP(-LN(2)/2)*AB38+(1-EXP(-LN(2)/2))/(LN(2)/2)*V39*Y39*VLOOKUP('Données projet'!$B$9,Paramètres!$A$1:$I$89,3,0)*0.475*44/12</f>
        <v>3.5396425469768391</v>
      </c>
      <c r="AC39" s="22">
        <f t="shared" si="3"/>
        <v>27.602841855741772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20.2</v>
      </c>
      <c r="AI39" s="13">
        <f>IF('Données projet'!$A$62&gt;35,AI38+AH39-AQ38,IF(A39&lt;'Données projet'!$A$62,$AF$205^A39,IF(A39='Données projet'!$A$62,'Données projet'!$B$62,AI38+AH39-AQ38)))</f>
        <v>315.19999999999993</v>
      </c>
      <c r="AJ39" s="13">
        <f>AI39*VLOOKUP('Données projet'!$B$10,Paramètres!$A$1:$I$89,3,0)*VLOOKUP('Données projet'!$B$10,Paramètres!$A$1:$I$89,5,0)</f>
        <v>151.61119999999997</v>
      </c>
      <c r="AK39" s="13">
        <f t="shared" si="35"/>
        <v>38.944508614536844</v>
      </c>
      <c r="AL39" s="20">
        <f t="shared" si="4"/>
        <v>331.88452583698489</v>
      </c>
      <c r="AM39" s="59">
        <f t="shared" si="5"/>
        <v>625.21785917031821</v>
      </c>
      <c r="AN39" s="59">
        <f ca="1">AVERAGE(OFFSET($AM$3,0,0,'Données projet'!$E$10+1,1))-AVERAGE(OFFSET($H$3,0,0,'Données projet'!$E$10+1,1))</f>
        <v>252.30925789500111</v>
      </c>
      <c r="AO39" s="59">
        <f t="shared" si="36"/>
        <v>213.96033794804805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4.1134375797648648</v>
      </c>
      <c r="AV39" s="21">
        <f>EXP(-LN(2)/25)*AV38+(1-EXP(-LN(2)/25))/(LN(2)/25)*Calculateur!AQ39*Calculateur!AS39*VLOOKUP('Données projet'!$B$10,Paramètres!$A$1:$I$89,3,0)*0.475*44/12</f>
        <v>7.8141094878222379</v>
      </c>
      <c r="AW39" s="21">
        <f>EXP(-LN(2)/2)*AW38+(1-EXP(-LN(2)/2))/(LN(2)/2)*AQ39*AT39*VLOOKUP('Données projet'!$B$10,Paramètres!$A$1:$I$89,3,0)*0.475*44/12</f>
        <v>1.7971923258637601</v>
      </c>
      <c r="AX39" s="21">
        <f t="shared" si="6"/>
        <v>13.724739393450863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13.7</v>
      </c>
      <c r="BD39" s="12">
        <f>IF('Données projet'!$A$88&gt;35,BD38+BC39-BL38,IF(A39&lt;'Données projet'!$A$88,$BA$205^A39,IF(A39='Données projet'!$A$88,'Données projet'!$B$88,BD38+BC39-BL38)))</f>
        <v>230.19999999999993</v>
      </c>
      <c r="BE39" s="13">
        <f>BD39*VLOOKUP('Données projet'!$B$11,Paramètres!$A$1:$I$89,3,0)*VLOOKUP('Données projet'!$B$11,Paramètres!$A$1:$I$89,5,0)</f>
        <v>137.65959999999995</v>
      </c>
      <c r="BF39" s="13">
        <f t="shared" si="37"/>
        <v>35.760327802577585</v>
      </c>
      <c r="BG39" s="20">
        <f t="shared" si="7"/>
        <v>302.03970758948918</v>
      </c>
      <c r="BH39" s="59">
        <f t="shared" si="8"/>
        <v>595.3730409228225</v>
      </c>
      <c r="BI39" s="59">
        <f ca="1">AVERAGE(OFFSET($BH$3,0,0,'Données projet'!$E$11+1,1))-AVERAGE(OFFSET($H$3,0,0,'Données projet'!$E$11+1,1))</f>
        <v>216.94426559495264</v>
      </c>
      <c r="BJ39" s="59">
        <f t="shared" si="38"/>
        <v>225.33715877618704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10.880053679839875</v>
      </c>
      <c r="BR39" s="21">
        <f>EXP(-LN(2)/2)*BR38+(1-EXP(-LN(2)/2))/(LN(2)/2)*BL39*BO39*VLOOKUP('Données projet'!$B$11,Paramètres!$A$1:$I$89,3,0)*0.475*44/12</f>
        <v>2.9661699842273714</v>
      </c>
      <c r="BS39" s="22">
        <f t="shared" si="9"/>
        <v>13.846223664067246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10.1</v>
      </c>
      <c r="BY39" s="12">
        <f>IF('Données projet'!$A$114&gt;35,BY38+BX39-CG38,IF(A39&lt;'Données projet'!$A$114,$BV$205^A39,IF(A39='Données projet'!$A$114,'Données projet'!$B$114,BY38+BX39-CG38)))</f>
        <v>186.60000000000005</v>
      </c>
      <c r="BZ39" s="13">
        <f>BY39*VLOOKUP('Données projet'!$B$12,Paramètres!$A$1:$I$89,3,0)*VLOOKUP('Données projet'!$B$12,Paramètres!$A$1:$I$89,5,0)</f>
        <v>163.01376000000008</v>
      </c>
      <c r="CA39" s="13">
        <f t="shared" si="39"/>
        <v>41.5215373664754</v>
      </c>
      <c r="CB39" s="20">
        <f t="shared" si="10"/>
        <v>356.23230957994474</v>
      </c>
      <c r="CC39" s="59">
        <f t="shared" si="11"/>
        <v>649.565642913278</v>
      </c>
      <c r="CD39" s="59">
        <f ca="1">AVERAGE(OFFSET($CC$3,0,0,'Données projet'!$E$12+1,1))-AVERAGE(OFFSET($H$3,0,0,'Données projet'!$E$12+1,1))</f>
        <v>223.81948236065614</v>
      </c>
      <c r="CE39" s="59">
        <f t="shared" si="40"/>
        <v>320.1204011431372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2.7286935790836897</v>
      </c>
      <c r="CL39" s="21">
        <f>EXP(-LN(2)/25)*CL38+(1-EXP(-LN(2)/25))/(LN(2)/25)*Calculateur!CG39*Calculateur!CI39*VLOOKUP('Données projet'!$B$12,Paramètres!$A$1:$I$89,3,0)*0.475*44/12</f>
        <v>14.980960759488198</v>
      </c>
      <c r="CM39" s="21">
        <f>EXP(-LN(2)/2)*CM38+(1-EXP(-LN(2)/2))/(LN(2)/2)*CG39*CJ39*VLOOKUP('Données projet'!$B$12,Paramètres!$A$1:$I$89,3,0)*0.475*44/12</f>
        <v>3.4712508511455873</v>
      </c>
      <c r="CN39" s="22">
        <f t="shared" si="12"/>
        <v>21.180905189717475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19.7</v>
      </c>
      <c r="N40" s="13">
        <f>IF('Données projet'!$A$36&gt;35,N39+M40-V39,IF(A40&lt;'Données projet'!$A$36,$K$205^A40,IF(A40='Données projet'!$A$36,'Données projet'!$B$36,N39+M40-V39)))</f>
        <v>319.89999999999998</v>
      </c>
      <c r="O40" s="13">
        <f>N40*VLOOKUP('Données projet'!$B$9,Paramètres!$A$1:$I$89,3,0)*VLOOKUP('Données projet'!$B$9,Paramètres!$A$1:$I$89,5,0)</f>
        <v>178.82409999999999</v>
      </c>
      <c r="P40" s="13">
        <f t="shared" si="33"/>
        <v>45.060470370141232</v>
      </c>
      <c r="Q40" s="20">
        <f t="shared" si="53"/>
        <v>389.93229339466257</v>
      </c>
      <c r="R40" s="59">
        <f t="shared" si="0"/>
        <v>683.26562672799582</v>
      </c>
      <c r="S40" s="59">
        <f ca="1">AVERAGE(OFFSET($R$3,0,0,'Données projet'!$E$9+1,1))-AVERAGE(OFFSET($H$3,0,0,'Données projet'!$E$9+1,1))</f>
        <v>279.98352834501759</v>
      </c>
      <c r="T40" s="59">
        <f t="shared" si="34"/>
        <v>281.30062655265488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3.4795487888499719</v>
      </c>
      <c r="AA40" s="21">
        <f>EXP(-LN(2)/25)*AA39+(1-EXP(-LN(2)/25))/(LN(2)/25)*Calculateur!V40*Calculateur!X40*VLOOKUP('Données projet'!$B$9,Paramètres!$A$1:$I$89,3,0)*0.475*44/12</f>
        <v>19.953096060190344</v>
      </c>
      <c r="AB40" s="21">
        <f>EXP(-LN(2)/2)*AB39+(1-EXP(-LN(2)/2))/(LN(2)/2)*V40*Y40*VLOOKUP('Données projet'!$B$9,Paramètres!$A$1:$I$89,3,0)*0.475*44/12</f>
        <v>2.5029052479437457</v>
      </c>
      <c r="AC40" s="22">
        <f t="shared" si="3"/>
        <v>25.935550096984059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20.2</v>
      </c>
      <c r="AI40" s="13">
        <f>IF('Données projet'!$A$62&gt;35,AI39+AH40-AQ39,IF(A40&lt;'Données projet'!$A$62,$AF$205^A40,IF(A40='Données projet'!$A$62,'Données projet'!$B$62,AI39+AH40-AQ39)))</f>
        <v>335.39999999999992</v>
      </c>
      <c r="AJ40" s="13">
        <f>AI40*VLOOKUP('Données projet'!$B$10,Paramètres!$A$1:$I$89,3,0)*VLOOKUP('Données projet'!$B$10,Paramètres!$A$1:$I$89,5,0)</f>
        <v>161.32739999999995</v>
      </c>
      <c r="AK40" s="13">
        <f t="shared" si="35"/>
        <v>41.141770064042859</v>
      </c>
      <c r="AL40" s="20">
        <f t="shared" si="4"/>
        <v>352.63380452820792</v>
      </c>
      <c r="AM40" s="59">
        <f t="shared" si="5"/>
        <v>645.96713786154123</v>
      </c>
      <c r="AN40" s="59">
        <f ca="1">AVERAGE(OFFSET($AM$3,0,0,'Données projet'!$E$10+1,1))-AVERAGE(OFFSET($H$3,0,0,'Données projet'!$E$10+1,1))</f>
        <v>252.30925789500111</v>
      </c>
      <c r="AO40" s="59">
        <f t="shared" si="36"/>
        <v>213.96033794804805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4.0327755777748617</v>
      </c>
      <c r="AV40" s="21">
        <f>EXP(-LN(2)/25)*AV39+(1-EXP(-LN(2)/25))/(LN(2)/25)*Calculateur!AQ40*Calculateur!AS40*VLOOKUP('Données projet'!$B$10,Paramètres!$A$1:$I$89,3,0)*0.475*44/12</f>
        <v>7.6004322529515802</v>
      </c>
      <c r="AW40" s="21">
        <f>EXP(-LN(2)/2)*AW39+(1-EXP(-LN(2)/2))/(LN(2)/2)*AQ40*AT40*VLOOKUP('Données projet'!$B$10,Paramètres!$A$1:$I$89,3,0)*0.475*44/12</f>
        <v>1.2708068807146884</v>
      </c>
      <c r="AX40" s="21">
        <f t="shared" si="6"/>
        <v>12.90401471144113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13.7</v>
      </c>
      <c r="BD40" s="12">
        <f>IF('Données projet'!$A$88&gt;35,BD39+BC40-BL39,IF(A40&lt;'Données projet'!$A$88,$BA$205^A40,IF(A40='Données projet'!$A$88,'Données projet'!$B$88,BD39+BC40-BL39)))</f>
        <v>243.89999999999992</v>
      </c>
      <c r="BE40" s="13">
        <f>BD40*VLOOKUP('Données projet'!$B$11,Paramètres!$A$1:$I$89,3,0)*VLOOKUP('Données projet'!$B$11,Paramètres!$A$1:$I$89,5,0)</f>
        <v>145.85219999999998</v>
      </c>
      <c r="BF40" s="13">
        <f t="shared" si="37"/>
        <v>37.634450370795903</v>
      </c>
      <c r="BG40" s="20">
        <f t="shared" si="7"/>
        <v>319.57258272913612</v>
      </c>
      <c r="BH40" s="59">
        <f t="shared" si="8"/>
        <v>612.90591606246949</v>
      </c>
      <c r="BI40" s="59">
        <f ca="1">AVERAGE(OFFSET($BH$3,0,0,'Données projet'!$E$11+1,1))-AVERAGE(OFFSET($H$3,0,0,'Données projet'!$E$11+1,1))</f>
        <v>216.94426559495264</v>
      </c>
      <c r="BJ40" s="59">
        <f t="shared" si="38"/>
        <v>225.33715877618704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10.582538039807497</v>
      </c>
      <c r="BR40" s="21">
        <f>EXP(-LN(2)/2)*BR39+(1-EXP(-LN(2)/2))/(LN(2)/2)*BL40*BO40*VLOOKUP('Données projet'!$B$11,Paramètres!$A$1:$I$89,3,0)*0.475*44/12</f>
        <v>2.097398909999169</v>
      </c>
      <c r="BS40" s="22">
        <f t="shared" si="9"/>
        <v>12.679936949806667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10.1</v>
      </c>
      <c r="BY40" s="12">
        <f>IF('Données projet'!$A$114&gt;35,BY39+BX40-CG39,IF(A40&lt;'Données projet'!$A$114,$BV$205^A40,IF(A40='Données projet'!$A$114,'Données projet'!$B$114,BY39+BX40-CG39)))</f>
        <v>196.70000000000005</v>
      </c>
      <c r="BZ40" s="13">
        <f>BY40*VLOOKUP('Données projet'!$B$12,Paramètres!$A$1:$I$89,3,0)*VLOOKUP('Données projet'!$B$12,Paramètres!$A$1:$I$89,5,0)</f>
        <v>171.83712000000006</v>
      </c>
      <c r="CA40" s="13">
        <f t="shared" si="39"/>
        <v>43.501219605956322</v>
      </c>
      <c r="CB40" s="20">
        <f t="shared" si="10"/>
        <v>375.04760814704065</v>
      </c>
      <c r="CC40" s="59">
        <f t="shared" si="11"/>
        <v>668.38094148037396</v>
      </c>
      <c r="CD40" s="59">
        <f ca="1">AVERAGE(OFFSET($CC$3,0,0,'Données projet'!$E$12+1,1))-AVERAGE(OFFSET($H$3,0,0,'Données projet'!$E$12+1,1))</f>
        <v>223.81948236065614</v>
      </c>
      <c r="CE40" s="59">
        <f t="shared" si="40"/>
        <v>320.1204011431372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2.6751855623366021</v>
      </c>
      <c r="CL40" s="21">
        <f>EXP(-LN(2)/25)*CL39+(1-EXP(-LN(2)/25))/(LN(2)/25)*Calculateur!CG40*Calculateur!CI40*VLOOKUP('Données projet'!$B$12,Paramètres!$A$1:$I$89,3,0)*0.475*44/12</f>
        <v>14.571305599705507</v>
      </c>
      <c r="CM40" s="21">
        <f>EXP(-LN(2)/2)*CM39+(1-EXP(-LN(2)/2))/(LN(2)/2)*CG40*CJ40*VLOOKUP('Données projet'!$B$12,Paramètres!$A$1:$I$89,3,0)*0.475*44/12</f>
        <v>2.4545450160446198</v>
      </c>
      <c r="CN40" s="22">
        <f t="shared" si="12"/>
        <v>19.701036178086728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19.7</v>
      </c>
      <c r="N41" s="13">
        <f>IF('Données projet'!$A$36&gt;35,N40+M41-V40,IF(A41&lt;'Données projet'!$A$36,$K$205^A41,IF(A41='Données projet'!$A$36,'Données projet'!$B$36,N40+M41-V40)))</f>
        <v>339.59999999999997</v>
      </c>
      <c r="O41" s="13">
        <f>N41*VLOOKUP('Données projet'!$B$9,Paramètres!$A$1:$I$89,3,0)*VLOOKUP('Données projet'!$B$9,Paramètres!$A$1:$I$89,5,0)</f>
        <v>189.8364</v>
      </c>
      <c r="P41" s="13">
        <f t="shared" si="33"/>
        <v>47.503781400896202</v>
      </c>
      <c r="Q41" s="20">
        <f t="shared" si="53"/>
        <v>413.36748260656083</v>
      </c>
      <c r="R41" s="59">
        <f t="shared" si="0"/>
        <v>706.70081593989414</v>
      </c>
      <c r="S41" s="59">
        <f ca="1">AVERAGE(OFFSET($R$3,0,0,'Données projet'!$E$9+1,1))-AVERAGE(OFFSET($H$3,0,0,'Données projet'!$E$9+1,1))</f>
        <v>279.98352834501759</v>
      </c>
      <c r="T41" s="59">
        <f t="shared" si="34"/>
        <v>281.30062655265488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3.4113169594158239</v>
      </c>
      <c r="AA41" s="21">
        <f>EXP(-LN(2)/25)*AA40+(1-EXP(-LN(2)/25))/(LN(2)/25)*Calculateur!V41*Calculateur!X41*VLOOKUP('Données projet'!$B$9,Paramètres!$A$1:$I$89,3,0)*0.475*44/12</f>
        <v>19.407477599136719</v>
      </c>
      <c r="AB41" s="21">
        <f>EXP(-LN(2)/2)*AB40+(1-EXP(-LN(2)/2))/(LN(2)/2)*V41*Y41*VLOOKUP('Données projet'!$B$9,Paramètres!$A$1:$I$89,3,0)*0.475*44/12</f>
        <v>1.7698212734884198</v>
      </c>
      <c r="AC41" s="22">
        <f t="shared" si="3"/>
        <v>24.588615832040965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20.2</v>
      </c>
      <c r="AI41" s="13">
        <f>IF('Données projet'!$A$62&gt;35,AI40+AH41-AQ40,IF(A41&lt;'Données projet'!$A$62,$AF$205^A41,IF(A41='Données projet'!$A$62,'Données projet'!$B$62,AI40+AH41-AQ40)))</f>
        <v>355.59999999999991</v>
      </c>
      <c r="AJ41" s="13">
        <f>AI41*VLOOKUP('Données projet'!$B$10,Paramètres!$A$1:$I$89,3,0)*VLOOKUP('Données projet'!$B$10,Paramètres!$A$1:$I$89,5,0)</f>
        <v>171.04359999999997</v>
      </c>
      <c r="AK41" s="13">
        <f t="shared" si="35"/>
        <v>43.323671951889153</v>
      </c>
      <c r="AL41" s="20">
        <f t="shared" si="4"/>
        <v>373.35633198287354</v>
      </c>
      <c r="AM41" s="59">
        <f t="shared" si="5"/>
        <v>666.68966531620686</v>
      </c>
      <c r="AN41" s="59">
        <f ca="1">AVERAGE(OFFSET($AM$3,0,0,'Données projet'!$E$10+1,1))-AVERAGE(OFFSET($H$3,0,0,'Données projet'!$E$10+1,1))</f>
        <v>252.30925789500111</v>
      </c>
      <c r="AO41" s="59">
        <f t="shared" si="36"/>
        <v>213.96033794804805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3.9536953084449191</v>
      </c>
      <c r="AV41" s="21">
        <f>EXP(-LN(2)/25)*AV40+(1-EXP(-LN(2)/25))/(LN(2)/25)*Calculateur!AQ41*Calculateur!AS41*VLOOKUP('Données projet'!$B$10,Paramètres!$A$1:$I$89,3,0)*0.475*44/12</f>
        <v>7.3925980333052577</v>
      </c>
      <c r="AW41" s="21">
        <f>EXP(-LN(2)/2)*AW40+(1-EXP(-LN(2)/2))/(LN(2)/2)*AQ41*AT41*VLOOKUP('Données projet'!$B$10,Paramètres!$A$1:$I$89,3,0)*0.475*44/12</f>
        <v>0.89859616293188027</v>
      </c>
      <c r="AX41" s="21">
        <f t="shared" si="6"/>
        <v>12.244889504682057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13.7</v>
      </c>
      <c r="BD41" s="12">
        <f>IF('Données projet'!$A$88&gt;35,BD40+BC41-BL40,IF(A41&lt;'Données projet'!$A$88,$BA$205^A41,IF(A41='Données projet'!$A$88,'Données projet'!$B$88,BD40+BC41-BL40)))</f>
        <v>257.59999999999991</v>
      </c>
      <c r="BE41" s="13">
        <f>BD41*VLOOKUP('Données projet'!$B$11,Paramètres!$A$1:$I$89,3,0)*VLOOKUP('Données projet'!$B$11,Paramètres!$A$1:$I$89,5,0)</f>
        <v>154.04479999999995</v>
      </c>
      <c r="BF41" s="13">
        <f t="shared" si="37"/>
        <v>39.496352638742984</v>
      </c>
      <c r="BG41" s="20">
        <f t="shared" si="7"/>
        <v>337.08417417914399</v>
      </c>
      <c r="BH41" s="59">
        <f t="shared" si="8"/>
        <v>630.4175075124773</v>
      </c>
      <c r="BI41" s="59">
        <f ca="1">AVERAGE(OFFSET($BH$3,0,0,'Données projet'!$E$11+1,1))-AVERAGE(OFFSET($H$3,0,0,'Données projet'!$E$11+1,1))</f>
        <v>216.94426559495264</v>
      </c>
      <c r="BJ41" s="59">
        <f t="shared" si="38"/>
        <v>225.33715877618704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10.293157980597472</v>
      </c>
      <c r="BR41" s="21">
        <f>EXP(-LN(2)/2)*BR40+(1-EXP(-LN(2)/2))/(LN(2)/2)*BL41*BO41*VLOOKUP('Données projet'!$B$11,Paramètres!$A$1:$I$89,3,0)*0.475*44/12</f>
        <v>1.4830849921136857</v>
      </c>
      <c r="BS41" s="22">
        <f t="shared" si="9"/>
        <v>11.776242972711158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10.1</v>
      </c>
      <c r="BY41" s="12">
        <f>IF('Données projet'!$A$114&gt;35,BY40+BX41-CG40,IF(A41&lt;'Données projet'!$A$114,$BV$205^A41,IF(A41='Données projet'!$A$114,'Données projet'!$B$114,BY40+BX41-CG40)))</f>
        <v>206.80000000000004</v>
      </c>
      <c r="BZ41" s="13">
        <f>BY41*VLOOKUP('Données projet'!$B$12,Paramètres!$A$1:$I$89,3,0)*VLOOKUP('Données projet'!$B$12,Paramètres!$A$1:$I$89,5,0)</f>
        <v>180.66048000000006</v>
      </c>
      <c r="CA41" s="13">
        <f t="shared" si="39"/>
        <v>45.469099459918802</v>
      </c>
      <c r="CB41" s="20">
        <f t="shared" si="10"/>
        <v>393.84235089269197</v>
      </c>
      <c r="CC41" s="59">
        <f t="shared" si="11"/>
        <v>687.17568422602528</v>
      </c>
      <c r="CD41" s="59">
        <f ca="1">AVERAGE(OFFSET($CC$3,0,0,'Données projet'!$E$12+1,1))-AVERAGE(OFFSET($H$3,0,0,'Données projet'!$E$12+1,1))</f>
        <v>223.81948236065614</v>
      </c>
      <c r="CE41" s="59">
        <f t="shared" si="40"/>
        <v>320.1204011431372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2.6227268051612573</v>
      </c>
      <c r="CL41" s="21">
        <f>EXP(-LN(2)/25)*CL40+(1-EXP(-LN(2)/25))/(LN(2)/25)*Calculateur!CG41*Calculateur!CI41*VLOOKUP('Données projet'!$B$12,Paramètres!$A$1:$I$89,3,0)*0.475*44/12</f>
        <v>14.172852481809901</v>
      </c>
      <c r="CM41" s="21">
        <f>EXP(-LN(2)/2)*CM40+(1-EXP(-LN(2)/2))/(LN(2)/2)*CG41*CJ41*VLOOKUP('Données projet'!$B$12,Paramètres!$A$1:$I$89,3,0)*0.475*44/12</f>
        <v>1.7356254255727939</v>
      </c>
      <c r="CN41" s="22">
        <f t="shared" si="12"/>
        <v>18.531204712543953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19.7</v>
      </c>
      <c r="N42" s="13">
        <f>IF('Données projet'!$A$36&gt;35,N41+M42-V41,IF(A42&lt;'Données projet'!$A$36,$K$205^A42,IF(A42='Données projet'!$A$36,'Données projet'!$B$36,N41+M42-V41)))</f>
        <v>359.29999999999995</v>
      </c>
      <c r="O42" s="13">
        <f>N42*VLOOKUP('Données projet'!$B$9,Paramètres!$A$1:$I$89,3,0)*VLOOKUP('Données projet'!$B$9,Paramètres!$A$1:$I$89,5,0)</f>
        <v>200.84869999999995</v>
      </c>
      <c r="P42" s="13">
        <f t="shared" si="33"/>
        <v>49.930640305560686</v>
      </c>
      <c r="Q42" s="20">
        <f t="shared" si="53"/>
        <v>436.77401769885142</v>
      </c>
      <c r="R42" s="59">
        <f t="shared" si="0"/>
        <v>730.10735103218474</v>
      </c>
      <c r="S42" s="59">
        <f ca="1">AVERAGE(OFFSET($R$3,0,0,'Données projet'!$E$9+1,1))-AVERAGE(OFFSET($H$3,0,0,'Données projet'!$E$9+1,1))</f>
        <v>279.98352834501759</v>
      </c>
      <c r="T42" s="59">
        <f t="shared" si="34"/>
        <v>281.30062655265488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3.3444231145395729</v>
      </c>
      <c r="AA42" s="21">
        <f>EXP(-LN(2)/25)*AA41+(1-EXP(-LN(2)/25))/(LN(2)/25)*Calculateur!V42*Calculateur!X42*VLOOKUP('Données projet'!$B$9,Paramètres!$A$1:$I$89,3,0)*0.475*44/12</f>
        <v>18.876779103593435</v>
      </c>
      <c r="AB42" s="21">
        <f>EXP(-LN(2)/2)*AB41+(1-EXP(-LN(2)/2))/(LN(2)/2)*V42*Y42*VLOOKUP('Données projet'!$B$9,Paramètres!$A$1:$I$89,3,0)*0.475*44/12</f>
        <v>1.2514526239718731</v>
      </c>
      <c r="AC42" s="22">
        <f t="shared" si="3"/>
        <v>23.47265484210488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20.2</v>
      </c>
      <c r="AI42" s="13">
        <f>IF('Données projet'!$A$62&gt;35,AI41+AH42-AQ41,IF(A42&lt;'Données projet'!$A$62,$AF$205^A42,IF(A42='Données projet'!$A$62,'Données projet'!$B$62,AI41+AH42-AQ41)))</f>
        <v>375.7999999999999</v>
      </c>
      <c r="AJ42" s="13">
        <f>AI42*VLOOKUP('Données projet'!$B$10,Paramètres!$A$1:$I$89,3,0)*VLOOKUP('Données projet'!$B$10,Paramètres!$A$1:$I$89,5,0)</f>
        <v>180.75979999999996</v>
      </c>
      <c r="AK42" s="13">
        <f t="shared" si="35"/>
        <v>45.491186204967178</v>
      </c>
      <c r="AL42" s="20">
        <f t="shared" si="4"/>
        <v>394.05380097365111</v>
      </c>
      <c r="AM42" s="59">
        <f t="shared" si="5"/>
        <v>687.38713430698442</v>
      </c>
      <c r="AN42" s="59">
        <f ca="1">AVERAGE(OFFSET($AM$3,0,0,'Données projet'!$E$10+1,1))-AVERAGE(OFFSET($H$3,0,0,'Données projet'!$E$10+1,1))</f>
        <v>252.30925789500111</v>
      </c>
      <c r="AO42" s="59">
        <f t="shared" si="36"/>
        <v>213.96033794804805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3.8761657549623352</v>
      </c>
      <c r="AV42" s="21">
        <f>EXP(-LN(2)/25)*AV41+(1-EXP(-LN(2)/25))/(LN(2)/25)*Calculateur!AQ42*Calculateur!AS42*VLOOKUP('Données projet'!$B$10,Paramètres!$A$1:$I$89,3,0)*0.475*44/12</f>
        <v>7.190447051324691</v>
      </c>
      <c r="AW42" s="21">
        <f>EXP(-LN(2)/2)*AW41+(1-EXP(-LN(2)/2))/(LN(2)/2)*AQ42*AT42*VLOOKUP('Données projet'!$B$10,Paramètres!$A$1:$I$89,3,0)*0.475*44/12</f>
        <v>0.63540344035734431</v>
      </c>
      <c r="AX42" s="21">
        <f t="shared" si="6"/>
        <v>11.702016246644369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13.7</v>
      </c>
      <c r="BD42" s="12">
        <f>IF('Données projet'!$A$88&gt;35,BD41+BC42-BL41,IF(A42&lt;'Données projet'!$A$88,$BA$205^A42,IF(A42='Données projet'!$A$88,'Données projet'!$B$88,BD41+BC42-BL41)))</f>
        <v>271.2999999999999</v>
      </c>
      <c r="BE42" s="13">
        <f>BD42*VLOOKUP('Données projet'!$B$11,Paramètres!$A$1:$I$89,3,0)*VLOOKUP('Données projet'!$B$11,Paramètres!$A$1:$I$89,5,0)</f>
        <v>162.23739999999995</v>
      </c>
      <c r="BF42" s="13">
        <f t="shared" si="37"/>
        <v>41.346758630600348</v>
      </c>
      <c r="BG42" s="20">
        <f t="shared" si="7"/>
        <v>354.57574294829556</v>
      </c>
      <c r="BH42" s="59">
        <f t="shared" si="8"/>
        <v>647.90907628162881</v>
      </c>
      <c r="BI42" s="59">
        <f ca="1">AVERAGE(OFFSET($BH$3,0,0,'Données projet'!$E$11+1,1))-AVERAGE(OFFSET($H$3,0,0,'Données projet'!$E$11+1,1))</f>
        <v>216.94426559495264</v>
      </c>
      <c r="BJ42" s="59">
        <f t="shared" si="38"/>
        <v>225.33715877618704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10.011691034324382</v>
      </c>
      <c r="BR42" s="21">
        <f>EXP(-LN(2)/2)*BR41+(1-EXP(-LN(2)/2))/(LN(2)/2)*BL42*BO42*VLOOKUP('Données projet'!$B$11,Paramètres!$A$1:$I$89,3,0)*0.475*44/12</f>
        <v>1.0486994549995845</v>
      </c>
      <c r="BS42" s="22">
        <f t="shared" si="9"/>
        <v>11.060390489323966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10.1</v>
      </c>
      <c r="BY42" s="12">
        <f>IF('Données projet'!$A$114&gt;35,BY41+BX42-CG41,IF(A42&lt;'Données projet'!$A$114,$BV$205^A42,IF(A42='Données projet'!$A$114,'Données projet'!$B$114,BY41+BX42-CG41)))</f>
        <v>216.90000000000003</v>
      </c>
      <c r="BZ42" s="13">
        <f>BY42*VLOOKUP('Données projet'!$B$12,Paramètres!$A$1:$I$89,3,0)*VLOOKUP('Données projet'!$B$12,Paramètres!$A$1:$I$89,5,0)</f>
        <v>189.48384000000004</v>
      </c>
      <c r="CA42" s="13">
        <f t="shared" si="39"/>
        <v>47.425819142919799</v>
      </c>
      <c r="CB42" s="20">
        <f t="shared" si="10"/>
        <v>412.61765634058537</v>
      </c>
      <c r="CC42" s="59">
        <f t="shared" si="11"/>
        <v>705.95098967391868</v>
      </c>
      <c r="CD42" s="59">
        <f ca="1">AVERAGE(OFFSET($CC$3,0,0,'Données projet'!$E$12+1,1))-AVERAGE(OFFSET($H$3,0,0,'Données projet'!$E$12+1,1))</f>
        <v>223.81948236065614</v>
      </c>
      <c r="CE42" s="59">
        <f t="shared" si="40"/>
        <v>320.1204011431372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2.5712967322174385</v>
      </c>
      <c r="CL42" s="21">
        <f>EXP(-LN(2)/25)*CL41+(1-EXP(-LN(2)/25))/(LN(2)/25)*Calculateur!CG42*Calculateur!CI42*VLOOKUP('Données projet'!$B$12,Paramètres!$A$1:$I$89,3,0)*0.475*44/12</f>
        <v>13.785295085376889</v>
      </c>
      <c r="CM42" s="21">
        <f>EXP(-LN(2)/2)*CM41+(1-EXP(-LN(2)/2))/(LN(2)/2)*CG42*CJ42*VLOOKUP('Données projet'!$B$12,Paramètres!$A$1:$I$89,3,0)*0.475*44/12</f>
        <v>1.2272725080223101</v>
      </c>
      <c r="CN42" s="22">
        <f t="shared" si="12"/>
        <v>17.583864325616638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379</v>
      </c>
      <c r="L43" s="12">
        <f>VLOOKUP(A43,'Données projet'!$A$35:$I$55,9,0)</f>
        <v>19.7</v>
      </c>
      <c r="M43" s="12">
        <f t="array" ref="M43">INDEX(L:L,MIN(IF(ISNUMBER(L43:L239),ROW(L43:L239),"")))</f>
        <v>19.7</v>
      </c>
      <c r="N43" s="13">
        <f>IF('Données projet'!$A$36&gt;35,N42+M43-V42,IF(A43&lt;'Données projet'!$A$36,$K$205^A43,IF(A43='Données projet'!$A$36,'Données projet'!$B$36,N42+M43-V42)))</f>
        <v>378.99999999999994</v>
      </c>
      <c r="O43" s="13">
        <f>N43*VLOOKUP('Données projet'!$B$9,Paramètres!$A$1:$I$89,3,0)*VLOOKUP('Données projet'!$B$9,Paramètres!$A$1:$I$89,5,0)</f>
        <v>211.86099999999996</v>
      </c>
      <c r="P43" s="13">
        <f t="shared" si="33"/>
        <v>52.342051960836379</v>
      </c>
      <c r="Q43" s="20">
        <f t="shared" si="53"/>
        <v>460.15364883178995</v>
      </c>
      <c r="R43" s="59">
        <f t="shared" si="0"/>
        <v>753.48698216512321</v>
      </c>
      <c r="S43" s="59">
        <f ca="1">AVERAGE(OFFSET($R$3,0,0,'Données projet'!$E$9+1,1))-AVERAGE(OFFSET($H$3,0,0,'Données projet'!$E$9+1,1))</f>
        <v>279.98352834501759</v>
      </c>
      <c r="T43" s="59">
        <f t="shared" si="34"/>
        <v>281.30062655265488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98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3.2788410171601288</v>
      </c>
      <c r="AA43" s="21">
        <f>EXP(-LN(2)/25)*AA42+(1-EXP(-LN(2)/25))/(LN(2)/25)*Calculateur!V43*Calculateur!X43*VLOOKUP('Données projet'!$B$9,Paramètres!$A$1:$I$89,3,0)*0.475*44/12</f>
        <v>18.360592586319004</v>
      </c>
      <c r="AB43" s="21">
        <f>EXP(-LN(2)/2)*AB42+(1-EXP(-LN(2)/2))/(LN(2)/2)*V43*Y43*VLOOKUP('Données projet'!$B$9,Paramètres!$A$1:$I$89,3,0)*0.475*44/12</f>
        <v>0.88491063674421</v>
      </c>
      <c r="AC43" s="22">
        <f t="shared" si="3"/>
        <v>22.524344240223343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396</v>
      </c>
      <c r="AG43" s="12">
        <f>VLOOKUP(A43,'Données projet'!$A$61:$I$81,9,0)</f>
        <v>20.2</v>
      </c>
      <c r="AH43" s="12">
        <f t="array" ref="AH43">INDEX(AG:AG,MIN(IF(ISNUMBER(AG43:AG239),ROW(AG43:AG239),"")))</f>
        <v>20.2</v>
      </c>
      <c r="AI43" s="13">
        <f>IF('Données projet'!$A$62&gt;35,AI42+AH43-AQ42,IF(A43&lt;'Données projet'!$A$62,$AF$205^A43,IF(A43='Données projet'!$A$62,'Données projet'!$B$62,AI42+AH43-AQ42)))</f>
        <v>395.99999999999989</v>
      </c>
      <c r="AJ43" s="13">
        <f>AI43*VLOOKUP('Données projet'!$B$10,Paramètres!$A$1:$I$89,3,0)*VLOOKUP('Données projet'!$B$10,Paramètres!$A$1:$I$89,5,0)</f>
        <v>190.47599999999994</v>
      </c>
      <c r="AK43" s="13">
        <f t="shared" si="35"/>
        <v>47.645174362968312</v>
      </c>
      <c r="AL43" s="20">
        <f t="shared" si="4"/>
        <v>414.72771201550307</v>
      </c>
      <c r="AM43" s="59">
        <f t="shared" si="5"/>
        <v>708.06104534883639</v>
      </c>
      <c r="AN43" s="59">
        <f ca="1">AVERAGE(OFFSET($AM$3,0,0,'Données projet'!$E$10+1,1))-AVERAGE(OFFSET($H$3,0,0,'Données projet'!$E$10+1,1))</f>
        <v>252.30925789500111</v>
      </c>
      <c r="AO43" s="59">
        <f t="shared" si="36"/>
        <v>213.96033794804805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98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3.8001565087351863</v>
      </c>
      <c r="AV43" s="21">
        <f>EXP(-LN(2)/25)*AV42+(1-EXP(-LN(2)/25))/(LN(2)/25)*Calculateur!AQ43*Calculateur!AS43*VLOOKUP('Données projet'!$B$10,Paramètres!$A$1:$I$89,3,0)*0.475*44/12</f>
        <v>6.9938238985770411</v>
      </c>
      <c r="AW43" s="21">
        <f>EXP(-LN(2)/2)*AW42+(1-EXP(-LN(2)/2))/(LN(2)/2)*AQ43*AT43*VLOOKUP('Données projet'!$B$10,Paramètres!$A$1:$I$89,3,0)*0.475*44/12</f>
        <v>0.44929808146594019</v>
      </c>
      <c r="AX43" s="21">
        <f t="shared" si="6"/>
        <v>11.243278488778168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285</v>
      </c>
      <c r="BB43" s="12">
        <f>VLOOKUP(A43,'Données projet'!$A$87:$I$107,9,0)</f>
        <v>13.7</v>
      </c>
      <c r="BC43" s="12">
        <f t="array" ref="BC43">INDEX(BB:BB,MIN(IF(ISNUMBER(BB43:BB239),ROW(BB43:BB239),"")))</f>
        <v>13.7</v>
      </c>
      <c r="BD43" s="12">
        <f>IF('Données projet'!$A$88&gt;35,BD42+BC43-BL42,IF(A43&lt;'Données projet'!$A$88,$BA$205^A43,IF(A43='Données projet'!$A$88,'Données projet'!$B$88,BD42+BC43-BL42)))</f>
        <v>284.99999999999989</v>
      </c>
      <c r="BE43" s="13">
        <f>BD43*VLOOKUP('Données projet'!$B$11,Paramètres!$A$1:$I$89,3,0)*VLOOKUP('Données projet'!$B$11,Paramètres!$A$1:$I$89,5,0)</f>
        <v>170.42999999999995</v>
      </c>
      <c r="BF43" s="13">
        <f t="shared" si="37"/>
        <v>43.186315117079396</v>
      </c>
      <c r="BG43" s="20">
        <f t="shared" si="7"/>
        <v>372.04841549557983</v>
      </c>
      <c r="BH43" s="59">
        <f t="shared" si="8"/>
        <v>665.38174882891315</v>
      </c>
      <c r="BI43" s="59">
        <f ca="1">AVERAGE(OFFSET($BH$3,0,0,'Données projet'!$E$11+1,1))-AVERAGE(OFFSET($H$3,0,0,'Données projet'!$E$11+1,1))</f>
        <v>216.94426559495264</v>
      </c>
      <c r="BJ43" s="59">
        <f t="shared" si="38"/>
        <v>225.33715877618704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9.737920816498832</v>
      </c>
      <c r="BR43" s="21">
        <f>EXP(-LN(2)/2)*BR42+(1-EXP(-LN(2)/2))/(LN(2)/2)*BL43*BO43*VLOOKUP('Données projet'!$B$11,Paramètres!$A$1:$I$89,3,0)*0.475*44/12</f>
        <v>0.74154249605684286</v>
      </c>
      <c r="BS43" s="22">
        <f t="shared" si="9"/>
        <v>10.479463312555675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227</v>
      </c>
      <c r="BW43" s="12">
        <f>VLOOKUP(A43,'Données projet'!$A$113:$I$133,9,0)</f>
        <v>10.1</v>
      </c>
      <c r="BX43" s="12">
        <f t="array" ref="BX43">INDEX(BW:BW,MIN(IF(ISNUMBER(BW43:BW239),ROW(BW43:BW239),"")))</f>
        <v>10.1</v>
      </c>
      <c r="BY43" s="12">
        <f>IF('Données projet'!$A$114&gt;35,BY42+BX43-CG42,IF(A43&lt;'Données projet'!$A$114,$BV$205^A43,IF(A43='Données projet'!$A$114,'Données projet'!$B$114,BY42+BX43-CG42)))</f>
        <v>227.00000000000003</v>
      </c>
      <c r="BZ43" s="13">
        <f>BY43*VLOOKUP('Données projet'!$B$12,Paramètres!$A$1:$I$89,3,0)*VLOOKUP('Données projet'!$B$12,Paramètres!$A$1:$I$89,5,0)</f>
        <v>198.30720000000005</v>
      </c>
      <c r="CA43" s="13">
        <f t="shared" si="39"/>
        <v>49.371957679623371</v>
      </c>
      <c r="CB43" s="20">
        <f t="shared" si="10"/>
        <v>431.37453295867743</v>
      </c>
      <c r="CC43" s="59">
        <f t="shared" si="11"/>
        <v>724.70786629201075</v>
      </c>
      <c r="CD43" s="59">
        <f ca="1">AVERAGE(OFFSET($CC$3,0,0,'Données projet'!$E$12+1,1))-AVERAGE(OFFSET($H$3,0,0,'Données projet'!$E$12+1,1))</f>
        <v>223.81948236065614</v>
      </c>
      <c r="CE43" s="59">
        <f t="shared" si="40"/>
        <v>320.1204011431372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69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2.5208751716348008</v>
      </c>
      <c r="CL43" s="21">
        <f>EXP(-LN(2)/25)*CL42+(1-EXP(-LN(2)/25))/(LN(2)/25)*Calculateur!CG43*Calculateur!CI43*VLOOKUP('Données projet'!$B$12,Paramètres!$A$1:$I$89,3,0)*0.475*44/12</f>
        <v>13.408335466330096</v>
      </c>
      <c r="CM43" s="21">
        <f>EXP(-LN(2)/2)*CM42+(1-EXP(-LN(2)/2))/(LN(2)/2)*CG43*CJ43*VLOOKUP('Données projet'!$B$12,Paramètres!$A$1:$I$89,3,0)*0.475*44/12</f>
        <v>0.86781271278639716</v>
      </c>
      <c r="CN43" s="22">
        <f t="shared" si="12"/>
        <v>16.797023350751292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17.399999999999999</v>
      </c>
      <c r="N44" s="13">
        <f>IF('Données projet'!$A$36&gt;35,N43+M44-V43,IF(A44&lt;'Données projet'!$A$36,$K$205^A44,IF(A44='Données projet'!$A$36,'Données projet'!$B$36,N43+M44-V43)))</f>
        <v>298.39999999999992</v>
      </c>
      <c r="O44" s="13">
        <f>N44*VLOOKUP('Données projet'!$B$9,Paramètres!$A$1:$I$89,3,0)*VLOOKUP('Données projet'!$B$9,Paramètres!$A$1:$I$89,5,0)</f>
        <v>166.80559999999994</v>
      </c>
      <c r="P44" s="13">
        <f t="shared" si="33"/>
        <v>42.373796309738111</v>
      </c>
      <c r="Q44" s="20">
        <f t="shared" si="53"/>
        <v>364.32078190612714</v>
      </c>
      <c r="R44" s="59">
        <f t="shared" si="0"/>
        <v>657.65411523946045</v>
      </c>
      <c r="S44" s="59">
        <f ca="1">AVERAGE(OFFSET($R$3,0,0,'Données projet'!$E$9+1,1))-AVERAGE(OFFSET($H$3,0,0,'Données projet'!$E$9+1,1))</f>
        <v>279.98352834501759</v>
      </c>
      <c r="T44" s="59">
        <f t="shared" si="34"/>
        <v>281.30062655265488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3.2145449447091656</v>
      </c>
      <c r="AA44" s="21">
        <f>EXP(-LN(2)/25)*AA43+(1-EXP(-LN(2)/25))/(LN(2)/25)*Calculateur!V44*Calculateur!X44*VLOOKUP('Données projet'!$B$9,Paramètres!$A$1:$I$89,3,0)*0.475*44/12</f>
        <v>17.85852121650451</v>
      </c>
      <c r="AB44" s="21">
        <f>EXP(-LN(2)/2)*AB43+(1-EXP(-LN(2)/2))/(LN(2)/2)*V44*Y44*VLOOKUP('Données projet'!$B$9,Paramètres!$A$1:$I$89,3,0)*0.475*44/12</f>
        <v>0.62572631198593653</v>
      </c>
      <c r="AC44" s="22">
        <f t="shared" si="3"/>
        <v>21.69879247319961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19.2</v>
      </c>
      <c r="AI44" s="13">
        <f>IF('Données projet'!$A$62&gt;35,AI43+AH44-AQ43,IF(A44&lt;'Données projet'!$A$62,$AF$205^A44,IF(A44='Données projet'!$A$62,'Données projet'!$B$62,AI43+AH44-AQ43)))</f>
        <v>317.19999999999987</v>
      </c>
      <c r="AJ44" s="13">
        <f>AI44*VLOOKUP('Données projet'!$B$10,Paramètres!$A$1:$I$89,3,0)*VLOOKUP('Données projet'!$B$10,Paramètres!$A$1:$I$89,5,0)</f>
        <v>152.57319999999993</v>
      </c>
      <c r="AK44" s="13">
        <f t="shared" si="35"/>
        <v>39.162774413815789</v>
      </c>
      <c r="AL44" s="20">
        <f t="shared" si="4"/>
        <v>333.94015543739573</v>
      </c>
      <c r="AM44" s="59">
        <f t="shared" si="5"/>
        <v>627.27348877072905</v>
      </c>
      <c r="AN44" s="59">
        <f ca="1">AVERAGE(OFFSET($AM$3,0,0,'Données projet'!$E$10+1,1))-AVERAGE(OFFSET($H$3,0,0,'Données projet'!$E$10+1,1))</f>
        <v>252.30925789500111</v>
      </c>
      <c r="AO44" s="59">
        <f t="shared" si="36"/>
        <v>213.96033794804805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3.7256377574654893</v>
      </c>
      <c r="AV44" s="21">
        <f>EXP(-LN(2)/25)*AV43+(1-EXP(-LN(2)/25))/(LN(2)/25)*Calculateur!AQ44*Calculateur!AS44*VLOOKUP('Données projet'!$B$10,Paramètres!$A$1:$I$89,3,0)*0.475*44/12</f>
        <v>6.8025774162812374</v>
      </c>
      <c r="AW44" s="21">
        <f>EXP(-LN(2)/2)*AW43+(1-EXP(-LN(2)/2))/(LN(2)/2)*AQ44*AT44*VLOOKUP('Données projet'!$B$10,Paramètres!$A$1:$I$89,3,0)*0.475*44/12</f>
        <v>0.31770172017867221</v>
      </c>
      <c r="AX44" s="21">
        <f t="shared" si="6"/>
        <v>10.845916893925398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12.8</v>
      </c>
      <c r="BD44" s="12">
        <f>IF('Données projet'!$A$88&gt;35,BD43+BC44-BL43,IF(A44&lt;'Données projet'!$A$88,$BA$205^A44,IF(A44='Données projet'!$A$88,'Données projet'!$B$88,BD43+BC44-BL43)))</f>
        <v>227.7999999999999</v>
      </c>
      <c r="BE44" s="13">
        <f>BD44*VLOOKUP('Données projet'!$B$11,Paramètres!$A$1:$I$89,3,0)*VLOOKUP('Données projet'!$B$11,Paramètres!$A$1:$I$89,5,0)</f>
        <v>136.22439999999995</v>
      </c>
      <c r="BF44" s="13">
        <f t="shared" si="37"/>
        <v>35.430697151629076</v>
      </c>
      <c r="BG44" s="20">
        <f t="shared" si="7"/>
        <v>298.96596087242057</v>
      </c>
      <c r="BH44" s="59">
        <f t="shared" si="8"/>
        <v>592.29929420575388</v>
      </c>
      <c r="BI44" s="59">
        <f ca="1">AVERAGE(OFFSET($BH$3,0,0,'Données projet'!$E$11+1,1))-AVERAGE(OFFSET($H$3,0,0,'Données projet'!$E$11+1,1))</f>
        <v>216.94426559495264</v>
      </c>
      <c r="BJ44" s="59">
        <f t="shared" si="38"/>
        <v>225.33715877618704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9.4716368596766713</v>
      </c>
      <c r="BR44" s="21">
        <f>EXP(-LN(2)/2)*BR43+(1-EXP(-LN(2)/2))/(LN(2)/2)*BL44*BO44*VLOOKUP('Données projet'!$B$11,Paramètres!$A$1:$I$89,3,0)*0.475*44/12</f>
        <v>0.52434972749979225</v>
      </c>
      <c r="BS44" s="22">
        <f t="shared" si="9"/>
        <v>9.9959865871764642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166.20000000000002</v>
      </c>
      <c r="BZ44" s="13">
        <f>BY44*VLOOKUP('Données projet'!$B$12,Paramètres!$A$1:$I$89,3,0)*VLOOKUP('Données projet'!$B$12,Paramètres!$A$1:$I$89,5,0)</f>
        <v>145.19232000000002</v>
      </c>
      <c r="CA44" s="13">
        <f t="shared" si="39"/>
        <v>37.48396031597408</v>
      </c>
      <c r="CB44" s="20">
        <f t="shared" si="10"/>
        <v>318.16118821698825</v>
      </c>
      <c r="CC44" s="59">
        <f t="shared" si="11"/>
        <v>611.49452155032156</v>
      </c>
      <c r="CD44" s="59">
        <f ca="1">AVERAGE(OFFSET($CC$3,0,0,'Données projet'!$E$12+1,1))-AVERAGE(OFFSET($H$3,0,0,'Données projet'!$E$12+1,1))</f>
        <v>223.81948236065614</v>
      </c>
      <c r="CE44" s="59">
        <f t="shared" si="40"/>
        <v>320.1204011431372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2.4714423471010734</v>
      </c>
      <c r="CL44" s="21">
        <f>EXP(-LN(2)/25)*CL43+(1-EXP(-LN(2)/25))/(LN(2)/25)*Calculateur!CG44*Calculateur!CI44*VLOOKUP('Données projet'!$B$12,Paramètres!$A$1:$I$89,3,0)*0.475*44/12</f>
        <v>13.041683827889582</v>
      </c>
      <c r="CM44" s="21">
        <f>EXP(-LN(2)/2)*CM43+(1-EXP(-LN(2)/2))/(LN(2)/2)*CG44*CJ44*VLOOKUP('Données projet'!$B$12,Paramètres!$A$1:$I$89,3,0)*0.475*44/12</f>
        <v>0.61363625401115518</v>
      </c>
      <c r="CN44" s="22">
        <f t="shared" si="12"/>
        <v>16.126762429001811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17.399999999999999</v>
      </c>
      <c r="N45" s="13">
        <f>IF('Données projet'!$A$36&gt;35,N44+M45-V44,IF(A45&lt;'Données projet'!$A$36,$K$205^A45,IF(A45='Données projet'!$A$36,'Données projet'!$B$36,N44+M45-V44)))</f>
        <v>315.7999999999999</v>
      </c>
      <c r="O45" s="13">
        <f>N45*VLOOKUP('Données projet'!$B$9,Paramètres!$A$1:$I$89,3,0)*VLOOKUP('Données projet'!$B$9,Paramètres!$A$1:$I$89,5,0)</f>
        <v>176.53219999999996</v>
      </c>
      <c r="P45" s="13">
        <f t="shared" si="33"/>
        <v>44.549793218265783</v>
      </c>
      <c r="Q45" s="20">
        <f t="shared" si="53"/>
        <v>385.05113818847946</v>
      </c>
      <c r="R45" s="59">
        <f t="shared" si="0"/>
        <v>678.38447152181277</v>
      </c>
      <c r="S45" s="59">
        <f ca="1">AVERAGE(OFFSET($R$3,0,0,'Données projet'!$E$9+1,1))-AVERAGE(OFFSET($H$3,0,0,'Données projet'!$E$9+1,1))</f>
        <v>279.98352834501759</v>
      </c>
      <c r="T45" s="59">
        <f t="shared" si="34"/>
        <v>281.30062655265488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3.1515096790222343</v>
      </c>
      <c r="AA45" s="21">
        <f>EXP(-LN(2)/25)*AA44+(1-EXP(-LN(2)/25))/(LN(2)/25)*Calculateur!V45*Calculateur!X45*VLOOKUP('Données projet'!$B$9,Paramètres!$A$1:$I$89,3,0)*0.475*44/12</f>
        <v>17.37017901470038</v>
      </c>
      <c r="AB45" s="21">
        <f>EXP(-LN(2)/2)*AB44+(1-EXP(-LN(2)/2))/(LN(2)/2)*V45*Y45*VLOOKUP('Données projet'!$B$9,Paramètres!$A$1:$I$89,3,0)*0.475*44/12</f>
        <v>0.442455318372105</v>
      </c>
      <c r="AC45" s="22">
        <f t="shared" si="3"/>
        <v>20.964144012094717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19.2</v>
      </c>
      <c r="AI45" s="13">
        <f>IF('Données projet'!$A$62&gt;35,AI44+AH45-AQ44,IF(A45&lt;'Données projet'!$A$62,$AF$205^A45,IF(A45='Données projet'!$A$62,'Données projet'!$B$62,AI44+AH45-AQ44)))</f>
        <v>336.39999999999986</v>
      </c>
      <c r="AJ45" s="13">
        <f>AI45*VLOOKUP('Données projet'!$B$10,Paramètres!$A$1:$I$89,3,0)*VLOOKUP('Données projet'!$B$10,Paramètres!$A$1:$I$89,5,0)</f>
        <v>161.80839999999995</v>
      </c>
      <c r="AK45" s="13">
        <f t="shared" si="35"/>
        <v>41.250137884305239</v>
      </c>
      <c r="AL45" s="20">
        <f t="shared" si="4"/>
        <v>353.66028681516491</v>
      </c>
      <c r="AM45" s="59">
        <f t="shared" si="5"/>
        <v>646.99362014849817</v>
      </c>
      <c r="AN45" s="59">
        <f ca="1">AVERAGE(OFFSET($AM$3,0,0,'Données projet'!$E$10+1,1))-AVERAGE(OFFSET($H$3,0,0,'Données projet'!$E$10+1,1))</f>
        <v>252.30925789500111</v>
      </c>
      <c r="AO45" s="59">
        <f t="shared" si="36"/>
        <v>213.96033794804805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3.6525802734562407</v>
      </c>
      <c r="AV45" s="21">
        <f>EXP(-LN(2)/25)*AV44+(1-EXP(-LN(2)/25))/(LN(2)/25)*Calculateur!AQ45*Calculateur!AS45*VLOOKUP('Données projet'!$B$10,Paramètres!$A$1:$I$89,3,0)*0.475*44/12</f>
        <v>6.6165605791010282</v>
      </c>
      <c r="AW45" s="21">
        <f>EXP(-LN(2)/2)*AW44+(1-EXP(-LN(2)/2))/(LN(2)/2)*AQ45*AT45*VLOOKUP('Données projet'!$B$10,Paramètres!$A$1:$I$89,3,0)*0.475*44/12</f>
        <v>0.22464904073297012</v>
      </c>
      <c r="AX45" s="21">
        <f t="shared" si="6"/>
        <v>10.49378989329024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12.8</v>
      </c>
      <c r="BD45" s="12">
        <f>IF('Données projet'!$A$88&gt;35,BD44+BC45-BL44,IF(A45&lt;'Données projet'!$A$88,$BA$205^A45,IF(A45='Données projet'!$A$88,'Données projet'!$B$88,BD44+BC45-BL44)))</f>
        <v>240.59999999999991</v>
      </c>
      <c r="BE45" s="13">
        <f>BD45*VLOOKUP('Données projet'!$B$11,Paramètres!$A$1:$I$89,3,0)*VLOOKUP('Données projet'!$B$11,Paramètres!$A$1:$I$89,5,0)</f>
        <v>143.87879999999996</v>
      </c>
      <c r="BF45" s="13">
        <f t="shared" si="37"/>
        <v>37.184165858158067</v>
      </c>
      <c r="BG45" s="20">
        <f t="shared" si="7"/>
        <v>315.35133220295853</v>
      </c>
      <c r="BH45" s="59">
        <f t="shared" si="8"/>
        <v>608.68466553629185</v>
      </c>
      <c r="BI45" s="59">
        <f ca="1">AVERAGE(OFFSET($BH$3,0,0,'Données projet'!$E$11+1,1))-AVERAGE(OFFSET($H$3,0,0,'Données projet'!$E$11+1,1))</f>
        <v>216.94426559495264</v>
      </c>
      <c r="BJ45" s="59">
        <f t="shared" si="38"/>
        <v>225.33715877618704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9.2126344516570775</v>
      </c>
      <c r="BR45" s="21">
        <f>EXP(-LN(2)/2)*BR44+(1-EXP(-LN(2)/2))/(LN(2)/2)*BL45*BO45*VLOOKUP('Données projet'!$B$11,Paramètres!$A$1:$I$89,3,0)*0.475*44/12</f>
        <v>0.37077124802842143</v>
      </c>
      <c r="BS45" s="22">
        <f t="shared" si="9"/>
        <v>9.5834056996854997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174.4</v>
      </c>
      <c r="BZ45" s="13">
        <f>BY45*VLOOKUP('Données projet'!$B$12,Paramètres!$A$1:$I$89,3,0)*VLOOKUP('Données projet'!$B$12,Paramètres!$A$1:$I$89,5,0)</f>
        <v>152.35584000000003</v>
      </c>
      <c r="CA45" s="13">
        <f t="shared" si="39"/>
        <v>39.11347218476763</v>
      </c>
      <c r="CB45" s="20">
        <f t="shared" si="10"/>
        <v>333.47571872180367</v>
      </c>
      <c r="CC45" s="59">
        <f t="shared" si="11"/>
        <v>626.80905205513704</v>
      </c>
      <c r="CD45" s="59">
        <f ca="1">AVERAGE(OFFSET($CC$3,0,0,'Données projet'!$E$12+1,1))-AVERAGE(OFFSET($H$3,0,0,'Données projet'!$E$12+1,1))</f>
        <v>223.81948236065614</v>
      </c>
      <c r="CE45" s="59">
        <f t="shared" si="40"/>
        <v>320.1204011431372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2.4229788701054065</v>
      </c>
      <c r="CL45" s="21">
        <f>EXP(-LN(2)/25)*CL44+(1-EXP(-LN(2)/25))/(LN(2)/25)*Calculateur!CG45*Calculateur!CI45*VLOOKUP('Données projet'!$B$12,Paramètres!$A$1:$I$89,3,0)*0.475*44/12</f>
        <v>12.685058297783597</v>
      </c>
      <c r="CM45" s="21">
        <f>EXP(-LN(2)/2)*CM44+(1-EXP(-LN(2)/2))/(LN(2)/2)*CG45*CJ45*VLOOKUP('Données projet'!$B$12,Paramètres!$A$1:$I$89,3,0)*0.475*44/12</f>
        <v>0.43390635639319863</v>
      </c>
      <c r="CN45" s="22">
        <f t="shared" si="12"/>
        <v>15.541943524282201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17.399999999999999</v>
      </c>
      <c r="N46" s="13">
        <f>IF('Données projet'!$A$36&gt;35,N45+M46-V45,IF(A46&lt;'Données projet'!$A$36,$K$205^A46,IF(A46='Données projet'!$A$36,'Données projet'!$B$36,N45+M46-V45)))</f>
        <v>333.19999999999987</v>
      </c>
      <c r="O46" s="13">
        <f>N46*VLOOKUP('Données projet'!$B$9,Paramètres!$A$1:$I$89,3,0)*VLOOKUP('Données projet'!$B$9,Paramètres!$A$1:$I$89,5,0)</f>
        <v>186.25879999999995</v>
      </c>
      <c r="P46" s="13">
        <f t="shared" si="33"/>
        <v>46.711871753529699</v>
      </c>
      <c r="Q46" s="20">
        <f t="shared" si="53"/>
        <v>405.75725330406408</v>
      </c>
      <c r="R46" s="59">
        <f t="shared" si="0"/>
        <v>699.09058663739734</v>
      </c>
      <c r="S46" s="59">
        <f ca="1">AVERAGE(OFFSET($R$3,0,0,'Données projet'!$E$9+1,1))-AVERAGE(OFFSET($H$3,0,0,'Données projet'!$E$9+1,1))</f>
        <v>279.98352834501759</v>
      </c>
      <c r="T46" s="59">
        <f t="shared" si="34"/>
        <v>281.30062655265488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3.089710496447708</v>
      </c>
      <c r="AA46" s="21">
        <f>EXP(-LN(2)/25)*AA45+(1-EXP(-LN(2)/25))/(LN(2)/25)*Calculateur!V46*Calculateur!X46*VLOOKUP('Données projet'!$B$9,Paramètres!$A$1:$I$89,3,0)*0.475*44/12</f>
        <v>16.895190556085385</v>
      </c>
      <c r="AB46" s="21">
        <f>EXP(-LN(2)/2)*AB45+(1-EXP(-LN(2)/2))/(LN(2)/2)*V46*Y46*VLOOKUP('Données projet'!$B$9,Paramètres!$A$1:$I$89,3,0)*0.475*44/12</f>
        <v>0.31286315599296827</v>
      </c>
      <c r="AC46" s="22">
        <f t="shared" si="3"/>
        <v>20.297764208526061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19.2</v>
      </c>
      <c r="AI46" s="13">
        <f>IF('Données projet'!$A$62&gt;35,AI45+AH46-AQ45,IF(A46&lt;'Données projet'!$A$62,$AF$205^A46,IF(A46='Données projet'!$A$62,'Données projet'!$B$62,AI45+AH46-AQ45)))</f>
        <v>355.59999999999985</v>
      </c>
      <c r="AJ46" s="13">
        <f>AI46*VLOOKUP('Données projet'!$B$10,Paramètres!$A$1:$I$89,3,0)*VLOOKUP('Données projet'!$B$10,Paramètres!$A$1:$I$89,5,0)</f>
        <v>171.04359999999994</v>
      </c>
      <c r="AK46" s="13">
        <f t="shared" si="35"/>
        <v>43.323671951889118</v>
      </c>
      <c r="AL46" s="20">
        <f t="shared" si="4"/>
        <v>373.35633198287337</v>
      </c>
      <c r="AM46" s="59">
        <f t="shared" si="5"/>
        <v>666.68966531620663</v>
      </c>
      <c r="AN46" s="59">
        <f ca="1">AVERAGE(OFFSET($AM$3,0,0,'Données projet'!$E$10+1,1))-AVERAGE(OFFSET($H$3,0,0,'Données projet'!$E$10+1,1))</f>
        <v>252.30925789500111</v>
      </c>
      <c r="AO46" s="59">
        <f t="shared" si="36"/>
        <v>213.96033794804805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3.5809554021477483</v>
      </c>
      <c r="AV46" s="21">
        <f>EXP(-LN(2)/25)*AV45+(1-EXP(-LN(2)/25))/(LN(2)/25)*Calculateur!AQ46*Calculateur!AS46*VLOOKUP('Données projet'!$B$10,Paramètres!$A$1:$I$89,3,0)*0.475*44/12</f>
        <v>6.4356303821157121</v>
      </c>
      <c r="AW46" s="21">
        <f>EXP(-LN(2)/2)*AW45+(1-EXP(-LN(2)/2))/(LN(2)/2)*AQ46*AT46*VLOOKUP('Données projet'!$B$10,Paramètres!$A$1:$I$89,3,0)*0.475*44/12</f>
        <v>0.1588508600893361</v>
      </c>
      <c r="AX46" s="21">
        <f t="shared" si="6"/>
        <v>10.175436644352796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12.8</v>
      </c>
      <c r="BD46" s="12">
        <f>IF('Données projet'!$A$88&gt;35,BD45+BC46-BL45,IF(A46&lt;'Données projet'!$A$88,$BA$205^A46,IF(A46='Données projet'!$A$88,'Données projet'!$B$88,BD45+BC46-BL45)))</f>
        <v>253.39999999999992</v>
      </c>
      <c r="BE46" s="13">
        <f>BD46*VLOOKUP('Données projet'!$B$11,Paramètres!$A$1:$I$89,3,0)*VLOOKUP('Données projet'!$B$11,Paramètres!$A$1:$I$89,5,0)</f>
        <v>151.53319999999997</v>
      </c>
      <c r="BF46" s="13">
        <f t="shared" si="37"/>
        <v>38.926804334954284</v>
      </c>
      <c r="BG46" s="20">
        <f t="shared" si="7"/>
        <v>331.71784088337864</v>
      </c>
      <c r="BH46" s="59">
        <f t="shared" si="8"/>
        <v>625.05117421671196</v>
      </c>
      <c r="BI46" s="59">
        <f ca="1">AVERAGE(OFFSET($BH$3,0,0,'Données projet'!$E$11+1,1))-AVERAGE(OFFSET($H$3,0,0,'Données projet'!$E$11+1,1))</f>
        <v>216.94426559495264</v>
      </c>
      <c r="BJ46" s="59">
        <f t="shared" si="38"/>
        <v>225.33715877618704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8.9607144781051247</v>
      </c>
      <c r="BR46" s="21">
        <f>EXP(-LN(2)/2)*BR45+(1-EXP(-LN(2)/2))/(LN(2)/2)*BL46*BO46*VLOOKUP('Données projet'!$B$11,Paramètres!$A$1:$I$89,3,0)*0.475*44/12</f>
        <v>0.26217486374989613</v>
      </c>
      <c r="BS46" s="22">
        <f t="shared" si="9"/>
        <v>9.2228893418550211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182.6</v>
      </c>
      <c r="BZ46" s="13">
        <f>BY46*VLOOKUP('Données projet'!$B$12,Paramètres!$A$1:$I$89,3,0)*VLOOKUP('Données projet'!$B$12,Paramètres!$A$1:$I$89,5,0)</f>
        <v>159.51936000000001</v>
      </c>
      <c r="CA46" s="13">
        <f t="shared" si="39"/>
        <v>40.734086738277284</v>
      </c>
      <c r="CB46" s="20">
        <f t="shared" si="10"/>
        <v>348.77475306916625</v>
      </c>
      <c r="CC46" s="59">
        <f t="shared" si="11"/>
        <v>642.10808640249957</v>
      </c>
      <c r="CD46" s="59">
        <f ca="1">AVERAGE(OFFSET($CC$3,0,0,'Données projet'!$E$12+1,1))-AVERAGE(OFFSET($H$3,0,0,'Données projet'!$E$12+1,1))</f>
        <v>223.81948236065614</v>
      </c>
      <c r="CE46" s="59">
        <f t="shared" si="40"/>
        <v>320.1204011431372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2.3754657323338226</v>
      </c>
      <c r="CL46" s="21">
        <f>EXP(-LN(2)/25)*CL45+(1-EXP(-LN(2)/25))/(LN(2)/25)*Calculateur!CG46*Calculateur!CI46*VLOOKUP('Données projet'!$B$12,Paramètres!$A$1:$I$89,3,0)*0.475*44/12</f>
        <v>12.338184711552481</v>
      </c>
      <c r="CM46" s="21">
        <f>EXP(-LN(2)/2)*CM45+(1-EXP(-LN(2)/2))/(LN(2)/2)*CG46*CJ46*VLOOKUP('Données projet'!$B$12,Paramètres!$A$1:$I$89,3,0)*0.475*44/12</f>
        <v>0.30681812700557765</v>
      </c>
      <c r="CN46" s="22">
        <f t="shared" si="12"/>
        <v>15.020468570891881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17.399999999999999</v>
      </c>
      <c r="N47" s="13">
        <f>IF('Données projet'!$A$36&gt;35,N46+M47-V46,IF(A47&lt;'Données projet'!$A$36,$K$205^A47,IF(A47='Données projet'!$A$36,'Données projet'!$B$36,N46+M47-V46)))</f>
        <v>350.59999999999985</v>
      </c>
      <c r="O47" s="13">
        <f>N47*VLOOKUP('Données projet'!$B$9,Paramètres!$A$1:$I$89,3,0)*VLOOKUP('Données projet'!$B$9,Paramètres!$A$1:$I$89,5,0)</f>
        <v>195.98539999999991</v>
      </c>
      <c r="P47" s="13">
        <f t="shared" si="33"/>
        <v>48.860841641820492</v>
      </c>
      <c r="Q47" s="20">
        <f t="shared" si="53"/>
        <v>426.44053752617054</v>
      </c>
      <c r="R47" s="59">
        <f t="shared" si="0"/>
        <v>719.77387085950386</v>
      </c>
      <c r="S47" s="59">
        <f ca="1">AVERAGE(OFFSET($R$3,0,0,'Données projet'!$E$9+1,1))-AVERAGE(OFFSET($H$3,0,0,'Données projet'!$E$9+1,1))</f>
        <v>279.98352834501759</v>
      </c>
      <c r="T47" s="59">
        <f t="shared" si="34"/>
        <v>281.30062655265488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3.0291231581496887</v>
      </c>
      <c r="AA47" s="21">
        <f>EXP(-LN(2)/25)*AA46+(1-EXP(-LN(2)/25))/(LN(2)/25)*Calculateur!V47*Calculateur!X47*VLOOKUP('Données projet'!$B$9,Paramètres!$A$1:$I$89,3,0)*0.475*44/12</f>
        <v>16.433190681849773</v>
      </c>
      <c r="AB47" s="21">
        <f>EXP(-LN(2)/2)*AB46+(1-EXP(-LN(2)/2))/(LN(2)/2)*V47*Y47*VLOOKUP('Données projet'!$B$9,Paramètres!$A$1:$I$89,3,0)*0.475*44/12</f>
        <v>0.2212276591860525</v>
      </c>
      <c r="AC47" s="22">
        <f t="shared" si="3"/>
        <v>19.683541499185512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19.2</v>
      </c>
      <c r="AI47" s="13">
        <f>IF('Données projet'!$A$62&gt;35,AI46+AH47-AQ46,IF(A47&lt;'Données projet'!$A$62,$AF$205^A47,IF(A47='Données projet'!$A$62,'Données projet'!$B$62,AI46+AH47-AQ46)))</f>
        <v>374.79999999999984</v>
      </c>
      <c r="AJ47" s="13">
        <f>AI47*VLOOKUP('Données projet'!$B$10,Paramètres!$A$1:$I$89,3,0)*VLOOKUP('Données projet'!$B$10,Paramètres!$A$1:$I$89,5,0)</f>
        <v>180.2787999999999</v>
      </c>
      <c r="AK47" s="13">
        <f t="shared" si="35"/>
        <v>45.384208441676606</v>
      </c>
      <c r="AL47" s="20">
        <f t="shared" si="4"/>
        <v>393.02973970258654</v>
      </c>
      <c r="AM47" s="59">
        <f t="shared" si="5"/>
        <v>686.3630730359198</v>
      </c>
      <c r="AN47" s="59">
        <f ca="1">AVERAGE(OFFSET($AM$3,0,0,'Données projet'!$E$10+1,1))-AVERAGE(OFFSET($H$3,0,0,'Données projet'!$E$10+1,1))</f>
        <v>252.30925789500111</v>
      </c>
      <c r="AO47" s="59">
        <f t="shared" si="36"/>
        <v>213.96033794804805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3.5107350508787576</v>
      </c>
      <c r="AV47" s="21">
        <f>EXP(-LN(2)/25)*AV46+(1-EXP(-LN(2)/25))/(LN(2)/25)*Calculateur!AQ47*Calculateur!AS47*VLOOKUP('Données projet'!$B$10,Paramètres!$A$1:$I$89,3,0)*0.475*44/12</f>
        <v>6.2596477308816647</v>
      </c>
      <c r="AW47" s="21">
        <f>EXP(-LN(2)/2)*AW46+(1-EXP(-LN(2)/2))/(LN(2)/2)*AQ47*AT47*VLOOKUP('Données projet'!$B$10,Paramètres!$A$1:$I$89,3,0)*0.475*44/12</f>
        <v>0.11232452036648506</v>
      </c>
      <c r="AX47" s="21">
        <f t="shared" si="6"/>
        <v>9.8827073021269065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12.8</v>
      </c>
      <c r="BD47" s="12">
        <f>IF('Données projet'!$A$88&gt;35,BD46+BC47-BL46,IF(A47&lt;'Données projet'!$A$88,$BA$205^A47,IF(A47='Données projet'!$A$88,'Données projet'!$B$88,BD46+BC47-BL46)))</f>
        <v>266.19999999999993</v>
      </c>
      <c r="BE47" s="13">
        <f>BD47*VLOOKUP('Données projet'!$B$11,Paramètres!$A$1:$I$89,3,0)*VLOOKUP('Données projet'!$B$11,Paramètres!$A$1:$I$89,5,0)</f>
        <v>159.18759999999997</v>
      </c>
      <c r="BF47" s="13">
        <f t="shared" si="37"/>
        <v>40.659222067351315</v>
      </c>
      <c r="BG47" s="20">
        <f t="shared" si="7"/>
        <v>348.06654843397018</v>
      </c>
      <c r="BH47" s="59">
        <f t="shared" si="8"/>
        <v>641.39988176730344</v>
      </c>
      <c r="BI47" s="59">
        <f ca="1">AVERAGE(OFFSET($BH$3,0,0,'Données projet'!$E$11+1,1))-AVERAGE(OFFSET($H$3,0,0,'Données projet'!$E$11+1,1))</f>
        <v>216.94426559495264</v>
      </c>
      <c r="BJ47" s="59">
        <f t="shared" si="38"/>
        <v>225.33715877618704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8.7156832694778448</v>
      </c>
      <c r="BR47" s="21">
        <f>EXP(-LN(2)/2)*BR46+(1-EXP(-LN(2)/2))/(LN(2)/2)*BL47*BO47*VLOOKUP('Données projet'!$B$11,Paramètres!$A$1:$I$89,3,0)*0.475*44/12</f>
        <v>0.18538562401421071</v>
      </c>
      <c r="BS47" s="22">
        <f t="shared" si="9"/>
        <v>8.9010688934920559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190.79999999999998</v>
      </c>
      <c r="BZ47" s="13">
        <f>BY47*VLOOKUP('Données projet'!$B$12,Paramètres!$A$1:$I$89,3,0)*VLOOKUP('Données projet'!$B$12,Paramètres!$A$1:$I$89,5,0)</f>
        <v>166.68288000000001</v>
      </c>
      <c r="CA47" s="13">
        <f t="shared" si="39"/>
        <v>42.346249176975</v>
      </c>
      <c r="CB47" s="20">
        <f t="shared" si="10"/>
        <v>364.05906664989811</v>
      </c>
      <c r="CC47" s="59">
        <f t="shared" si="11"/>
        <v>657.39239998323137</v>
      </c>
      <c r="CD47" s="59">
        <f ca="1">AVERAGE(OFFSET($CC$3,0,0,'Données projet'!$E$12+1,1))-AVERAGE(OFFSET($H$3,0,0,'Données projet'!$E$12+1,1))</f>
        <v>223.81948236065614</v>
      </c>
      <c r="CE47" s="59">
        <f t="shared" si="40"/>
        <v>320.1204011431372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2.328884298213787</v>
      </c>
      <c r="CL47" s="21">
        <f>EXP(-LN(2)/25)*CL46+(1-EXP(-LN(2)/25))/(LN(2)/25)*Calculateur!CG47*Calculateur!CI47*VLOOKUP('Données projet'!$B$12,Paramètres!$A$1:$I$89,3,0)*0.475*44/12</f>
        <v>12.000796401778144</v>
      </c>
      <c r="CM47" s="21">
        <f>EXP(-LN(2)/2)*CM46+(1-EXP(-LN(2)/2))/(LN(2)/2)*CG47*CJ47*VLOOKUP('Données projet'!$B$12,Paramètres!$A$1:$I$89,3,0)*0.475*44/12</f>
        <v>0.21695317819659934</v>
      </c>
      <c r="CN47" s="22">
        <f t="shared" si="12"/>
        <v>14.54663387818853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17.399999999999999</v>
      </c>
      <c r="N48" s="13">
        <f>IF('Données projet'!$A$36&gt;35,N47+M48-V47,IF(A48&lt;'Données projet'!$A$36,$K$205^A48,IF(A48='Données projet'!$A$36,'Données projet'!$B$36,N47+M48-V47)))</f>
        <v>367.99999999999983</v>
      </c>
      <c r="O48" s="13">
        <f>N48*VLOOKUP('Données projet'!$B$9,Paramètres!$A$1:$I$89,3,0)*VLOOKUP('Données projet'!$B$9,Paramètres!$A$1:$I$89,5,0)</f>
        <v>205.7119999999999</v>
      </c>
      <c r="P48" s="13">
        <f t="shared" si="33"/>
        <v>50.99742769693372</v>
      </c>
      <c r="Q48" s="20">
        <f t="shared" si="53"/>
        <v>447.10225323882605</v>
      </c>
      <c r="R48" s="59">
        <f t="shared" si="0"/>
        <v>740.43558657215931</v>
      </c>
      <c r="S48" s="59">
        <f ca="1">AVERAGE(OFFSET($R$3,0,0,'Données projet'!$E$9+1,1))-AVERAGE(OFFSET($H$3,0,0,'Données projet'!$E$9+1,1))</f>
        <v>279.98352834501759</v>
      </c>
      <c r="T48" s="59">
        <f t="shared" si="34"/>
        <v>281.30062655265488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2.9697239006010663</v>
      </c>
      <c r="AA48" s="21">
        <f>EXP(-LN(2)/25)*AA47+(1-EXP(-LN(2)/25))/(LN(2)/25)*Calculateur!V48*Calculateur!X48*VLOOKUP('Données projet'!$B$9,Paramètres!$A$1:$I$89,3,0)*0.475*44/12</f>
        <v>15.983824218470652</v>
      </c>
      <c r="AB48" s="21">
        <f>EXP(-LN(2)/2)*AB47+(1-EXP(-LN(2)/2))/(LN(2)/2)*V48*Y48*VLOOKUP('Données projet'!$B$9,Paramètres!$A$1:$I$89,3,0)*0.475*44/12</f>
        <v>0.15643157799648413</v>
      </c>
      <c r="AC48" s="22">
        <f t="shared" si="3"/>
        <v>19.109979697068205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19.2</v>
      </c>
      <c r="AI48" s="13">
        <f>IF('Données projet'!$A$62&gt;35,AI47+AH48-AQ47,IF(A48&lt;'Données projet'!$A$62,$AF$205^A48,IF(A48='Données projet'!$A$62,'Données projet'!$B$62,AI47+AH48-AQ47)))</f>
        <v>393.99999999999983</v>
      </c>
      <c r="AJ48" s="13">
        <f>AI48*VLOOKUP('Données projet'!$B$10,Paramètres!$A$1:$I$89,3,0)*VLOOKUP('Données projet'!$B$10,Paramètres!$A$1:$I$89,5,0)</f>
        <v>189.51399999999992</v>
      </c>
      <c r="AK48" s="13">
        <f t="shared" si="35"/>
        <v>47.432489140630921</v>
      </c>
      <c r="AL48" s="20">
        <f t="shared" si="4"/>
        <v>412.68180191993201</v>
      </c>
      <c r="AM48" s="59">
        <f t="shared" si="5"/>
        <v>706.01513525326527</v>
      </c>
      <c r="AN48" s="59">
        <f ca="1">AVERAGE(OFFSET($AM$3,0,0,'Données projet'!$E$10+1,1))-AVERAGE(OFFSET($H$3,0,0,'Données projet'!$E$10+1,1))</f>
        <v>252.30925789500111</v>
      </c>
      <c r="AO48" s="59">
        <f t="shared" si="36"/>
        <v>213.96033794804805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3.4418916778679667</v>
      </c>
      <c r="AV48" s="21">
        <f>EXP(-LN(2)/25)*AV47+(1-EXP(-LN(2)/25))/(LN(2)/25)*Calculateur!AQ48*Calculateur!AS48*VLOOKUP('Données projet'!$B$10,Paramètres!$A$1:$I$89,3,0)*0.475*44/12</f>
        <v>6.0884773345001379</v>
      </c>
      <c r="AW48" s="21">
        <f>EXP(-LN(2)/2)*AW47+(1-EXP(-LN(2)/2))/(LN(2)/2)*AQ48*AT48*VLOOKUP('Données projet'!$B$10,Paramètres!$A$1:$I$89,3,0)*0.475*44/12</f>
        <v>7.9425430044668052E-2</v>
      </c>
      <c r="AX48" s="21">
        <f t="shared" si="6"/>
        <v>9.6097944424127739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12.8</v>
      </c>
      <c r="BD48" s="12">
        <f>IF('Données projet'!$A$88&gt;35,BD47+BC48-BL47,IF(A48&lt;'Données projet'!$A$88,$BA$205^A48,IF(A48='Données projet'!$A$88,'Données projet'!$B$88,BD47+BC48-BL47)))</f>
        <v>278.99999999999994</v>
      </c>
      <c r="BE48" s="13">
        <f>BD48*VLOOKUP('Données projet'!$B$11,Paramètres!$A$1:$I$89,3,0)*VLOOKUP('Données projet'!$B$11,Paramètres!$A$1:$I$89,5,0)</f>
        <v>166.84199999999998</v>
      </c>
      <c r="BF48" s="13">
        <f t="shared" si="37"/>
        <v>42.381966615760334</v>
      </c>
      <c r="BG48" s="20">
        <f t="shared" si="7"/>
        <v>364.39840852244924</v>
      </c>
      <c r="BH48" s="59">
        <f t="shared" si="8"/>
        <v>657.7317418557825</v>
      </c>
      <c r="BI48" s="59">
        <f ca="1">AVERAGE(OFFSET($BH$3,0,0,'Données projet'!$E$11+1,1))-AVERAGE(OFFSET($H$3,0,0,'Données projet'!$E$11+1,1))</f>
        <v>216.94426559495264</v>
      </c>
      <c r="BJ48" s="59">
        <f t="shared" si="38"/>
        <v>225.33715877618704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8.4773524521361097</v>
      </c>
      <c r="BR48" s="21">
        <f>EXP(-LN(2)/2)*BR47+(1-EXP(-LN(2)/2))/(LN(2)/2)*BL48*BO48*VLOOKUP('Données projet'!$B$11,Paramètres!$A$1:$I$89,3,0)*0.475*44/12</f>
        <v>0.13108743187494806</v>
      </c>
      <c r="BS48" s="22">
        <f t="shared" si="9"/>
        <v>8.608439884011057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198.99999999999997</v>
      </c>
      <c r="BZ48" s="13">
        <f>BY48*VLOOKUP('Données projet'!$B$12,Paramètres!$A$1:$I$89,3,0)*VLOOKUP('Données projet'!$B$12,Paramètres!$A$1:$I$89,5,0)</f>
        <v>173.84639999999999</v>
      </c>
      <c r="CA48" s="13">
        <f t="shared" si="39"/>
        <v>43.950364270382295</v>
      </c>
      <c r="CB48" s="20">
        <f t="shared" si="10"/>
        <v>379.32936443758246</v>
      </c>
      <c r="CC48" s="59">
        <f t="shared" si="11"/>
        <v>672.66269777091577</v>
      </c>
      <c r="CD48" s="59">
        <f ca="1">AVERAGE(OFFSET($CC$3,0,0,'Données projet'!$E$12+1,1))-AVERAGE(OFFSET($H$3,0,0,'Données projet'!$E$12+1,1))</f>
        <v>223.81948236065614</v>
      </c>
      <c r="CE48" s="59">
        <f t="shared" si="40"/>
        <v>320.1204011431372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2.2832162976049757</v>
      </c>
      <c r="CL48" s="21">
        <f>EXP(-LN(2)/25)*CL47+(1-EXP(-LN(2)/25))/(LN(2)/25)*Calculateur!CG48*Calculateur!CI48*VLOOKUP('Données projet'!$B$12,Paramètres!$A$1:$I$89,3,0)*0.475*44/12</f>
        <v>11.672633993077067</v>
      </c>
      <c r="CM48" s="21">
        <f>EXP(-LN(2)/2)*CM47+(1-EXP(-LN(2)/2))/(LN(2)/2)*CG48*CJ48*VLOOKUP('Données projet'!$B$12,Paramètres!$A$1:$I$89,3,0)*0.475*44/12</f>
        <v>0.15340906350278882</v>
      </c>
      <c r="CN48" s="22">
        <f t="shared" si="12"/>
        <v>14.109259354184832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17.399999999999999</v>
      </c>
      <c r="N49" s="13">
        <f>IF('Données projet'!$A$36&gt;35,N48+M49-V48,IF(A49&lt;'Données projet'!$A$36,$K$205^A49,IF(A49='Données projet'!$A$36,'Données projet'!$B$36,N48+M49-V48)))</f>
        <v>385.39999999999981</v>
      </c>
      <c r="O49" s="13">
        <f>N49*VLOOKUP('Données projet'!$B$9,Paramètres!$A$1:$I$89,3,0)*VLOOKUP('Données projet'!$B$9,Paramètres!$A$1:$I$89,5,0)</f>
        <v>215.43859999999989</v>
      </c>
      <c r="P49" s="13">
        <f t="shared" si="33"/>
        <v>53.122282317277623</v>
      </c>
      <c r="Q49" s="20">
        <f t="shared" si="53"/>
        <v>467.74353670259165</v>
      </c>
      <c r="R49" s="59">
        <f t="shared" si="0"/>
        <v>761.07687003592491</v>
      </c>
      <c r="S49" s="59">
        <f ca="1">AVERAGE(OFFSET($R$3,0,0,'Données projet'!$E$9+1,1))-AVERAGE(OFFSET($H$3,0,0,'Données projet'!$E$9+1,1))</f>
        <v>279.98352834501759</v>
      </c>
      <c r="T49" s="59">
        <f t="shared" si="34"/>
        <v>281.30062655265488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2.9114894262630027</v>
      </c>
      <c r="AA49" s="21">
        <f>EXP(-LN(2)/25)*AA48+(1-EXP(-LN(2)/25))/(LN(2)/25)*Calculateur!V49*Calculateur!X49*VLOOKUP('Données projet'!$B$9,Paramètres!$A$1:$I$89,3,0)*0.475*44/12</f>
        <v>15.546745704663788</v>
      </c>
      <c r="AB49" s="21">
        <f>EXP(-LN(2)/2)*AB48+(1-EXP(-LN(2)/2))/(LN(2)/2)*V49*Y49*VLOOKUP('Données projet'!$B$9,Paramètres!$A$1:$I$89,3,0)*0.475*44/12</f>
        <v>0.11061382959302625</v>
      </c>
      <c r="AC49" s="22">
        <f t="shared" si="3"/>
        <v>18.568848960519819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19.2</v>
      </c>
      <c r="AI49" s="13">
        <f>IF('Données projet'!$A$62&gt;35,AI48+AH49-AQ48,IF(A49&lt;'Données projet'!$A$62,$AF$205^A49,IF(A49='Données projet'!$A$62,'Données projet'!$B$62,AI48+AH49-AQ48)))</f>
        <v>413.19999999999982</v>
      </c>
      <c r="AJ49" s="13">
        <f>AI49*VLOOKUP('Données projet'!$B$10,Paramètres!$A$1:$I$89,3,0)*VLOOKUP('Données projet'!$B$10,Paramètres!$A$1:$I$89,5,0)</f>
        <v>198.74919999999992</v>
      </c>
      <c r="AK49" s="13">
        <f t="shared" si="35"/>
        <v>49.469179455203339</v>
      </c>
      <c r="AL49" s="20">
        <f t="shared" si="4"/>
        <v>432.31367755114564</v>
      </c>
      <c r="AM49" s="59">
        <f t="shared" si="5"/>
        <v>725.64701088447896</v>
      </c>
      <c r="AN49" s="59">
        <f ca="1">AVERAGE(OFFSET($AM$3,0,0,'Données projet'!$E$10+1,1))-AVERAGE(OFFSET($H$3,0,0,'Données projet'!$E$10+1,1))</f>
        <v>252.30925789500111</v>
      </c>
      <c r="AO49" s="59">
        <f t="shared" si="36"/>
        <v>213.96033794804805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3.3743982814116062</v>
      </c>
      <c r="AV49" s="21">
        <f>EXP(-LN(2)/25)*AV48+(1-EXP(-LN(2)/25))/(LN(2)/25)*Calculateur!AQ49*Calculateur!AS49*VLOOKUP('Données projet'!$B$10,Paramètres!$A$1:$I$89,3,0)*0.475*44/12</f>
        <v>5.921987601609124</v>
      </c>
      <c r="AW49" s="21">
        <f>EXP(-LN(2)/2)*AW48+(1-EXP(-LN(2)/2))/(LN(2)/2)*AQ49*AT49*VLOOKUP('Données projet'!$B$10,Paramètres!$A$1:$I$89,3,0)*0.475*44/12</f>
        <v>5.6162260183242531E-2</v>
      </c>
      <c r="AX49" s="21">
        <f t="shared" si="6"/>
        <v>9.3525481432039719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12.8</v>
      </c>
      <c r="BD49" s="12">
        <f>IF('Données projet'!$A$88&gt;35,BD48+BC49-BL48,IF(A49&lt;'Données projet'!$A$88,$BA$205^A49,IF(A49='Données projet'!$A$88,'Données projet'!$B$88,BD48+BC49-BL48)))</f>
        <v>291.79999999999995</v>
      </c>
      <c r="BE49" s="13">
        <f>BD49*VLOOKUP('Données projet'!$B$11,Paramètres!$A$1:$I$89,3,0)*VLOOKUP('Données projet'!$B$11,Paramètres!$A$1:$I$89,5,0)</f>
        <v>174.49639999999999</v>
      </c>
      <c r="BF49" s="13">
        <f t="shared" si="37"/>
        <v>44.095532458716939</v>
      </c>
      <c r="BG49" s="20">
        <f t="shared" si="7"/>
        <v>380.71428236559865</v>
      </c>
      <c r="BH49" s="59">
        <f t="shared" si="8"/>
        <v>674.04761569893196</v>
      </c>
      <c r="BI49" s="59">
        <f ca="1">AVERAGE(OFFSET($BH$3,0,0,'Données projet'!$E$11+1,1))-AVERAGE(OFFSET($H$3,0,0,'Données projet'!$E$11+1,1))</f>
        <v>216.94426559495264</v>
      </c>
      <c r="BJ49" s="59">
        <f t="shared" si="38"/>
        <v>225.33715877618704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8.2455388035278574</v>
      </c>
      <c r="BR49" s="21">
        <f>EXP(-LN(2)/2)*BR48+(1-EXP(-LN(2)/2))/(LN(2)/2)*BL49*BO49*VLOOKUP('Données projet'!$B$11,Paramètres!$A$1:$I$89,3,0)*0.475*44/12</f>
        <v>9.2692812007105357E-2</v>
      </c>
      <c r="BS49" s="22">
        <f t="shared" si="9"/>
        <v>8.3382316155349621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207.19999999999996</v>
      </c>
      <c r="BZ49" s="13">
        <f>BY49*VLOOKUP('Données projet'!$B$12,Paramètres!$A$1:$I$89,3,0)*VLOOKUP('Données projet'!$B$12,Paramètres!$A$1:$I$89,5,0)</f>
        <v>181.00991999999997</v>
      </c>
      <c r="CA49" s="13">
        <f t="shared" si="39"/>
        <v>45.546801542636274</v>
      </c>
      <c r="CB49" s="20">
        <f t="shared" si="10"/>
        <v>394.58629002009144</v>
      </c>
      <c r="CC49" s="59">
        <f t="shared" si="11"/>
        <v>687.91962335342475</v>
      </c>
      <c r="CD49" s="59">
        <f ca="1">AVERAGE(OFFSET($CC$3,0,0,'Données projet'!$E$12+1,1))-AVERAGE(OFFSET($H$3,0,0,'Données projet'!$E$12+1,1))</f>
        <v>223.81948236065614</v>
      </c>
      <c r="CE49" s="59">
        <f t="shared" si="40"/>
        <v>320.1204011431372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2.2384438186333733</v>
      </c>
      <c r="CL49" s="21">
        <f>EXP(-LN(2)/25)*CL48+(1-EXP(-LN(2)/25))/(LN(2)/25)*Calculateur!CG49*Calculateur!CI49*VLOOKUP('Données projet'!$B$12,Paramètres!$A$1:$I$89,3,0)*0.475*44/12</f>
        <v>11.353445202699231</v>
      </c>
      <c r="CM49" s="21">
        <f>EXP(-LN(2)/2)*CM48+(1-EXP(-LN(2)/2))/(LN(2)/2)*CG49*CJ49*VLOOKUP('Données projet'!$B$12,Paramètres!$A$1:$I$89,3,0)*0.475*44/12</f>
        <v>0.10847658909829967</v>
      </c>
      <c r="CN49" s="22">
        <f t="shared" si="12"/>
        <v>13.700365610430904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17.399999999999999</v>
      </c>
      <c r="N50" s="13">
        <f>IF('Données projet'!$A$36&gt;35,N49+M50-V49,IF(A50&lt;'Données projet'!$A$36,$K$205^A50,IF(A50='Données projet'!$A$36,'Données projet'!$B$36,N49+M50-V49)))</f>
        <v>402.79999999999978</v>
      </c>
      <c r="O50" s="13">
        <f>N50*VLOOKUP('Données projet'!$B$9,Paramètres!$A$1:$I$89,3,0)*VLOOKUP('Données projet'!$B$9,Paramètres!$A$1:$I$89,5,0)</f>
        <v>225.16519999999986</v>
      </c>
      <c r="P50" s="13">
        <f t="shared" si="33"/>
        <v>55.235995662330488</v>
      </c>
      <c r="Q50" s="20">
        <f t="shared" si="53"/>
        <v>488.3654157785586</v>
      </c>
      <c r="R50" s="59">
        <f t="shared" si="0"/>
        <v>781.69874911189186</v>
      </c>
      <c r="S50" s="59">
        <f ca="1">AVERAGE(OFFSET($R$3,0,0,'Données projet'!$E$9+1,1))-AVERAGE(OFFSET($H$3,0,0,'Données projet'!$E$9+1,1))</f>
        <v>279.98352834501759</v>
      </c>
      <c r="T50" s="59">
        <f t="shared" si="34"/>
        <v>281.30062655265488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2.854396894447186</v>
      </c>
      <c r="AA50" s="21">
        <f>EXP(-LN(2)/25)*AA49+(1-EXP(-LN(2)/25))/(LN(2)/25)*Calculateur!V50*Calculateur!X50*VLOOKUP('Données projet'!$B$9,Paramètres!$A$1:$I$89,3,0)*0.475*44/12</f>
        <v>15.121619125801933</v>
      </c>
      <c r="AB50" s="21">
        <f>EXP(-LN(2)/2)*AB49+(1-EXP(-LN(2)/2))/(LN(2)/2)*V50*Y50*VLOOKUP('Données projet'!$B$9,Paramètres!$A$1:$I$89,3,0)*0.475*44/12</f>
        <v>7.8215788998242067E-2</v>
      </c>
      <c r="AC50" s="22">
        <f t="shared" si="3"/>
        <v>18.054231809247362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19.2</v>
      </c>
      <c r="AI50" s="13">
        <f>IF('Données projet'!$A$62&gt;35,AI49+AH50-AQ49,IF(A50&lt;'Données projet'!$A$62,$AF$205^A50,IF(A50='Données projet'!$A$62,'Données projet'!$B$62,AI49+AH50-AQ49)))</f>
        <v>432.39999999999981</v>
      </c>
      <c r="AJ50" s="13">
        <f>AI50*VLOOKUP('Données projet'!$B$10,Paramètres!$A$1:$I$89,3,0)*VLOOKUP('Données projet'!$B$10,Paramètres!$A$1:$I$89,5,0)</f>
        <v>207.98439999999991</v>
      </c>
      <c r="AK50" s="13">
        <f t="shared" si="35"/>
        <v>51.494879458640391</v>
      </c>
      <c r="AL50" s="20">
        <f t="shared" si="4"/>
        <v>451.92641172379848</v>
      </c>
      <c r="AM50" s="59">
        <f t="shared" si="5"/>
        <v>745.25974505713179</v>
      </c>
      <c r="AN50" s="59">
        <f ca="1">AVERAGE(OFFSET($AM$3,0,0,'Données projet'!$E$10+1,1))-AVERAGE(OFFSET($H$3,0,0,'Données projet'!$E$10+1,1))</f>
        <v>252.30925789500111</v>
      </c>
      <c r="AO50" s="59">
        <f t="shared" si="36"/>
        <v>213.96033794804805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3.3082283892928479</v>
      </c>
      <c r="AV50" s="21">
        <f>EXP(-LN(2)/25)*AV49+(1-EXP(-LN(2)/25))/(LN(2)/25)*Calculateur!AQ50*Calculateur!AS50*VLOOKUP('Données projet'!$B$10,Paramètres!$A$1:$I$89,3,0)*0.475*44/12</f>
        <v>5.7600505392193293</v>
      </c>
      <c r="AW50" s="21">
        <f>EXP(-LN(2)/2)*AW49+(1-EXP(-LN(2)/2))/(LN(2)/2)*AQ50*AT50*VLOOKUP('Données projet'!$B$10,Paramètres!$A$1:$I$89,3,0)*0.475*44/12</f>
        <v>3.9712715022334026E-2</v>
      </c>
      <c r="AX50" s="21">
        <f t="shared" si="6"/>
        <v>9.1079916435345112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12.8</v>
      </c>
      <c r="BD50" s="12">
        <f>IF('Données projet'!$A$88&gt;35,BD49+BC50-BL49,IF(A50&lt;'Données projet'!$A$88,$BA$205^A50,IF(A50='Données projet'!$A$88,'Données projet'!$B$88,BD49+BC50-BL49)))</f>
        <v>304.59999999999997</v>
      </c>
      <c r="BE50" s="13">
        <f>BD50*VLOOKUP('Données projet'!$B$11,Paramètres!$A$1:$I$89,3,0)*VLOOKUP('Données projet'!$B$11,Paramètres!$A$1:$I$89,5,0)</f>
        <v>182.15079999999998</v>
      </c>
      <c r="BF50" s="13">
        <f t="shared" si="37"/>
        <v>45.800368240506849</v>
      </c>
      <c r="BG50" s="20">
        <f t="shared" si="7"/>
        <v>397.01495135221603</v>
      </c>
      <c r="BH50" s="59">
        <f t="shared" si="8"/>
        <v>690.34828468554929</v>
      </c>
      <c r="BI50" s="59">
        <f ca="1">AVERAGE(OFFSET($BH$3,0,0,'Données projet'!$E$11+1,1))-AVERAGE(OFFSET($H$3,0,0,'Données projet'!$E$11+1,1))</f>
        <v>216.94426559495264</v>
      </c>
      <c r="BJ50" s="59">
        <f t="shared" si="38"/>
        <v>225.33715877618704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8.0200641113313473</v>
      </c>
      <c r="BR50" s="21">
        <f>EXP(-LN(2)/2)*BR49+(1-EXP(-LN(2)/2))/(LN(2)/2)*BL50*BO50*VLOOKUP('Données projet'!$B$11,Paramètres!$A$1:$I$89,3,0)*0.475*44/12</f>
        <v>6.5543715937474031E-2</v>
      </c>
      <c r="BS50" s="22">
        <f t="shared" si="9"/>
        <v>8.0856078272688219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215.39999999999995</v>
      </c>
      <c r="BZ50" s="13">
        <f>BY50*VLOOKUP('Données projet'!$B$12,Paramètres!$A$1:$I$89,3,0)*VLOOKUP('Données projet'!$B$12,Paramètres!$A$1:$I$89,5,0)</f>
        <v>188.17343999999997</v>
      </c>
      <c r="CA50" s="13">
        <f t="shared" si="39"/>
        <v>47.135899614073118</v>
      </c>
      <c r="CB50" s="20">
        <f t="shared" si="10"/>
        <v>409.83043316117727</v>
      </c>
      <c r="CC50" s="59">
        <f t="shared" si="11"/>
        <v>703.16376649451058</v>
      </c>
      <c r="CD50" s="59">
        <f ca="1">AVERAGE(OFFSET($CC$3,0,0,'Données projet'!$E$12+1,1))-AVERAGE(OFFSET($H$3,0,0,'Données projet'!$E$12+1,1))</f>
        <v>223.81948236065614</v>
      </c>
      <c r="CE50" s="59">
        <f t="shared" si="40"/>
        <v>320.1204011431372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2.1945493006658885</v>
      </c>
      <c r="CL50" s="21">
        <f>EXP(-LN(2)/25)*CL49+(1-EXP(-LN(2)/25))/(LN(2)/25)*Calculateur!CG50*Calculateur!CI50*VLOOKUP('Données projet'!$B$12,Paramètres!$A$1:$I$89,3,0)*0.475*44/12</f>
        <v>11.042984646579686</v>
      </c>
      <c r="CM50" s="21">
        <f>EXP(-LN(2)/2)*CM49+(1-EXP(-LN(2)/2))/(LN(2)/2)*CG50*CJ50*VLOOKUP('Données projet'!$B$12,Paramètres!$A$1:$I$89,3,0)*0.475*44/12</f>
        <v>7.6704531751394411E-2</v>
      </c>
      <c r="CN50" s="22">
        <f t="shared" si="12"/>
        <v>13.31423847899697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17.399999999999999</v>
      </c>
      <c r="N51" s="13">
        <f>IF('Données projet'!$A$36&gt;35,N50+M51-V50,IF(A51&lt;'Données projet'!$A$36,$K$205^A51,IF(A51='Données projet'!$A$36,'Données projet'!$B$36,N50+M51-V50)))</f>
        <v>420.19999999999976</v>
      </c>
      <c r="O51" s="13">
        <f>N51*VLOOKUP('Données projet'!$B$9,Paramètres!$A$1:$I$89,3,0)*VLOOKUP('Données projet'!$B$9,Paramètres!$A$1:$I$89,5,0)</f>
        <v>234.89179999999988</v>
      </c>
      <c r="P51" s="13">
        <f t="shared" si="33"/>
        <v>57.339104021098166</v>
      </c>
      <c r="Q51" s="20">
        <f t="shared" si="53"/>
        <v>508.96882450341235</v>
      </c>
      <c r="R51" s="59">
        <f t="shared" si="0"/>
        <v>802.30215783674566</v>
      </c>
      <c r="S51" s="59">
        <f ca="1">AVERAGE(OFFSET($R$3,0,0,'Données projet'!$E$9+1,1))-AVERAGE(OFFSET($H$3,0,0,'Données projet'!$E$9+1,1))</f>
        <v>279.98352834501759</v>
      </c>
      <c r="T51" s="59">
        <f t="shared" si="34"/>
        <v>281.30062655265488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2.7984239123572721</v>
      </c>
      <c r="AA51" s="21">
        <f>EXP(-LN(2)/25)*AA50+(1-EXP(-LN(2)/25))/(LN(2)/25)*Calculateur!V51*Calculateur!X51*VLOOKUP('Données projet'!$B$9,Paramètres!$A$1:$I$89,3,0)*0.475*44/12</f>
        <v>14.70811765559549</v>
      </c>
      <c r="AB51" s="21">
        <f>EXP(-LN(2)/2)*AB50+(1-EXP(-LN(2)/2))/(LN(2)/2)*V51*Y51*VLOOKUP('Données projet'!$B$9,Paramètres!$A$1:$I$89,3,0)*0.475*44/12</f>
        <v>5.5306914796513125E-2</v>
      </c>
      <c r="AC51" s="22">
        <f t="shared" si="3"/>
        <v>17.561848482749276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19.2</v>
      </c>
      <c r="AI51" s="13">
        <f>IF('Données projet'!$A$62&gt;35,AI50+AH51-AQ50,IF(A51&lt;'Données projet'!$A$62,$AF$205^A51,IF(A51='Données projet'!$A$62,'Données projet'!$B$62,AI50+AH51-AQ50)))</f>
        <v>451.5999999999998</v>
      </c>
      <c r="AJ51" s="13">
        <f>AI51*VLOOKUP('Données projet'!$B$10,Paramètres!$A$1:$I$89,3,0)*VLOOKUP('Données projet'!$B$10,Paramètres!$A$1:$I$89,5,0)</f>
        <v>217.2195999999999</v>
      </c>
      <c r="AK51" s="13">
        <f t="shared" si="35"/>
        <v>53.510132920731287</v>
      </c>
      <c r="AL51" s="20">
        <f t="shared" si="4"/>
        <v>471.5209515036068</v>
      </c>
      <c r="AM51" s="59">
        <f t="shared" si="5"/>
        <v>764.85428483694011</v>
      </c>
      <c r="AN51" s="59">
        <f ca="1">AVERAGE(OFFSET($AM$3,0,0,'Données projet'!$E$10+1,1))-AVERAGE(OFFSET($H$3,0,0,'Données projet'!$E$10+1,1))</f>
        <v>252.30925789500111</v>
      </c>
      <c r="AO51" s="59">
        <f t="shared" si="36"/>
        <v>213.96033794804805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3.2433560483988892</v>
      </c>
      <c r="AV51" s="21">
        <f>EXP(-LN(2)/25)*AV50+(1-EXP(-LN(2)/25))/(LN(2)/25)*Calculateur!AQ51*Calculateur!AS51*VLOOKUP('Données projet'!$B$10,Paramètres!$A$1:$I$89,3,0)*0.475*44/12</f>
        <v>5.6025416543164841</v>
      </c>
      <c r="AW51" s="21">
        <f>EXP(-LN(2)/2)*AW50+(1-EXP(-LN(2)/2))/(LN(2)/2)*AQ51*AT51*VLOOKUP('Données projet'!$B$10,Paramètres!$A$1:$I$89,3,0)*0.475*44/12</f>
        <v>2.8081130091621265E-2</v>
      </c>
      <c r="AX51" s="21">
        <f t="shared" si="6"/>
        <v>8.8739788328069942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12.8</v>
      </c>
      <c r="BD51" s="12">
        <f>IF('Données projet'!$A$88&gt;35,BD50+BC51-BL50,IF(A51&lt;'Données projet'!$A$88,$BA$205^A51,IF(A51='Données projet'!$A$88,'Données projet'!$B$88,BD50+BC51-BL50)))</f>
        <v>317.39999999999998</v>
      </c>
      <c r="BE51" s="13">
        <f>BD51*VLOOKUP('Données projet'!$B$11,Paramètres!$A$1:$I$89,3,0)*VLOOKUP('Données projet'!$B$11,Paramètres!$A$1:$I$89,5,0)</f>
        <v>189.80519999999999</v>
      </c>
      <c r="BF51" s="13">
        <f t="shared" si="37"/>
        <v>47.496882766206909</v>
      </c>
      <c r="BG51" s="20">
        <f t="shared" si="7"/>
        <v>413.30112748447704</v>
      </c>
      <c r="BH51" s="59">
        <f t="shared" si="8"/>
        <v>706.63446081781035</v>
      </c>
      <c r="BI51" s="59">
        <f ca="1">AVERAGE(OFFSET($BH$3,0,0,'Données projet'!$E$11+1,1))-AVERAGE(OFFSET($H$3,0,0,'Données projet'!$E$11+1,1))</f>
        <v>216.94426559495264</v>
      </c>
      <c r="BJ51" s="59">
        <f t="shared" si="38"/>
        <v>225.33715877618704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7.8007550364501501</v>
      </c>
      <c r="BR51" s="21">
        <f>EXP(-LN(2)/2)*BR50+(1-EXP(-LN(2)/2))/(LN(2)/2)*BL51*BO51*VLOOKUP('Données projet'!$B$11,Paramètres!$A$1:$I$89,3,0)*0.475*44/12</f>
        <v>4.6346406003552679E-2</v>
      </c>
      <c r="BS51" s="22">
        <f t="shared" si="9"/>
        <v>7.8471014424537024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223.59999999999994</v>
      </c>
      <c r="BZ51" s="13">
        <f>BY51*VLOOKUP('Données projet'!$B$12,Paramètres!$A$1:$I$89,3,0)*VLOOKUP('Données projet'!$B$12,Paramètres!$A$1:$I$89,5,0)</f>
        <v>195.33695999999998</v>
      </c>
      <c r="CA51" s="13">
        <f t="shared" si="39"/>
        <v>48.717969863105445</v>
      </c>
      <c r="CB51" s="20">
        <f t="shared" si="10"/>
        <v>425.06233617824199</v>
      </c>
      <c r="CC51" s="59">
        <f t="shared" si="11"/>
        <v>718.39566951157531</v>
      </c>
      <c r="CD51" s="59">
        <f ca="1">AVERAGE(OFFSET($CC$3,0,0,'Données projet'!$E$12+1,1))-AVERAGE(OFFSET($H$3,0,0,'Données projet'!$E$12+1,1))</f>
        <v>223.81948236065614</v>
      </c>
      <c r="CE51" s="59">
        <f t="shared" si="40"/>
        <v>320.1204011431372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2.1515155274227338</v>
      </c>
      <c r="CL51" s="21">
        <f>EXP(-LN(2)/25)*CL50+(1-EXP(-LN(2)/25))/(LN(2)/25)*Calculateur!CG51*Calculateur!CI51*VLOOKUP('Données projet'!$B$12,Paramètres!$A$1:$I$89,3,0)*0.475*44/12</f>
        <v>10.741013650693642</v>
      </c>
      <c r="CM51" s="21">
        <f>EXP(-LN(2)/2)*CM50+(1-EXP(-LN(2)/2))/(LN(2)/2)*CG51*CJ51*VLOOKUP('Données projet'!$B$12,Paramètres!$A$1:$I$89,3,0)*0.475*44/12</f>
        <v>5.4238294549149836E-2</v>
      </c>
      <c r="CN51" s="22">
        <f t="shared" si="12"/>
        <v>12.946767472665526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17.399999999999999</v>
      </c>
      <c r="N52" s="13">
        <f>IF('Données projet'!$A$36&gt;35,N51+M52-V51,IF(A52&lt;'Données projet'!$A$36,$K$205^A52,IF(A52='Données projet'!$A$36,'Données projet'!$B$36,N51+M52-V51)))</f>
        <v>437.59999999999974</v>
      </c>
      <c r="O52" s="13">
        <f>N52*VLOOKUP('Données projet'!$B$9,Paramètres!$A$1:$I$89,3,0)*VLOOKUP('Données projet'!$B$9,Paramètres!$A$1:$I$89,5,0)</f>
        <v>244.61839999999987</v>
      </c>
      <c r="P52" s="13">
        <f t="shared" si="33"/>
        <v>59.432096755407493</v>
      </c>
      <c r="Q52" s="20">
        <f t="shared" si="53"/>
        <v>529.55461518233449</v>
      </c>
      <c r="R52" s="59">
        <f t="shared" si="0"/>
        <v>822.88794851566786</v>
      </c>
      <c r="S52" s="59">
        <f ca="1">AVERAGE(OFFSET($R$3,0,0,'Données projet'!$E$9+1,1))-AVERAGE(OFFSET($H$3,0,0,'Données projet'!$E$9+1,1))</f>
        <v>279.98352834501759</v>
      </c>
      <c r="T52" s="59">
        <f t="shared" si="34"/>
        <v>281.30062655265488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2.7435485263059931</v>
      </c>
      <c r="AA52" s="21">
        <f>EXP(-LN(2)/25)*AA51+(1-EXP(-LN(2)/25))/(LN(2)/25)*Calculateur!V52*Calculateur!X52*VLOOKUP('Données projet'!$B$9,Paramètres!$A$1:$I$89,3,0)*0.475*44/12</f>
        <v>14.305923404836941</v>
      </c>
      <c r="AB52" s="21">
        <f>EXP(-LN(2)/2)*AB51+(1-EXP(-LN(2)/2))/(LN(2)/2)*V52*Y52*VLOOKUP('Données projet'!$B$9,Paramètres!$A$1:$I$89,3,0)*0.475*44/12</f>
        <v>3.9107894499121033E-2</v>
      </c>
      <c r="AC52" s="22">
        <f t="shared" si="3"/>
        <v>17.088579825642054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19.2</v>
      </c>
      <c r="AI52" s="13">
        <f>IF('Données projet'!$A$62&gt;35,AI51+AH52-AQ51,IF(A52&lt;'Données projet'!$A$62,$AF$205^A52,IF(A52='Données projet'!$A$62,'Données projet'!$B$62,AI51+AH52-AQ51)))</f>
        <v>470.79999999999978</v>
      </c>
      <c r="AJ52" s="13">
        <f>AI52*VLOOKUP('Données projet'!$B$10,Paramètres!$A$1:$I$89,3,0)*VLOOKUP('Données projet'!$B$10,Paramètres!$A$1:$I$89,5,0)</f>
        <v>226.45479999999989</v>
      </c>
      <c r="AK52" s="13">
        <f t="shared" si="35"/>
        <v>55.515434758641419</v>
      </c>
      <c r="AL52" s="20">
        <f t="shared" si="4"/>
        <v>491.09815887130026</v>
      </c>
      <c r="AM52" s="59">
        <f t="shared" si="5"/>
        <v>784.43149220463351</v>
      </c>
      <c r="AN52" s="59">
        <f ca="1">AVERAGE(OFFSET($AM$3,0,0,'Données projet'!$E$10+1,1))-AVERAGE(OFFSET($H$3,0,0,'Données projet'!$E$10+1,1))</f>
        <v>252.30925789500111</v>
      </c>
      <c r="AO52" s="59">
        <f t="shared" si="36"/>
        <v>213.96033794804805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3.1797558145416405</v>
      </c>
      <c r="AV52" s="21">
        <f>EXP(-LN(2)/25)*AV51+(1-EXP(-LN(2)/25))/(LN(2)/25)*Calculateur!AQ52*Calculateur!AS52*VLOOKUP('Données projet'!$B$10,Paramètres!$A$1:$I$89,3,0)*0.475*44/12</f>
        <v>5.4493398581543389</v>
      </c>
      <c r="AW52" s="21">
        <f>EXP(-LN(2)/2)*AW51+(1-EXP(-LN(2)/2))/(LN(2)/2)*AQ52*AT52*VLOOKUP('Données projet'!$B$10,Paramètres!$A$1:$I$89,3,0)*0.475*44/12</f>
        <v>1.9856357511167013E-2</v>
      </c>
      <c r="AX52" s="21">
        <f t="shared" si="6"/>
        <v>8.6489520302071448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12.8</v>
      </c>
      <c r="BD52" s="12">
        <f>IF('Données projet'!$A$88&gt;35,BD51+BC52-BL51,IF(A52&lt;'Données projet'!$A$88,$BA$205^A52,IF(A52='Données projet'!$A$88,'Données projet'!$B$88,BD51+BC52-BL51)))</f>
        <v>330.2</v>
      </c>
      <c r="BE52" s="13">
        <f>BD52*VLOOKUP('Données projet'!$B$11,Paramètres!$A$1:$I$89,3,0)*VLOOKUP('Données projet'!$B$11,Paramètres!$A$1:$I$89,5,0)</f>
        <v>197.45959999999999</v>
      </c>
      <c r="BF52" s="13">
        <f t="shared" si="37"/>
        <v>49.185450002435452</v>
      </c>
      <c r="BG52" s="20">
        <f t="shared" si="7"/>
        <v>429.57346208757502</v>
      </c>
      <c r="BH52" s="59">
        <f t="shared" si="8"/>
        <v>722.90679542090834</v>
      </c>
      <c r="BI52" s="59">
        <f ca="1">AVERAGE(OFFSET($BH$3,0,0,'Données projet'!$E$11+1,1))-AVERAGE(OFFSET($H$3,0,0,'Données projet'!$E$11+1,1))</f>
        <v>216.94426559495264</v>
      </c>
      <c r="BJ52" s="59">
        <f t="shared" si="38"/>
        <v>225.33715877618704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7.5874429797545426</v>
      </c>
      <c r="BR52" s="21">
        <f>EXP(-LN(2)/2)*BR51+(1-EXP(-LN(2)/2))/(LN(2)/2)*BL52*BO52*VLOOKUP('Données projet'!$B$11,Paramètres!$A$1:$I$89,3,0)*0.475*44/12</f>
        <v>3.2771857968737016E-2</v>
      </c>
      <c r="BS52" s="22">
        <f t="shared" si="9"/>
        <v>7.6202148377232799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231.79999999999993</v>
      </c>
      <c r="BZ52" s="13">
        <f>BY52*VLOOKUP('Données projet'!$B$12,Paramètres!$A$1:$I$89,3,0)*VLOOKUP('Données projet'!$B$12,Paramètres!$A$1:$I$89,5,0)</f>
        <v>202.50047999999995</v>
      </c>
      <c r="CA52" s="13">
        <f t="shared" si="39"/>
        <v>50.293299535837903</v>
      </c>
      <c r="CB52" s="20">
        <f t="shared" si="10"/>
        <v>440.28249935825096</v>
      </c>
      <c r="CC52" s="59">
        <f t="shared" si="11"/>
        <v>733.61583269158427</v>
      </c>
      <c r="CD52" s="59">
        <f ca="1">AVERAGE(OFFSET($CC$3,0,0,'Données projet'!$E$12+1,1))-AVERAGE(OFFSET($H$3,0,0,'Données projet'!$E$12+1,1))</f>
        <v>223.81948236065614</v>
      </c>
      <c r="CE52" s="59">
        <f t="shared" si="40"/>
        <v>320.1204011431372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2.1093256202248671</v>
      </c>
      <c r="CL52" s="21">
        <f>EXP(-LN(2)/25)*CL51+(1-EXP(-LN(2)/25))/(LN(2)/25)*Calculateur!CG52*Calculateur!CI52*VLOOKUP('Données projet'!$B$12,Paramètres!$A$1:$I$89,3,0)*0.475*44/12</f>
        <v>10.447300067570065</v>
      </c>
      <c r="CM52" s="21">
        <f>EXP(-LN(2)/2)*CM51+(1-EXP(-LN(2)/2))/(LN(2)/2)*CG52*CJ52*VLOOKUP('Données projet'!$B$12,Paramètres!$A$1:$I$89,3,0)*0.475*44/12</f>
        <v>3.8352265875697206E-2</v>
      </c>
      <c r="CN52" s="22">
        <f t="shared" si="12"/>
        <v>12.594977953670631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455</v>
      </c>
      <c r="L53" s="12">
        <f>VLOOKUP(A53,'Données projet'!$A$35:$I$55,9,0)</f>
        <v>17.399999999999999</v>
      </c>
      <c r="M53" s="12">
        <f t="array" ref="M53">INDEX(L:L,MIN(IF(ISNUMBER(L53:L249),ROW(L53:L249),"")))</f>
        <v>17.399999999999999</v>
      </c>
      <c r="N53" s="13">
        <f>IF('Données projet'!$A$36&gt;35,N52+M53-V52,IF(A53&lt;'Données projet'!$A$36,$K$205^A53,IF(A53='Données projet'!$A$36,'Données projet'!$B$36,N52+M53-V52)))</f>
        <v>454.99999999999972</v>
      </c>
      <c r="O53" s="13">
        <f>N53*VLOOKUP('Données projet'!$B$9,Paramètres!$A$1:$I$89,3,0)*VLOOKUP('Données projet'!$B$9,Paramètres!$A$1:$I$89,5,0)</f>
        <v>254.34499999999983</v>
      </c>
      <c r="P53" s="13">
        <f t="shared" si="33"/>
        <v>61.515422107791508</v>
      </c>
      <c r="Q53" s="20">
        <f t="shared" si="53"/>
        <v>550.12356850440324</v>
      </c>
      <c r="R53" s="59">
        <f t="shared" si="0"/>
        <v>843.4569018377365</v>
      </c>
      <c r="S53" s="59">
        <f ca="1">AVERAGE(OFFSET($R$3,0,0,'Données projet'!$E$9+1,1))-AVERAGE(OFFSET($H$3,0,0,'Données projet'!$E$9+1,1))</f>
        <v>279.98352834501759</v>
      </c>
      <c r="T53" s="59">
        <f t="shared" si="34"/>
        <v>281.30062655265488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98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2.6897492131044993</v>
      </c>
      <c r="AA53" s="21">
        <f>EXP(-LN(2)/25)*AA52+(1-EXP(-LN(2)/25))/(LN(2)/25)*Calculateur!V53*Calculateur!X53*VLOOKUP('Données projet'!$B$9,Paramètres!$A$1:$I$89,3,0)*0.475*44/12</f>
        <v>13.914727177015859</v>
      </c>
      <c r="AB53" s="21">
        <f>EXP(-LN(2)/2)*AB52+(1-EXP(-LN(2)/2))/(LN(2)/2)*V53*Y53*VLOOKUP('Données projet'!$B$9,Paramètres!$A$1:$I$89,3,0)*0.475*44/12</f>
        <v>2.7653457398256562E-2</v>
      </c>
      <c r="AC53" s="22">
        <f t="shared" si="3"/>
        <v>16.632129847518613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490</v>
      </c>
      <c r="AG53" s="12">
        <f>VLOOKUP(A53,'Données projet'!$A$61:$I$81,9,0)</f>
        <v>19.2</v>
      </c>
      <c r="AH53" s="12">
        <f t="array" ref="AH53">INDEX(AG:AG,MIN(IF(ISNUMBER(AG53:AG249),ROW(AG53:AG249),"")))</f>
        <v>19.2</v>
      </c>
      <c r="AI53" s="13">
        <f>IF('Données projet'!$A$62&gt;35,AI52+AH53-AQ52,IF(A53&lt;'Données projet'!$A$62,$AF$205^A53,IF(A53='Données projet'!$A$62,'Données projet'!$B$62,AI52+AH53-AQ52)))</f>
        <v>489.99999999999977</v>
      </c>
      <c r="AJ53" s="13">
        <f>AI53*VLOOKUP('Données projet'!$B$10,Paramètres!$A$1:$I$89,3,0)*VLOOKUP('Données projet'!$B$10,Paramètres!$A$1:$I$89,5,0)</f>
        <v>235.68999999999991</v>
      </c>
      <c r="AK53" s="13">
        <f t="shared" si="35"/>
        <v>57.511237238087972</v>
      </c>
      <c r="AL53" s="20">
        <f t="shared" si="4"/>
        <v>510.65882152300293</v>
      </c>
      <c r="AM53" s="59">
        <f t="shared" si="5"/>
        <v>803.99215485633624</v>
      </c>
      <c r="AN53" s="59">
        <f ca="1">AVERAGE(OFFSET($AM$3,0,0,'Données projet'!$E$10+1,1))-AVERAGE(OFFSET($H$3,0,0,'Données projet'!$E$10+1,1))</f>
        <v>252.30925789500111</v>
      </c>
      <c r="AO53" s="59">
        <f t="shared" si="36"/>
        <v>213.96033794804805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98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3.1174027424780202</v>
      </c>
      <c r="AV53" s="21">
        <f>EXP(-LN(2)/25)*AV52+(1-EXP(-LN(2)/25))/(LN(2)/25)*Calculateur!AQ53*Calculateur!AS53*VLOOKUP('Données projet'!$B$10,Paramètres!$A$1:$I$89,3,0)*0.475*44/12</f>
        <v>5.3003273731647802</v>
      </c>
      <c r="AW53" s="21">
        <f>EXP(-LN(2)/2)*AW52+(1-EXP(-LN(2)/2))/(LN(2)/2)*AQ53*AT53*VLOOKUP('Données projet'!$B$10,Paramètres!$A$1:$I$89,3,0)*0.475*44/12</f>
        <v>1.4040565045810633E-2</v>
      </c>
      <c r="AX53" s="21">
        <f t="shared" si="6"/>
        <v>8.4317706806886115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343</v>
      </c>
      <c r="BB53" s="12">
        <f>VLOOKUP(A53,'Données projet'!$A$87:$I$107,9,0)</f>
        <v>12.8</v>
      </c>
      <c r="BC53" s="12">
        <f t="array" ref="BC53">INDEX(BB:BB,MIN(IF(ISNUMBER(BB53:BB249),ROW(BB53:BB249),"")))</f>
        <v>12.8</v>
      </c>
      <c r="BD53" s="12">
        <f>IF('Données projet'!$A$88&gt;35,BD52+BC53-BL52,IF(A53&lt;'Données projet'!$A$88,$BA$205^A53,IF(A53='Données projet'!$A$88,'Données projet'!$B$88,BD52+BC53-BL52)))</f>
        <v>343</v>
      </c>
      <c r="BE53" s="13">
        <f>BD53*VLOOKUP('Données projet'!$B$11,Paramètres!$A$1:$I$89,3,0)*VLOOKUP('Données projet'!$B$11,Paramètres!$A$1:$I$89,5,0)</f>
        <v>205.114</v>
      </c>
      <c r="BF53" s="13">
        <f t="shared" si="37"/>
        <v>50.86641328088507</v>
      </c>
      <c r="BG53" s="20">
        <f t="shared" si="7"/>
        <v>445.83255313087483</v>
      </c>
      <c r="BH53" s="59">
        <f t="shared" si="8"/>
        <v>739.16588646420814</v>
      </c>
      <c r="BI53" s="59">
        <f ca="1">AVERAGE(OFFSET($BH$3,0,0,'Données projet'!$E$11+1,1))-AVERAGE(OFFSET($H$3,0,0,'Données projet'!$E$11+1,1))</f>
        <v>216.94426559495264</v>
      </c>
      <c r="BJ53" s="59">
        <f t="shared" si="38"/>
        <v>225.33715877618704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70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7.3799639524668699</v>
      </c>
      <c r="BR53" s="21">
        <f>EXP(-LN(2)/2)*BR52+(1-EXP(-LN(2)/2))/(LN(2)/2)*BL53*BO53*VLOOKUP('Données projet'!$B$11,Paramètres!$A$1:$I$89,3,0)*0.475*44/12</f>
        <v>2.3173203001776339E-2</v>
      </c>
      <c r="BS53" s="22">
        <f t="shared" si="9"/>
        <v>7.403137155468646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240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239.99999999999991</v>
      </c>
      <c r="BZ53" s="13">
        <f>BY53*VLOOKUP('Données projet'!$B$12,Paramètres!$A$1:$I$89,3,0)*VLOOKUP('Données projet'!$B$12,Paramètres!$A$1:$I$89,5,0)</f>
        <v>209.66399999999996</v>
      </c>
      <c r="CA53" s="13">
        <f t="shared" si="39"/>
        <v>51.862154403304487</v>
      </c>
      <c r="CB53" s="20">
        <f t="shared" si="10"/>
        <v>455.49138558575515</v>
      </c>
      <c r="CC53" s="59">
        <f t="shared" si="11"/>
        <v>748.82471891908847</v>
      </c>
      <c r="CD53" s="59">
        <f ca="1">AVERAGE(OFFSET($CC$3,0,0,'Données projet'!$E$12+1,1))-AVERAGE(OFFSET($H$3,0,0,'Données projet'!$E$12+1,1))</f>
        <v>223.81948236065614</v>
      </c>
      <c r="CE53" s="59">
        <f t="shared" si="40"/>
        <v>320.1204011431372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59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2.0679630313738486</v>
      </c>
      <c r="CL53" s="21">
        <f>EXP(-LN(2)/25)*CL52+(1-EXP(-LN(2)/25))/(LN(2)/25)*Calculateur!CG53*Calculateur!CI53*VLOOKUP('Données projet'!$B$12,Paramètres!$A$1:$I$89,3,0)*0.475*44/12</f>
        <v>10.161618097822728</v>
      </c>
      <c r="CM53" s="21">
        <f>EXP(-LN(2)/2)*CM52+(1-EXP(-LN(2)/2))/(LN(2)/2)*CG53*CJ53*VLOOKUP('Données projet'!$B$12,Paramètres!$A$1:$I$89,3,0)*0.475*44/12</f>
        <v>2.7119147274574918E-2</v>
      </c>
      <c r="CN53" s="22">
        <f t="shared" si="12"/>
        <v>12.256700276471152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14.8</v>
      </c>
      <c r="N54" s="13">
        <f>IF('Données projet'!$A$36&gt;35,N53+M54-V53,IF(A54&lt;'Données projet'!$A$36,$K$205^A54,IF(A54='Données projet'!$A$36,'Données projet'!$B$36,N53+M54-V53)))</f>
        <v>371.79999999999973</v>
      </c>
      <c r="O54" s="13">
        <f>N54*VLOOKUP('Données projet'!$B$9,Paramètres!$A$1:$I$89,3,0)*VLOOKUP('Données projet'!$B$9,Paramètres!$A$1:$I$89,5,0)</f>
        <v>207.83619999999985</v>
      </c>
      <c r="P54" s="13">
        <f t="shared" si="33"/>
        <v>51.462456308309847</v>
      </c>
      <c r="Q54" s="20">
        <f t="shared" si="53"/>
        <v>451.61182640363944</v>
      </c>
      <c r="R54" s="59">
        <f t="shared" si="0"/>
        <v>744.94515973697276</v>
      </c>
      <c r="S54" s="59">
        <f ca="1">AVERAGE(OFFSET($R$3,0,0,'Données projet'!$E$9+1,1))-AVERAGE(OFFSET($H$3,0,0,'Données projet'!$E$9+1,1))</f>
        <v>279.98352834501759</v>
      </c>
      <c r="T54" s="59">
        <f t="shared" si="34"/>
        <v>281.30062655265488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2.6370048716205456</v>
      </c>
      <c r="AA54" s="21">
        <f>EXP(-LN(2)/25)*AA53+(1-EXP(-LN(2)/25))/(LN(2)/25)*Calculateur!V54*Calculateur!X54*VLOOKUP('Données projet'!$B$9,Paramètres!$A$1:$I$89,3,0)*0.475*44/12</f>
        <v>13.534228230616661</v>
      </c>
      <c r="AB54" s="21">
        <f>EXP(-LN(2)/2)*AB53+(1-EXP(-LN(2)/2))/(LN(2)/2)*V54*Y54*VLOOKUP('Données projet'!$B$9,Paramètres!$A$1:$I$89,3,0)*0.475*44/12</f>
        <v>1.9553947249560517E-2</v>
      </c>
      <c r="AC54" s="22">
        <f t="shared" si="3"/>
        <v>16.190787049486765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17.3</v>
      </c>
      <c r="AI54" s="13">
        <f>IF('Données projet'!$A$62&gt;35,AI53+AH54-AQ53,IF(A54&lt;'Données projet'!$A$62,$AF$205^A54,IF(A54='Données projet'!$A$62,'Données projet'!$B$62,AI53+AH54-AQ53)))</f>
        <v>409.29999999999978</v>
      </c>
      <c r="AJ54" s="13">
        <f>AI54*VLOOKUP('Données projet'!$B$10,Paramètres!$A$1:$I$89,3,0)*VLOOKUP('Données projet'!$B$10,Paramètres!$A$1:$I$89,5,0)</f>
        <v>196.87329999999989</v>
      </c>
      <c r="AK54" s="13">
        <f t="shared" si="35"/>
        <v>49.056384812793937</v>
      </c>
      <c r="AL54" s="20">
        <f t="shared" si="4"/>
        <v>428.32753438228252</v>
      </c>
      <c r="AM54" s="59">
        <f t="shared" si="5"/>
        <v>721.66086771561584</v>
      </c>
      <c r="AN54" s="59">
        <f ca="1">AVERAGE(OFFSET($AM$3,0,0,'Données projet'!$E$10+1,1))-AVERAGE(OFFSET($H$3,0,0,'Données projet'!$E$10+1,1))</f>
        <v>252.30925789500111</v>
      </c>
      <c r="AO54" s="59">
        <f t="shared" si="36"/>
        <v>213.96033794804805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3.0562723761259485</v>
      </c>
      <c r="AV54" s="21">
        <f>EXP(-LN(2)/25)*AV53+(1-EXP(-LN(2)/25))/(LN(2)/25)*Calculateur!AQ54*Calculateur!AS54*VLOOKUP('Données projet'!$B$10,Paramètres!$A$1:$I$89,3,0)*0.475*44/12</f>
        <v>5.1553896424134864</v>
      </c>
      <c r="AW54" s="21">
        <f>EXP(-LN(2)/2)*AW53+(1-EXP(-LN(2)/2))/(LN(2)/2)*AQ54*AT54*VLOOKUP('Données projet'!$B$10,Paramètres!$A$1:$I$89,3,0)*0.475*44/12</f>
        <v>9.9281787555835065E-3</v>
      </c>
      <c r="AX54" s="21">
        <f t="shared" si="6"/>
        <v>8.2215901972950185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11.4</v>
      </c>
      <c r="BD54" s="12">
        <f>IF('Données projet'!$A$88&gt;35,BD53+BC54-BL53,IF(A54&lt;'Données projet'!$A$88,$BA$205^A54,IF(A54='Données projet'!$A$88,'Données projet'!$B$88,BD53+BC54-BL53)))</f>
        <v>284.39999999999998</v>
      </c>
      <c r="BE54" s="13">
        <f>BD54*VLOOKUP('Données projet'!$B$11,Paramètres!$A$1:$I$89,3,0)*VLOOKUP('Données projet'!$B$11,Paramètres!$A$1:$I$89,5,0)</f>
        <v>170.07119999999998</v>
      </c>
      <c r="BF54" s="13">
        <f t="shared" si="37"/>
        <v>43.105969628155904</v>
      </c>
      <c r="BG54" s="20">
        <f t="shared" si="7"/>
        <v>371.2835704357048</v>
      </c>
      <c r="BH54" s="59">
        <f t="shared" si="8"/>
        <v>664.61690376903812</v>
      </c>
      <c r="BI54" s="59">
        <f ca="1">AVERAGE(OFFSET($BH$3,0,0,'Données projet'!$E$11+1,1))-AVERAGE(OFFSET($H$3,0,0,'Données projet'!$E$11+1,1))</f>
        <v>216.94426559495264</v>
      </c>
      <c r="BJ54" s="59">
        <f t="shared" si="38"/>
        <v>225.33715877618704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7.1781584500912263</v>
      </c>
      <c r="BR54" s="21">
        <f>EXP(-LN(2)/2)*BR53+(1-EXP(-LN(2)/2))/(LN(2)/2)*BL54*BO54*VLOOKUP('Données projet'!$B$11,Paramètres!$A$1:$I$89,3,0)*0.475*44/12</f>
        <v>1.6385928984368508E-2</v>
      </c>
      <c r="BS54" s="22">
        <f t="shared" si="9"/>
        <v>7.1945443790755945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6.4</v>
      </c>
      <c r="BY54" s="12">
        <f>IF('Données projet'!$A$114&gt;35,BY53+BX54-CG53,IF(A54&lt;'Données projet'!$A$114,$BV$205^A54,IF(A54='Données projet'!$A$114,'Données projet'!$B$114,BY53+BX54-CG53)))</f>
        <v>187.39999999999992</v>
      </c>
      <c r="BZ54" s="13">
        <f>BY54*VLOOKUP('Données projet'!$B$12,Paramètres!$A$1:$I$89,3,0)*VLOOKUP('Données projet'!$B$12,Paramètres!$A$1:$I$89,5,0)</f>
        <v>163.71263999999994</v>
      </c>
      <c r="CA54" s="13">
        <f t="shared" si="39"/>
        <v>41.67879048791994</v>
      </c>
      <c r="CB54" s="20">
        <f t="shared" si="10"/>
        <v>357.72340809979374</v>
      </c>
      <c r="CC54" s="59">
        <f t="shared" si="11"/>
        <v>651.05674143312706</v>
      </c>
      <c r="CD54" s="59">
        <f ca="1">AVERAGE(OFFSET($CC$3,0,0,'Données projet'!$E$12+1,1))-AVERAGE(OFFSET($H$3,0,0,'Données projet'!$E$12+1,1))</f>
        <v>223.81948236065614</v>
      </c>
      <c r="CE54" s="59">
        <f t="shared" si="40"/>
        <v>320.1204011431372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2.0274115376615103</v>
      </c>
      <c r="CL54" s="21">
        <f>EXP(-LN(2)/25)*CL53+(1-EXP(-LN(2)/25))/(LN(2)/25)*Calculateur!CG54*Calculateur!CI54*VLOOKUP('Données projet'!$B$12,Paramètres!$A$1:$I$89,3,0)*0.475*44/12</f>
        <v>9.8837481165614953</v>
      </c>
      <c r="CM54" s="21">
        <f>EXP(-LN(2)/2)*CM53+(1-EXP(-LN(2)/2))/(LN(2)/2)*CG54*CJ54*VLOOKUP('Données projet'!$B$12,Paramètres!$A$1:$I$89,3,0)*0.475*44/12</f>
        <v>1.9176132937848603E-2</v>
      </c>
      <c r="CN54" s="22">
        <f t="shared" si="12"/>
        <v>11.930335787160855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14.8</v>
      </c>
      <c r="N55" s="13">
        <f>IF('Données projet'!$A$36&gt;35,N54+M55-V54,IF(A55&lt;'Données projet'!$A$36,$K$205^A55,IF(A55='Données projet'!$A$36,'Données projet'!$B$36,N54+M55-V54)))</f>
        <v>386.59999999999974</v>
      </c>
      <c r="O55" s="13">
        <f>N55*VLOOKUP('Données projet'!$B$9,Paramètres!$A$1:$I$89,3,0)*VLOOKUP('Données projet'!$B$9,Paramètres!$A$1:$I$89,5,0)</f>
        <v>216.10939999999985</v>
      </c>
      <c r="P55" s="13">
        <f t="shared" si="33"/>
        <v>53.268406922893078</v>
      </c>
      <c r="Q55" s="20">
        <f t="shared" si="53"/>
        <v>469.16634705737187</v>
      </c>
      <c r="R55" s="59">
        <f t="shared" si="0"/>
        <v>762.49968039070518</v>
      </c>
      <c r="S55" s="59">
        <f ca="1">AVERAGE(OFFSET($R$3,0,0,'Données projet'!$E$9+1,1))-AVERAGE(OFFSET($H$3,0,0,'Données projet'!$E$9+1,1))</f>
        <v>279.98352834501759</v>
      </c>
      <c r="T55" s="59">
        <f t="shared" si="34"/>
        <v>281.30062655265488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2.5852948145022205</v>
      </c>
      <c r="AA55" s="21">
        <f>EXP(-LN(2)/25)*AA54+(1-EXP(-LN(2)/25))/(LN(2)/25)*Calculateur!V55*Calculateur!X55*VLOOKUP('Données projet'!$B$9,Paramètres!$A$1:$I$89,3,0)*0.475*44/12</f>
        <v>13.164134047916319</v>
      </c>
      <c r="AB55" s="21">
        <f>EXP(-LN(2)/2)*AB54+(1-EXP(-LN(2)/2))/(LN(2)/2)*V55*Y55*VLOOKUP('Données projet'!$B$9,Paramètres!$A$1:$I$89,3,0)*0.475*44/12</f>
        <v>1.3826728699128281E-2</v>
      </c>
      <c r="AC55" s="22">
        <f t="shared" si="3"/>
        <v>15.763255591117668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17.3</v>
      </c>
      <c r="AI55" s="13">
        <f>IF('Données projet'!$A$62&gt;35,AI54+AH55-AQ54,IF(A55&lt;'Données projet'!$A$62,$AF$205^A55,IF(A55='Données projet'!$A$62,'Données projet'!$B$62,AI54+AH55-AQ54)))</f>
        <v>426.5999999999998</v>
      </c>
      <c r="AJ55" s="13">
        <f>AI55*VLOOKUP('Données projet'!$B$10,Paramètres!$A$1:$I$89,3,0)*VLOOKUP('Données projet'!$B$10,Paramètres!$A$1:$I$89,5,0)</f>
        <v>205.19459999999992</v>
      </c>
      <c r="AK55" s="13">
        <f t="shared" si="35"/>
        <v>50.884074335339101</v>
      </c>
      <c r="AL55" s="20">
        <f t="shared" si="4"/>
        <v>446.00369113404878</v>
      </c>
      <c r="AM55" s="59">
        <f t="shared" si="5"/>
        <v>739.33702446738209</v>
      </c>
      <c r="AN55" s="59">
        <f ca="1">AVERAGE(OFFSET($AM$3,0,0,'Données projet'!$E$10+1,1))-AVERAGE(OFFSET($H$3,0,0,'Données projet'!$E$10+1,1))</f>
        <v>252.30925789500111</v>
      </c>
      <c r="AO55" s="59">
        <f t="shared" si="36"/>
        <v>213.96033794804805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2.9963407389721994</v>
      </c>
      <c r="AV55" s="21">
        <f>EXP(-LN(2)/25)*AV54+(1-EXP(-LN(2)/25))/(LN(2)/25)*Calculateur!AQ55*Calculateur!AS55*VLOOKUP('Données projet'!$B$10,Paramètres!$A$1:$I$89,3,0)*0.475*44/12</f>
        <v>5.0144152415315313</v>
      </c>
      <c r="AW55" s="21">
        <f>EXP(-LN(2)/2)*AW54+(1-EXP(-LN(2)/2))/(LN(2)/2)*AQ55*AT55*VLOOKUP('Données projet'!$B$10,Paramètres!$A$1:$I$89,3,0)*0.475*44/12</f>
        <v>7.0202825229053164E-3</v>
      </c>
      <c r="AX55" s="21">
        <f t="shared" si="6"/>
        <v>8.0177762630266365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11.4</v>
      </c>
      <c r="BD55" s="12">
        <f>IF('Données projet'!$A$88&gt;35,BD54+BC55-BL54,IF(A55&lt;'Données projet'!$A$88,$BA$205^A55,IF(A55='Données projet'!$A$88,'Données projet'!$B$88,BD54+BC55-BL54)))</f>
        <v>295.79999999999995</v>
      </c>
      <c r="BE55" s="13">
        <f>BD55*VLOOKUP('Données projet'!$B$11,Paramètres!$A$1:$I$89,3,0)*VLOOKUP('Données projet'!$B$11,Paramètres!$A$1:$I$89,5,0)</f>
        <v>176.88839999999999</v>
      </c>
      <c r="BF55" s="13">
        <f t="shared" si="37"/>
        <v>44.629211487047861</v>
      </c>
      <c r="BG55" s="20">
        <f t="shared" si="7"/>
        <v>385.80984000660828</v>
      </c>
      <c r="BH55" s="59">
        <f t="shared" si="8"/>
        <v>679.14317333994154</v>
      </c>
      <c r="BI55" s="59">
        <f ca="1">AVERAGE(OFFSET($BH$3,0,0,'Données projet'!$E$11+1,1))-AVERAGE(OFFSET($H$3,0,0,'Données projet'!$E$11+1,1))</f>
        <v>216.94426559495264</v>
      </c>
      <c r="BJ55" s="59">
        <f t="shared" si="38"/>
        <v>225.33715877618704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6.9818713297905344</v>
      </c>
      <c r="BR55" s="21">
        <f>EXP(-LN(2)/2)*BR54+(1-EXP(-LN(2)/2))/(LN(2)/2)*BL55*BO55*VLOOKUP('Données projet'!$B$11,Paramètres!$A$1:$I$89,3,0)*0.475*44/12</f>
        <v>1.158660150088817E-2</v>
      </c>
      <c r="BS55" s="22">
        <f t="shared" si="9"/>
        <v>6.9934579312914229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6.4</v>
      </c>
      <c r="BY55" s="12">
        <f>IF('Données projet'!$A$114&gt;35,BY54+BX55-CG54,IF(A55&lt;'Données projet'!$A$114,$BV$205^A55,IF(A55='Données projet'!$A$114,'Données projet'!$B$114,BY54+BX55-CG54)))</f>
        <v>193.79999999999993</v>
      </c>
      <c r="BZ55" s="13">
        <f>BY55*VLOOKUP('Données projet'!$B$12,Paramètres!$A$1:$I$89,3,0)*VLOOKUP('Données projet'!$B$12,Paramètres!$A$1:$I$89,5,0)</f>
        <v>169.30367999999996</v>
      </c>
      <c r="CA55" s="13">
        <f t="shared" si="39"/>
        <v>42.934033834973214</v>
      </c>
      <c r="CB55" s="20">
        <f t="shared" si="10"/>
        <v>369.64735159591163</v>
      </c>
      <c r="CC55" s="59">
        <f t="shared" si="11"/>
        <v>662.98068492924494</v>
      </c>
      <c r="CD55" s="59">
        <f ca="1">AVERAGE(OFFSET($CC$3,0,0,'Données projet'!$E$12+1,1))-AVERAGE(OFFSET($H$3,0,0,'Données projet'!$E$12+1,1))</f>
        <v>223.81948236065614</v>
      </c>
      <c r="CE55" s="59">
        <f t="shared" si="40"/>
        <v>320.1204011431372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1.987655234006902</v>
      </c>
      <c r="CL55" s="21">
        <f>EXP(-LN(2)/25)*CL54+(1-EXP(-LN(2)/25))/(LN(2)/25)*Calculateur!CG55*Calculateur!CI55*VLOOKUP('Données projet'!$B$12,Paramètres!$A$1:$I$89,3,0)*0.475*44/12</f>
        <v>9.6134765045503983</v>
      </c>
      <c r="CM55" s="21">
        <f>EXP(-LN(2)/2)*CM54+(1-EXP(-LN(2)/2))/(LN(2)/2)*CG55*CJ55*VLOOKUP('Données projet'!$B$12,Paramètres!$A$1:$I$89,3,0)*0.475*44/12</f>
        <v>1.3559573637287459E-2</v>
      </c>
      <c r="CN55" s="22">
        <f t="shared" si="12"/>
        <v>11.614691312194587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14.8</v>
      </c>
      <c r="N56" s="13">
        <f>IF('Données projet'!$A$36&gt;35,N55+M56-V55,IF(A56&lt;'Données projet'!$A$36,$K$205^A56,IF(A56='Données projet'!$A$36,'Données projet'!$B$36,N55+M56-V55)))</f>
        <v>401.39999999999975</v>
      </c>
      <c r="O56" s="13">
        <f>N56*VLOOKUP('Données projet'!$B$9,Paramètres!$A$1:$I$89,3,0)*VLOOKUP('Données projet'!$B$9,Paramètres!$A$1:$I$89,5,0)</f>
        <v>224.38259999999985</v>
      </c>
      <c r="P56" s="13">
        <f t="shared" si="33"/>
        <v>55.06632591089982</v>
      </c>
      <c r="Q56" s="20">
        <f t="shared" si="53"/>
        <v>486.70687929481687</v>
      </c>
      <c r="R56" s="59">
        <f t="shared" si="0"/>
        <v>780.04021262815013</v>
      </c>
      <c r="S56" s="59">
        <f ca="1">AVERAGE(OFFSET($R$3,0,0,'Données projet'!$E$9+1,1))-AVERAGE(OFFSET($H$3,0,0,'Données projet'!$E$9+1,1))</f>
        <v>279.98352834501759</v>
      </c>
      <c r="T56" s="59">
        <f t="shared" si="34"/>
        <v>281.30062655265488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2.5345987600639655</v>
      </c>
      <c r="AA56" s="21">
        <f>EXP(-LN(2)/25)*AA55+(1-EXP(-LN(2)/25))/(LN(2)/25)*Calculateur!V56*Calculateur!X56*VLOOKUP('Données projet'!$B$9,Paramètres!$A$1:$I$89,3,0)*0.475*44/12</f>
        <v>12.804160110104325</v>
      </c>
      <c r="AB56" s="21">
        <f>EXP(-LN(2)/2)*AB55+(1-EXP(-LN(2)/2))/(LN(2)/2)*V56*Y56*VLOOKUP('Données projet'!$B$9,Paramètres!$A$1:$I$89,3,0)*0.475*44/12</f>
        <v>9.7769736247802583E-3</v>
      </c>
      <c r="AC56" s="22">
        <f t="shared" si="3"/>
        <v>15.348535843793071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17.3</v>
      </c>
      <c r="AI56" s="13">
        <f>IF('Données projet'!$A$62&gt;35,AI55+AH56-AQ55,IF(A56&lt;'Données projet'!$A$62,$AF$205^A56,IF(A56='Données projet'!$A$62,'Données projet'!$B$62,AI55+AH56-AQ55)))</f>
        <v>443.89999999999981</v>
      </c>
      <c r="AJ56" s="13">
        <f>AI56*VLOOKUP('Données projet'!$B$10,Paramètres!$A$1:$I$89,3,0)*VLOOKUP('Données projet'!$B$10,Paramètres!$A$1:$I$89,5,0)</f>
        <v>213.51589999999993</v>
      </c>
      <c r="AK56" s="13">
        <f t="shared" si="35"/>
        <v>52.703154281688931</v>
      </c>
      <c r="AL56" s="20">
        <f t="shared" si="4"/>
        <v>463.66485287394136</v>
      </c>
      <c r="AM56" s="59">
        <f t="shared" si="5"/>
        <v>756.99818620727467</v>
      </c>
      <c r="AN56" s="59">
        <f ca="1">AVERAGE(OFFSET($AM$3,0,0,'Données projet'!$E$10+1,1))-AVERAGE(OFFSET($H$3,0,0,'Données projet'!$E$10+1,1))</f>
        <v>252.30925789500111</v>
      </c>
      <c r="AO56" s="59">
        <f t="shared" si="36"/>
        <v>213.96033794804805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2.9375843246683462</v>
      </c>
      <c r="AV56" s="21">
        <f>EXP(-LN(2)/25)*AV55+(1-EXP(-LN(2)/25))/(LN(2)/25)*Calculateur!AQ56*Calculateur!AS56*VLOOKUP('Données projet'!$B$10,Paramètres!$A$1:$I$89,3,0)*0.475*44/12</f>
        <v>4.8772957930552145</v>
      </c>
      <c r="AW56" s="21">
        <f>EXP(-LN(2)/2)*AW55+(1-EXP(-LN(2)/2))/(LN(2)/2)*AQ56*AT56*VLOOKUP('Données projet'!$B$10,Paramètres!$A$1:$I$89,3,0)*0.475*44/12</f>
        <v>4.9640893777917533E-3</v>
      </c>
      <c r="AX56" s="21">
        <f t="shared" si="6"/>
        <v>7.8198442071013528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11.4</v>
      </c>
      <c r="BD56" s="12">
        <f>IF('Données projet'!$A$88&gt;35,BD55+BC56-BL55,IF(A56&lt;'Données projet'!$A$88,$BA$205^A56,IF(A56='Données projet'!$A$88,'Données projet'!$B$88,BD55+BC56-BL55)))</f>
        <v>307.19999999999993</v>
      </c>
      <c r="BE56" s="13">
        <f>BD56*VLOOKUP('Données projet'!$B$11,Paramètres!$A$1:$I$89,3,0)*VLOOKUP('Données projet'!$B$11,Paramètres!$A$1:$I$89,5,0)</f>
        <v>183.70559999999998</v>
      </c>
      <c r="BF56" s="13">
        <f t="shared" si="37"/>
        <v>46.145633597806309</v>
      </c>
      <c r="BG56" s="20">
        <f t="shared" si="7"/>
        <v>400.32423184951267</v>
      </c>
      <c r="BH56" s="59">
        <f t="shared" si="8"/>
        <v>693.65756518284593</v>
      </c>
      <c r="BI56" s="59">
        <f ca="1">AVERAGE(OFFSET($BH$3,0,0,'Données projet'!$E$11+1,1))-AVERAGE(OFFSET($H$3,0,0,'Données projet'!$E$11+1,1))</f>
        <v>216.94426559495264</v>
      </c>
      <c r="BJ56" s="59">
        <f t="shared" si="38"/>
        <v>225.33715877618704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6.7909516911167565</v>
      </c>
      <c r="BR56" s="21">
        <f>EXP(-LN(2)/2)*BR55+(1-EXP(-LN(2)/2))/(LN(2)/2)*BL56*BO56*VLOOKUP('Données projet'!$B$11,Paramètres!$A$1:$I$89,3,0)*0.475*44/12</f>
        <v>8.1929644921842539E-3</v>
      </c>
      <c r="BS56" s="22">
        <f t="shared" si="9"/>
        <v>6.7991446556089405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6.4</v>
      </c>
      <c r="BY56" s="12">
        <f>IF('Données projet'!$A$114&gt;35,BY55+BX56-CG55,IF(A56&lt;'Données projet'!$A$114,$BV$205^A56,IF(A56='Données projet'!$A$114,'Données projet'!$B$114,BY55+BX56-CG55)))</f>
        <v>200.19999999999993</v>
      </c>
      <c r="BZ56" s="13">
        <f>BY56*VLOOKUP('Données projet'!$B$12,Paramètres!$A$1:$I$89,3,0)*VLOOKUP('Données projet'!$B$12,Paramètres!$A$1:$I$89,5,0)</f>
        <v>174.89471999999995</v>
      </c>
      <c r="CA56" s="13">
        <f t="shared" si="39"/>
        <v>44.184460410211564</v>
      </c>
      <c r="CB56" s="20">
        <f t="shared" si="10"/>
        <v>381.56290588111841</v>
      </c>
      <c r="CC56" s="59">
        <f t="shared" si="11"/>
        <v>674.89623921445173</v>
      </c>
      <c r="CD56" s="59">
        <f ca="1">AVERAGE(OFFSET($CC$3,0,0,'Données projet'!$E$12+1,1))-AVERAGE(OFFSET($H$3,0,0,'Données projet'!$E$12+1,1))</f>
        <v>223.81948236065614</v>
      </c>
      <c r="CE56" s="59">
        <f t="shared" si="40"/>
        <v>320.1204011431372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1.9486785272180098</v>
      </c>
      <c r="CL56" s="21">
        <f>EXP(-LN(2)/25)*CL55+(1-EXP(-LN(2)/25))/(LN(2)/25)*Calculateur!CG56*Calculateur!CI56*VLOOKUP('Données projet'!$B$12,Paramètres!$A$1:$I$89,3,0)*0.475*44/12</f>
        <v>9.3505954839827101</v>
      </c>
      <c r="CM56" s="21">
        <f>EXP(-LN(2)/2)*CM55+(1-EXP(-LN(2)/2))/(LN(2)/2)*CG56*CJ56*VLOOKUP('Données projet'!$B$12,Paramètres!$A$1:$I$89,3,0)*0.475*44/12</f>
        <v>9.5880664689243014E-3</v>
      </c>
      <c r="CN56" s="22">
        <f t="shared" si="12"/>
        <v>11.308862077669643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14.8</v>
      </c>
      <c r="N57" s="13">
        <f>IF('Données projet'!$A$36&gt;35,N56+M57-V56,IF(A57&lt;'Données projet'!$A$36,$K$205^A57,IF(A57='Données projet'!$A$36,'Données projet'!$B$36,N56+M57-V56)))</f>
        <v>416.19999999999976</v>
      </c>
      <c r="O57" s="13">
        <f>N57*VLOOKUP('Données projet'!$B$9,Paramètres!$A$1:$I$89,3,0)*VLOOKUP('Données projet'!$B$9,Paramètres!$A$1:$I$89,5,0)</f>
        <v>232.65579999999986</v>
      </c>
      <c r="P57" s="13">
        <f t="shared" si="33"/>
        <v>56.856543319741832</v>
      </c>
      <c r="Q57" s="20">
        <f t="shared" si="53"/>
        <v>504.2339979485501</v>
      </c>
      <c r="R57" s="59">
        <f t="shared" si="0"/>
        <v>797.56733128188341</v>
      </c>
      <c r="S57" s="59">
        <f ca="1">AVERAGE(OFFSET($R$3,0,0,'Données projet'!$E$9+1,1))-AVERAGE(OFFSET($H$3,0,0,'Données projet'!$E$9+1,1))</f>
        <v>279.98352834501759</v>
      </c>
      <c r="T57" s="59">
        <f t="shared" si="34"/>
        <v>281.30062655265488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2.4848968243317047</v>
      </c>
      <c r="AA57" s="21">
        <f>EXP(-LN(2)/25)*AA56+(1-EXP(-LN(2)/25))/(LN(2)/25)*Calculateur!V57*Calculateur!X57*VLOOKUP('Données projet'!$B$9,Paramètres!$A$1:$I$89,3,0)*0.475*44/12</f>
        <v>12.454029678552006</v>
      </c>
      <c r="AB57" s="21">
        <f>EXP(-LN(2)/2)*AB56+(1-EXP(-LN(2)/2))/(LN(2)/2)*V57*Y57*VLOOKUP('Données projet'!$B$9,Paramètres!$A$1:$I$89,3,0)*0.475*44/12</f>
        <v>6.9133643495641406E-3</v>
      </c>
      <c r="AC57" s="22">
        <f t="shared" si="3"/>
        <v>14.945839867233275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17.3</v>
      </c>
      <c r="AI57" s="13">
        <f>IF('Données projet'!$A$62&gt;35,AI56+AH57-AQ56,IF(A57&lt;'Données projet'!$A$62,$AF$205^A57,IF(A57='Données projet'!$A$62,'Données projet'!$B$62,AI56+AH57-AQ56)))</f>
        <v>461.19999999999982</v>
      </c>
      <c r="AJ57" s="13">
        <f>AI57*VLOOKUP('Données projet'!$B$10,Paramètres!$A$1:$I$89,3,0)*VLOOKUP('Données projet'!$B$10,Paramètres!$A$1:$I$89,5,0)</f>
        <v>221.83719999999991</v>
      </c>
      <c r="AK57" s="13">
        <f t="shared" si="35"/>
        <v>54.513998591774438</v>
      </c>
      <c r="AL57" s="20">
        <f t="shared" si="4"/>
        <v>481.31167088067355</v>
      </c>
      <c r="AM57" s="59">
        <f t="shared" si="5"/>
        <v>774.6450042140068</v>
      </c>
      <c r="AN57" s="59">
        <f ca="1">AVERAGE(OFFSET($AM$3,0,0,'Données projet'!$E$10+1,1))-AVERAGE(OFFSET($H$3,0,0,'Données projet'!$E$10+1,1))</f>
        <v>252.30925789500111</v>
      </c>
      <c r="AO57" s="59">
        <f t="shared" si="36"/>
        <v>213.96033794804805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2.8799800878111173</v>
      </c>
      <c r="AV57" s="21">
        <f>EXP(-LN(2)/25)*AV56+(1-EXP(-LN(2)/25))/(LN(2)/25)*Calculateur!AQ57*Calculateur!AS57*VLOOKUP('Données projet'!$B$10,Paramètres!$A$1:$I$89,3,0)*0.475*44/12</f>
        <v>4.7439258831082816</v>
      </c>
      <c r="AW57" s="21">
        <f>EXP(-LN(2)/2)*AW56+(1-EXP(-LN(2)/2))/(LN(2)/2)*AQ57*AT57*VLOOKUP('Données projet'!$B$10,Paramètres!$A$1:$I$89,3,0)*0.475*44/12</f>
        <v>3.5101412614526582E-3</v>
      </c>
      <c r="AX57" s="21">
        <f t="shared" si="6"/>
        <v>7.6274161121808515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11.4</v>
      </c>
      <c r="BD57" s="12">
        <f>IF('Données projet'!$A$88&gt;35,BD56+BC57-BL56,IF(A57&lt;'Données projet'!$A$88,$BA$205^A57,IF(A57='Données projet'!$A$88,'Données projet'!$B$88,BD56+BC57-BL56)))</f>
        <v>318.59999999999991</v>
      </c>
      <c r="BE57" s="13">
        <f>BD57*VLOOKUP('Données projet'!$B$11,Paramètres!$A$1:$I$89,3,0)*VLOOKUP('Données projet'!$B$11,Paramètres!$A$1:$I$89,5,0)</f>
        <v>190.52279999999996</v>
      </c>
      <c r="BF57" s="13">
        <f t="shared" si="37"/>
        <v>47.655518017541539</v>
      </c>
      <c r="BG57" s="20">
        <f t="shared" si="7"/>
        <v>414.82723721388476</v>
      </c>
      <c r="BH57" s="59">
        <f t="shared" si="8"/>
        <v>708.16057054721807</v>
      </c>
      <c r="BI57" s="59">
        <f ca="1">AVERAGE(OFFSET($BH$3,0,0,'Données projet'!$E$11+1,1))-AVERAGE(OFFSET($H$3,0,0,'Données projet'!$E$11+1,1))</f>
        <v>216.94426559495264</v>
      </c>
      <c r="BJ57" s="59">
        <f t="shared" si="38"/>
        <v>225.33715877618704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6.6052527600025401</v>
      </c>
      <c r="BR57" s="21">
        <f>EXP(-LN(2)/2)*BR56+(1-EXP(-LN(2)/2))/(LN(2)/2)*BL57*BO57*VLOOKUP('Données projet'!$B$11,Paramètres!$A$1:$I$89,3,0)*0.475*44/12</f>
        <v>5.7933007504440848E-3</v>
      </c>
      <c r="BS57" s="22">
        <f t="shared" si="9"/>
        <v>6.611046060752984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6.4</v>
      </c>
      <c r="BY57" s="12">
        <f>IF('Données projet'!$A$114&gt;35,BY56+BX57-CG56,IF(A57&lt;'Données projet'!$A$114,$BV$205^A57,IF(A57='Données projet'!$A$114,'Données projet'!$B$114,BY56+BX57-CG56)))</f>
        <v>206.59999999999994</v>
      </c>
      <c r="BZ57" s="13">
        <f>BY57*VLOOKUP('Données projet'!$B$12,Paramètres!$A$1:$I$89,3,0)*VLOOKUP('Données projet'!$B$12,Paramètres!$A$1:$I$89,5,0)</f>
        <v>180.48575999999997</v>
      </c>
      <c r="CA57" s="13">
        <f t="shared" si="39"/>
        <v>45.430241859839398</v>
      </c>
      <c r="CB57" s="20">
        <f t="shared" si="10"/>
        <v>393.47036990588686</v>
      </c>
      <c r="CC57" s="59">
        <f t="shared" si="11"/>
        <v>686.80370323922011</v>
      </c>
      <c r="CD57" s="59">
        <f ca="1">AVERAGE(OFFSET($CC$3,0,0,'Données projet'!$E$12+1,1))-AVERAGE(OFFSET($H$3,0,0,'Données projet'!$E$12+1,1))</f>
        <v>223.81948236065614</v>
      </c>
      <c r="CE57" s="59">
        <f t="shared" si="40"/>
        <v>320.1204011431372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1.9104661298758041</v>
      </c>
      <c r="CL57" s="21">
        <f>EXP(-LN(2)/25)*CL56+(1-EXP(-LN(2)/25))/(LN(2)/25)*Calculateur!CG57*Calculateur!CI57*VLOOKUP('Données projet'!$B$12,Paramètres!$A$1:$I$89,3,0)*0.475*44/12</f>
        <v>9.0949029587467578</v>
      </c>
      <c r="CM57" s="21">
        <f>EXP(-LN(2)/2)*CM56+(1-EXP(-LN(2)/2))/(LN(2)/2)*CG57*CJ57*VLOOKUP('Données projet'!$B$12,Paramètres!$A$1:$I$89,3,0)*0.475*44/12</f>
        <v>6.7797868186437295E-3</v>
      </c>
      <c r="CN57" s="22">
        <f t="shared" si="12"/>
        <v>11.012148875441206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14.8</v>
      </c>
      <c r="N58" s="13">
        <f>IF('Données projet'!$A$36&gt;35,N57+M58-V57,IF(A58&lt;'Données projet'!$A$36,$K$205^A58,IF(A58='Données projet'!$A$36,'Données projet'!$B$36,N57+M58-V57)))</f>
        <v>430.99999999999977</v>
      </c>
      <c r="O58" s="13">
        <f>N58*VLOOKUP('Données projet'!$B$9,Paramètres!$A$1:$I$89,3,0)*VLOOKUP('Données projet'!$B$9,Paramètres!$A$1:$I$89,5,0)</f>
        <v>240.92899999999989</v>
      </c>
      <c r="P58" s="13">
        <f t="shared" si="33"/>
        <v>58.63936439325547</v>
      </c>
      <c r="Q58" s="20">
        <f t="shared" si="53"/>
        <v>521.74823465158636</v>
      </c>
      <c r="R58" s="59">
        <f t="shared" si="0"/>
        <v>815.08156798491973</v>
      </c>
      <c r="S58" s="59">
        <f ca="1">AVERAGE(OFFSET($R$3,0,0,'Données projet'!$E$9+1,1))-AVERAGE(OFFSET($H$3,0,0,'Données projet'!$E$9+1,1))</f>
        <v>279.98352834501759</v>
      </c>
      <c r="T58" s="59">
        <f t="shared" si="34"/>
        <v>281.30062655265488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2.436169513243966</v>
      </c>
      <c r="AA58" s="21">
        <f>EXP(-LN(2)/25)*AA57+(1-EXP(-LN(2)/25))/(LN(2)/25)*Calculateur!V58*Calculateur!X58*VLOOKUP('Données projet'!$B$9,Paramètres!$A$1:$I$89,3,0)*0.475*44/12</f>
        <v>12.113473582063044</v>
      </c>
      <c r="AB58" s="21">
        <f>EXP(-LN(2)/2)*AB57+(1-EXP(-LN(2)/2))/(LN(2)/2)*V58*Y58*VLOOKUP('Données projet'!$B$9,Paramètres!$A$1:$I$89,3,0)*0.475*44/12</f>
        <v>4.8884868123901292E-3</v>
      </c>
      <c r="AC58" s="22">
        <f t="shared" si="3"/>
        <v>14.554531582119401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17.3</v>
      </c>
      <c r="AI58" s="13">
        <f>IF('Données projet'!$A$62&gt;35,AI57+AH58-AQ57,IF(A58&lt;'Données projet'!$A$62,$AF$205^A58,IF(A58='Données projet'!$A$62,'Données projet'!$B$62,AI57+AH58-AQ57)))</f>
        <v>478.49999999999983</v>
      </c>
      <c r="AJ58" s="13">
        <f>AI58*VLOOKUP('Données projet'!$B$10,Paramètres!$A$1:$I$89,3,0)*VLOOKUP('Données projet'!$B$10,Paramètres!$A$1:$I$89,5,0)</f>
        <v>230.15849999999992</v>
      </c>
      <c r="AK58" s="13">
        <f t="shared" si="35"/>
        <v>56.316951562687294</v>
      </c>
      <c r="AL58" s="20">
        <f t="shared" si="4"/>
        <v>498.94474480501361</v>
      </c>
      <c r="AM58" s="59">
        <f t="shared" si="5"/>
        <v>792.27807813834693</v>
      </c>
      <c r="AN58" s="59">
        <f ca="1">AVERAGE(OFFSET($AM$3,0,0,'Données projet'!$E$10+1,1))-AVERAGE(OFFSET($H$3,0,0,'Données projet'!$E$10+1,1))</f>
        <v>252.30925789500111</v>
      </c>
      <c r="AO58" s="59">
        <f t="shared" si="36"/>
        <v>213.96033794804805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2.8235054349035433</v>
      </c>
      <c r="AV58" s="21">
        <f>EXP(-LN(2)/25)*AV57+(1-EXP(-LN(2)/25))/(LN(2)/25)*Calculateur!AQ58*Calculateur!AS58*VLOOKUP('Données projet'!$B$10,Paramètres!$A$1:$I$89,3,0)*0.475*44/12</f>
        <v>4.6142029803624656</v>
      </c>
      <c r="AW58" s="21">
        <f>EXP(-LN(2)/2)*AW57+(1-EXP(-LN(2)/2))/(LN(2)/2)*AQ58*AT58*VLOOKUP('Données projet'!$B$10,Paramètres!$A$1:$I$89,3,0)*0.475*44/12</f>
        <v>2.4820446888958766E-3</v>
      </c>
      <c r="AX58" s="21">
        <f t="shared" si="6"/>
        <v>7.4401904599549047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11.4</v>
      </c>
      <c r="BD58" s="12">
        <f>IF('Données projet'!$A$88&gt;35,BD57+BC58-BL57,IF(A58&lt;'Données projet'!$A$88,$BA$205^A58,IF(A58='Données projet'!$A$88,'Données projet'!$B$88,BD57+BC58-BL57)))</f>
        <v>329.99999999999989</v>
      </c>
      <c r="BE58" s="13">
        <f>BD58*VLOOKUP('Données projet'!$B$11,Paramètres!$A$1:$I$89,3,0)*VLOOKUP('Données projet'!$B$11,Paramètres!$A$1:$I$89,5,0)</f>
        <v>197.33999999999995</v>
      </c>
      <c r="BF58" s="13">
        <f t="shared" si="37"/>
        <v>49.159125474269977</v>
      </c>
      <c r="BG58" s="20">
        <f t="shared" si="7"/>
        <v>429.31931020102019</v>
      </c>
      <c r="BH58" s="59">
        <f t="shared" si="8"/>
        <v>722.6526435343535</v>
      </c>
      <c r="BI58" s="59">
        <f ca="1">AVERAGE(OFFSET($BH$3,0,0,'Données projet'!$E$11+1,1))-AVERAGE(OFFSET($H$3,0,0,'Données projet'!$E$11+1,1))</f>
        <v>216.94426559495264</v>
      </c>
      <c r="BJ58" s="59">
        <f t="shared" si="38"/>
        <v>225.33715877618704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6.4246317759251248</v>
      </c>
      <c r="BR58" s="21">
        <f>EXP(-LN(2)/2)*BR57+(1-EXP(-LN(2)/2))/(LN(2)/2)*BL58*BO58*VLOOKUP('Données projet'!$B$11,Paramètres!$A$1:$I$89,3,0)*0.475*44/12</f>
        <v>4.096482246092127E-3</v>
      </c>
      <c r="BS58" s="22">
        <f t="shared" si="9"/>
        <v>6.4287282581712173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6.4</v>
      </c>
      <c r="BY58" s="12">
        <f>IF('Données projet'!$A$114&gt;35,BY57+BX58-CG57,IF(A58&lt;'Données projet'!$A$114,$BV$205^A58,IF(A58='Données projet'!$A$114,'Données projet'!$B$114,BY57+BX58-CG57)))</f>
        <v>212.99999999999994</v>
      </c>
      <c r="BZ58" s="13">
        <f>BY58*VLOOKUP('Données projet'!$B$12,Paramètres!$A$1:$I$89,3,0)*VLOOKUP('Données projet'!$B$12,Paramètres!$A$1:$I$89,5,0)</f>
        <v>186.07679999999996</v>
      </c>
      <c r="CA58" s="13">
        <f t="shared" si="39"/>
        <v>46.671538591528673</v>
      </c>
      <c r="CB58" s="20">
        <f t="shared" si="10"/>
        <v>405.37002304691237</v>
      </c>
      <c r="CC58" s="59">
        <f t="shared" si="11"/>
        <v>698.70335638024562</v>
      </c>
      <c r="CD58" s="59">
        <f ca="1">AVERAGE(OFFSET($CC$3,0,0,'Données projet'!$E$12+1,1))-AVERAGE(OFFSET($H$3,0,0,'Données projet'!$E$12+1,1))</f>
        <v>223.81948236065614</v>
      </c>
      <c r="CE58" s="59">
        <f t="shared" si="40"/>
        <v>320.1204011431372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1.8730030543382181</v>
      </c>
      <c r="CL58" s="21">
        <f>EXP(-LN(2)/25)*CL57+(1-EXP(-LN(2)/25))/(LN(2)/25)*Calculateur!CG58*Calculateur!CI58*VLOOKUP('Données projet'!$B$12,Paramètres!$A$1:$I$89,3,0)*0.475*44/12</f>
        <v>8.8462023590596672</v>
      </c>
      <c r="CM58" s="21">
        <f>EXP(-LN(2)/2)*CM57+(1-EXP(-LN(2)/2))/(LN(2)/2)*CG58*CJ58*VLOOKUP('Données projet'!$B$12,Paramètres!$A$1:$I$89,3,0)*0.475*44/12</f>
        <v>4.7940332344621507E-3</v>
      </c>
      <c r="CN58" s="22">
        <f t="shared" si="12"/>
        <v>10.723999446632348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14.8</v>
      </c>
      <c r="N59" s="13">
        <f>IF('Données projet'!$A$36&gt;35,N58+M59-V58,IF(A59&lt;'Données projet'!$A$36,$K$205^A59,IF(A59='Données projet'!$A$36,'Données projet'!$B$36,N58+M59-V58)))</f>
        <v>445.79999999999978</v>
      </c>
      <c r="O59" s="13">
        <f>N59*VLOOKUP('Données projet'!$B$9,Paramètres!$A$1:$I$89,3,0)*VLOOKUP('Données projet'!$B$9,Paramètres!$A$1:$I$89,5,0)</f>
        <v>249.20219999999989</v>
      </c>
      <c r="P59" s="13">
        <f t="shared" si="33"/>
        <v>60.415072222849211</v>
      </c>
      <c r="Q59" s="20">
        <f t="shared" si="53"/>
        <v>539.25008245479557</v>
      </c>
      <c r="R59" s="59">
        <f t="shared" si="0"/>
        <v>832.58341578812883</v>
      </c>
      <c r="S59" s="59">
        <f ca="1">AVERAGE(OFFSET($R$3,0,0,'Données projet'!$E$9+1,1))-AVERAGE(OFFSET($H$3,0,0,'Données projet'!$E$9+1,1))</f>
        <v>279.98352834501759</v>
      </c>
      <c r="T59" s="59">
        <f t="shared" si="34"/>
        <v>281.30062655265488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2.388397715005933</v>
      </c>
      <c r="AA59" s="21">
        <f>EXP(-LN(2)/25)*AA58+(1-EXP(-LN(2)/25))/(LN(2)/25)*Calculateur!V59*Calculateur!X59*VLOOKUP('Données projet'!$B$9,Paramètres!$A$1:$I$89,3,0)*0.475*44/12</f>
        <v>11.782230009941641</v>
      </c>
      <c r="AB59" s="21">
        <f>EXP(-LN(2)/2)*AB58+(1-EXP(-LN(2)/2))/(LN(2)/2)*V59*Y59*VLOOKUP('Données projet'!$B$9,Paramètres!$A$1:$I$89,3,0)*0.475*44/12</f>
        <v>3.4566821747820703E-3</v>
      </c>
      <c r="AC59" s="22">
        <f t="shared" si="3"/>
        <v>14.174084407122356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17.3</v>
      </c>
      <c r="AI59" s="13">
        <f>IF('Données projet'!$A$62&gt;35,AI58+AH59-AQ58,IF(A59&lt;'Données projet'!$A$62,$AF$205^A59,IF(A59='Données projet'!$A$62,'Données projet'!$B$62,AI58+AH59-AQ58)))</f>
        <v>495.79999999999984</v>
      </c>
      <c r="AJ59" s="13">
        <f>AI59*VLOOKUP('Données projet'!$B$10,Paramètres!$A$1:$I$89,3,0)*VLOOKUP('Données projet'!$B$10,Paramètres!$A$1:$I$89,5,0)</f>
        <v>238.47979999999993</v>
      </c>
      <c r="AK59" s="13">
        <f t="shared" si="35"/>
        <v>58.112331184574863</v>
      </c>
      <c r="AL59" s="20">
        <f t="shared" si="4"/>
        <v>516.56462847980106</v>
      </c>
      <c r="AM59" s="59">
        <f t="shared" si="5"/>
        <v>809.89796181313432</v>
      </c>
      <c r="AN59" s="59">
        <f ca="1">AVERAGE(OFFSET($AM$3,0,0,'Données projet'!$E$10+1,1))-AVERAGE(OFFSET($H$3,0,0,'Données projet'!$E$10+1,1))</f>
        <v>252.30925789500111</v>
      </c>
      <c r="AO59" s="59">
        <f t="shared" si="36"/>
        <v>213.96033794804805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2.7681382154933503</v>
      </c>
      <c r="AV59" s="21">
        <f>EXP(-LN(2)/25)*AV58+(1-EXP(-LN(2)/25))/(LN(2)/25)*Calculateur!AQ59*Calculateur!AS59*VLOOKUP('Données projet'!$B$10,Paramètres!$A$1:$I$89,3,0)*0.475*44/12</f>
        <v>4.4880273572140652</v>
      </c>
      <c r="AW59" s="21">
        <f>EXP(-LN(2)/2)*AW58+(1-EXP(-LN(2)/2))/(LN(2)/2)*AQ59*AT59*VLOOKUP('Données projet'!$B$10,Paramètres!$A$1:$I$89,3,0)*0.475*44/12</f>
        <v>1.7550706307263291E-3</v>
      </c>
      <c r="AX59" s="21">
        <f t="shared" si="6"/>
        <v>7.2579206433381414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11.4</v>
      </c>
      <c r="BD59" s="12">
        <f>IF('Données projet'!$A$88&gt;35,BD58+BC59-BL58,IF(A59&lt;'Données projet'!$A$88,$BA$205^A59,IF(A59='Données projet'!$A$88,'Données projet'!$B$88,BD58+BC59-BL58)))</f>
        <v>341.39999999999986</v>
      </c>
      <c r="BE59" s="13">
        <f>BD59*VLOOKUP('Données projet'!$B$11,Paramètres!$A$1:$I$89,3,0)*VLOOKUP('Données projet'!$B$11,Paramètres!$A$1:$I$89,5,0)</f>
        <v>204.15719999999996</v>
      </c>
      <c r="BF59" s="13">
        <f t="shared" si="37"/>
        <v>50.656697660408256</v>
      </c>
      <c r="BG59" s="20">
        <f t="shared" si="7"/>
        <v>443.80087175854425</v>
      </c>
      <c r="BH59" s="59">
        <f t="shared" si="8"/>
        <v>737.13420509187756</v>
      </c>
      <c r="BI59" s="59">
        <f ca="1">AVERAGE(OFFSET($BH$3,0,0,'Données projet'!$E$11+1,1))-AVERAGE(OFFSET($H$3,0,0,'Données projet'!$E$11+1,1))</f>
        <v>216.94426559495264</v>
      </c>
      <c r="BJ59" s="59">
        <f t="shared" si="38"/>
        <v>225.33715877618704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6.2489498821557508</v>
      </c>
      <c r="BR59" s="21">
        <f>EXP(-LN(2)/2)*BR58+(1-EXP(-LN(2)/2))/(LN(2)/2)*BL59*BO59*VLOOKUP('Données projet'!$B$11,Paramètres!$A$1:$I$89,3,0)*0.475*44/12</f>
        <v>2.8966503752220424E-3</v>
      </c>
      <c r="BS59" s="22">
        <f t="shared" si="9"/>
        <v>6.2518465325309727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6.4</v>
      </c>
      <c r="BY59" s="12">
        <f>IF('Données projet'!$A$114&gt;35,BY58+BX59-CG58,IF(A59&lt;'Données projet'!$A$114,$BV$205^A59,IF(A59='Données projet'!$A$114,'Données projet'!$B$114,BY58+BX59-CG58)))</f>
        <v>219.39999999999995</v>
      </c>
      <c r="BZ59" s="13">
        <f>BY59*VLOOKUP('Données projet'!$B$12,Paramètres!$A$1:$I$89,3,0)*VLOOKUP('Données projet'!$B$12,Paramètres!$A$1:$I$89,5,0)</f>
        <v>191.66783999999998</v>
      </c>
      <c r="CA59" s="13">
        <f t="shared" si="39"/>
        <v>47.908500825580958</v>
      </c>
      <c r="CB59" s="20">
        <f t="shared" si="10"/>
        <v>417.26212693788676</v>
      </c>
      <c r="CC59" s="59">
        <f t="shared" si="11"/>
        <v>710.59546027122008</v>
      </c>
      <c r="CD59" s="59">
        <f ca="1">AVERAGE(OFFSET($CC$3,0,0,'Données projet'!$E$12+1,1))-AVERAGE(OFFSET($H$3,0,0,'Données projet'!$E$12+1,1))</f>
        <v>223.81948236065614</v>
      </c>
      <c r="CE59" s="59">
        <f t="shared" si="40"/>
        <v>320.1204011431372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1.8362746068617044</v>
      </c>
      <c r="CL59" s="21">
        <f>EXP(-LN(2)/25)*CL58+(1-EXP(-LN(2)/25))/(LN(2)/25)*Calculateur!CG59*Calculateur!CI59*VLOOKUP('Données projet'!$B$12,Paramètres!$A$1:$I$89,3,0)*0.475*44/12</f>
        <v>8.6043024903496175</v>
      </c>
      <c r="CM59" s="21">
        <f>EXP(-LN(2)/2)*CM58+(1-EXP(-LN(2)/2))/(LN(2)/2)*CG59*CJ59*VLOOKUP('Données projet'!$B$12,Paramètres!$A$1:$I$89,3,0)*0.475*44/12</f>
        <v>3.3898934093218648E-3</v>
      </c>
      <c r="CN59" s="22">
        <f t="shared" si="12"/>
        <v>10.443966990620643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14.8</v>
      </c>
      <c r="N60" s="13">
        <f>IF('Données projet'!$A$36&gt;35,N59+M60-V59,IF(A60&lt;'Données projet'!$A$36,$K$205^A60,IF(A60='Données projet'!$A$36,'Données projet'!$B$36,N59+M60-V59)))</f>
        <v>460.5999999999998</v>
      </c>
      <c r="O60" s="13">
        <f>N60*VLOOKUP('Données projet'!$B$9,Paramètres!$A$1:$I$89,3,0)*VLOOKUP('Données projet'!$B$9,Paramètres!$A$1:$I$89,5,0)</f>
        <v>257.47539999999987</v>
      </c>
      <c r="P60" s="13">
        <f t="shared" si="33"/>
        <v>62.183930036702598</v>
      </c>
      <c r="Q60" s="20">
        <f t="shared" si="53"/>
        <v>556.73999981392342</v>
      </c>
      <c r="R60" s="59">
        <f t="shared" si="0"/>
        <v>850.07333314725679</v>
      </c>
      <c r="S60" s="59">
        <f ca="1">AVERAGE(OFFSET($R$3,0,0,'Données projet'!$E$9+1,1))-AVERAGE(OFFSET($H$3,0,0,'Données projet'!$E$9+1,1))</f>
        <v>279.98352834501759</v>
      </c>
      <c r="T60" s="59">
        <f t="shared" si="34"/>
        <v>281.30062655265488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2.3415626925934276</v>
      </c>
      <c r="AA60" s="21">
        <f>EXP(-LN(2)/25)*AA59+(1-EXP(-LN(2)/25))/(LN(2)/25)*Calculateur!V60*Calculateur!X60*VLOOKUP('Données projet'!$B$9,Paramètres!$A$1:$I$89,3,0)*0.475*44/12</f>
        <v>11.460044310719239</v>
      </c>
      <c r="AB60" s="21">
        <f>EXP(-LN(2)/2)*AB59+(1-EXP(-LN(2)/2))/(LN(2)/2)*V60*Y60*VLOOKUP('Données projet'!$B$9,Paramètres!$A$1:$I$89,3,0)*0.475*44/12</f>
        <v>2.4442434061950646E-3</v>
      </c>
      <c r="AC60" s="22">
        <f t="shared" si="3"/>
        <v>13.804051246718862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17.3</v>
      </c>
      <c r="AI60" s="13">
        <f>IF('Données projet'!$A$62&gt;35,AI59+AH60-AQ59,IF(A60&lt;'Données projet'!$A$62,$AF$205^A60,IF(A60='Données projet'!$A$62,'Données projet'!$B$62,AI59+AH60-AQ59)))</f>
        <v>513.0999999999998</v>
      </c>
      <c r="AJ60" s="13">
        <f>AI60*VLOOKUP('Données projet'!$B$10,Paramètres!$A$1:$I$89,3,0)*VLOOKUP('Données projet'!$B$10,Paramètres!$A$1:$I$89,5,0)</f>
        <v>246.80109999999991</v>
      </c>
      <c r="AK60" s="13">
        <f t="shared" si="35"/>
        <v>59.900431997854653</v>
      </c>
      <c r="AL60" s="20">
        <f t="shared" si="4"/>
        <v>534.17183489626336</v>
      </c>
      <c r="AM60" s="59">
        <f t="shared" si="5"/>
        <v>827.50516822959662</v>
      </c>
      <c r="AN60" s="59">
        <f ca="1">AVERAGE(OFFSET($AM$3,0,0,'Données projet'!$E$10+1,1))-AVERAGE(OFFSET($H$3,0,0,'Données projet'!$E$10+1,1))</f>
        <v>252.30925789500111</v>
      </c>
      <c r="AO60" s="59">
        <f t="shared" si="36"/>
        <v>213.96033794804805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2.7138567134851219</v>
      </c>
      <c r="AV60" s="21">
        <f>EXP(-LN(2)/25)*AV59+(1-EXP(-LN(2)/25))/(LN(2)/25)*Calculateur!AQ60*Calculateur!AS60*VLOOKUP('Données projet'!$B$10,Paramètres!$A$1:$I$89,3,0)*0.475*44/12</f>
        <v>4.3653020131159455</v>
      </c>
      <c r="AW60" s="21">
        <f>EXP(-LN(2)/2)*AW59+(1-EXP(-LN(2)/2))/(LN(2)/2)*AQ60*AT60*VLOOKUP('Données projet'!$B$10,Paramètres!$A$1:$I$89,3,0)*0.475*44/12</f>
        <v>1.2410223444479383E-3</v>
      </c>
      <c r="AX60" s="21">
        <f t="shared" si="6"/>
        <v>7.0803997489455153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11.4</v>
      </c>
      <c r="BD60" s="12">
        <f>IF('Données projet'!$A$88&gt;35,BD59+BC60-BL59,IF(A60&lt;'Données projet'!$A$88,$BA$205^A60,IF(A60='Données projet'!$A$88,'Données projet'!$B$88,BD59+BC60-BL59)))</f>
        <v>352.79999999999984</v>
      </c>
      <c r="BE60" s="13">
        <f>BD60*VLOOKUP('Données projet'!$B$11,Paramètres!$A$1:$I$89,3,0)*VLOOKUP('Données projet'!$B$11,Paramètres!$A$1:$I$89,5,0)</f>
        <v>210.97439999999992</v>
      </c>
      <c r="BF60" s="13">
        <f t="shared" si="37"/>
        <v>52.148459211324706</v>
      </c>
      <c r="BG60" s="20">
        <f t="shared" si="7"/>
        <v>458.27231312639037</v>
      </c>
      <c r="BH60" s="59">
        <f t="shared" si="8"/>
        <v>751.60564645972363</v>
      </c>
      <c r="BI60" s="59">
        <f ca="1">AVERAGE(OFFSET($BH$3,0,0,'Données projet'!$E$11+1,1))-AVERAGE(OFFSET($H$3,0,0,'Données projet'!$E$11+1,1))</f>
        <v>216.94426559495264</v>
      </c>
      <c r="BJ60" s="59">
        <f t="shared" si="38"/>
        <v>225.33715877618704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6.07807201901021</v>
      </c>
      <c r="BR60" s="21">
        <f>EXP(-LN(2)/2)*BR59+(1-EXP(-LN(2)/2))/(LN(2)/2)*BL60*BO60*VLOOKUP('Données projet'!$B$11,Paramètres!$A$1:$I$89,3,0)*0.475*44/12</f>
        <v>2.0482411230460635E-3</v>
      </c>
      <c r="BS60" s="22">
        <f t="shared" si="9"/>
        <v>6.0801202601332562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6.4</v>
      </c>
      <c r="BY60" s="12">
        <f>IF('Données projet'!$A$114&gt;35,BY59+BX60-CG59,IF(A60&lt;'Données projet'!$A$114,$BV$205^A60,IF(A60='Données projet'!$A$114,'Données projet'!$B$114,BY59+BX60-CG59)))</f>
        <v>225.79999999999995</v>
      </c>
      <c r="BZ60" s="13">
        <f>BY60*VLOOKUP('Données projet'!$B$12,Paramètres!$A$1:$I$89,3,0)*VLOOKUP('Données projet'!$B$12,Paramètres!$A$1:$I$89,5,0)</f>
        <v>197.25888</v>
      </c>
      <c r="CA60" s="13">
        <f t="shared" si="39"/>
        <v>49.141269519991567</v>
      </c>
      <c r="CB60" s="20">
        <f t="shared" si="10"/>
        <v>429.14692708065195</v>
      </c>
      <c r="CC60" s="59">
        <f t="shared" si="11"/>
        <v>722.48026041398521</v>
      </c>
      <c r="CD60" s="59">
        <f ca="1">AVERAGE(OFFSET($CC$3,0,0,'Données projet'!$E$12+1,1))-AVERAGE(OFFSET($H$3,0,0,'Données projet'!$E$12+1,1))</f>
        <v>223.81948236065614</v>
      </c>
      <c r="CE60" s="59">
        <f t="shared" si="40"/>
        <v>320.1204011431372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1.800266381838064</v>
      </c>
      <c r="CL60" s="21">
        <f>EXP(-LN(2)/25)*CL59+(1-EXP(-LN(2)/25))/(LN(2)/25)*Calculateur!CG60*Calculateur!CI60*VLOOKUP('Données projet'!$B$12,Paramètres!$A$1:$I$89,3,0)*0.475*44/12</f>
        <v>8.3690173862704054</v>
      </c>
      <c r="CM60" s="21">
        <f>EXP(-LN(2)/2)*CM59+(1-EXP(-LN(2)/2))/(LN(2)/2)*CG60*CJ60*VLOOKUP('Données projet'!$B$12,Paramètres!$A$1:$I$89,3,0)*0.475*44/12</f>
        <v>2.3970166172310754E-3</v>
      </c>
      <c r="CN60" s="22">
        <f t="shared" si="12"/>
        <v>10.1716807847257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14.8</v>
      </c>
      <c r="N61" s="13">
        <f>IF('Données projet'!$A$36&gt;35,N60+M61-V60,IF(A61&lt;'Données projet'!$A$36,$K$205^A61,IF(A61='Données projet'!$A$36,'Données projet'!$B$36,N60+M61-V60)))</f>
        <v>475.39999999999981</v>
      </c>
      <c r="O61" s="13">
        <f>N61*VLOOKUP('Données projet'!$B$9,Paramètres!$A$1:$I$89,3,0)*VLOOKUP('Données projet'!$B$9,Paramètres!$A$1:$I$89,5,0)</f>
        <v>265.7485999999999</v>
      </c>
      <c r="P61" s="13">
        <f t="shared" si="33"/>
        <v>63.946183186473277</v>
      </c>
      <c r="Q61" s="20">
        <f t="shared" si="53"/>
        <v>574.21841404977397</v>
      </c>
      <c r="R61" s="59">
        <f t="shared" si="0"/>
        <v>867.55174738310734</v>
      </c>
      <c r="S61" s="59">
        <f ca="1">AVERAGE(OFFSET($R$3,0,0,'Données projet'!$E$9+1,1))-AVERAGE(OFFSET($H$3,0,0,'Données projet'!$E$9+1,1))</f>
        <v>279.98352834501759</v>
      </c>
      <c r="T61" s="59">
        <f t="shared" si="34"/>
        <v>281.30062655265488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2.2956460764038886</v>
      </c>
      <c r="AA61" s="21">
        <f>EXP(-LN(2)/25)*AA60+(1-EXP(-LN(2)/25))/(LN(2)/25)*Calculateur!V61*Calculateur!X61*VLOOKUP('Données projet'!$B$9,Paramètres!$A$1:$I$89,3,0)*0.475*44/12</f>
        <v>11.146668796385082</v>
      </c>
      <c r="AB61" s="21">
        <f>EXP(-LN(2)/2)*AB60+(1-EXP(-LN(2)/2))/(LN(2)/2)*V61*Y61*VLOOKUP('Données projet'!$B$9,Paramètres!$A$1:$I$89,3,0)*0.475*44/12</f>
        <v>1.7283410873910352E-3</v>
      </c>
      <c r="AC61" s="22">
        <f t="shared" si="3"/>
        <v>13.444043213876363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17.3</v>
      </c>
      <c r="AI61" s="13">
        <f>IF('Données projet'!$A$62&gt;35,AI60+AH61-AQ60,IF(A61&lt;'Données projet'!$A$62,$AF$205^A61,IF(A61='Données projet'!$A$62,'Données projet'!$B$62,AI60+AH61-AQ60)))</f>
        <v>530.39999999999975</v>
      </c>
      <c r="AJ61" s="13">
        <f>AI61*VLOOKUP('Données projet'!$B$10,Paramètres!$A$1:$I$89,3,0)*VLOOKUP('Données projet'!$B$10,Paramètres!$A$1:$I$89,5,0)</f>
        <v>255.12239999999989</v>
      </c>
      <c r="AK61" s="13">
        <f t="shared" si="35"/>
        <v>61.681527554261443</v>
      </c>
      <c r="AL61" s="20">
        <f t="shared" si="4"/>
        <v>551.7668404903385</v>
      </c>
      <c r="AM61" s="59">
        <f t="shared" si="5"/>
        <v>845.10017382367187</v>
      </c>
      <c r="AN61" s="59">
        <f ca="1">AVERAGE(OFFSET($AM$3,0,0,'Données projet'!$E$10+1,1))-AVERAGE(OFFSET($H$3,0,0,'Données projet'!$E$10+1,1))</f>
        <v>252.30925789500111</v>
      </c>
      <c r="AO61" s="59">
        <f t="shared" si="36"/>
        <v>213.96033794804805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2.6606396386228277</v>
      </c>
      <c r="AV61" s="21">
        <f>EXP(-LN(2)/25)*AV60+(1-EXP(-LN(2)/25))/(LN(2)/25)*Calculateur!AQ61*Calculateur!AS61*VLOOKUP('Données projet'!$B$10,Paramètres!$A$1:$I$89,3,0)*0.475*44/12</f>
        <v>4.245932600006034</v>
      </c>
      <c r="AW61" s="21">
        <f>EXP(-LN(2)/2)*AW60+(1-EXP(-LN(2)/2))/(LN(2)/2)*AQ61*AT61*VLOOKUP('Données projet'!$B$10,Paramètres!$A$1:$I$89,3,0)*0.475*44/12</f>
        <v>8.7753531536316454E-4</v>
      </c>
      <c r="AX61" s="21">
        <f t="shared" si="6"/>
        <v>6.907449773944224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11.4</v>
      </c>
      <c r="BD61" s="12">
        <f>IF('Données projet'!$A$88&gt;35,BD60+BC61-BL60,IF(A61&lt;'Données projet'!$A$88,$BA$205^A61,IF(A61='Données projet'!$A$88,'Données projet'!$B$88,BD60+BC61-BL60)))</f>
        <v>364.19999999999982</v>
      </c>
      <c r="BE61" s="13">
        <f>BD61*VLOOKUP('Données projet'!$B$11,Paramètres!$A$1:$I$89,3,0)*VLOOKUP('Données projet'!$B$11,Paramètres!$A$1:$I$89,5,0)</f>
        <v>217.7915999999999</v>
      </c>
      <c r="BF61" s="13">
        <f t="shared" si="37"/>
        <v>53.634619420976641</v>
      </c>
      <c r="BG61" s="20">
        <f t="shared" si="7"/>
        <v>472.73399882486751</v>
      </c>
      <c r="BH61" s="59">
        <f t="shared" si="8"/>
        <v>766.06733215820077</v>
      </c>
      <c r="BI61" s="59">
        <f ca="1">AVERAGE(OFFSET($BH$3,0,0,'Données projet'!$E$11+1,1))-AVERAGE(OFFSET($H$3,0,0,'Données projet'!$E$11+1,1))</f>
        <v>216.94426559495264</v>
      </c>
      <c r="BJ61" s="59">
        <f t="shared" si="38"/>
        <v>225.33715877618704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5.9118668200184601</v>
      </c>
      <c r="BR61" s="21">
        <f>EXP(-LN(2)/2)*BR60+(1-EXP(-LN(2)/2))/(LN(2)/2)*BL61*BO61*VLOOKUP('Données projet'!$B$11,Paramètres!$A$1:$I$89,3,0)*0.475*44/12</f>
        <v>1.4483251876110212E-3</v>
      </c>
      <c r="BS61" s="22">
        <f t="shared" si="9"/>
        <v>5.913315145206071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6.4</v>
      </c>
      <c r="BY61" s="12">
        <f>IF('Données projet'!$A$114&gt;35,BY60+BX61-CG60,IF(A61&lt;'Données projet'!$A$114,$BV$205^A61,IF(A61='Données projet'!$A$114,'Données projet'!$B$114,BY60+BX61-CG60)))</f>
        <v>232.19999999999996</v>
      </c>
      <c r="BZ61" s="13">
        <f>BY61*VLOOKUP('Données projet'!$B$12,Paramètres!$A$1:$I$89,3,0)*VLOOKUP('Données projet'!$B$12,Paramètres!$A$1:$I$89,5,0)</f>
        <v>202.84991999999997</v>
      </c>
      <c r="CA61" s="13">
        <f t="shared" si="39"/>
        <v>50.369977187686075</v>
      </c>
      <c r="CB61" s="20">
        <f t="shared" si="10"/>
        <v>441.02465426855321</v>
      </c>
      <c r="CC61" s="59">
        <f t="shared" si="11"/>
        <v>734.35798760188652</v>
      </c>
      <c r="CD61" s="59">
        <f ca="1">AVERAGE(OFFSET($CC$3,0,0,'Données projet'!$E$12+1,1))-AVERAGE(OFFSET($H$3,0,0,'Données projet'!$E$12+1,1))</f>
        <v>223.81948236065614</v>
      </c>
      <c r="CE61" s="59">
        <f t="shared" si="40"/>
        <v>320.1204011431372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1.7649642561442886</v>
      </c>
      <c r="CL61" s="21">
        <f>EXP(-LN(2)/25)*CL60+(1-EXP(-LN(2)/25))/(LN(2)/25)*Calculateur!CG61*Calculateur!CI61*VLOOKUP('Données projet'!$B$12,Paramètres!$A$1:$I$89,3,0)*0.475*44/12</f>
        <v>8.1401661657353444</v>
      </c>
      <c r="CM61" s="21">
        <f>EXP(-LN(2)/2)*CM60+(1-EXP(-LN(2)/2))/(LN(2)/2)*CG61*CJ61*VLOOKUP('Données projet'!$B$12,Paramètres!$A$1:$I$89,3,0)*0.475*44/12</f>
        <v>1.6949467046609324E-3</v>
      </c>
      <c r="CN61" s="22">
        <f t="shared" si="12"/>
        <v>9.9068253685842933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14.8</v>
      </c>
      <c r="N62" s="13">
        <f>IF('Données projet'!$A$36&gt;35,N61+M62-V61,IF(A62&lt;'Données projet'!$A$36,$K$205^A62,IF(A62='Données projet'!$A$36,'Données projet'!$B$36,N61+M62-V61)))</f>
        <v>490.19999999999982</v>
      </c>
      <c r="O62" s="13">
        <f>N62*VLOOKUP('Données projet'!$B$9,Paramètres!$A$1:$I$89,3,0)*VLOOKUP('Données projet'!$B$9,Paramètres!$A$1:$I$89,5,0)</f>
        <v>274.02179999999993</v>
      </c>
      <c r="P62" s="13">
        <f t="shared" si="33"/>
        <v>65.702060879656386</v>
      </c>
      <c r="Q62" s="20">
        <f t="shared" si="53"/>
        <v>591.68572436540137</v>
      </c>
      <c r="R62" s="59">
        <f t="shared" si="0"/>
        <v>885.01905769873474</v>
      </c>
      <c r="S62" s="59">
        <f ca="1">AVERAGE(OFFSET($R$3,0,0,'Données projet'!$E$9+1,1))-AVERAGE(OFFSET($H$3,0,0,'Données projet'!$E$9+1,1))</f>
        <v>279.98352834501759</v>
      </c>
      <c r="T62" s="59">
        <f t="shared" si="34"/>
        <v>281.30062655265488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2.250629857051456</v>
      </c>
      <c r="AA62" s="21">
        <f>EXP(-LN(2)/25)*AA61+(1-EXP(-LN(2)/25))/(LN(2)/25)*Calculateur!V62*Calculateur!X62*VLOOKUP('Données projet'!$B$9,Paramètres!$A$1:$I$89,3,0)*0.475*44/12</f>
        <v>10.841862551970097</v>
      </c>
      <c r="AB62" s="21">
        <f>EXP(-LN(2)/2)*AB61+(1-EXP(-LN(2)/2))/(LN(2)/2)*V62*Y62*VLOOKUP('Données projet'!$B$9,Paramètres!$A$1:$I$89,3,0)*0.475*44/12</f>
        <v>1.2221217030975323E-3</v>
      </c>
      <c r="AC62" s="22">
        <f t="shared" si="3"/>
        <v>13.09371453072465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17.3</v>
      </c>
      <c r="AI62" s="13">
        <f>IF('Données projet'!$A$62&gt;35,AI61+AH62-AQ61,IF(A62&lt;'Données projet'!$A$62,$AF$205^A62,IF(A62='Données projet'!$A$62,'Données projet'!$B$62,AI61+AH62-AQ61)))</f>
        <v>547.6999999999997</v>
      </c>
      <c r="AJ62" s="13">
        <f>AI62*VLOOKUP('Données projet'!$B$10,Paramètres!$A$1:$I$89,3,0)*VLOOKUP('Données projet'!$B$10,Paramètres!$A$1:$I$89,5,0)</f>
        <v>263.44369999999986</v>
      </c>
      <c r="AK62" s="13">
        <f t="shared" si="35"/>
        <v>63.45587254778787</v>
      </c>
      <c r="AL62" s="20">
        <f t="shared" si="4"/>
        <v>569.35008885406353</v>
      </c>
      <c r="AM62" s="59">
        <f t="shared" si="5"/>
        <v>862.6834221873969</v>
      </c>
      <c r="AN62" s="59">
        <f ca="1">AVERAGE(OFFSET($AM$3,0,0,'Données projet'!$E$10+1,1))-AVERAGE(OFFSET($H$3,0,0,'Données projet'!$E$10+1,1))</f>
        <v>252.30925789500111</v>
      </c>
      <c r="AO62" s="59">
        <f t="shared" si="36"/>
        <v>213.96033794804805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2.6084661181393725</v>
      </c>
      <c r="AV62" s="21">
        <f>EXP(-LN(2)/25)*AV61+(1-EXP(-LN(2)/25))/(LN(2)/25)*Calculateur!AQ62*Calculateur!AS62*VLOOKUP('Données projet'!$B$10,Paramètres!$A$1:$I$89,3,0)*0.475*44/12</f>
        <v>4.1298273497749776</v>
      </c>
      <c r="AW62" s="21">
        <f>EXP(-LN(2)/2)*AW61+(1-EXP(-LN(2)/2))/(LN(2)/2)*AQ62*AT62*VLOOKUP('Données projet'!$B$10,Paramètres!$A$1:$I$89,3,0)*0.475*44/12</f>
        <v>6.2051117222396916E-4</v>
      </c>
      <c r="AX62" s="21">
        <f t="shared" si="6"/>
        <v>6.7389139790865737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11.4</v>
      </c>
      <c r="BD62" s="12">
        <f>IF('Données projet'!$A$88&gt;35,BD61+BC62-BL61,IF(A62&lt;'Données projet'!$A$88,$BA$205^A62,IF(A62='Données projet'!$A$88,'Données projet'!$B$88,BD61+BC62-BL61)))</f>
        <v>375.5999999999998</v>
      </c>
      <c r="BE62" s="13">
        <f>BD62*VLOOKUP('Données projet'!$B$11,Paramètres!$A$1:$I$89,3,0)*VLOOKUP('Données projet'!$B$11,Paramètres!$A$1:$I$89,5,0)</f>
        <v>224.60879999999992</v>
      </c>
      <c r="BF62" s="13">
        <f t="shared" si="37"/>
        <v>55.11537373670501</v>
      </c>
      <c r="BG62" s="20">
        <f t="shared" si="7"/>
        <v>487.1862692580944</v>
      </c>
      <c r="BH62" s="59">
        <f t="shared" si="8"/>
        <v>780.51960259142766</v>
      </c>
      <c r="BI62" s="59">
        <f ca="1">AVERAGE(OFFSET($BH$3,0,0,'Données projet'!$E$11+1,1))-AVERAGE(OFFSET($H$3,0,0,'Données projet'!$E$11+1,1))</f>
        <v>216.94426559495264</v>
      </c>
      <c r="BJ62" s="59">
        <f t="shared" si="38"/>
        <v>225.33715877618704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5.7502065109334906</v>
      </c>
      <c r="BR62" s="21">
        <f>EXP(-LN(2)/2)*BR61+(1-EXP(-LN(2)/2))/(LN(2)/2)*BL62*BO62*VLOOKUP('Données projet'!$B$11,Paramètres!$A$1:$I$89,3,0)*0.475*44/12</f>
        <v>1.0241205615230317E-3</v>
      </c>
      <c r="BS62" s="22">
        <f t="shared" si="9"/>
        <v>5.7512306314950132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6.4</v>
      </c>
      <c r="BY62" s="12">
        <f>IF('Données projet'!$A$114&gt;35,BY61+BX62-CG61,IF(A62&lt;'Données projet'!$A$114,$BV$205^A62,IF(A62='Données projet'!$A$114,'Données projet'!$B$114,BY61+BX62-CG61)))</f>
        <v>238.59999999999997</v>
      </c>
      <c r="BZ62" s="13">
        <f>BY62*VLOOKUP('Données projet'!$B$12,Paramètres!$A$1:$I$89,3,0)*VLOOKUP('Données projet'!$B$12,Paramètres!$A$1:$I$89,5,0)</f>
        <v>208.44095999999999</v>
      </c>
      <c r="CA62" s="13">
        <f t="shared" si="39"/>
        <v>51.594748621124211</v>
      </c>
      <c r="CB62" s="20">
        <f t="shared" si="10"/>
        <v>452.89552584845791</v>
      </c>
      <c r="CC62" s="59">
        <f t="shared" si="11"/>
        <v>746.22885918179122</v>
      </c>
      <c r="CD62" s="59">
        <f ca="1">AVERAGE(OFFSET($CC$3,0,0,'Données projet'!$E$12+1,1))-AVERAGE(OFFSET($H$3,0,0,'Données projet'!$E$12+1,1))</f>
        <v>223.81948236065614</v>
      </c>
      <c r="CE62" s="59">
        <f t="shared" si="40"/>
        <v>320.1204011431372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1.7303543836031976</v>
      </c>
      <c r="CL62" s="21">
        <f>EXP(-LN(2)/25)*CL61+(1-EXP(-LN(2)/25))/(LN(2)/25)*Calculateur!CG62*Calculateur!CI62*VLOOKUP('Données projet'!$B$12,Paramètres!$A$1:$I$89,3,0)*0.475*44/12</f>
        <v>7.9175728938605774</v>
      </c>
      <c r="CM62" s="21">
        <f>EXP(-LN(2)/2)*CM61+(1-EXP(-LN(2)/2))/(LN(2)/2)*CG62*CJ62*VLOOKUP('Données projet'!$B$12,Paramètres!$A$1:$I$89,3,0)*0.475*44/12</f>
        <v>1.1985083086155377E-3</v>
      </c>
      <c r="CN62" s="22">
        <f t="shared" si="12"/>
        <v>9.6491257857723909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505</v>
      </c>
      <c r="L63" s="12">
        <f>VLOOKUP(A63,'Données projet'!$A$35:$I$55,9,0)</f>
        <v>14.8</v>
      </c>
      <c r="M63" s="12">
        <f t="array" ref="M63">INDEX(L:L,MIN(IF(ISNUMBER(L63:L259),ROW(L63:L259),"")))</f>
        <v>14.8</v>
      </c>
      <c r="N63" s="13">
        <f>IF('Données projet'!$A$36&gt;35,N62+M63-V62,IF(A63&lt;'Données projet'!$A$36,$K$205^A63,IF(A63='Données projet'!$A$36,'Données projet'!$B$36,N62+M63-V62)))</f>
        <v>504.99999999999983</v>
      </c>
      <c r="O63" s="13">
        <f>N63*VLOOKUP('Données projet'!$B$9,Paramètres!$A$1:$I$89,3,0)*VLOOKUP('Données projet'!$B$9,Paramètres!$A$1:$I$89,5,0)</f>
        <v>282.2949999999999</v>
      </c>
      <c r="P63" s="13">
        <f t="shared" si="33"/>
        <v>67.451777696853753</v>
      </c>
      <c r="Q63" s="20">
        <f t="shared" si="53"/>
        <v>609.14230448868682</v>
      </c>
      <c r="R63" s="59">
        <f t="shared" si="0"/>
        <v>902.47563782202019</v>
      </c>
      <c r="S63" s="59">
        <f ca="1">AVERAGE(OFFSET($R$3,0,0,'Données projet'!$E$9+1,1))-AVERAGE(OFFSET($H$3,0,0,'Données projet'!$E$9+1,1))</f>
        <v>279.98352834501759</v>
      </c>
      <c r="T63" s="59">
        <f t="shared" si="34"/>
        <v>281.30062655265488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76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2.206496378303342</v>
      </c>
      <c r="AA63" s="21">
        <f>EXP(-LN(2)/25)*AA62+(1-EXP(-LN(2)/25))/(LN(2)/25)*Calculateur!V63*Calculateur!X63*VLOOKUP('Données projet'!$B$9,Paramètres!$A$1:$I$89,3,0)*0.475*44/12</f>
        <v>10.545391250337703</v>
      </c>
      <c r="AB63" s="21">
        <f>EXP(-LN(2)/2)*AB62+(1-EXP(-LN(2)/2))/(LN(2)/2)*V63*Y63*VLOOKUP('Données projet'!$B$9,Paramètres!$A$1:$I$89,3,0)*0.475*44/12</f>
        <v>8.6417054369551758E-4</v>
      </c>
      <c r="AC63" s="22">
        <f t="shared" si="3"/>
        <v>12.75275179918474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565</v>
      </c>
      <c r="AG63" s="12">
        <f>VLOOKUP(A63,'Données projet'!$A$61:$I$81,9,0)</f>
        <v>17.3</v>
      </c>
      <c r="AH63" s="12">
        <f t="array" ref="AH63">INDEX(AG:AG,MIN(IF(ISNUMBER(AG63:AG259),ROW(AG63:AG259),"")))</f>
        <v>17.3</v>
      </c>
      <c r="AI63" s="13">
        <f>IF('Données projet'!$A$62&gt;35,AI62+AH63-AQ62,IF(A63&lt;'Données projet'!$A$62,$AF$205^A63,IF(A63='Données projet'!$A$62,'Données projet'!$B$62,AI62+AH63-AQ62)))</f>
        <v>564.99999999999966</v>
      </c>
      <c r="AJ63" s="13">
        <f>AI63*VLOOKUP('Données projet'!$B$10,Paramètres!$A$1:$I$89,3,0)*VLOOKUP('Données projet'!$B$10,Paramètres!$A$1:$I$89,5,0)</f>
        <v>271.76499999999982</v>
      </c>
      <c r="AK63" s="13">
        <f t="shared" si="35"/>
        <v>65.223704668824254</v>
      </c>
      <c r="AL63" s="20">
        <f t="shared" si="4"/>
        <v>586.92199396486865</v>
      </c>
      <c r="AM63" s="59">
        <f t="shared" si="5"/>
        <v>880.25532729820202</v>
      </c>
      <c r="AN63" s="59">
        <f ca="1">AVERAGE(OFFSET($AM$3,0,0,'Données projet'!$E$10+1,1))-AVERAGE(OFFSET($H$3,0,0,'Données projet'!$E$10+1,1))</f>
        <v>252.30925789500111</v>
      </c>
      <c r="AO63" s="59">
        <f t="shared" si="36"/>
        <v>213.96033794804805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95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2.5573156885698927</v>
      </c>
      <c r="AV63" s="21">
        <f>EXP(-LN(2)/25)*AV62+(1-EXP(-LN(2)/25))/(LN(2)/25)*Calculateur!AQ63*Calculateur!AS63*VLOOKUP('Données projet'!$B$10,Paramètres!$A$1:$I$89,3,0)*0.475*44/12</f>
        <v>4.0168970037171992</v>
      </c>
      <c r="AW63" s="21">
        <f>EXP(-LN(2)/2)*AW62+(1-EXP(-LN(2)/2))/(LN(2)/2)*AQ63*AT63*VLOOKUP('Données projet'!$B$10,Paramètres!$A$1:$I$89,3,0)*0.475*44/12</f>
        <v>4.3876765768158227E-4</v>
      </c>
      <c r="AX63" s="21">
        <f t="shared" si="6"/>
        <v>6.5746514599447732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387</v>
      </c>
      <c r="BB63" s="12">
        <f>VLOOKUP(A63,'Données projet'!$A$87:$I$107,9,0)</f>
        <v>11.4</v>
      </c>
      <c r="BC63" s="12">
        <f t="array" ref="BC63">INDEX(BB:BB,MIN(IF(ISNUMBER(BB63:BB259),ROW(BB63:BB259),"")))</f>
        <v>11.4</v>
      </c>
      <c r="BD63" s="12">
        <f>IF('Données projet'!$A$88&gt;35,BD62+BC63-BL62,IF(A63&lt;'Données projet'!$A$88,$BA$205^A63,IF(A63='Données projet'!$A$88,'Données projet'!$B$88,BD62+BC63-BL62)))</f>
        <v>386.99999999999977</v>
      </c>
      <c r="BE63" s="13">
        <f>BD63*VLOOKUP('Données projet'!$B$11,Paramètres!$A$1:$I$89,3,0)*VLOOKUP('Données projet'!$B$11,Paramètres!$A$1:$I$89,5,0)</f>
        <v>231.42599999999987</v>
      </c>
      <c r="BF63" s="13">
        <f t="shared" si="37"/>
        <v>56.590905067453171</v>
      </c>
      <c r="BG63" s="20">
        <f t="shared" si="7"/>
        <v>501.62944299248062</v>
      </c>
      <c r="BH63" s="59">
        <f t="shared" si="8"/>
        <v>794.96277632581393</v>
      </c>
      <c r="BI63" s="59">
        <f ca="1">AVERAGE(OFFSET($BH$3,0,0,'Données projet'!$E$11+1,1))-AVERAGE(OFFSET($H$3,0,0,'Données projet'!$E$11+1,1))</f>
        <v>216.94426559495264</v>
      </c>
      <c r="BJ63" s="59">
        <f t="shared" si="38"/>
        <v>225.33715877618704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5.5929668115017961</v>
      </c>
      <c r="BR63" s="21">
        <f>EXP(-LN(2)/2)*BR62+(1-EXP(-LN(2)/2))/(LN(2)/2)*BL63*BO63*VLOOKUP('Données projet'!$B$11,Paramètres!$A$1:$I$89,3,0)*0.475*44/12</f>
        <v>7.241625938055106E-4</v>
      </c>
      <c r="BS63" s="22">
        <f t="shared" si="9"/>
        <v>5.593690974095602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6.4</v>
      </c>
      <c r="BX63" s="12">
        <f t="array" ref="BX63">INDEX(BW:BW,MIN(IF(ISNUMBER(BW63:BW259),ROW(BW63:BW259),"")))</f>
        <v>6.4</v>
      </c>
      <c r="BY63" s="12">
        <f>IF('Données projet'!$A$114&gt;35,BY62+BX63-CG62,IF(A63&lt;'Données projet'!$A$114,$BV$205^A63,IF(A63='Données projet'!$A$114,'Données projet'!$B$114,BY62+BX63-CG62)))</f>
        <v>244.99999999999997</v>
      </c>
      <c r="BZ63" s="13">
        <f>BY63*VLOOKUP('Données projet'!$B$12,Paramètres!$A$1:$I$89,3,0)*VLOOKUP('Données projet'!$B$12,Paramètres!$A$1:$I$89,5,0)</f>
        <v>214.03199999999998</v>
      </c>
      <c r="CA63" s="13">
        <f t="shared" si="39"/>
        <v>52.815701536972242</v>
      </c>
      <c r="CB63" s="20">
        <f t="shared" si="10"/>
        <v>464.75974684355998</v>
      </c>
      <c r="CC63" s="59">
        <f t="shared" si="11"/>
        <v>758.0930801768933</v>
      </c>
      <c r="CD63" s="59">
        <f ca="1">AVERAGE(OFFSET($CC$3,0,0,'Données projet'!$E$12+1,1))-AVERAGE(OFFSET($H$3,0,0,'Données projet'!$E$12+1,1))</f>
        <v>223.81948236065614</v>
      </c>
      <c r="CE63" s="59">
        <f t="shared" si="40"/>
        <v>320.1204011431372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47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1.6964231895526996</v>
      </c>
      <c r="CL63" s="21">
        <f>EXP(-LN(2)/25)*CL62+(1-EXP(-LN(2)/25))/(LN(2)/25)*Calculateur!CG63*Calculateur!CI63*VLOOKUP('Données projet'!$B$12,Paramètres!$A$1:$I$89,3,0)*0.475*44/12</f>
        <v>7.7010664467108976</v>
      </c>
      <c r="CM63" s="21">
        <f>EXP(-LN(2)/2)*CM62+(1-EXP(-LN(2)/2))/(LN(2)/2)*CG63*CJ63*VLOOKUP('Données projet'!$B$12,Paramètres!$A$1:$I$89,3,0)*0.475*44/12</f>
        <v>8.4747335233046619E-4</v>
      </c>
      <c r="CN63" s="22">
        <f t="shared" si="12"/>
        <v>9.3983371096159267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12.1</v>
      </c>
      <c r="N64" s="13">
        <f>IF('Données projet'!$A$36&gt;35,N63+M64-V63,IF(A64&lt;'Données projet'!$A$36,$K$205^A64,IF(A64='Données projet'!$A$36,'Données projet'!$B$36,N63+M64-V63)))</f>
        <v>441.0999999999998</v>
      </c>
      <c r="O64" s="13">
        <f>N64*VLOOKUP('Données projet'!$B$9,Paramètres!$A$1:$I$89,3,0)*VLOOKUP('Données projet'!$B$9,Paramètres!$A$1:$I$89,5,0)</f>
        <v>246.5748999999999</v>
      </c>
      <c r="P64" s="13">
        <f t="shared" si="33"/>
        <v>59.851919420902142</v>
      </c>
      <c r="Q64" s="20">
        <f t="shared" si="53"/>
        <v>533.69337715807103</v>
      </c>
      <c r="R64" s="59">
        <f t="shared" si="0"/>
        <v>827.0267104914044</v>
      </c>
      <c r="S64" s="59">
        <f ca="1">AVERAGE(OFFSET($R$3,0,0,'Données projet'!$E$9+1,1))-AVERAGE(OFFSET($H$3,0,0,'Données projet'!$E$9+1,1))</f>
        <v>279.98352834501759</v>
      </c>
      <c r="T64" s="59">
        <f t="shared" si="34"/>
        <v>281.30062655265488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2.1632283301547144</v>
      </c>
      <c r="AA64" s="21">
        <f>EXP(-LN(2)/25)*AA63+(1-EXP(-LN(2)/25))/(LN(2)/25)*Calculateur!V64*Calculateur!X64*VLOOKUP('Données projet'!$B$9,Paramètres!$A$1:$I$89,3,0)*0.475*44/12</f>
        <v>10.257026972039194</v>
      </c>
      <c r="AB64" s="21">
        <f>EXP(-LN(2)/2)*AB63+(1-EXP(-LN(2)/2))/(LN(2)/2)*V64*Y64*VLOOKUP('Données projet'!$B$9,Paramètres!$A$1:$I$89,3,0)*0.475*44/12</f>
        <v>6.1106085154876615E-4</v>
      </c>
      <c r="AC64" s="22">
        <f t="shared" si="3"/>
        <v>12.420866363045457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15.3</v>
      </c>
      <c r="AI64" s="13">
        <f>IF('Données projet'!$A$62&gt;35,AI63+AH64-AQ63,IF(A64&lt;'Données projet'!$A$62,$AF$205^A64,IF(A64='Données projet'!$A$62,'Données projet'!$B$62,AI63+AH64-AQ63)))</f>
        <v>485.29999999999961</v>
      </c>
      <c r="AJ64" s="13">
        <f>AI64*VLOOKUP('Données projet'!$B$10,Paramètres!$A$1:$I$89,3,0)*VLOOKUP('Données projet'!$B$10,Paramètres!$A$1:$I$89,5,0)</f>
        <v>233.42929999999984</v>
      </c>
      <c r="AK64" s="13">
        <f t="shared" si="35"/>
        <v>57.023536469378328</v>
      </c>
      <c r="AL64" s="20">
        <f t="shared" si="4"/>
        <v>505.87202351750028</v>
      </c>
      <c r="AM64" s="59">
        <f t="shared" si="5"/>
        <v>799.2053568508336</v>
      </c>
      <c r="AN64" s="59">
        <f ca="1">AVERAGE(OFFSET($AM$3,0,0,'Données projet'!$E$10+1,1))-AVERAGE(OFFSET($H$3,0,0,'Données projet'!$E$10+1,1))</f>
        <v>252.30925789500111</v>
      </c>
      <c r="AO64" s="59">
        <f t="shared" si="36"/>
        <v>213.96033794804805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2.5071682877255888</v>
      </c>
      <c r="AV64" s="21">
        <f>EXP(-LN(2)/25)*AV63+(1-EXP(-LN(2)/25))/(LN(2)/25)*Calculateur!AQ64*Calculateur!AS64*VLOOKUP('Données projet'!$B$10,Paramètres!$A$1:$I$89,3,0)*0.475*44/12</f>
        <v>3.9070547439111198</v>
      </c>
      <c r="AW64" s="21">
        <f>EXP(-LN(2)/2)*AW63+(1-EXP(-LN(2)/2))/(LN(2)/2)*AQ64*AT64*VLOOKUP('Données projet'!$B$10,Paramètres!$A$1:$I$89,3,0)*0.475*44/12</f>
        <v>3.1025558611198458E-4</v>
      </c>
      <c r="AX64" s="21">
        <f t="shared" si="6"/>
        <v>6.4145332872228211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9.1999999999999993</v>
      </c>
      <c r="BD64" s="12">
        <f>IF('Données projet'!$A$88&gt;35,BD63+BC64-BL63,IF(A64&lt;'Données projet'!$A$88,$BA$205^A64,IF(A64='Données projet'!$A$88,'Données projet'!$B$88,BD63+BC64-BL63)))</f>
        <v>339.19999999999976</v>
      </c>
      <c r="BE64" s="13">
        <f>BD64*VLOOKUP('Données projet'!$B$11,Paramètres!$A$1:$I$89,3,0)*VLOOKUP('Données projet'!$B$11,Paramètres!$A$1:$I$89,5,0)</f>
        <v>202.84159999999989</v>
      </c>
      <c r="BF64" s="13">
        <f t="shared" si="37"/>
        <v>50.368151708087709</v>
      </c>
      <c r="BG64" s="20">
        <f t="shared" si="7"/>
        <v>441.00698422491922</v>
      </c>
      <c r="BH64" s="59">
        <f t="shared" si="8"/>
        <v>734.34031755825254</v>
      </c>
      <c r="BI64" s="59">
        <f ca="1">AVERAGE(OFFSET($BH$3,0,0,'Données projet'!$E$11+1,1))-AVERAGE(OFFSET($H$3,0,0,'Données projet'!$E$11+1,1))</f>
        <v>216.94426559495264</v>
      </c>
      <c r="BJ64" s="59">
        <f t="shared" si="38"/>
        <v>225.33715877618704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5.4400268399199376</v>
      </c>
      <c r="BR64" s="21">
        <f>EXP(-LN(2)/2)*BR63+(1-EXP(-LN(2)/2))/(LN(2)/2)*BL64*BO64*VLOOKUP('Données projet'!$B$11,Paramètres!$A$1:$I$89,3,0)*0.475*44/12</f>
        <v>5.1206028076151587E-4</v>
      </c>
      <c r="BS64" s="22">
        <f t="shared" si="9"/>
        <v>5.440538900200699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4.9000000000000004</v>
      </c>
      <c r="BY64" s="12">
        <f>IF('Données projet'!$A$114&gt;35,BY63+BX64-CG63,IF(A64&lt;'Données projet'!$A$114,$BV$205^A64,IF(A64='Données projet'!$A$114,'Données projet'!$B$114,BY63+BX64-CG63)))</f>
        <v>202.89999999999998</v>
      </c>
      <c r="BZ64" s="13">
        <f>BY64*VLOOKUP('Données projet'!$B$12,Paramètres!$A$1:$I$89,3,0)*VLOOKUP('Données projet'!$B$12,Paramètres!$A$1:$I$89,5,0)</f>
        <v>177.25344000000001</v>
      </c>
      <c r="CA64" s="13">
        <f t="shared" si="39"/>
        <v>44.710581408854637</v>
      </c>
      <c r="CB64" s="20">
        <f t="shared" si="10"/>
        <v>386.58733728708853</v>
      </c>
      <c r="CC64" s="59">
        <f t="shared" si="11"/>
        <v>679.92067062042179</v>
      </c>
      <c r="CD64" s="59">
        <f ca="1">AVERAGE(OFFSET($CC$3,0,0,'Données projet'!$E$12+1,1))-AVERAGE(OFFSET($H$3,0,0,'Données projet'!$E$12+1,1))</f>
        <v>223.81948236065614</v>
      </c>
      <c r="CE64" s="59">
        <f t="shared" si="40"/>
        <v>320.1204011431372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1.663157365521547</v>
      </c>
      <c r="CL64" s="21">
        <f>EXP(-LN(2)/25)*CL63+(1-EXP(-LN(2)/25))/(LN(2)/25)*Calculateur!CG64*Calculateur!CI64*VLOOKUP('Données projet'!$B$12,Paramètres!$A$1:$I$89,3,0)*0.475*44/12</f>
        <v>7.4904803797441044</v>
      </c>
      <c r="CM64" s="21">
        <f>EXP(-LN(2)/2)*CM63+(1-EXP(-LN(2)/2))/(LN(2)/2)*CG64*CJ64*VLOOKUP('Données projet'!$B$12,Paramètres!$A$1:$I$89,3,0)*0.475*44/12</f>
        <v>5.9925415430776884E-4</v>
      </c>
      <c r="CN64" s="22">
        <f t="shared" si="12"/>
        <v>9.1542369994199593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12.1</v>
      </c>
      <c r="N65" s="13">
        <f>IF('Données projet'!$A$36&gt;35,N64+M65-V64,IF(A65&lt;'Données projet'!$A$36,$K$205^A65,IF(A65='Données projet'!$A$36,'Données projet'!$B$36,N64+M65-V64)))</f>
        <v>453.19999999999982</v>
      </c>
      <c r="O65" s="13">
        <f>N65*VLOOKUP('Données projet'!$B$9,Paramètres!$A$1:$I$89,3,0)*VLOOKUP('Données projet'!$B$9,Paramètres!$A$1:$I$89,5,0)</f>
        <v>253.33879999999991</v>
      </c>
      <c r="P65" s="13">
        <f t="shared" si="33"/>
        <v>61.300341649722661</v>
      </c>
      <c r="Q65" s="20">
        <f t="shared" si="53"/>
        <v>547.99650503993337</v>
      </c>
      <c r="R65" s="59">
        <f t="shared" si="0"/>
        <v>841.32983837326674</v>
      </c>
      <c r="S65" s="59">
        <f ca="1">AVERAGE(OFFSET($R$3,0,0,'Données projet'!$E$9+1,1))-AVERAGE(OFFSET($H$3,0,0,'Données projet'!$E$9+1,1))</f>
        <v>279.98352834501759</v>
      </c>
      <c r="T65" s="59">
        <f t="shared" si="34"/>
        <v>281.30062655265488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2.1208087420393782</v>
      </c>
      <c r="AA65" s="21">
        <f>EXP(-LN(2)/25)*AA64+(1-EXP(-LN(2)/25))/(LN(2)/25)*Calculateur!V65*Calculateur!X65*VLOOKUP('Données projet'!$B$9,Paramètres!$A$1:$I$89,3,0)*0.475*44/12</f>
        <v>9.9765480300951754</v>
      </c>
      <c r="AB65" s="21">
        <f>EXP(-LN(2)/2)*AB64+(1-EXP(-LN(2)/2))/(LN(2)/2)*V65*Y65*VLOOKUP('Données projet'!$B$9,Paramètres!$A$1:$I$89,3,0)*0.475*44/12</f>
        <v>4.3208527184775879E-4</v>
      </c>
      <c r="AC65" s="22">
        <f t="shared" si="3"/>
        <v>12.097788857406401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15.3</v>
      </c>
      <c r="AI65" s="13">
        <f>IF('Données projet'!$A$62&gt;35,AI64+AH65-AQ64,IF(A65&lt;'Données projet'!$A$62,$AF$205^A65,IF(A65='Données projet'!$A$62,'Données projet'!$B$62,AI64+AH65-AQ64)))</f>
        <v>500.59999999999962</v>
      </c>
      <c r="AJ65" s="13">
        <f>AI65*VLOOKUP('Données projet'!$B$10,Paramètres!$A$1:$I$89,3,0)*VLOOKUP('Données projet'!$B$10,Paramètres!$A$1:$I$89,5,0)</f>
        <v>240.78859999999983</v>
      </c>
      <c r="AK65" s="13">
        <f t="shared" si="35"/>
        <v>58.60916920625705</v>
      </c>
      <c r="AL65" s="20">
        <f t="shared" si="4"/>
        <v>521.45111470089739</v>
      </c>
      <c r="AM65" s="59">
        <f t="shared" si="5"/>
        <v>814.78444803423076</v>
      </c>
      <c r="AN65" s="59">
        <f ca="1">AVERAGE(OFFSET($AM$3,0,0,'Données projet'!$E$10+1,1))-AVERAGE(OFFSET($H$3,0,0,'Données projet'!$E$10+1,1))</f>
        <v>252.30925789500111</v>
      </c>
      <c r="AO65" s="59">
        <f t="shared" si="36"/>
        <v>213.96033794804805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2.4580042468249474</v>
      </c>
      <c r="AV65" s="21">
        <f>EXP(-LN(2)/25)*AV64+(1-EXP(-LN(2)/25))/(LN(2)/25)*Calculateur!AQ65*Calculateur!AS65*VLOOKUP('Données projet'!$B$10,Paramètres!$A$1:$I$89,3,0)*0.475*44/12</f>
        <v>3.800216126475791</v>
      </c>
      <c r="AW65" s="21">
        <f>EXP(-LN(2)/2)*AW64+(1-EXP(-LN(2)/2))/(LN(2)/2)*AQ65*AT65*VLOOKUP('Données projet'!$B$10,Paramètres!$A$1:$I$89,3,0)*0.475*44/12</f>
        <v>2.1938382884079114E-4</v>
      </c>
      <c r="AX65" s="21">
        <f t="shared" si="6"/>
        <v>6.2584397571295796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9.1999999999999993</v>
      </c>
      <c r="BD65" s="12">
        <f>IF('Données projet'!$A$88&gt;35,BD64+BC65-BL64,IF(A65&lt;'Données projet'!$A$88,$BA$205^A65,IF(A65='Données projet'!$A$88,'Données projet'!$B$88,BD64+BC65-BL64)))</f>
        <v>348.39999999999975</v>
      </c>
      <c r="BE65" s="13">
        <f>BD65*VLOOKUP('Données projet'!$B$11,Paramètres!$A$1:$I$89,3,0)*VLOOKUP('Données projet'!$B$11,Paramètres!$A$1:$I$89,5,0)</f>
        <v>208.34319999999988</v>
      </c>
      <c r="BF65" s="13">
        <f t="shared" si="37"/>
        <v>51.573366479945882</v>
      </c>
      <c r="BG65" s="20">
        <f t="shared" si="7"/>
        <v>452.68801995257218</v>
      </c>
      <c r="BH65" s="59">
        <f t="shared" si="8"/>
        <v>746.02135328590543</v>
      </c>
      <c r="BI65" s="59">
        <f ca="1">AVERAGE(OFFSET($BH$3,0,0,'Données projet'!$E$11+1,1))-AVERAGE(OFFSET($H$3,0,0,'Données projet'!$E$11+1,1))</f>
        <v>216.94426559495264</v>
      </c>
      <c r="BJ65" s="59">
        <f t="shared" si="38"/>
        <v>225.33715877618704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5.2912690199037486</v>
      </c>
      <c r="BR65" s="21">
        <f>EXP(-LN(2)/2)*BR64+(1-EXP(-LN(2)/2))/(LN(2)/2)*BL65*BO65*VLOOKUP('Données projet'!$B$11,Paramètres!$A$1:$I$89,3,0)*0.475*44/12</f>
        <v>3.620812969027553E-4</v>
      </c>
      <c r="BS65" s="22">
        <f t="shared" si="9"/>
        <v>5.2916311012006512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4.9000000000000004</v>
      </c>
      <c r="BY65" s="12">
        <f>IF('Données projet'!$A$114&gt;35,BY64+BX65-CG64,IF(A65&lt;'Données projet'!$A$114,$BV$205^A65,IF(A65='Données projet'!$A$114,'Données projet'!$B$114,BY64+BX65-CG64)))</f>
        <v>207.79999999999998</v>
      </c>
      <c r="BZ65" s="13">
        <f>BY65*VLOOKUP('Données projet'!$B$12,Paramètres!$A$1:$I$89,3,0)*VLOOKUP('Données projet'!$B$12,Paramètres!$A$1:$I$89,5,0)</f>
        <v>181.53407999999999</v>
      </c>
      <c r="CA65" s="13">
        <f t="shared" si="39"/>
        <v>45.663321943731901</v>
      </c>
      <c r="CB65" s="20">
        <f t="shared" si="10"/>
        <v>395.70214171866638</v>
      </c>
      <c r="CC65" s="59">
        <f t="shared" si="11"/>
        <v>689.0354750519997</v>
      </c>
      <c r="CD65" s="59">
        <f ca="1">AVERAGE(OFFSET($CC$3,0,0,'Données projet'!$E$12+1,1))-AVERAGE(OFFSET($H$3,0,0,'Données projet'!$E$12+1,1))</f>
        <v>223.81948236065614</v>
      </c>
      <c r="CE65" s="59">
        <f t="shared" si="40"/>
        <v>320.1204011431372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1.6305438640094962</v>
      </c>
      <c r="CL65" s="21">
        <f>EXP(-LN(2)/25)*CL64+(1-EXP(-LN(2)/25))/(LN(2)/25)*Calculateur!CG65*Calculateur!CI65*VLOOKUP('Données projet'!$B$12,Paramètres!$A$1:$I$89,3,0)*0.475*44/12</f>
        <v>7.285652799852758</v>
      </c>
      <c r="CM65" s="21">
        <f>EXP(-LN(2)/2)*CM64+(1-EXP(-LN(2)/2))/(LN(2)/2)*CG65*CJ65*VLOOKUP('Données projet'!$B$12,Paramètres!$A$1:$I$89,3,0)*0.475*44/12</f>
        <v>4.2373667616523309E-4</v>
      </c>
      <c r="CN65" s="22">
        <f t="shared" si="12"/>
        <v>8.9166204005384202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12.1</v>
      </c>
      <c r="N66" s="13">
        <f>IF('Données projet'!$A$36&gt;35,N65+M66-V65,IF(A66&lt;'Données projet'!$A$36,$K$205^A66,IF(A66='Données projet'!$A$36,'Données projet'!$B$36,N65+M66-V65)))</f>
        <v>465.29999999999984</v>
      </c>
      <c r="O66" s="13">
        <f>N66*VLOOKUP('Données projet'!$B$9,Paramètres!$A$1:$I$89,3,0)*VLOOKUP('Données projet'!$B$9,Paramètres!$A$1:$I$89,5,0)</f>
        <v>260.10269999999991</v>
      </c>
      <c r="P66" s="13">
        <f t="shared" si="33"/>
        <v>62.744268942772209</v>
      </c>
      <c r="Q66" s="20">
        <f t="shared" si="53"/>
        <v>562.29180424199478</v>
      </c>
      <c r="R66" s="59">
        <f t="shared" si="0"/>
        <v>855.62513757532815</v>
      </c>
      <c r="S66" s="59">
        <f ca="1">AVERAGE(OFFSET($R$3,0,0,'Données projet'!$E$9+1,1))-AVERAGE(OFFSET($H$3,0,0,'Données projet'!$E$9+1,1))</f>
        <v>279.98352834501759</v>
      </c>
      <c r="T66" s="59">
        <f t="shared" si="34"/>
        <v>281.30062655265488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2.0792209761735898</v>
      </c>
      <c r="AA66" s="21">
        <f>EXP(-LN(2)/25)*AA65+(1-EXP(-LN(2)/25))/(LN(2)/25)*Calculateur!V66*Calculateur!X66*VLOOKUP('Données projet'!$B$9,Paramètres!$A$1:$I$89,3,0)*0.475*44/12</f>
        <v>9.703738799568363</v>
      </c>
      <c r="AB66" s="21">
        <f>EXP(-LN(2)/2)*AB65+(1-EXP(-LN(2)/2))/(LN(2)/2)*V66*Y66*VLOOKUP('Données projet'!$B$9,Paramètres!$A$1:$I$89,3,0)*0.475*44/12</f>
        <v>3.0553042577438307E-4</v>
      </c>
      <c r="AC66" s="22">
        <f t="shared" si="3"/>
        <v>11.783265306167726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15.3</v>
      </c>
      <c r="AI66" s="13">
        <f>IF('Données projet'!$A$62&gt;35,AI65+AH66-AQ65,IF(A66&lt;'Données projet'!$A$62,$AF$205^A66,IF(A66='Données projet'!$A$62,'Données projet'!$B$62,AI65+AH66-AQ65)))</f>
        <v>515.89999999999964</v>
      </c>
      <c r="AJ66" s="13">
        <f>AI66*VLOOKUP('Données projet'!$B$10,Paramètres!$A$1:$I$89,3,0)*VLOOKUP('Données projet'!$B$10,Paramètres!$A$1:$I$89,5,0)</f>
        <v>248.14789999999982</v>
      </c>
      <c r="AK66" s="13">
        <f t="shared" si="35"/>
        <v>60.189170038071069</v>
      </c>
      <c r="AL66" s="20">
        <f t="shared" si="4"/>
        <v>537.02039698297347</v>
      </c>
      <c r="AM66" s="59">
        <f t="shared" si="5"/>
        <v>830.35373031630684</v>
      </c>
      <c r="AN66" s="59">
        <f ca="1">AVERAGE(OFFSET($AM$3,0,0,'Données projet'!$E$10+1,1))-AVERAGE(OFFSET($H$3,0,0,'Données projet'!$E$10+1,1))</f>
        <v>252.30925789500111</v>
      </c>
      <c r="AO66" s="59">
        <f t="shared" si="36"/>
        <v>213.96033794804805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2.4098042827792638</v>
      </c>
      <c r="AV66" s="21">
        <f>EXP(-LN(2)/25)*AV65+(1-EXP(-LN(2)/25))/(LN(2)/25)*Calculateur!AQ66*Calculateur!AS66*VLOOKUP('Données projet'!$B$10,Paramètres!$A$1:$I$89,3,0)*0.475*44/12</f>
        <v>3.6962990166526297</v>
      </c>
      <c r="AW66" s="21">
        <f>EXP(-LN(2)/2)*AW65+(1-EXP(-LN(2)/2))/(LN(2)/2)*AQ66*AT66*VLOOKUP('Données projet'!$B$10,Paramètres!$A$1:$I$89,3,0)*0.475*44/12</f>
        <v>1.5512779305599229E-4</v>
      </c>
      <c r="AX66" s="21">
        <f t="shared" si="6"/>
        <v>6.1062584272249492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9.1999999999999993</v>
      </c>
      <c r="BD66" s="12">
        <f>IF('Données projet'!$A$88&gt;35,BD65+BC66-BL65,IF(A66&lt;'Données projet'!$A$88,$BA$205^A66,IF(A66='Données projet'!$A$88,'Données projet'!$B$88,BD65+BC66-BL65)))</f>
        <v>357.59999999999974</v>
      </c>
      <c r="BE66" s="13">
        <f>BD66*VLOOKUP('Données projet'!$B$11,Paramètres!$A$1:$I$89,3,0)*VLOOKUP('Données projet'!$B$11,Paramètres!$A$1:$I$89,5,0)</f>
        <v>213.84479999999988</v>
      </c>
      <c r="BF66" s="13">
        <f t="shared" si="37"/>
        <v>52.774882006161135</v>
      </c>
      <c r="BG66" s="20">
        <f t="shared" si="7"/>
        <v>464.36261282739719</v>
      </c>
      <c r="BH66" s="59">
        <f t="shared" si="8"/>
        <v>757.6959461607305</v>
      </c>
      <c r="BI66" s="59">
        <f ca="1">AVERAGE(OFFSET($BH$3,0,0,'Données projet'!$E$11+1,1))-AVERAGE(OFFSET($H$3,0,0,'Données projet'!$E$11+1,1))</f>
        <v>216.94426559495264</v>
      </c>
      <c r="BJ66" s="59">
        <f t="shared" si="38"/>
        <v>225.33715877618704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5.1465789902987362</v>
      </c>
      <c r="BR66" s="21">
        <f>EXP(-LN(2)/2)*BR65+(1-EXP(-LN(2)/2))/(LN(2)/2)*BL66*BO66*VLOOKUP('Données projet'!$B$11,Paramètres!$A$1:$I$89,3,0)*0.475*44/12</f>
        <v>2.5603014038075793E-4</v>
      </c>
      <c r="BS66" s="22">
        <f t="shared" si="9"/>
        <v>5.1468350204391173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4.9000000000000004</v>
      </c>
      <c r="BY66" s="12">
        <f>IF('Données projet'!$A$114&gt;35,BY65+BX66-CG65,IF(A66&lt;'Données projet'!$A$114,$BV$205^A66,IF(A66='Données projet'!$A$114,'Données projet'!$B$114,BY65+BX66-CG65)))</f>
        <v>212.7</v>
      </c>
      <c r="BZ66" s="13">
        <f>BY66*VLOOKUP('Données projet'!$B$12,Paramètres!$A$1:$I$89,3,0)*VLOOKUP('Données projet'!$B$12,Paramètres!$A$1:$I$89,5,0)</f>
        <v>185.81472000000002</v>
      </c>
      <c r="CA66" s="13">
        <f t="shared" si="39"/>
        <v>46.613450769406725</v>
      </c>
      <c r="CB66" s="20">
        <f t="shared" si="10"/>
        <v>404.81239742338335</v>
      </c>
      <c r="CC66" s="59">
        <f t="shared" si="11"/>
        <v>698.1457307567166</v>
      </c>
      <c r="CD66" s="59">
        <f ca="1">AVERAGE(OFFSET($CC$3,0,0,'Données projet'!$E$12+1,1))-AVERAGE(OFFSET($H$3,0,0,'Données projet'!$E$12+1,1))</f>
        <v>223.81948236065614</v>
      </c>
      <c r="CE66" s="59">
        <f t="shared" si="40"/>
        <v>320.1204011431372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1.5985698933698251</v>
      </c>
      <c r="CL66" s="21">
        <f>EXP(-LN(2)/25)*CL65+(1-EXP(-LN(2)/25))/(LN(2)/25)*Calculateur!CG66*Calculateur!CI66*VLOOKUP('Données projet'!$B$12,Paramètres!$A$1:$I$89,3,0)*0.475*44/12</f>
        <v>7.086426240904955</v>
      </c>
      <c r="CM66" s="21">
        <f>EXP(-LN(2)/2)*CM65+(1-EXP(-LN(2)/2))/(LN(2)/2)*CG66*CJ66*VLOOKUP('Données projet'!$B$12,Paramètres!$A$1:$I$89,3,0)*0.475*44/12</f>
        <v>2.9962707715388442E-4</v>
      </c>
      <c r="CN66" s="22">
        <f t="shared" si="12"/>
        <v>8.6852957613519344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12.1</v>
      </c>
      <c r="N67" s="13">
        <f>IF('Données projet'!$A$36&gt;35,N66+M67-V66,IF(A67&lt;'Données projet'!$A$36,$K$205^A67,IF(A67='Données projet'!$A$36,'Données projet'!$B$36,N66+M67-V66)))</f>
        <v>477.39999999999986</v>
      </c>
      <c r="O67" s="13">
        <f>N67*VLOOKUP('Données projet'!$B$9,Paramètres!$A$1:$I$89,3,0)*VLOOKUP('Données projet'!$B$9,Paramètres!$A$1:$I$89,5,0)</f>
        <v>266.86659999999989</v>
      </c>
      <c r="P67" s="13">
        <f t="shared" si="33"/>
        <v>64.18383162800842</v>
      </c>
      <c r="Q67" s="20">
        <f t="shared" ref="Q67:Q98" si="54">(O67+P67)*0.475*44/12</f>
        <v>576.57950175211442</v>
      </c>
      <c r="R67" s="59">
        <f t="shared" ref="R67:R130" si="55">Q67+(I67+J67)*44/12</f>
        <v>869.9128350854478</v>
      </c>
      <c r="S67" s="59">
        <f ca="1">AVERAGE(OFFSET($R$3,0,0,'Données projet'!$E$9+1,1))-AVERAGE(OFFSET($H$3,0,0,'Données projet'!$E$9+1,1))</f>
        <v>279.98352834501759</v>
      </c>
      <c r="T67" s="59">
        <f t="shared" si="34"/>
        <v>281.30062655265488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2.038448721030397</v>
      </c>
      <c r="AA67" s="21">
        <f>EXP(-LN(2)/25)*AA66+(1-EXP(-LN(2)/25))/(LN(2)/25)*Calculateur!V67*Calculateur!X67*VLOOKUP('Données projet'!$B$9,Paramètres!$A$1:$I$89,3,0)*0.475*44/12</f>
        <v>9.4383895517967211</v>
      </c>
      <c r="AB67" s="21">
        <f>EXP(-LN(2)/2)*AB66+(1-EXP(-LN(2)/2))/(LN(2)/2)*V67*Y67*VLOOKUP('Données projet'!$B$9,Paramètres!$A$1:$I$89,3,0)*0.475*44/12</f>
        <v>2.1604263592387939E-4</v>
      </c>
      <c r="AC67" s="22">
        <f t="shared" si="3"/>
        <v>11.477054315463041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15.3</v>
      </c>
      <c r="AI67" s="13">
        <f>IF('Données projet'!$A$62&gt;35,AI66+AH67-AQ66,IF(A67&lt;'Données projet'!$A$62,$AF$205^A67,IF(A67='Données projet'!$A$62,'Données projet'!$B$62,AI66+AH67-AQ66)))</f>
        <v>531.19999999999959</v>
      </c>
      <c r="AJ67" s="13">
        <f>AI67*VLOOKUP('Données projet'!$B$10,Paramètres!$A$1:$I$89,3,0)*VLOOKUP('Données projet'!$B$10,Paramètres!$A$1:$I$89,5,0)</f>
        <v>255.50719999999981</v>
      </c>
      <c r="AK67" s="13">
        <f t="shared" si="35"/>
        <v>61.763725165286317</v>
      </c>
      <c r="AL67" s="20">
        <f t="shared" si="4"/>
        <v>552.5801946628734</v>
      </c>
      <c r="AM67" s="59">
        <f t="shared" si="5"/>
        <v>845.91352799620677</v>
      </c>
      <c r="AN67" s="59">
        <f ca="1">AVERAGE(OFFSET($AM$3,0,0,'Données projet'!$E$10+1,1))-AVERAGE(OFFSET($H$3,0,0,'Données projet'!$E$10+1,1))</f>
        <v>252.30925789500111</v>
      </c>
      <c r="AO67" s="59">
        <f t="shared" si="36"/>
        <v>213.96033794804805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2.3625494906294406</v>
      </c>
      <c r="AV67" s="21">
        <f>EXP(-LN(2)/25)*AV66+(1-EXP(-LN(2)/25))/(LN(2)/25)*Calculateur!AQ67*Calculateur!AS67*VLOOKUP('Données projet'!$B$10,Paramètres!$A$1:$I$89,3,0)*0.475*44/12</f>
        <v>3.5952235256623464</v>
      </c>
      <c r="AW67" s="21">
        <f>EXP(-LN(2)/2)*AW66+(1-EXP(-LN(2)/2))/(LN(2)/2)*AQ67*AT67*VLOOKUP('Données projet'!$B$10,Paramètres!$A$1:$I$89,3,0)*0.475*44/12</f>
        <v>1.0969191442039557E-4</v>
      </c>
      <c r="AX67" s="21">
        <f t="shared" si="6"/>
        <v>5.9578827082062071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9.1999999999999993</v>
      </c>
      <c r="BD67" s="12">
        <f>IF('Données projet'!$A$88&gt;35,BD66+BC67-BL66,IF(A67&lt;'Données projet'!$A$88,$BA$205^A67,IF(A67='Données projet'!$A$88,'Données projet'!$B$88,BD66+BC67-BL66)))</f>
        <v>366.79999999999973</v>
      </c>
      <c r="BE67" s="13">
        <f>BD67*VLOOKUP('Données projet'!$B$11,Paramètres!$A$1:$I$89,3,0)*VLOOKUP('Données projet'!$B$11,Paramètres!$A$1:$I$89,5,0)</f>
        <v>219.34639999999987</v>
      </c>
      <c r="BF67" s="13">
        <f t="shared" si="37"/>
        <v>53.972804400117923</v>
      </c>
      <c r="BG67" s="20">
        <f t="shared" si="7"/>
        <v>476.03094766353843</v>
      </c>
      <c r="BH67" s="59">
        <f t="shared" si="8"/>
        <v>769.36428099687168</v>
      </c>
      <c r="BI67" s="59">
        <f ca="1">AVERAGE(OFFSET($BH$3,0,0,'Données projet'!$E$11+1,1))-AVERAGE(OFFSET($H$3,0,0,'Données projet'!$E$11+1,1))</f>
        <v>216.94426559495264</v>
      </c>
      <c r="BJ67" s="59">
        <f t="shared" si="38"/>
        <v>225.33715877618704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5.0058455171621912</v>
      </c>
      <c r="BR67" s="21">
        <f>EXP(-LN(2)/2)*BR66+(1-EXP(-LN(2)/2))/(LN(2)/2)*BL67*BO67*VLOOKUP('Données projet'!$B$11,Paramètres!$A$1:$I$89,3,0)*0.475*44/12</f>
        <v>1.8104064845137765E-4</v>
      </c>
      <c r="BS67" s="22">
        <f t="shared" si="9"/>
        <v>5.0060265578106424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4.9000000000000004</v>
      </c>
      <c r="BY67" s="12">
        <f>IF('Données projet'!$A$114&gt;35,BY66+BX67-CG66,IF(A67&lt;'Données projet'!$A$114,$BV$205^A67,IF(A67='Données projet'!$A$114,'Données projet'!$B$114,BY66+BX67-CG66)))</f>
        <v>217.6</v>
      </c>
      <c r="BZ67" s="13">
        <f>BY67*VLOOKUP('Données projet'!$B$12,Paramètres!$A$1:$I$89,3,0)*VLOOKUP('Données projet'!$B$12,Paramètres!$A$1:$I$89,5,0)</f>
        <v>190.09536000000003</v>
      </c>
      <c r="CA67" s="13">
        <f t="shared" si="39"/>
        <v>47.56103497756866</v>
      </c>
      <c r="CB67" s="20">
        <f t="shared" si="10"/>
        <v>413.91822125259881</v>
      </c>
      <c r="CC67" s="59">
        <f t="shared" si="11"/>
        <v>707.25155458593213</v>
      </c>
      <c r="CD67" s="59">
        <f ca="1">AVERAGE(OFFSET($CC$3,0,0,'Données projet'!$E$12+1,1))-AVERAGE(OFFSET($H$3,0,0,'Données projet'!$E$12+1,1))</f>
        <v>223.81948236065614</v>
      </c>
      <c r="CE67" s="59">
        <f t="shared" si="40"/>
        <v>320.1204011431372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1.5672229127922015</v>
      </c>
      <c r="CL67" s="21">
        <f>EXP(-LN(2)/25)*CL66+(1-EXP(-LN(2)/25))/(LN(2)/25)*Calculateur!CG67*Calculateur!CI67*VLOOKUP('Données projet'!$B$12,Paramètres!$A$1:$I$89,3,0)*0.475*44/12</f>
        <v>6.892647542688449</v>
      </c>
      <c r="CM67" s="21">
        <f>EXP(-LN(2)/2)*CM66+(1-EXP(-LN(2)/2))/(LN(2)/2)*CG67*CJ67*VLOOKUP('Données projet'!$B$12,Paramètres!$A$1:$I$89,3,0)*0.475*44/12</f>
        <v>2.1186833808261655E-4</v>
      </c>
      <c r="CN67" s="22">
        <f t="shared" si="12"/>
        <v>8.4600823238187335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12.1</v>
      </c>
      <c r="N68" s="13">
        <f>IF('Données projet'!$A$36&gt;35,N67+M68-V67,IF(A68&lt;'Données projet'!$A$36,$K$205^A68,IF(A68='Données projet'!$A$36,'Données projet'!$B$36,N67+M68-V67)))</f>
        <v>489.49999999999989</v>
      </c>
      <c r="O68" s="13">
        <f>N68*VLOOKUP('Données projet'!$B$9,Paramètres!$A$1:$I$89,3,0)*VLOOKUP('Données projet'!$B$9,Paramètres!$A$1:$I$89,5,0)</f>
        <v>273.63049999999993</v>
      </c>
      <c r="P68" s="13">
        <f t="shared" si="33"/>
        <v>65.619153050453022</v>
      </c>
      <c r="Q68" s="20">
        <f t="shared" si="54"/>
        <v>590.85981239620548</v>
      </c>
      <c r="R68" s="59">
        <f t="shared" si="55"/>
        <v>884.19314572953886</v>
      </c>
      <c r="S68" s="59">
        <f ca="1">AVERAGE(OFFSET($R$3,0,0,'Données projet'!$E$9+1,1))-AVERAGE(OFFSET($H$3,0,0,'Données projet'!$E$9+1,1))</f>
        <v>279.98352834501759</v>
      </c>
      <c r="T68" s="59">
        <f t="shared" si="34"/>
        <v>281.30062655265488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1.998475984941942</v>
      </c>
      <c r="AA68" s="21">
        <f>EXP(-LN(2)/25)*AA67+(1-EXP(-LN(2)/25))/(LN(2)/25)*Calculateur!V68*Calculateur!X68*VLOOKUP('Données projet'!$B$9,Paramètres!$A$1:$I$89,3,0)*0.475*44/12</f>
        <v>9.1802962931595058</v>
      </c>
      <c r="AB68" s="21">
        <f>EXP(-LN(2)/2)*AB67+(1-EXP(-LN(2)/2))/(LN(2)/2)*V68*Y68*VLOOKUP('Données projet'!$B$9,Paramètres!$A$1:$I$89,3,0)*0.475*44/12</f>
        <v>1.5276521288719154E-4</v>
      </c>
      <c r="AC68" s="22">
        <f t="shared" ref="AC68:AC131" si="57">SUM(Z68:AB68)</f>
        <v>11.178925043314335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15.3</v>
      </c>
      <c r="AI68" s="13">
        <f>IF('Données projet'!$A$62&gt;35,AI67+AH68-AQ67,IF(A68&lt;'Données projet'!$A$62,$AF$205^A68,IF(A68='Données projet'!$A$62,'Données projet'!$B$62,AI67+AH68-AQ67)))</f>
        <v>546.49999999999955</v>
      </c>
      <c r="AJ68" s="13">
        <f>AI68*VLOOKUP('Données projet'!$B$10,Paramètres!$A$1:$I$89,3,0)*VLOOKUP('Données projet'!$B$10,Paramètres!$A$1:$I$89,5,0)</f>
        <v>262.8664999999998</v>
      </c>
      <c r="AK68" s="13">
        <f t="shared" si="35"/>
        <v>63.33300945221184</v>
      </c>
      <c r="AL68" s="20">
        <f t="shared" ref="AL68:AL131" si="58">(AJ68+AK68)*0.475*44/12</f>
        <v>568.13081229593536</v>
      </c>
      <c r="AM68" s="59">
        <f t="shared" ref="AM68:AM131" si="59">AL68+(AD68+AE68)*44/12</f>
        <v>861.46414562926861</v>
      </c>
      <c r="AN68" s="59">
        <f ca="1">AVERAGE(OFFSET($AM$3,0,0,'Données projet'!$E$10+1,1))-AVERAGE(OFFSET($H$3,0,0,'Données projet'!$E$10+1,1))</f>
        <v>252.30925789500111</v>
      </c>
      <c r="AO68" s="59">
        <f t="shared" si="36"/>
        <v>213.96033794804805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2.3162213361310986</v>
      </c>
      <c r="AV68" s="21">
        <f>EXP(-LN(2)/25)*AV67+(1-EXP(-LN(2)/25))/(LN(2)/25)*Calculateur!AQ68*Calculateur!AS68*VLOOKUP('Données projet'!$B$10,Paramètres!$A$1:$I$89,3,0)*0.475*44/12</f>
        <v>3.4969119492885214</v>
      </c>
      <c r="AW68" s="21">
        <f>EXP(-LN(2)/2)*AW67+(1-EXP(-LN(2)/2))/(LN(2)/2)*AQ68*AT68*VLOOKUP('Données projet'!$B$10,Paramètres!$A$1:$I$89,3,0)*0.475*44/12</f>
        <v>7.7563896527996145E-5</v>
      </c>
      <c r="AX68" s="21">
        <f t="shared" ref="AX68:AX131" si="60">SUM(AU68:AW68)</f>
        <v>5.8132108493161478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9.1999999999999993</v>
      </c>
      <c r="BD68" s="12">
        <f>IF('Données projet'!$A$88&gt;35,BD67+BC68-BL67,IF(A68&lt;'Données projet'!$A$88,$BA$205^A68,IF(A68='Données projet'!$A$88,'Données projet'!$B$88,BD67+BC68-BL67)))</f>
        <v>375.99999999999972</v>
      </c>
      <c r="BE68" s="13">
        <f>BD68*VLOOKUP('Données projet'!$B$11,Paramètres!$A$1:$I$89,3,0)*VLOOKUP('Données projet'!$B$11,Paramètres!$A$1:$I$89,5,0)</f>
        <v>224.84799999999984</v>
      </c>
      <c r="BF68" s="13">
        <f t="shared" si="37"/>
        <v>55.167234148809698</v>
      </c>
      <c r="BG68" s="20">
        <f t="shared" ref="BG68:BG131" si="61">(BE68+BF68)*0.475*44/12</f>
        <v>487.69319947584319</v>
      </c>
      <c r="BH68" s="59">
        <f t="shared" ref="BH68:BH131" si="62">BG68+(AY68+AZ68)*44/12</f>
        <v>781.0265328091765</v>
      </c>
      <c r="BI68" s="59">
        <f ca="1">AVERAGE(OFFSET($BH$3,0,0,'Données projet'!$E$11+1,1))-AVERAGE(OFFSET($H$3,0,0,'Données projet'!$E$11+1,1))</f>
        <v>216.94426559495264</v>
      </c>
      <c r="BJ68" s="59">
        <f t="shared" si="38"/>
        <v>225.33715877618704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4.868960408249416</v>
      </c>
      <c r="BR68" s="21">
        <f>EXP(-LN(2)/2)*BR67+(1-EXP(-LN(2)/2))/(LN(2)/2)*BL68*BO68*VLOOKUP('Données projet'!$B$11,Paramètres!$A$1:$I$89,3,0)*0.475*44/12</f>
        <v>1.2801507019037897E-4</v>
      </c>
      <c r="BS68" s="22">
        <f t="shared" ref="BS68:BS131" si="63">SUM(BP68:BR68)</f>
        <v>4.8690884233196066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4.9000000000000004</v>
      </c>
      <c r="BY68" s="12">
        <f>IF('Données projet'!$A$114&gt;35,BY67+BX68-CG67,IF(A68&lt;'Données projet'!$A$114,$BV$205^A68,IF(A68='Données projet'!$A$114,'Données projet'!$B$114,BY67+BX68-CG67)))</f>
        <v>222.5</v>
      </c>
      <c r="BZ68" s="13">
        <f>BY68*VLOOKUP('Données projet'!$B$12,Paramètres!$A$1:$I$89,3,0)*VLOOKUP('Données projet'!$B$12,Paramètres!$A$1:$I$89,5,0)</f>
        <v>194.37600000000003</v>
      </c>
      <c r="CA68" s="13">
        <f t="shared" si="39"/>
        <v>48.506138465833132</v>
      </c>
      <c r="CB68" s="20">
        <f t="shared" ref="CB68:CB131" si="64">(BZ68+CA68)*0.475*44/12</f>
        <v>423.01972449465944</v>
      </c>
      <c r="CC68" s="59">
        <f t="shared" ref="CC68:CC131" si="65">CB68+(BT68+BU68)*44/12</f>
        <v>716.35305782799276</v>
      </c>
      <c r="CD68" s="59">
        <f ca="1">AVERAGE(OFFSET($CC$3,0,0,'Données projet'!$E$12+1,1))-AVERAGE(OFFSET($H$3,0,0,'Données projet'!$E$12+1,1))</f>
        <v>223.81948236065614</v>
      </c>
      <c r="CE68" s="59">
        <f t="shared" si="40"/>
        <v>320.1204011431372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1.5364906273839347</v>
      </c>
      <c r="CL68" s="21">
        <f>EXP(-LN(2)/25)*CL67+(1-EXP(-LN(2)/25))/(LN(2)/25)*Calculateur!CG68*Calculateur!CI68*VLOOKUP('Données projet'!$B$12,Paramètres!$A$1:$I$89,3,0)*0.475*44/12</f>
        <v>6.7041677331650522</v>
      </c>
      <c r="CM68" s="21">
        <f>EXP(-LN(2)/2)*CM67+(1-EXP(-LN(2)/2))/(LN(2)/2)*CG68*CJ68*VLOOKUP('Données projet'!$B$12,Paramètres!$A$1:$I$89,3,0)*0.475*44/12</f>
        <v>1.4981353857694221E-4</v>
      </c>
      <c r="CN68" s="22">
        <f t="shared" ref="CN68:CN131" si="66">SUM(CK68:CM68)</f>
        <v>8.2408081740875652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12.1</v>
      </c>
      <c r="N69" s="13">
        <f>IF('Données projet'!$A$36&gt;35,N68+M69-V68,IF(A69&lt;'Données projet'!$A$36,$K$205^A69,IF(A69='Données projet'!$A$36,'Données projet'!$B$36,N68+M69-V68)))</f>
        <v>501.59999999999991</v>
      </c>
      <c r="O69" s="13">
        <f>N69*VLOOKUP('Données projet'!$B$9,Paramètres!$A$1:$I$89,3,0)*VLOOKUP('Données projet'!$B$9,Paramètres!$A$1:$I$89,5,0)</f>
        <v>280.39439999999996</v>
      </c>
      <c r="P69" s="13">
        <f t="shared" ref="P69:P132" si="87">EXP(-1.0587+0.8836*LN(O69)+0.284)</f>
        <v>67.050350109566494</v>
      </c>
      <c r="Q69" s="20">
        <f t="shared" si="54"/>
        <v>605.13293977416163</v>
      </c>
      <c r="R69" s="59">
        <f t="shared" si="55"/>
        <v>898.466273107495</v>
      </c>
      <c r="S69" s="59">
        <f ca="1">AVERAGE(OFFSET($R$3,0,0,'Données projet'!$E$9+1,1))-AVERAGE(OFFSET($H$3,0,0,'Données projet'!$E$9+1,1))</f>
        <v>279.98352834501759</v>
      </c>
      <c r="T69" s="59">
        <f t="shared" ref="T69:T132" si="88">$T$3</f>
        <v>281.30062655265488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1.9592870898272201</v>
      </c>
      <c r="AA69" s="21">
        <f>EXP(-LN(2)/25)*AA68+(1-EXP(-LN(2)/25))/(LN(2)/25)*Calculateur!V69*Calculateur!X69*VLOOKUP('Données projet'!$B$9,Paramètres!$A$1:$I$89,3,0)*0.475*44/12</f>
        <v>8.9292606082522585</v>
      </c>
      <c r="AB69" s="21">
        <f>EXP(-LN(2)/2)*AB68+(1-EXP(-LN(2)/2))/(LN(2)/2)*V69*Y69*VLOOKUP('Données projet'!$B$9,Paramètres!$A$1:$I$89,3,0)*0.475*44/12</f>
        <v>1.080213179619397E-4</v>
      </c>
      <c r="AC69" s="22">
        <f t="shared" si="57"/>
        <v>10.888655719397439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15.3</v>
      </c>
      <c r="AI69" s="13">
        <f>IF('Données projet'!$A$62&gt;35,AI68+AH69-AQ68,IF(A69&lt;'Données projet'!$A$62,$AF$205^A69,IF(A69='Données projet'!$A$62,'Données projet'!$B$62,AI68+AH69-AQ68)))</f>
        <v>561.7999999999995</v>
      </c>
      <c r="AJ69" s="13">
        <f>AI69*VLOOKUP('Données projet'!$B$10,Paramètres!$A$1:$I$89,3,0)*VLOOKUP('Données projet'!$B$10,Paramètres!$A$1:$I$89,5,0)</f>
        <v>270.22579999999977</v>
      </c>
      <c r="AK69" s="13">
        <f t="shared" ref="AK69:AK132" si="89">EXP(-1.0587+0.8836*LN(AJ69)+0.284)</f>
        <v>64.897187414967973</v>
      </c>
      <c r="AL69" s="20">
        <f t="shared" si="58"/>
        <v>583.67253641440209</v>
      </c>
      <c r="AM69" s="59">
        <f t="shared" si="59"/>
        <v>877.00586974773546</v>
      </c>
      <c r="AN69" s="59">
        <f ca="1">AVERAGE(OFFSET($AM$3,0,0,'Données projet'!$E$10+1,1))-AVERAGE(OFFSET($H$3,0,0,'Données projet'!$E$10+1,1))</f>
        <v>252.30925789500111</v>
      </c>
      <c r="AO69" s="59">
        <f t="shared" ref="AO69:AO132" si="90">$AO$3</f>
        <v>213.96033794804805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2.2708016484850848</v>
      </c>
      <c r="AV69" s="21">
        <f>EXP(-LN(2)/25)*AV68+(1-EXP(-LN(2)/25))/(LN(2)/25)*Calculateur!AQ69*Calculateur!AS69*VLOOKUP('Données projet'!$B$10,Paramètres!$A$1:$I$89,3,0)*0.475*44/12</f>
        <v>3.4012887081406196</v>
      </c>
      <c r="AW69" s="21">
        <f>EXP(-LN(2)/2)*AW68+(1-EXP(-LN(2)/2))/(LN(2)/2)*AQ69*AT69*VLOOKUP('Données projet'!$B$10,Paramètres!$A$1:$I$89,3,0)*0.475*44/12</f>
        <v>5.4845957210197784E-5</v>
      </c>
      <c r="AX69" s="21">
        <f t="shared" si="60"/>
        <v>5.6721452025829144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9.1999999999999993</v>
      </c>
      <c r="BD69" s="12">
        <f>IF('Données projet'!$A$88&gt;35,BD68+BC69-BL68,IF(A69&lt;'Données projet'!$A$88,$BA$205^A69,IF(A69='Données projet'!$A$88,'Données projet'!$B$88,BD68+BC69-BL68)))</f>
        <v>385.1999999999997</v>
      </c>
      <c r="BE69" s="13">
        <f>BD69*VLOOKUP('Données projet'!$B$11,Paramètres!$A$1:$I$89,3,0)*VLOOKUP('Données projet'!$B$11,Paramètres!$A$1:$I$89,5,0)</f>
        <v>230.34959999999984</v>
      </c>
      <c r="BF69" s="13">
        <f t="shared" ref="BF69:BF132" si="91">EXP(-1.0587+0.8836*LN(BE69)+0.284)</f>
        <v>56.358266541426261</v>
      </c>
      <c r="BG69" s="20">
        <f t="shared" si="61"/>
        <v>499.34953422631708</v>
      </c>
      <c r="BH69" s="59">
        <f t="shared" si="62"/>
        <v>792.68286755965039</v>
      </c>
      <c r="BI69" s="59">
        <f ca="1">AVERAGE(OFFSET($BH$3,0,0,'Données projet'!$E$11+1,1))-AVERAGE(OFFSET($H$3,0,0,'Données projet'!$E$11+1,1))</f>
        <v>216.94426559495264</v>
      </c>
      <c r="BJ69" s="59">
        <f t="shared" ref="BJ69:BJ132" si="92">$BJ$3</f>
        <v>225.33715877618704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4.7358184298383357</v>
      </c>
      <c r="BR69" s="21">
        <f>EXP(-LN(2)/2)*BR68+(1-EXP(-LN(2)/2))/(LN(2)/2)*BL69*BO69*VLOOKUP('Données projet'!$B$11,Paramètres!$A$1:$I$89,3,0)*0.475*44/12</f>
        <v>9.0520324225688826E-5</v>
      </c>
      <c r="BS69" s="22">
        <f t="shared" si="63"/>
        <v>4.7359089501625613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4.9000000000000004</v>
      </c>
      <c r="BY69" s="12">
        <f>IF('Données projet'!$A$114&gt;35,BY68+BX69-CG68,IF(A69&lt;'Données projet'!$A$114,$BV$205^A69,IF(A69='Données projet'!$A$114,'Données projet'!$B$114,BY68+BX69-CG68)))</f>
        <v>227.4</v>
      </c>
      <c r="BZ69" s="13">
        <f>BY69*VLOOKUP('Données projet'!$B$12,Paramètres!$A$1:$I$89,3,0)*VLOOKUP('Données projet'!$B$12,Paramètres!$A$1:$I$89,5,0)</f>
        <v>198.65664000000001</v>
      </c>
      <c r="CA69" s="13">
        <f t="shared" ref="CA69:CA132" si="93">EXP(-1.0587+0.8836*LN(BZ69)+0.284)</f>
        <v>49.448822156743425</v>
      </c>
      <c r="CB69" s="20">
        <f t="shared" si="64"/>
        <v>432.11701325632816</v>
      </c>
      <c r="CC69" s="59">
        <f t="shared" si="65"/>
        <v>725.45034658966142</v>
      </c>
      <c r="CD69" s="59">
        <f ca="1">AVERAGE(OFFSET($CC$3,0,0,'Données projet'!$E$12+1,1))-AVERAGE(OFFSET($H$3,0,0,'Données projet'!$E$12+1,1))</f>
        <v>223.81948236065614</v>
      </c>
      <c r="CE69" s="59">
        <f t="shared" ref="CE69:CE132" si="94">$CE$3</f>
        <v>320.1204011431372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1.506360983347681</v>
      </c>
      <c r="CL69" s="21">
        <f>EXP(-LN(2)/25)*CL68+(1-EXP(-LN(2)/25))/(LN(2)/25)*Calculateur!CG69*Calculateur!CI69*VLOOKUP('Données projet'!$B$12,Paramètres!$A$1:$I$89,3,0)*0.475*44/12</f>
        <v>6.5208419139447953</v>
      </c>
      <c r="CM69" s="21">
        <f>EXP(-LN(2)/2)*CM68+(1-EXP(-LN(2)/2))/(LN(2)/2)*CG69*CJ69*VLOOKUP('Données projet'!$B$12,Paramètres!$A$1:$I$89,3,0)*0.475*44/12</f>
        <v>1.0593416904130827E-4</v>
      </c>
      <c r="CN69" s="22">
        <f t="shared" si="66"/>
        <v>8.027308831461518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12.1</v>
      </c>
      <c r="N70" s="13">
        <f>IF('Données projet'!$A$36&gt;35,N69+M70-V69,IF(A70&lt;'Données projet'!$A$36,$K$205^A70,IF(A70='Données projet'!$A$36,'Données projet'!$B$36,N69+M70-V69)))</f>
        <v>513.69999999999993</v>
      </c>
      <c r="O70" s="13">
        <f>N70*VLOOKUP('Données projet'!$B$9,Paramètres!$A$1:$I$89,3,0)*VLOOKUP('Données projet'!$B$9,Paramètres!$A$1:$I$89,5,0)</f>
        <v>287.15829999999994</v>
      </c>
      <c r="P70" s="13">
        <f t="shared" si="87"/>
        <v>68.477533743311554</v>
      </c>
      <c r="Q70" s="20">
        <f t="shared" si="54"/>
        <v>619.39907710293414</v>
      </c>
      <c r="R70" s="59">
        <f t="shared" si="55"/>
        <v>912.7324104362674</v>
      </c>
      <c r="S70" s="59">
        <f ca="1">AVERAGE(OFFSET($R$3,0,0,'Données projet'!$E$9+1,1))-AVERAGE(OFFSET($H$3,0,0,'Données projet'!$E$9+1,1))</f>
        <v>279.98352834501759</v>
      </c>
      <c r="T70" s="59">
        <f t="shared" si="88"/>
        <v>281.30062655265488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1.9208666650428321</v>
      </c>
      <c r="AA70" s="21">
        <f>EXP(-LN(2)/25)*AA69+(1-EXP(-LN(2)/25))/(LN(2)/25)*Calculateur!V70*Calculateur!X70*VLOOKUP('Données projet'!$B$9,Paramètres!$A$1:$I$89,3,0)*0.475*44/12</f>
        <v>8.6850895073501935</v>
      </c>
      <c r="AB70" s="21">
        <f>EXP(-LN(2)/2)*AB69+(1-EXP(-LN(2)/2))/(LN(2)/2)*V70*Y70*VLOOKUP('Données projet'!$B$9,Paramètres!$A$1:$I$89,3,0)*0.475*44/12</f>
        <v>7.6382606443595768E-5</v>
      </c>
      <c r="AC70" s="22">
        <f t="shared" si="57"/>
        <v>10.606032554999469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15.3</v>
      </c>
      <c r="AI70" s="13">
        <f>IF('Données projet'!$A$62&gt;35,AI69+AH70-AQ69,IF(A70&lt;'Données projet'!$A$62,$AF$205^A70,IF(A70='Données projet'!$A$62,'Données projet'!$B$62,AI69+AH70-AQ69)))</f>
        <v>577.09999999999945</v>
      </c>
      <c r="AJ70" s="13">
        <f>AI70*VLOOKUP('Données projet'!$B$10,Paramètres!$A$1:$I$89,3,0)*VLOOKUP('Données projet'!$B$10,Paramètres!$A$1:$I$89,5,0)</f>
        <v>277.58509999999973</v>
      </c>
      <c r="AK70" s="13">
        <f t="shared" si="89"/>
        <v>66.45641409880281</v>
      </c>
      <c r="AL70" s="20">
        <f t="shared" si="58"/>
        <v>599.2056370554144</v>
      </c>
      <c r="AM70" s="59">
        <f t="shared" si="59"/>
        <v>892.53897038874766</v>
      </c>
      <c r="AN70" s="59">
        <f ca="1">AVERAGE(OFFSET($AM$3,0,0,'Données projet'!$E$10+1,1))-AVERAGE(OFFSET($H$3,0,0,'Données projet'!$E$10+1,1))</f>
        <v>252.30925789500111</v>
      </c>
      <c r="AO70" s="59">
        <f t="shared" si="90"/>
        <v>213.96033794804805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2.2262726132105355</v>
      </c>
      <c r="AV70" s="21">
        <f>EXP(-LN(2)/25)*AV69+(1-EXP(-LN(2)/25))/(LN(2)/25)*Calculateur!AQ70*Calculateur!AS70*VLOOKUP('Données projet'!$B$10,Paramètres!$A$1:$I$89,3,0)*0.475*44/12</f>
        <v>3.308280289550515</v>
      </c>
      <c r="AW70" s="21">
        <f>EXP(-LN(2)/2)*AW69+(1-EXP(-LN(2)/2))/(LN(2)/2)*AQ70*AT70*VLOOKUP('Données projet'!$B$10,Paramètres!$A$1:$I$89,3,0)*0.475*44/12</f>
        <v>3.8781948263998072E-5</v>
      </c>
      <c r="AX70" s="21">
        <f t="shared" si="60"/>
        <v>5.5345916847093148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9.1999999999999993</v>
      </c>
      <c r="BD70" s="12">
        <f>IF('Données projet'!$A$88&gt;35,BD69+BC70-BL69,IF(A70&lt;'Données projet'!$A$88,$BA$205^A70,IF(A70='Données projet'!$A$88,'Données projet'!$B$88,BD69+BC70-BL69)))</f>
        <v>394.39999999999969</v>
      </c>
      <c r="BE70" s="13">
        <f>BD70*VLOOKUP('Données projet'!$B$11,Paramètres!$A$1:$I$89,3,0)*VLOOKUP('Données projet'!$B$11,Paramètres!$A$1:$I$89,5,0)</f>
        <v>235.85119999999984</v>
      </c>
      <c r="BF70" s="13">
        <f t="shared" si="91"/>
        <v>57.545992055843016</v>
      </c>
      <c r="BG70" s="20">
        <f t="shared" si="61"/>
        <v>511.0001094972597</v>
      </c>
      <c r="BH70" s="59">
        <f t="shared" si="62"/>
        <v>804.33344283059296</v>
      </c>
      <c r="BI70" s="59">
        <f ca="1">AVERAGE(OFFSET($BH$3,0,0,'Données projet'!$E$11+1,1))-AVERAGE(OFFSET($H$3,0,0,'Données projet'!$E$11+1,1))</f>
        <v>216.94426559495264</v>
      </c>
      <c r="BJ70" s="59">
        <f t="shared" si="92"/>
        <v>225.33715877618704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4.6063172258285388</v>
      </c>
      <c r="BR70" s="21">
        <f>EXP(-LN(2)/2)*BR69+(1-EXP(-LN(2)/2))/(LN(2)/2)*BL70*BO70*VLOOKUP('Données projet'!$B$11,Paramètres!$A$1:$I$89,3,0)*0.475*44/12</f>
        <v>6.4007535095189484E-5</v>
      </c>
      <c r="BS70" s="22">
        <f t="shared" si="63"/>
        <v>4.606381233363634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4.9000000000000004</v>
      </c>
      <c r="BY70" s="12">
        <f>IF('Données projet'!$A$114&gt;35,BY69+BX70-CG69,IF(A70&lt;'Données projet'!$A$114,$BV$205^A70,IF(A70='Données projet'!$A$114,'Données projet'!$B$114,BY69+BX70-CG69)))</f>
        <v>232.3</v>
      </c>
      <c r="BZ70" s="13">
        <f>BY70*VLOOKUP('Données projet'!$B$12,Paramètres!$A$1:$I$89,3,0)*VLOOKUP('Données projet'!$B$12,Paramètres!$A$1:$I$89,5,0)</f>
        <v>202.93728000000004</v>
      </c>
      <c r="CA70" s="13">
        <f t="shared" si="93"/>
        <v>50.389144197364736</v>
      </c>
      <c r="CB70" s="20">
        <f t="shared" si="64"/>
        <v>441.21018881041033</v>
      </c>
      <c r="CC70" s="59">
        <f t="shared" si="65"/>
        <v>734.54352214374364</v>
      </c>
      <c r="CD70" s="59">
        <f ca="1">AVERAGE(OFFSET($CC$3,0,0,'Données projet'!$E$12+1,1))-AVERAGE(OFFSET($H$3,0,0,'Données projet'!$E$12+1,1))</f>
        <v>223.81948236065614</v>
      </c>
      <c r="CE70" s="59">
        <f t="shared" si="94"/>
        <v>320.1204011431372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1.47682216325371</v>
      </c>
      <c r="CL70" s="21">
        <f>EXP(-LN(2)/25)*CL69+(1-EXP(-LN(2)/25))/(LN(2)/25)*Calculateur!CG70*Calculateur!CI70*VLOOKUP('Données projet'!$B$12,Paramètres!$A$1:$I$89,3,0)*0.475*44/12</f>
        <v>6.3425291488918019</v>
      </c>
      <c r="CM70" s="21">
        <f>EXP(-LN(2)/2)*CM69+(1-EXP(-LN(2)/2))/(LN(2)/2)*CG70*CJ70*VLOOKUP('Données projet'!$B$12,Paramètres!$A$1:$I$89,3,0)*0.475*44/12</f>
        <v>7.4906769288471105E-5</v>
      </c>
      <c r="CN70" s="22">
        <f t="shared" si="66"/>
        <v>7.8194262189148009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12.1</v>
      </c>
      <c r="N71" s="13">
        <f>IF('Données projet'!$A$36&gt;35,N70+M71-V70,IF(A71&lt;'Données projet'!$A$36,$K$205^A71,IF(A71='Données projet'!$A$36,'Données projet'!$B$36,N70+M71-V70)))</f>
        <v>525.79999999999995</v>
      </c>
      <c r="O71" s="13">
        <f>N71*VLOOKUP('Données projet'!$B$9,Paramètres!$A$1:$I$89,3,0)*VLOOKUP('Données projet'!$B$9,Paramètres!$A$1:$I$89,5,0)</f>
        <v>293.92219999999998</v>
      </c>
      <c r="P71" s="13">
        <f t="shared" si="87"/>
        <v>69.900809365323312</v>
      </c>
      <c r="Q71" s="20">
        <f t="shared" si="54"/>
        <v>633.65840797793805</v>
      </c>
      <c r="R71" s="59">
        <f t="shared" si="55"/>
        <v>926.99174131127143</v>
      </c>
      <c r="S71" s="59">
        <f ca="1">AVERAGE(OFFSET($R$3,0,0,'Données projet'!$E$9+1,1))-AVERAGE(OFFSET($H$3,0,0,'Données projet'!$E$9+1,1))</f>
        <v>279.98352834501759</v>
      </c>
      <c r="T71" s="59">
        <f t="shared" si="88"/>
        <v>281.30062655265488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1.8831996413543206</v>
      </c>
      <c r="AA71" s="21">
        <f>EXP(-LN(2)/25)*AA70+(1-EXP(-LN(2)/25))/(LN(2)/25)*Calculateur!V71*Calculateur!X71*VLOOKUP('Données projet'!$B$9,Paramètres!$A$1:$I$89,3,0)*0.475*44/12</f>
        <v>8.4475952780426962</v>
      </c>
      <c r="AB71" s="21">
        <f>EXP(-LN(2)/2)*AB70+(1-EXP(-LN(2)/2))/(LN(2)/2)*V71*Y71*VLOOKUP('Données projet'!$B$9,Paramètres!$A$1:$I$89,3,0)*0.475*44/12</f>
        <v>5.4010658980969849E-5</v>
      </c>
      <c r="AC71" s="22">
        <f t="shared" si="57"/>
        <v>10.330848930055998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15.3</v>
      </c>
      <c r="AI71" s="13">
        <f>IF('Données projet'!$A$62&gt;35,AI70+AH71-AQ70,IF(A71&lt;'Données projet'!$A$62,$AF$205^A71,IF(A71='Données projet'!$A$62,'Données projet'!$B$62,AI70+AH71-AQ70)))</f>
        <v>592.39999999999941</v>
      </c>
      <c r="AJ71" s="13">
        <f>AI71*VLOOKUP('Données projet'!$B$10,Paramètres!$A$1:$I$89,3,0)*VLOOKUP('Données projet'!$B$10,Paramètres!$A$1:$I$89,5,0)</f>
        <v>284.94439999999975</v>
      </c>
      <c r="AK71" s="13">
        <f t="shared" si="89"/>
        <v>68.010835859755218</v>
      </c>
      <c r="AL71" s="20">
        <f t="shared" si="58"/>
        <v>614.73036912240661</v>
      </c>
      <c r="AM71" s="59">
        <f t="shared" si="59"/>
        <v>908.06370245573999</v>
      </c>
      <c r="AN71" s="59">
        <f ca="1">AVERAGE(OFFSET($AM$3,0,0,'Données projet'!$E$10+1,1))-AVERAGE(OFFSET($H$3,0,0,'Données projet'!$E$10+1,1))</f>
        <v>252.30925789500111</v>
      </c>
      <c r="AO71" s="59">
        <f t="shared" si="90"/>
        <v>213.96033794804805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2.1826167651576904</v>
      </c>
      <c r="AV71" s="21">
        <f>EXP(-LN(2)/25)*AV70+(1-EXP(-LN(2)/25))/(LN(2)/25)*Calculateur!AQ71*Calculateur!AS71*VLOOKUP('Données projet'!$B$10,Paramètres!$A$1:$I$89,3,0)*0.475*44/12</f>
        <v>3.217815191057857</v>
      </c>
      <c r="AW71" s="21">
        <f>EXP(-LN(2)/2)*AW70+(1-EXP(-LN(2)/2))/(LN(2)/2)*AQ71*AT71*VLOOKUP('Données projet'!$B$10,Paramètres!$A$1:$I$89,3,0)*0.475*44/12</f>
        <v>2.7422978605098892E-5</v>
      </c>
      <c r="AX71" s="21">
        <f t="shared" si="60"/>
        <v>5.4004593791941522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9.1999999999999993</v>
      </c>
      <c r="BD71" s="12">
        <f>IF('Données projet'!$A$88&gt;35,BD70+BC71-BL70,IF(A71&lt;'Données projet'!$A$88,$BA$205^A71,IF(A71='Données projet'!$A$88,'Données projet'!$B$88,BD70+BC71-BL70)))</f>
        <v>403.59999999999968</v>
      </c>
      <c r="BE71" s="13">
        <f>BD71*VLOOKUP('Données projet'!$B$11,Paramètres!$A$1:$I$89,3,0)*VLOOKUP('Données projet'!$B$11,Paramètres!$A$1:$I$89,5,0)</f>
        <v>241.35279999999983</v>
      </c>
      <c r="BF71" s="13">
        <f t="shared" si="91"/>
        <v>58.730496708031964</v>
      </c>
      <c r="BG71" s="20">
        <f t="shared" si="61"/>
        <v>522.64507509982207</v>
      </c>
      <c r="BH71" s="59">
        <f t="shared" si="62"/>
        <v>815.97840843315544</v>
      </c>
      <c r="BI71" s="59">
        <f ca="1">AVERAGE(OFFSET($BH$3,0,0,'Données projet'!$E$11+1,1))-AVERAGE(OFFSET($H$3,0,0,'Données projet'!$E$11+1,1))</f>
        <v>216.94426559495264</v>
      </c>
      <c r="BJ71" s="59">
        <f t="shared" si="92"/>
        <v>225.33715877618704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4.4803572390525623</v>
      </c>
      <c r="BR71" s="21">
        <f>EXP(-LN(2)/2)*BR70+(1-EXP(-LN(2)/2))/(LN(2)/2)*BL71*BO71*VLOOKUP('Données projet'!$B$11,Paramètres!$A$1:$I$89,3,0)*0.475*44/12</f>
        <v>4.5260162112844413E-5</v>
      </c>
      <c r="BS71" s="22">
        <f t="shared" si="63"/>
        <v>4.4804024992146756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4.9000000000000004</v>
      </c>
      <c r="BY71" s="12">
        <f>IF('Données projet'!$A$114&gt;35,BY70+BX71-CG70,IF(A71&lt;'Données projet'!$A$114,$BV$205^A71,IF(A71='Données projet'!$A$114,'Données projet'!$B$114,BY70+BX71-CG70)))</f>
        <v>237.20000000000002</v>
      </c>
      <c r="BZ71" s="13">
        <f>BY71*VLOOKUP('Données projet'!$B$12,Paramètres!$A$1:$I$89,3,0)*VLOOKUP('Données projet'!$B$12,Paramètres!$A$1:$I$89,5,0)</f>
        <v>207.21792000000005</v>
      </c>
      <c r="CA71" s="13">
        <f t="shared" si="93"/>
        <v>51.327160141561521</v>
      </c>
      <c r="CB71" s="20">
        <f t="shared" si="64"/>
        <v>450.29934791321972</v>
      </c>
      <c r="CC71" s="59">
        <f t="shared" si="65"/>
        <v>743.63268124655303</v>
      </c>
      <c r="CD71" s="59">
        <f ca="1">AVERAGE(OFFSET($CC$3,0,0,'Données projet'!$E$12+1,1))-AVERAGE(OFFSET($H$3,0,0,'Données projet'!$E$12+1,1))</f>
        <v>223.81948236065614</v>
      </c>
      <c r="CE71" s="59">
        <f t="shared" si="94"/>
        <v>320.1204011431372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1.4478625814048804</v>
      </c>
      <c r="CL71" s="21">
        <f>EXP(-LN(2)/25)*CL70+(1-EXP(-LN(2)/25))/(LN(2)/25)*Calculateur!CG71*Calculateur!CI71*VLOOKUP('Données projet'!$B$12,Paramètres!$A$1:$I$89,3,0)*0.475*44/12</f>
        <v>6.169092355776244</v>
      </c>
      <c r="CM71" s="21">
        <f>EXP(-LN(2)/2)*CM70+(1-EXP(-LN(2)/2))/(LN(2)/2)*CG71*CJ71*VLOOKUP('Données projet'!$B$12,Paramètres!$A$1:$I$89,3,0)*0.475*44/12</f>
        <v>5.2967084520654137E-5</v>
      </c>
      <c r="CN71" s="22">
        <f t="shared" si="66"/>
        <v>7.6170079042656456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12.1</v>
      </c>
      <c r="N72" s="13">
        <f>IF('Données projet'!$A$36&gt;35,N71+M72-V71,IF(A72&lt;'Données projet'!$A$36,$K$205^A72,IF(A72='Données projet'!$A$36,'Données projet'!$B$36,N71+M72-V71)))</f>
        <v>537.9</v>
      </c>
      <c r="O72" s="13">
        <f>N72*VLOOKUP('Données projet'!$B$9,Paramètres!$A$1:$I$89,3,0)*VLOOKUP('Données projet'!$B$9,Paramètres!$A$1:$I$89,5,0)</f>
        <v>300.68610000000001</v>
      </c>
      <c r="P72" s="13">
        <f t="shared" si="87"/>
        <v>71.320277260703975</v>
      </c>
      <c r="Q72" s="20">
        <f t="shared" si="54"/>
        <v>647.91110706239272</v>
      </c>
      <c r="R72" s="59">
        <f t="shared" si="55"/>
        <v>941.24444039572609</v>
      </c>
      <c r="S72" s="59">
        <f ca="1">AVERAGE(OFFSET($R$3,0,0,'Données projet'!$E$9+1,1))-AVERAGE(OFFSET($H$3,0,0,'Données projet'!$E$9+1,1))</f>
        <v>279.98352834501759</v>
      </c>
      <c r="T72" s="59">
        <f t="shared" si="88"/>
        <v>281.30062655265488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1.846271245025725</v>
      </c>
      <c r="AA72" s="21">
        <f>EXP(-LN(2)/25)*AA71+(1-EXP(-LN(2)/25))/(LN(2)/25)*Calculateur!V72*Calculateur!X72*VLOOKUP('Données projet'!$B$9,Paramètres!$A$1:$I$89,3,0)*0.475*44/12</f>
        <v>8.21659534092489</v>
      </c>
      <c r="AB72" s="21">
        <f>EXP(-LN(2)/2)*AB71+(1-EXP(-LN(2)/2))/(LN(2)/2)*V72*Y72*VLOOKUP('Données projet'!$B$9,Paramètres!$A$1:$I$89,3,0)*0.475*44/12</f>
        <v>3.8191303221797884E-5</v>
      </c>
      <c r="AC72" s="22">
        <f t="shared" si="57"/>
        <v>10.062904777253838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15.3</v>
      </c>
      <c r="AI72" s="13">
        <f>IF('Données projet'!$A$62&gt;35,AI71+AH72-AQ71,IF(A72&lt;'Données projet'!$A$62,$AF$205^A72,IF(A72='Données projet'!$A$62,'Données projet'!$B$62,AI71+AH72-AQ71)))</f>
        <v>607.69999999999936</v>
      </c>
      <c r="AJ72" s="13">
        <f>AI72*VLOOKUP('Données projet'!$B$10,Paramètres!$A$1:$I$89,3,0)*VLOOKUP('Données projet'!$B$10,Paramètres!$A$1:$I$89,5,0)</f>
        <v>292.30369999999971</v>
      </c>
      <c r="AK72" s="13">
        <f t="shared" si="89"/>
        <v>69.560591063292193</v>
      </c>
      <c r="AL72" s="20">
        <f t="shared" si="58"/>
        <v>630.24697360189998</v>
      </c>
      <c r="AM72" s="59">
        <f t="shared" si="59"/>
        <v>923.58030693523324</v>
      </c>
      <c r="AN72" s="59">
        <f ca="1">AVERAGE(OFFSET($AM$3,0,0,'Données projet'!$E$10+1,1))-AVERAGE(OFFSET($H$3,0,0,'Données projet'!$E$10+1,1))</f>
        <v>252.30925789500111</v>
      </c>
      <c r="AO72" s="59">
        <f t="shared" si="90"/>
        <v>213.96033794804805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2.1398169816577233</v>
      </c>
      <c r="AV72" s="21">
        <f>EXP(-LN(2)/25)*AV71+(1-EXP(-LN(2)/25))/(LN(2)/25)*Calculateur!AQ72*Calculateur!AS72*VLOOKUP('Données projet'!$B$10,Paramètres!$A$1:$I$89,3,0)*0.475*44/12</f>
        <v>3.1298238654408332</v>
      </c>
      <c r="AW72" s="21">
        <f>EXP(-LN(2)/2)*AW71+(1-EXP(-LN(2)/2))/(LN(2)/2)*AQ72*AT72*VLOOKUP('Données projet'!$B$10,Paramètres!$A$1:$I$89,3,0)*0.475*44/12</f>
        <v>1.9390974131999036E-5</v>
      </c>
      <c r="AX72" s="21">
        <f t="shared" si="60"/>
        <v>5.2696602380726887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9.1999999999999993</v>
      </c>
      <c r="BD72" s="12">
        <f>IF('Données projet'!$A$88&gt;35,BD71+BC72-BL71,IF(A72&lt;'Données projet'!$A$88,$BA$205^A72,IF(A72='Données projet'!$A$88,'Données projet'!$B$88,BD71+BC72-BL71)))</f>
        <v>412.79999999999967</v>
      </c>
      <c r="BE72" s="13">
        <f>BD72*VLOOKUP('Données projet'!$B$11,Paramètres!$A$1:$I$89,3,0)*VLOOKUP('Données projet'!$B$11,Paramètres!$A$1:$I$89,5,0)</f>
        <v>246.85439999999983</v>
      </c>
      <c r="BF72" s="13">
        <f t="shared" si="91"/>
        <v>59.911862368716115</v>
      </c>
      <c r="BG72" s="20">
        <f t="shared" si="61"/>
        <v>534.28457362551364</v>
      </c>
      <c r="BH72" s="59">
        <f t="shared" si="62"/>
        <v>827.61790695884702</v>
      </c>
      <c r="BI72" s="59">
        <f ca="1">AVERAGE(OFFSET($BH$3,0,0,'Données projet'!$E$11+1,1))-AVERAGE(OFFSET($H$3,0,0,'Données projet'!$E$11+1,1))</f>
        <v>216.94426559495264</v>
      </c>
      <c r="BJ72" s="59">
        <f t="shared" si="92"/>
        <v>225.33715877618704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4.3578416347389224</v>
      </c>
      <c r="BR72" s="21">
        <f>EXP(-LN(2)/2)*BR71+(1-EXP(-LN(2)/2))/(LN(2)/2)*BL72*BO72*VLOOKUP('Données projet'!$B$11,Paramètres!$A$1:$I$89,3,0)*0.475*44/12</f>
        <v>3.2003767547594742E-5</v>
      </c>
      <c r="BS72" s="22">
        <f t="shared" si="63"/>
        <v>4.3578736385064696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4.9000000000000004</v>
      </c>
      <c r="BY72" s="12">
        <f>IF('Données projet'!$A$114&gt;35,BY71+BX72-CG71,IF(A72&lt;'Données projet'!$A$114,$BV$205^A72,IF(A72='Données projet'!$A$114,'Données projet'!$B$114,BY71+BX72-CG71)))</f>
        <v>242.10000000000002</v>
      </c>
      <c r="BZ72" s="13">
        <f>BY72*VLOOKUP('Données projet'!$B$12,Paramètres!$A$1:$I$89,3,0)*VLOOKUP('Données projet'!$B$12,Paramètres!$A$1:$I$89,5,0)</f>
        <v>211.49856000000005</v>
      </c>
      <c r="CA72" s="13">
        <f t="shared" si="93"/>
        <v>52.262923116788812</v>
      </c>
      <c r="CB72" s="20">
        <f t="shared" si="64"/>
        <v>459.38458309507399</v>
      </c>
      <c r="CC72" s="59">
        <f t="shared" si="65"/>
        <v>752.71791642840731</v>
      </c>
      <c r="CD72" s="59">
        <f ca="1">AVERAGE(OFFSET($CC$3,0,0,'Données projet'!$E$12+1,1))-AVERAGE(OFFSET($H$3,0,0,'Données projet'!$E$12+1,1))</f>
        <v>223.81948236065614</v>
      </c>
      <c r="CE72" s="59">
        <f t="shared" si="94"/>
        <v>320.1204011431372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1.4194708792925057</v>
      </c>
      <c r="CL72" s="21">
        <f>EXP(-LN(2)/25)*CL71+(1-EXP(-LN(2)/25))/(LN(2)/25)*Calculateur!CG72*Calculateur!CI72*VLOOKUP('Données projet'!$B$12,Paramètres!$A$1:$I$89,3,0)*0.475*44/12</f>
        <v>6.0003982008890757</v>
      </c>
      <c r="CM72" s="21">
        <f>EXP(-LN(2)/2)*CM71+(1-EXP(-LN(2)/2))/(LN(2)/2)*CG72*CJ72*VLOOKUP('Données projet'!$B$12,Paramètres!$A$1:$I$89,3,0)*0.475*44/12</f>
        <v>3.7453384644235552E-5</v>
      </c>
      <c r="CN72" s="22">
        <f t="shared" si="66"/>
        <v>7.419906533566226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550</v>
      </c>
      <c r="L73" s="12">
        <f>VLOOKUP(A73,'Données projet'!$A$35:$I$55,9,0)</f>
        <v>12.1</v>
      </c>
      <c r="M73" s="12">
        <f t="array" ref="M73">INDEX(L:L,MIN(IF(ISNUMBER(L73:L269),ROW(L73:L269),"")))</f>
        <v>12.1</v>
      </c>
      <c r="N73" s="13">
        <f>IF('Données projet'!$A$36&gt;35,N72+M73-V72,IF(A73&lt;'Données projet'!$A$36,$K$205^A73,IF(A73='Données projet'!$A$36,'Données projet'!$B$36,N72+M73-V72)))</f>
        <v>550</v>
      </c>
      <c r="O73" s="13">
        <f>N73*VLOOKUP('Données projet'!$B$9,Paramètres!$A$1:$I$89,3,0)*VLOOKUP('Données projet'!$B$9,Paramètres!$A$1:$I$89,5,0)</f>
        <v>307.45</v>
      </c>
      <c r="P73" s="13">
        <f t="shared" si="87"/>
        <v>72.736032945200179</v>
      </c>
      <c r="Q73" s="20">
        <f t="shared" si="54"/>
        <v>662.15734071289023</v>
      </c>
      <c r="R73" s="59">
        <f t="shared" si="55"/>
        <v>955.4906740462236</v>
      </c>
      <c r="S73" s="59">
        <f ca="1">AVERAGE(OFFSET($R$3,0,0,'Données projet'!$E$9+1,1))-AVERAGE(OFFSET($H$3,0,0,'Données projet'!$E$9+1,1))</f>
        <v>279.98352834501759</v>
      </c>
      <c r="T73" s="59">
        <f t="shared" si="88"/>
        <v>281.30062655265488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61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1.8100669920250354</v>
      </c>
      <c r="AA73" s="21">
        <f>EXP(-LN(2)/25)*AA72+(1-EXP(-LN(2)/25))/(LN(2)/25)*Calculateur!V73*Calculateur!X73*VLOOKUP('Données projet'!$B$9,Paramètres!$A$1:$I$89,3,0)*0.475*44/12</f>
        <v>7.9919121092353294</v>
      </c>
      <c r="AB73" s="21">
        <f>EXP(-LN(2)/2)*AB72+(1-EXP(-LN(2)/2))/(LN(2)/2)*V73*Y73*VLOOKUP('Données projet'!$B$9,Paramètres!$A$1:$I$89,3,0)*0.475*44/12</f>
        <v>2.7005329490484924E-5</v>
      </c>
      <c r="AC73" s="22">
        <f t="shared" si="57"/>
        <v>9.8020061065898556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623</v>
      </c>
      <c r="AG73" s="12">
        <f>VLOOKUP(A73,'Données projet'!$A$61:$I$81,9,0)</f>
        <v>15.3</v>
      </c>
      <c r="AH73" s="12">
        <f t="array" ref="AH73">INDEX(AG:AG,MIN(IF(ISNUMBER(AG73:AG269),ROW(AG73:AG269),"")))</f>
        <v>15.3</v>
      </c>
      <c r="AI73" s="13">
        <f>IF('Données projet'!$A$62&gt;35,AI72+AH73-AQ72,IF(A73&lt;'Données projet'!$A$62,$AF$205^A73,IF(A73='Données projet'!$A$62,'Données projet'!$B$62,AI72+AH73-AQ72)))</f>
        <v>622.99999999999932</v>
      </c>
      <c r="AJ73" s="13">
        <f>AI73*VLOOKUP('Données projet'!$B$10,Paramètres!$A$1:$I$89,3,0)*VLOOKUP('Données projet'!$B$10,Paramètres!$A$1:$I$89,5,0)</f>
        <v>299.66299999999967</v>
      </c>
      <c r="AK73" s="13">
        <f t="shared" si="89"/>
        <v>71.105810710609106</v>
      </c>
      <c r="AL73" s="20">
        <f t="shared" si="58"/>
        <v>645.75567865431015</v>
      </c>
      <c r="AM73" s="59">
        <f t="shared" si="59"/>
        <v>939.08901198764352</v>
      </c>
      <c r="AN73" s="59">
        <f ca="1">AVERAGE(OFFSET($AM$3,0,0,'Données projet'!$E$10+1,1))-AVERAGE(OFFSET($H$3,0,0,'Données projet'!$E$10+1,1))</f>
        <v>252.30925789500111</v>
      </c>
      <c r="AO73" s="59">
        <f t="shared" si="90"/>
        <v>213.96033794804805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78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2.0978564758069003</v>
      </c>
      <c r="AV73" s="21">
        <f>EXP(-LN(2)/25)*AV72+(1-EXP(-LN(2)/25))/(LN(2)/25)*Calculateur!AQ73*Calculateur!AS73*VLOOKUP('Données projet'!$B$10,Paramètres!$A$1:$I$89,3,0)*0.475*44/12</f>
        <v>3.0442386672500699</v>
      </c>
      <c r="AW73" s="21">
        <f>EXP(-LN(2)/2)*AW72+(1-EXP(-LN(2)/2))/(LN(2)/2)*AQ73*AT73*VLOOKUP('Données projet'!$B$10,Paramètres!$A$1:$I$89,3,0)*0.475*44/12</f>
        <v>1.3711489302549446E-5</v>
      </c>
      <c r="AX73" s="21">
        <f t="shared" si="60"/>
        <v>5.1421088545462723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422</v>
      </c>
      <c r="BB73" s="12">
        <f>VLOOKUP(A73,'Données projet'!$A$87:$I$107,9,0)</f>
        <v>9.1999999999999993</v>
      </c>
      <c r="BC73" s="12">
        <f t="array" ref="BC73">INDEX(BB:BB,MIN(IF(ISNUMBER(BB73:BB269),ROW(BB73:BB269),"")))</f>
        <v>9.1999999999999993</v>
      </c>
      <c r="BD73" s="12">
        <f>IF('Données projet'!$A$88&gt;35,BD72+BC73-BL72,IF(A73&lt;'Données projet'!$A$88,$BA$205^A73,IF(A73='Données projet'!$A$88,'Données projet'!$B$88,BD72+BC73-BL72)))</f>
        <v>421.99999999999966</v>
      </c>
      <c r="BE73" s="13">
        <f>BD73*VLOOKUP('Données projet'!$B$11,Paramètres!$A$1:$I$89,3,0)*VLOOKUP('Données projet'!$B$11,Paramètres!$A$1:$I$89,5,0)</f>
        <v>252.35599999999982</v>
      </c>
      <c r="BF73" s="13">
        <f t="shared" si="91"/>
        <v>61.090167050998701</v>
      </c>
      <c r="BG73" s="20">
        <f t="shared" si="61"/>
        <v>545.9187409471557</v>
      </c>
      <c r="BH73" s="59">
        <f t="shared" si="62"/>
        <v>839.25207428048907</v>
      </c>
      <c r="BI73" s="59">
        <f ca="1">AVERAGE(OFFSET($BH$3,0,0,'Données projet'!$E$11+1,1))-AVERAGE(OFFSET($H$3,0,0,'Données projet'!$E$11+1,1))</f>
        <v>216.94426559495264</v>
      </c>
      <c r="BJ73" s="59">
        <f t="shared" si="92"/>
        <v>225.33715877618704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44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4.2386762260680548</v>
      </c>
      <c r="BR73" s="21">
        <f>EXP(-LN(2)/2)*BR72+(1-EXP(-LN(2)/2))/(LN(2)/2)*BL73*BO73*VLOOKUP('Données projet'!$B$11,Paramètres!$A$1:$I$89,3,0)*0.475*44/12</f>
        <v>2.2630081056422206E-5</v>
      </c>
      <c r="BS73" s="22">
        <f t="shared" si="63"/>
        <v>4.238698856149111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247</v>
      </c>
      <c r="BW73" s="12">
        <f>VLOOKUP(A73,'Données projet'!$A$113:$I$133,9,0)</f>
        <v>4.9000000000000004</v>
      </c>
      <c r="BX73" s="12">
        <f t="array" ref="BX73">INDEX(BW:BW,MIN(IF(ISNUMBER(BW73:BW269),ROW(BW73:BW269),"")))</f>
        <v>4.9000000000000004</v>
      </c>
      <c r="BY73" s="12">
        <f>IF('Données projet'!$A$114&gt;35,BY72+BX73-CG72,IF(A73&lt;'Données projet'!$A$114,$BV$205^A73,IF(A73='Données projet'!$A$114,'Données projet'!$B$114,BY72+BX73-CG72)))</f>
        <v>247.00000000000003</v>
      </c>
      <c r="BZ73" s="13">
        <f>BY73*VLOOKUP('Données projet'!$B$12,Paramètres!$A$1:$I$89,3,0)*VLOOKUP('Données projet'!$B$12,Paramètres!$A$1:$I$89,5,0)</f>
        <v>215.77920000000003</v>
      </c>
      <c r="CA73" s="13">
        <f t="shared" si="93"/>
        <v>53.196483976998607</v>
      </c>
      <c r="CB73" s="20">
        <f t="shared" si="64"/>
        <v>468.46598292660593</v>
      </c>
      <c r="CC73" s="59">
        <f t="shared" si="65"/>
        <v>761.79931625993925</v>
      </c>
      <c r="CD73" s="59">
        <f ca="1">AVERAGE(OFFSET($CC$3,0,0,'Données projet'!$E$12+1,1))-AVERAGE(OFFSET($H$3,0,0,'Données projet'!$E$12+1,1))</f>
        <v>223.81948236065614</v>
      </c>
      <c r="CE73" s="59">
        <f t="shared" si="94"/>
        <v>320.1204011431372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37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1.3916359211413263</v>
      </c>
      <c r="CL73" s="21">
        <f>EXP(-LN(2)/25)*CL72+(1-EXP(-LN(2)/25))/(LN(2)/25)*Calculateur!CG73*Calculateur!CI73*VLOOKUP('Données projet'!$B$12,Paramètres!$A$1:$I$89,3,0)*0.475*44/12</f>
        <v>5.8363169965385371</v>
      </c>
      <c r="CM73" s="21">
        <f>EXP(-LN(2)/2)*CM72+(1-EXP(-LN(2)/2))/(LN(2)/2)*CG73*CJ73*VLOOKUP('Données projet'!$B$12,Paramètres!$A$1:$I$89,3,0)*0.475*44/12</f>
        <v>2.6483542260327068E-5</v>
      </c>
      <c r="CN73" s="22">
        <f t="shared" si="66"/>
        <v>7.2279794012221235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9.3000000000000007</v>
      </c>
      <c r="N74" s="13">
        <f>IF('Données projet'!$A$36&gt;35,N73+M74-V73,IF(A74&lt;'Données projet'!$A$36,$K$205^A74,IF(A74='Données projet'!$A$36,'Données projet'!$B$36,N73+M74-V73)))</f>
        <v>498.29999999999995</v>
      </c>
      <c r="O74" s="13">
        <f>N74*VLOOKUP('Données projet'!$B$9,Paramètres!$A$1:$I$89,3,0)*VLOOKUP('Données projet'!$B$9,Paramètres!$A$1:$I$89,5,0)</f>
        <v>278.54969999999997</v>
      </c>
      <c r="P74" s="13">
        <f t="shared" si="87"/>
        <v>66.660426228305411</v>
      </c>
      <c r="Q74" s="20">
        <f t="shared" si="54"/>
        <v>601.24096984763185</v>
      </c>
      <c r="R74" s="59">
        <f t="shared" si="55"/>
        <v>894.57430318096522</v>
      </c>
      <c r="S74" s="59">
        <f ca="1">AVERAGE(OFFSET($R$3,0,0,'Données projet'!$E$9+1,1))-AVERAGE(OFFSET($H$3,0,0,'Données projet'!$E$9+1,1))</f>
        <v>279.98352834501759</v>
      </c>
      <c r="T74" s="59">
        <f t="shared" si="88"/>
        <v>281.30062655265488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1.7745726823432755</v>
      </c>
      <c r="AA74" s="21">
        <f>EXP(-LN(2)/25)*AA73+(1-EXP(-LN(2)/25))/(LN(2)/25)*Calculateur!V74*Calculateur!X74*VLOOKUP('Données projet'!$B$9,Paramètres!$A$1:$I$89,3,0)*0.475*44/12</f>
        <v>7.7733728523318968</v>
      </c>
      <c r="AB74" s="21">
        <f>EXP(-LN(2)/2)*AB73+(1-EXP(-LN(2)/2))/(LN(2)/2)*V74*Y74*VLOOKUP('Données projet'!$B$9,Paramètres!$A$1:$I$89,3,0)*0.475*44/12</f>
        <v>1.9095651610898942E-5</v>
      </c>
      <c r="AC74" s="22">
        <f t="shared" si="57"/>
        <v>9.5479646303267831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13.3</v>
      </c>
      <c r="AI74" s="13">
        <f>IF('Données projet'!$A$62&gt;35,AI73+AH74-AQ73,IF(A74&lt;'Données projet'!$A$62,$AF$205^A74,IF(A74='Données projet'!$A$62,'Données projet'!$B$62,AI73+AH74-AQ73)))</f>
        <v>558.29999999999927</v>
      </c>
      <c r="AJ74" s="13">
        <f>AI74*VLOOKUP('Données projet'!$B$10,Paramètres!$A$1:$I$89,3,0)*VLOOKUP('Données projet'!$B$10,Paramètres!$A$1:$I$89,5,0)</f>
        <v>268.54229999999967</v>
      </c>
      <c r="AK74" s="13">
        <f t="shared" si="89"/>
        <v>64.53981115621778</v>
      </c>
      <c r="AL74" s="20">
        <f t="shared" si="58"/>
        <v>580.11801026374542</v>
      </c>
      <c r="AM74" s="59">
        <f t="shared" si="59"/>
        <v>873.45134359707868</v>
      </c>
      <c r="AN74" s="59">
        <f ca="1">AVERAGE(OFFSET($AM$3,0,0,'Données projet'!$E$10+1,1))-AVERAGE(OFFSET($H$3,0,0,'Données projet'!$E$10+1,1))</f>
        <v>252.30925789500111</v>
      </c>
      <c r="AO74" s="59">
        <f t="shared" si="90"/>
        <v>213.96033794804805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2.0567187898824306</v>
      </c>
      <c r="AV74" s="21">
        <f>EXP(-LN(2)/25)*AV73+(1-EXP(-LN(2)/25))/(LN(2)/25)*Calculateur!AQ74*Calculateur!AS74*VLOOKUP('Données projet'!$B$10,Paramètres!$A$1:$I$89,3,0)*0.475*44/12</f>
        <v>2.9609938008045629</v>
      </c>
      <c r="AW74" s="21">
        <f>EXP(-LN(2)/2)*AW73+(1-EXP(-LN(2)/2))/(LN(2)/2)*AQ74*AT74*VLOOKUP('Données projet'!$B$10,Paramètres!$A$1:$I$89,3,0)*0.475*44/12</f>
        <v>9.6954870659995181E-6</v>
      </c>
      <c r="AX74" s="21">
        <f t="shared" si="60"/>
        <v>5.0177222861740596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7.2</v>
      </c>
      <c r="BD74" s="12">
        <f>IF('Données projet'!$A$88&gt;35,BD73+BC74-BL73,IF(A74&lt;'Données projet'!$A$88,$BA$205^A74,IF(A74='Données projet'!$A$88,'Données projet'!$B$88,BD73+BC74-BL73)))</f>
        <v>385.19999999999965</v>
      </c>
      <c r="BE74" s="13">
        <f>BD74*VLOOKUP('Données projet'!$B$11,Paramètres!$A$1:$I$89,3,0)*VLOOKUP('Données projet'!$B$11,Paramètres!$A$1:$I$89,5,0)</f>
        <v>230.34959999999978</v>
      </c>
      <c r="BF74" s="13">
        <f t="shared" si="91"/>
        <v>56.358266541426261</v>
      </c>
      <c r="BG74" s="20">
        <f t="shared" si="61"/>
        <v>499.34953422631702</v>
      </c>
      <c r="BH74" s="59">
        <f t="shared" si="62"/>
        <v>792.68286755965028</v>
      </c>
      <c r="BI74" s="59">
        <f ca="1">AVERAGE(OFFSET($BH$3,0,0,'Données projet'!$E$11+1,1))-AVERAGE(OFFSET($H$3,0,0,'Données projet'!$E$11+1,1))</f>
        <v>216.94426559495264</v>
      </c>
      <c r="BJ74" s="59">
        <f t="shared" si="92"/>
        <v>225.33715877618704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4.1227694017639287</v>
      </c>
      <c r="BR74" s="21">
        <f>EXP(-LN(2)/2)*BR73+(1-EXP(-LN(2)/2))/(LN(2)/2)*BL74*BO74*VLOOKUP('Données projet'!$B$11,Paramètres!$A$1:$I$89,3,0)*0.475*44/12</f>
        <v>1.6001883773797371E-5</v>
      </c>
      <c r="BS74" s="22">
        <f t="shared" si="63"/>
        <v>4.1227854036477023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3.7</v>
      </c>
      <c r="BY74" s="12">
        <f>IF('Données projet'!$A$114&gt;35,BY73+BX74-CG73,IF(A74&lt;'Données projet'!$A$114,$BV$205^A74,IF(A74='Données projet'!$A$114,'Données projet'!$B$114,BY73+BX74-CG73)))</f>
        <v>213.70000000000002</v>
      </c>
      <c r="BZ74" s="13">
        <f>BY74*VLOOKUP('Données projet'!$B$12,Paramètres!$A$1:$I$89,3,0)*VLOOKUP('Données projet'!$B$12,Paramètres!$A$1:$I$89,5,0)</f>
        <v>186.68832000000003</v>
      </c>
      <c r="CA74" s="13">
        <f t="shared" si="93"/>
        <v>46.80703983760791</v>
      </c>
      <c r="CB74" s="20">
        <f t="shared" si="64"/>
        <v>406.67108505050049</v>
      </c>
      <c r="CC74" s="59">
        <f t="shared" si="65"/>
        <v>700.00441838383381</v>
      </c>
      <c r="CD74" s="59">
        <f ca="1">AVERAGE(OFFSET($CC$3,0,0,'Données projet'!$E$12+1,1))-AVERAGE(OFFSET($H$3,0,0,'Données projet'!$E$12+1,1))</f>
        <v>223.81948236065614</v>
      </c>
      <c r="CE74" s="59">
        <f t="shared" si="94"/>
        <v>320.1204011431372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1.3643467895418433</v>
      </c>
      <c r="CL74" s="21">
        <f>EXP(-LN(2)/25)*CL73+(1-EXP(-LN(2)/25))/(LN(2)/25)*Calculateur!CG74*Calculateur!CI74*VLOOKUP('Données projet'!$B$12,Paramètres!$A$1:$I$89,3,0)*0.475*44/12</f>
        <v>5.6767226013496188</v>
      </c>
      <c r="CM74" s="21">
        <f>EXP(-LN(2)/2)*CM73+(1-EXP(-LN(2)/2))/(LN(2)/2)*CG74*CJ74*VLOOKUP('Données projet'!$B$12,Paramètres!$A$1:$I$89,3,0)*0.475*44/12</f>
        <v>1.8726692322117776E-5</v>
      </c>
      <c r="CN74" s="22">
        <f t="shared" si="66"/>
        <v>7.0410881175837838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9.3000000000000007</v>
      </c>
      <c r="N75" s="13">
        <f>IF('Données projet'!$A$36&gt;35,N74+M75-V74,IF(A75&lt;'Données projet'!$A$36,$K$205^A75,IF(A75='Données projet'!$A$36,'Données projet'!$B$36,N74+M75-V74)))</f>
        <v>507.59999999999997</v>
      </c>
      <c r="O75" s="13">
        <f>N75*VLOOKUP('Données projet'!$B$9,Paramètres!$A$1:$I$89,3,0)*VLOOKUP('Données projet'!$B$9,Paramètres!$A$1:$I$89,5,0)</f>
        <v>283.74839999999995</v>
      </c>
      <c r="P75" s="13">
        <f t="shared" si="87"/>
        <v>67.758539422912406</v>
      </c>
      <c r="Q75" s="20">
        <f t="shared" si="54"/>
        <v>612.2079194949057</v>
      </c>
      <c r="R75" s="59">
        <f t="shared" si="55"/>
        <v>905.54125282823907</v>
      </c>
      <c r="S75" s="59">
        <f ca="1">AVERAGE(OFFSET($R$3,0,0,'Données projet'!$E$9+1,1))-AVERAGE(OFFSET($H$3,0,0,'Données projet'!$E$9+1,1))</f>
        <v>279.98352834501759</v>
      </c>
      <c r="T75" s="59">
        <f t="shared" si="88"/>
        <v>281.30062655265488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1.7397743944249837</v>
      </c>
      <c r="AA75" s="21">
        <f>EXP(-LN(2)/25)*AA74+(1-EXP(-LN(2)/25))/(LN(2)/25)*Calculateur!V75*Calculateur!X75*VLOOKUP('Données projet'!$B$9,Paramètres!$A$1:$I$89,3,0)*0.475*44/12</f>
        <v>7.5608095629009693</v>
      </c>
      <c r="AB75" s="21">
        <f>EXP(-LN(2)/2)*AB74+(1-EXP(-LN(2)/2))/(LN(2)/2)*V75*Y75*VLOOKUP('Données projet'!$B$9,Paramètres!$A$1:$I$89,3,0)*0.475*44/12</f>
        <v>1.3502664745242462E-5</v>
      </c>
      <c r="AC75" s="22">
        <f t="shared" si="57"/>
        <v>9.3005974599906978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13.3</v>
      </c>
      <c r="AI75" s="13">
        <f>IF('Données projet'!$A$62&gt;35,AI74+AH75-AQ74,IF(A75&lt;'Données projet'!$A$62,$AF$205^A75,IF(A75='Données projet'!$A$62,'Données projet'!$B$62,AI74+AH75-AQ74)))</f>
        <v>571.59999999999923</v>
      </c>
      <c r="AJ75" s="13">
        <f>AI75*VLOOKUP('Données projet'!$B$10,Paramètres!$A$1:$I$89,3,0)*VLOOKUP('Données projet'!$B$10,Paramètres!$A$1:$I$89,5,0)</f>
        <v>274.93959999999964</v>
      </c>
      <c r="AK75" s="13">
        <f t="shared" si="89"/>
        <v>65.896468407085521</v>
      </c>
      <c r="AL75" s="20">
        <f t="shared" si="58"/>
        <v>593.62281914234006</v>
      </c>
      <c r="AM75" s="59">
        <f t="shared" si="59"/>
        <v>886.95615247567343</v>
      </c>
      <c r="AN75" s="59">
        <f ca="1">AVERAGE(OFFSET($AM$3,0,0,'Données projet'!$E$10+1,1))-AVERAGE(OFFSET($H$3,0,0,'Données projet'!$E$10+1,1))</f>
        <v>252.30925789500111</v>
      </c>
      <c r="AO75" s="59">
        <f t="shared" si="90"/>
        <v>213.96033794804805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2.0163877888874291</v>
      </c>
      <c r="AV75" s="21">
        <f>EXP(-LN(2)/25)*AV74+(1-EXP(-LN(2)/25))/(LN(2)/25)*Calculateur!AQ75*Calculateur!AS75*VLOOKUP('Données projet'!$B$10,Paramètres!$A$1:$I$89,3,0)*0.475*44/12</f>
        <v>2.8800252696096655</v>
      </c>
      <c r="AW75" s="21">
        <f>EXP(-LN(2)/2)*AW74+(1-EXP(-LN(2)/2))/(LN(2)/2)*AQ75*AT75*VLOOKUP('Données projet'!$B$10,Paramètres!$A$1:$I$89,3,0)*0.475*44/12</f>
        <v>6.855744651274723E-6</v>
      </c>
      <c r="AX75" s="21">
        <f t="shared" si="60"/>
        <v>4.8964199142417453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7.2</v>
      </c>
      <c r="BD75" s="12">
        <f>IF('Données projet'!$A$88&gt;35,BD74+BC75-BL74,IF(A75&lt;'Données projet'!$A$88,$BA$205^A75,IF(A75='Données projet'!$A$88,'Données projet'!$B$88,BD74+BC75-BL74)))</f>
        <v>392.39999999999964</v>
      </c>
      <c r="BE75" s="13">
        <f>BD75*VLOOKUP('Données projet'!$B$11,Paramètres!$A$1:$I$89,3,0)*VLOOKUP('Données projet'!$B$11,Paramètres!$A$1:$I$89,5,0)</f>
        <v>234.65519999999981</v>
      </c>
      <c r="BF75" s="13">
        <f t="shared" si="91"/>
        <v>57.288067746850942</v>
      </c>
      <c r="BG75" s="20">
        <f t="shared" si="61"/>
        <v>508.46785799243179</v>
      </c>
      <c r="BH75" s="59">
        <f t="shared" si="62"/>
        <v>801.8011913257651</v>
      </c>
      <c r="BI75" s="59">
        <f ca="1">AVERAGE(OFFSET($BH$3,0,0,'Données projet'!$E$11+1,1))-AVERAGE(OFFSET($H$3,0,0,'Données projet'!$E$11+1,1))</f>
        <v>216.94426559495264</v>
      </c>
      <c r="BJ75" s="59">
        <f t="shared" si="92"/>
        <v>225.33715877618704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4.0100320556656737</v>
      </c>
      <c r="BR75" s="21">
        <f>EXP(-LN(2)/2)*BR74+(1-EXP(-LN(2)/2))/(LN(2)/2)*BL75*BO75*VLOOKUP('Données projet'!$B$11,Paramètres!$A$1:$I$89,3,0)*0.475*44/12</f>
        <v>1.1315040528211103E-5</v>
      </c>
      <c r="BS75" s="22">
        <f t="shared" si="63"/>
        <v>4.0100433707062022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3.7</v>
      </c>
      <c r="BY75" s="12">
        <f>IF('Données projet'!$A$114&gt;35,BY74+BX75-CG74,IF(A75&lt;'Données projet'!$A$114,$BV$205^A75,IF(A75='Données projet'!$A$114,'Données projet'!$B$114,BY74+BX75-CG74)))</f>
        <v>217.4</v>
      </c>
      <c r="BZ75" s="13">
        <f>BY75*VLOOKUP('Données projet'!$B$12,Paramètres!$A$1:$I$89,3,0)*VLOOKUP('Données projet'!$B$12,Paramètres!$A$1:$I$89,5,0)</f>
        <v>189.92064000000002</v>
      </c>
      <c r="CA75" s="13">
        <f t="shared" si="93"/>
        <v>47.522407055417723</v>
      </c>
      <c r="CB75" s="20">
        <f t="shared" si="64"/>
        <v>413.54664028818587</v>
      </c>
      <c r="CC75" s="59">
        <f t="shared" si="65"/>
        <v>706.87997362151918</v>
      </c>
      <c r="CD75" s="59">
        <f ca="1">AVERAGE(OFFSET($CC$3,0,0,'Données projet'!$E$12+1,1))-AVERAGE(OFFSET($H$3,0,0,'Données projet'!$E$12+1,1))</f>
        <v>223.81948236065614</v>
      </c>
      <c r="CE75" s="59">
        <f t="shared" si="94"/>
        <v>320.1204011431372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1.3375927811682995</v>
      </c>
      <c r="CL75" s="21">
        <f>EXP(-LN(2)/25)*CL74+(1-EXP(-LN(2)/25))/(LN(2)/25)*Calculateur!CG75*Calculateur!CI75*VLOOKUP('Données projet'!$B$12,Paramètres!$A$1:$I$89,3,0)*0.475*44/12</f>
        <v>5.5214923232898458</v>
      </c>
      <c r="CM75" s="21">
        <f>EXP(-LN(2)/2)*CM74+(1-EXP(-LN(2)/2))/(LN(2)/2)*CG75*CJ75*VLOOKUP('Données projet'!$B$12,Paramètres!$A$1:$I$89,3,0)*0.475*44/12</f>
        <v>1.3241771130163534E-5</v>
      </c>
      <c r="CN75" s="22">
        <f t="shared" si="66"/>
        <v>6.8590983462292758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9.3000000000000007</v>
      </c>
      <c r="N76" s="13">
        <f>IF('Données projet'!$A$36&gt;35,N75+M76-V75,IF(A76&lt;'Données projet'!$A$36,$K$205^A76,IF(A76='Données projet'!$A$36,'Données projet'!$B$36,N75+M76-V75)))</f>
        <v>516.9</v>
      </c>
      <c r="O76" s="13">
        <f>N76*VLOOKUP('Données projet'!$B$9,Paramètres!$A$1:$I$89,3,0)*VLOOKUP('Données projet'!$B$9,Paramètres!$A$1:$I$89,5,0)</f>
        <v>288.94709999999998</v>
      </c>
      <c r="P76" s="13">
        <f t="shared" si="87"/>
        <v>68.854313111855461</v>
      </c>
      <c r="Q76" s="20">
        <f t="shared" si="54"/>
        <v>623.17079450314816</v>
      </c>
      <c r="R76" s="59">
        <f t="shared" si="55"/>
        <v>916.50412783648153</v>
      </c>
      <c r="S76" s="59">
        <f ca="1">AVERAGE(OFFSET($R$3,0,0,'Données projet'!$E$9+1,1))-AVERAGE(OFFSET($H$3,0,0,'Données projet'!$E$9+1,1))</f>
        <v>279.98352834501759</v>
      </c>
      <c r="T76" s="59">
        <f t="shared" si="88"/>
        <v>281.30062655265488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1.7056584797079097</v>
      </c>
      <c r="AA76" s="21">
        <f>EXP(-LN(2)/25)*AA75+(1-EXP(-LN(2)/25))/(LN(2)/25)*Calculateur!V76*Calculateur!X76*VLOOKUP('Données projet'!$B$9,Paramètres!$A$1:$I$89,3,0)*0.475*44/12</f>
        <v>7.3540588277977479</v>
      </c>
      <c r="AB76" s="21">
        <f>EXP(-LN(2)/2)*AB75+(1-EXP(-LN(2)/2))/(LN(2)/2)*V76*Y76*VLOOKUP('Données projet'!$B$9,Paramètres!$A$1:$I$89,3,0)*0.475*44/12</f>
        <v>9.547825805449471E-6</v>
      </c>
      <c r="AC76" s="22">
        <f t="shared" si="57"/>
        <v>9.059726855331462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13.3</v>
      </c>
      <c r="AI76" s="13">
        <f>IF('Données projet'!$A$62&gt;35,AI75+AH76-AQ75,IF(A76&lt;'Données projet'!$A$62,$AF$205^A76,IF(A76='Données projet'!$A$62,'Données projet'!$B$62,AI75+AH76-AQ75)))</f>
        <v>584.89999999999918</v>
      </c>
      <c r="AJ76" s="13">
        <f>AI76*VLOOKUP('Données projet'!$B$10,Paramètres!$A$1:$I$89,3,0)*VLOOKUP('Données projet'!$B$10,Paramètres!$A$1:$I$89,5,0)</f>
        <v>281.33689999999962</v>
      </c>
      <c r="AK76" s="13">
        <f t="shared" si="89"/>
        <v>67.249455912229507</v>
      </c>
      <c r="AL76" s="20">
        <f t="shared" si="58"/>
        <v>607.1212365471323</v>
      </c>
      <c r="AM76" s="59">
        <f t="shared" si="59"/>
        <v>900.45456988046567</v>
      </c>
      <c r="AN76" s="59">
        <f ca="1">AVERAGE(OFFSET($AM$3,0,0,'Données projet'!$E$10+1,1))-AVERAGE(OFFSET($H$3,0,0,'Données projet'!$E$10+1,1))</f>
        <v>252.30925789500111</v>
      </c>
      <c r="AO76" s="59">
        <f t="shared" si="90"/>
        <v>213.96033794804805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1.9768476542224578</v>
      </c>
      <c r="AV76" s="21">
        <f>EXP(-LN(2)/25)*AV75+(1-EXP(-LN(2)/25))/(LN(2)/25)*Calculateur!AQ76*Calculateur!AS76*VLOOKUP('Données projet'!$B$10,Paramètres!$A$1:$I$89,3,0)*0.475*44/12</f>
        <v>2.8012708271582425</v>
      </c>
      <c r="AW76" s="21">
        <f>EXP(-LN(2)/2)*AW75+(1-EXP(-LN(2)/2))/(LN(2)/2)*AQ76*AT76*VLOOKUP('Données projet'!$B$10,Paramètres!$A$1:$I$89,3,0)*0.475*44/12</f>
        <v>4.847743532999759E-6</v>
      </c>
      <c r="AX76" s="21">
        <f t="shared" si="60"/>
        <v>4.7781233291242327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7.2</v>
      </c>
      <c r="BD76" s="12">
        <f>IF('Données projet'!$A$88&gt;35,BD75+BC76-BL75,IF(A76&lt;'Données projet'!$A$88,$BA$205^A76,IF(A76='Données projet'!$A$88,'Données projet'!$B$88,BD75+BC76-BL75)))</f>
        <v>399.59999999999962</v>
      </c>
      <c r="BE76" s="13">
        <f>BD76*VLOOKUP('Données projet'!$B$11,Paramètres!$A$1:$I$89,3,0)*VLOOKUP('Données projet'!$B$11,Paramètres!$A$1:$I$89,5,0)</f>
        <v>238.96079999999978</v>
      </c>
      <c r="BF76" s="13">
        <f t="shared" si="91"/>
        <v>58.215885103108292</v>
      </c>
      <c r="BG76" s="20">
        <f t="shared" si="61"/>
        <v>517.58272655457984</v>
      </c>
      <c r="BH76" s="59">
        <f t="shared" si="62"/>
        <v>810.91605988791321</v>
      </c>
      <c r="BI76" s="59">
        <f ca="1">AVERAGE(OFFSET($BH$3,0,0,'Données projet'!$E$11+1,1))-AVERAGE(OFFSET($H$3,0,0,'Données projet'!$E$11+1,1))</f>
        <v>216.94426559495264</v>
      </c>
      <c r="BJ76" s="59">
        <f t="shared" si="92"/>
        <v>225.33715877618704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3.9003775182250751</v>
      </c>
      <c r="BR76" s="21">
        <f>EXP(-LN(2)/2)*BR75+(1-EXP(-LN(2)/2))/(LN(2)/2)*BL76*BO76*VLOOKUP('Données projet'!$B$11,Paramètres!$A$1:$I$89,3,0)*0.475*44/12</f>
        <v>8.0009418868986855E-6</v>
      </c>
      <c r="BS76" s="22">
        <f t="shared" si="63"/>
        <v>3.9003855191669619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3.7</v>
      </c>
      <c r="BY76" s="12">
        <f>IF('Données projet'!$A$114&gt;35,BY75+BX76-CG75,IF(A76&lt;'Données projet'!$A$114,$BV$205^A76,IF(A76='Données projet'!$A$114,'Données projet'!$B$114,BY75+BX76-CG75)))</f>
        <v>221.1</v>
      </c>
      <c r="BZ76" s="13">
        <f>BY76*VLOOKUP('Données projet'!$B$12,Paramètres!$A$1:$I$89,3,0)*VLOOKUP('Données projet'!$B$12,Paramètres!$A$1:$I$89,5,0)</f>
        <v>193.15296000000001</v>
      </c>
      <c r="CA76" s="13">
        <f t="shared" si="93"/>
        <v>48.236358426448142</v>
      </c>
      <c r="CB76" s="20">
        <f t="shared" si="64"/>
        <v>420.41972959273056</v>
      </c>
      <c r="CC76" s="59">
        <f t="shared" si="65"/>
        <v>713.75306292606388</v>
      </c>
      <c r="CD76" s="59">
        <f ca="1">AVERAGE(OFFSET($CC$3,0,0,'Données projet'!$E$12+1,1))-AVERAGE(OFFSET($H$3,0,0,'Données projet'!$E$12+1,1))</f>
        <v>223.81948236065614</v>
      </c>
      <c r="CE76" s="59">
        <f t="shared" si="94"/>
        <v>320.1204011431372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1.3113634025806271</v>
      </c>
      <c r="CL76" s="21">
        <f>EXP(-LN(2)/25)*CL75+(1-EXP(-LN(2)/25))/(LN(2)/25)*Calculateur!CG76*Calculateur!CI76*VLOOKUP('Données projet'!$B$12,Paramètres!$A$1:$I$89,3,0)*0.475*44/12</f>
        <v>5.3705068253468236</v>
      </c>
      <c r="CM76" s="21">
        <f>EXP(-LN(2)/2)*CM75+(1-EXP(-LN(2)/2))/(LN(2)/2)*CG76*CJ76*VLOOKUP('Données projet'!$B$12,Paramètres!$A$1:$I$89,3,0)*0.475*44/12</f>
        <v>9.3633461610588881E-6</v>
      </c>
      <c r="CN76" s="22">
        <f t="shared" si="66"/>
        <v>6.6818795912736118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9.3000000000000007</v>
      </c>
      <c r="N77" s="13">
        <f>IF('Données projet'!$A$36&gt;35,N76+M77-V76,IF(A77&lt;'Données projet'!$A$36,$K$205^A77,IF(A77='Données projet'!$A$36,'Données projet'!$B$36,N76+M77-V76)))</f>
        <v>526.19999999999993</v>
      </c>
      <c r="O77" s="13">
        <f>N77*VLOOKUP('Données projet'!$B$9,Paramètres!$A$1:$I$89,3,0)*VLOOKUP('Données projet'!$B$9,Paramètres!$A$1:$I$89,5,0)</f>
        <v>294.14579999999995</v>
      </c>
      <c r="P77" s="13">
        <f t="shared" si="87"/>
        <v>69.947794242682079</v>
      </c>
      <c r="Q77" s="20">
        <f t="shared" si="54"/>
        <v>634.12967663933784</v>
      </c>
      <c r="R77" s="59">
        <f t="shared" si="55"/>
        <v>927.46300997267122</v>
      </c>
      <c r="S77" s="59">
        <f ca="1">AVERAGE(OFFSET($R$3,0,0,'Données projet'!$E$9+1,1))-AVERAGE(OFFSET($H$3,0,0,'Données projet'!$E$9+1,1))</f>
        <v>279.98352834501759</v>
      </c>
      <c r="T77" s="59">
        <f t="shared" si="88"/>
        <v>281.30062655265488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1.6722115572697844</v>
      </c>
      <c r="AA77" s="21">
        <f>EXP(-LN(2)/25)*AA76+(1-EXP(-LN(2)/25))/(LN(2)/25)*Calculateur!V77*Calculateur!X77*VLOOKUP('Données projet'!$B$9,Paramètres!$A$1:$I$89,3,0)*0.475*44/12</f>
        <v>7.1529617024184731</v>
      </c>
      <c r="AB77" s="21">
        <f>EXP(-LN(2)/2)*AB76+(1-EXP(-LN(2)/2))/(LN(2)/2)*V77*Y77*VLOOKUP('Données projet'!$B$9,Paramètres!$A$1:$I$89,3,0)*0.475*44/12</f>
        <v>6.7513323726212311E-6</v>
      </c>
      <c r="AC77" s="22">
        <f t="shared" si="57"/>
        <v>8.8251800110206311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13.3</v>
      </c>
      <c r="AI77" s="13">
        <f>IF('Données projet'!$A$62&gt;35,AI76+AH77-AQ76,IF(A77&lt;'Données projet'!$A$62,$AF$205^A77,IF(A77='Données projet'!$A$62,'Données projet'!$B$62,AI76+AH77-AQ76)))</f>
        <v>598.19999999999914</v>
      </c>
      <c r="AJ77" s="13">
        <f>AI77*VLOOKUP('Données projet'!$B$10,Paramètres!$A$1:$I$89,3,0)*VLOOKUP('Données projet'!$B$10,Paramètres!$A$1:$I$89,5,0)</f>
        <v>287.73419999999959</v>
      </c>
      <c r="AK77" s="13">
        <f t="shared" si="89"/>
        <v>68.598866723891007</v>
      </c>
      <c r="AL77" s="20">
        <f t="shared" si="58"/>
        <v>620.61342454410953</v>
      </c>
      <c r="AM77" s="59">
        <f t="shared" si="59"/>
        <v>913.94675787744291</v>
      </c>
      <c r="AN77" s="59">
        <f ca="1">AVERAGE(OFFSET($AM$3,0,0,'Données projet'!$E$10+1,1))-AVERAGE(OFFSET($H$3,0,0,'Données projet'!$E$10+1,1))</f>
        <v>252.30925789500111</v>
      </c>
      <c r="AO77" s="59">
        <f t="shared" si="90"/>
        <v>213.96033794804805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1.9380828774811658</v>
      </c>
      <c r="AV77" s="21">
        <f>EXP(-LN(2)/25)*AV76+(1-EXP(-LN(2)/25))/(LN(2)/25)*Calculateur!AQ77*Calculateur!AS77*VLOOKUP('Données projet'!$B$10,Paramètres!$A$1:$I$89,3,0)*0.475*44/12</f>
        <v>2.7246699290771699</v>
      </c>
      <c r="AW77" s="21">
        <f>EXP(-LN(2)/2)*AW76+(1-EXP(-LN(2)/2))/(LN(2)/2)*AQ77*AT77*VLOOKUP('Données projet'!$B$10,Paramètres!$A$1:$I$89,3,0)*0.475*44/12</f>
        <v>3.4278723256373615E-6</v>
      </c>
      <c r="AX77" s="21">
        <f t="shared" si="60"/>
        <v>4.6627562344306615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7.2</v>
      </c>
      <c r="BD77" s="12">
        <f>IF('Données projet'!$A$88&gt;35,BD76+BC77-BL76,IF(A77&lt;'Données projet'!$A$88,$BA$205^A77,IF(A77='Données projet'!$A$88,'Données projet'!$B$88,BD76+BC77-BL76)))</f>
        <v>406.79999999999961</v>
      </c>
      <c r="BE77" s="13">
        <f>BD77*VLOOKUP('Données projet'!$B$11,Paramètres!$A$1:$I$89,3,0)*VLOOKUP('Données projet'!$B$11,Paramètres!$A$1:$I$89,5,0)</f>
        <v>243.26639999999981</v>
      </c>
      <c r="BF77" s="13">
        <f t="shared" si="91"/>
        <v>59.141758478481755</v>
      </c>
      <c r="BG77" s="20">
        <f t="shared" si="61"/>
        <v>526.69420935002211</v>
      </c>
      <c r="BH77" s="59">
        <f t="shared" si="62"/>
        <v>820.02754268335548</v>
      </c>
      <c r="BI77" s="59">
        <f ca="1">AVERAGE(OFFSET($BH$3,0,0,'Données projet'!$E$11+1,1))-AVERAGE(OFFSET($H$3,0,0,'Données projet'!$E$11+1,1))</f>
        <v>216.94426559495264</v>
      </c>
      <c r="BJ77" s="59">
        <f t="shared" si="92"/>
        <v>225.33715877618704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3.7937214898772713</v>
      </c>
      <c r="BR77" s="21">
        <f>EXP(-LN(2)/2)*BR76+(1-EXP(-LN(2)/2))/(LN(2)/2)*BL77*BO77*VLOOKUP('Données projet'!$B$11,Paramètres!$A$1:$I$89,3,0)*0.475*44/12</f>
        <v>5.6575202641055516E-6</v>
      </c>
      <c r="BS77" s="22">
        <f t="shared" si="63"/>
        <v>3.7937271473975356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3.7</v>
      </c>
      <c r="BY77" s="12">
        <f>IF('Données projet'!$A$114&gt;35,BY76+BX77-CG76,IF(A77&lt;'Données projet'!$A$114,$BV$205^A77,IF(A77='Données projet'!$A$114,'Données projet'!$B$114,BY76+BX77-CG76)))</f>
        <v>224.79999999999998</v>
      </c>
      <c r="BZ77" s="13">
        <f>BY77*VLOOKUP('Données projet'!$B$12,Paramètres!$A$1:$I$89,3,0)*VLOOKUP('Données projet'!$B$12,Paramètres!$A$1:$I$89,5,0)</f>
        <v>196.38528000000002</v>
      </c>
      <c r="CA77" s="13">
        <f t="shared" si="93"/>
        <v>48.948920378863868</v>
      </c>
      <c r="CB77" s="20">
        <f t="shared" si="64"/>
        <v>427.29039899318792</v>
      </c>
      <c r="CC77" s="59">
        <f t="shared" si="65"/>
        <v>720.62373232652124</v>
      </c>
      <c r="CD77" s="59">
        <f ca="1">AVERAGE(OFFSET($CC$3,0,0,'Données projet'!$E$12+1,1))-AVERAGE(OFFSET($H$3,0,0,'Données projet'!$E$12+1,1))</f>
        <v>223.81948236065614</v>
      </c>
      <c r="CE77" s="59">
        <f t="shared" si="94"/>
        <v>320.1204011431372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1.2856483661087177</v>
      </c>
      <c r="CL77" s="21">
        <f>EXP(-LN(2)/25)*CL76+(1-EXP(-LN(2)/25))/(LN(2)/25)*Calculateur!CG77*Calculateur!CI77*VLOOKUP('Données projet'!$B$12,Paramètres!$A$1:$I$89,3,0)*0.475*44/12</f>
        <v>5.2236500337850353</v>
      </c>
      <c r="CM77" s="21">
        <f>EXP(-LN(2)/2)*CM76+(1-EXP(-LN(2)/2))/(LN(2)/2)*CG77*CJ77*VLOOKUP('Données projet'!$B$12,Paramètres!$A$1:$I$89,3,0)*0.475*44/12</f>
        <v>6.6208855650817671E-6</v>
      </c>
      <c r="CN77" s="22">
        <f t="shared" si="66"/>
        <v>6.5093050207793182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9.3000000000000007</v>
      </c>
      <c r="N78" s="13">
        <f>IF('Données projet'!$A$36&gt;35,N77+M78-V77,IF(A78&lt;'Données projet'!$A$36,$K$205^A78,IF(A78='Données projet'!$A$36,'Données projet'!$B$36,N77+M78-V77)))</f>
        <v>535.49999999999989</v>
      </c>
      <c r="O78" s="13">
        <f>N78*VLOOKUP('Données projet'!$B$9,Paramètres!$A$1:$I$89,3,0)*VLOOKUP('Données projet'!$B$9,Paramètres!$A$1:$I$89,5,0)</f>
        <v>299.34449999999998</v>
      </c>
      <c r="P78" s="13">
        <f t="shared" si="87"/>
        <v>71.039028008397935</v>
      </c>
      <c r="Q78" s="20">
        <f t="shared" si="54"/>
        <v>645.08464461462631</v>
      </c>
      <c r="R78" s="59">
        <f t="shared" si="55"/>
        <v>938.41797794795957</v>
      </c>
      <c r="S78" s="59">
        <f ca="1">AVERAGE(OFFSET($R$3,0,0,'Données projet'!$E$9+1,1))-AVERAGE(OFFSET($H$3,0,0,'Données projet'!$E$9+1,1))</f>
        <v>279.98352834501759</v>
      </c>
      <c r="T78" s="59">
        <f t="shared" si="88"/>
        <v>281.30062655265488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1.6394205085800624</v>
      </c>
      <c r="AA78" s="21">
        <f>EXP(-LN(2)/25)*AA77+(1-EXP(-LN(2)/25))/(LN(2)/25)*Calculateur!V78*Calculateur!X78*VLOOKUP('Données projet'!$B$9,Paramètres!$A$1:$I$89,3,0)*0.475*44/12</f>
        <v>6.9573635885079321</v>
      </c>
      <c r="AB78" s="21">
        <f>EXP(-LN(2)/2)*AB77+(1-EXP(-LN(2)/2))/(LN(2)/2)*V78*Y78*VLOOKUP('Données projet'!$B$9,Paramètres!$A$1:$I$89,3,0)*0.475*44/12</f>
        <v>4.7739129027247355E-6</v>
      </c>
      <c r="AC78" s="22">
        <f t="shared" si="57"/>
        <v>8.5967888710008964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13.3</v>
      </c>
      <c r="AI78" s="13">
        <f>IF('Données projet'!$A$62&gt;35,AI77+AH78-AQ77,IF(A78&lt;'Données projet'!$A$62,$AF$205^A78,IF(A78='Données projet'!$A$62,'Données projet'!$B$62,AI77+AH78-AQ77)))</f>
        <v>611.49999999999909</v>
      </c>
      <c r="AJ78" s="13">
        <f>AI78*VLOOKUP('Données projet'!$B$10,Paramètres!$A$1:$I$89,3,0)*VLOOKUP('Données projet'!$B$10,Paramètres!$A$1:$I$89,5,0)</f>
        <v>294.13149999999956</v>
      </c>
      <c r="AK78" s="13">
        <f t="shared" si="89"/>
        <v>69.944789520343832</v>
      </c>
      <c r="AL78" s="20">
        <f t="shared" si="58"/>
        <v>634.09953758126471</v>
      </c>
      <c r="AM78" s="59">
        <f t="shared" si="59"/>
        <v>927.43287091459797</v>
      </c>
      <c r="AN78" s="59">
        <f ca="1">AVERAGE(OFFSET($AM$3,0,0,'Données projet'!$E$10+1,1))-AVERAGE(OFFSET($H$3,0,0,'Données projet'!$E$10+1,1))</f>
        <v>252.30925789500111</v>
      </c>
      <c r="AO78" s="59">
        <f t="shared" si="90"/>
        <v>213.96033794804805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1.9000782543675914</v>
      </c>
      <c r="AV78" s="21">
        <f>EXP(-LN(2)/25)*AV77+(1-EXP(-LN(2)/25))/(LN(2)/25)*Calculateur!AQ78*Calculateur!AS78*VLOOKUP('Données projet'!$B$10,Paramètres!$A$1:$I$89,3,0)*0.475*44/12</f>
        <v>2.6501636865823905</v>
      </c>
      <c r="AW78" s="21">
        <f>EXP(-LN(2)/2)*AW77+(1-EXP(-LN(2)/2))/(LN(2)/2)*AQ78*AT78*VLOOKUP('Données projet'!$B$10,Paramètres!$A$1:$I$89,3,0)*0.475*44/12</f>
        <v>2.4238717664998795E-6</v>
      </c>
      <c r="AX78" s="21">
        <f t="shared" si="60"/>
        <v>4.5502443648217481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7.2</v>
      </c>
      <c r="BD78" s="12">
        <f>IF('Données projet'!$A$88&gt;35,BD77+BC78-BL77,IF(A78&lt;'Données projet'!$A$88,$BA$205^A78,IF(A78='Données projet'!$A$88,'Données projet'!$B$88,BD77+BC78-BL77)))</f>
        <v>413.9999999999996</v>
      </c>
      <c r="BE78" s="13">
        <f>BD78*VLOOKUP('Données projet'!$B$11,Paramètres!$A$1:$I$89,3,0)*VLOOKUP('Données projet'!$B$11,Paramètres!$A$1:$I$89,5,0)</f>
        <v>247.57199999999978</v>
      </c>
      <c r="BF78" s="13">
        <f t="shared" si="91"/>
        <v>60.065726249156526</v>
      </c>
      <c r="BG78" s="20">
        <f t="shared" si="61"/>
        <v>535.80237321728055</v>
      </c>
      <c r="BH78" s="59">
        <f t="shared" si="62"/>
        <v>829.1357065506138</v>
      </c>
      <c r="BI78" s="59">
        <f ca="1">AVERAGE(OFFSET($BH$3,0,0,'Données projet'!$E$11+1,1))-AVERAGE(OFFSET($H$3,0,0,'Données projet'!$E$11+1,1))</f>
        <v>216.94426559495264</v>
      </c>
      <c r="BJ78" s="59">
        <f t="shared" si="92"/>
        <v>225.33715877618704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3.6899819762334349</v>
      </c>
      <c r="BR78" s="21">
        <f>EXP(-LN(2)/2)*BR77+(1-EXP(-LN(2)/2))/(LN(2)/2)*BL78*BO78*VLOOKUP('Données projet'!$B$11,Paramètres!$A$1:$I$89,3,0)*0.475*44/12</f>
        <v>4.0004709434493427E-6</v>
      </c>
      <c r="BS78" s="22">
        <f t="shared" si="63"/>
        <v>3.6899859767043783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3.7</v>
      </c>
      <c r="BY78" s="12">
        <f>IF('Données projet'!$A$114&gt;35,BY77+BX78-CG77,IF(A78&lt;'Données projet'!$A$114,$BV$205^A78,IF(A78='Données projet'!$A$114,'Données projet'!$B$114,BY77+BX78-CG77)))</f>
        <v>228.49999999999997</v>
      </c>
      <c r="BZ78" s="13">
        <f>BY78*VLOOKUP('Données projet'!$B$12,Paramètres!$A$1:$I$89,3,0)*VLOOKUP('Données projet'!$B$12,Paramètres!$A$1:$I$89,5,0)</f>
        <v>199.61760000000001</v>
      </c>
      <c r="CA78" s="13">
        <f t="shared" si="93"/>
        <v>49.66011842098839</v>
      </c>
      <c r="CB78" s="20">
        <f t="shared" si="64"/>
        <v>434.1586929165548</v>
      </c>
      <c r="CC78" s="59">
        <f t="shared" si="65"/>
        <v>727.49202624988811</v>
      </c>
      <c r="CD78" s="59">
        <f ca="1">AVERAGE(OFFSET($CC$3,0,0,'Données projet'!$E$12+1,1))-AVERAGE(OFFSET($H$3,0,0,'Données projet'!$E$12+1,1))</f>
        <v>223.81948236065614</v>
      </c>
      <c r="CE78" s="59">
        <f t="shared" si="94"/>
        <v>320.1204011431372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1.2604375858173988</v>
      </c>
      <c r="CL78" s="21">
        <f>EXP(-LN(2)/25)*CL77+(1-EXP(-LN(2)/25))/(LN(2)/25)*Calculateur!CG78*Calculateur!CI78*VLOOKUP('Données projet'!$B$12,Paramètres!$A$1:$I$89,3,0)*0.475*44/12</f>
        <v>5.0808090489113669</v>
      </c>
      <c r="CM78" s="21">
        <f>EXP(-LN(2)/2)*CM77+(1-EXP(-LN(2)/2))/(LN(2)/2)*CG78*CJ78*VLOOKUP('Données projet'!$B$12,Paramètres!$A$1:$I$89,3,0)*0.475*44/12</f>
        <v>4.6816730805294441E-6</v>
      </c>
      <c r="CN78" s="22">
        <f t="shared" si="66"/>
        <v>6.3412513164018458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9.3000000000000007</v>
      </c>
      <c r="N79" s="13">
        <f>IF('Données projet'!$A$36&gt;35,N78+M79-V78,IF(A79&lt;'Données projet'!$A$36,$K$205^A79,IF(A79='Données projet'!$A$36,'Données projet'!$B$36,N78+M79-V78)))</f>
        <v>544.79999999999984</v>
      </c>
      <c r="O79" s="13">
        <f>N79*VLOOKUP('Données projet'!$B$9,Paramètres!$A$1:$I$89,3,0)*VLOOKUP('Données projet'!$B$9,Paramètres!$A$1:$I$89,5,0)</f>
        <v>304.5431999999999</v>
      </c>
      <c r="P79" s="13">
        <f t="shared" si="87"/>
        <v>72.12805794234923</v>
      </c>
      <c r="Q79" s="20">
        <f t="shared" si="54"/>
        <v>656.03577424959133</v>
      </c>
      <c r="R79" s="59">
        <f t="shared" si="55"/>
        <v>949.3691075829247</v>
      </c>
      <c r="S79" s="59">
        <f ca="1">AVERAGE(OFFSET($R$3,0,0,'Données projet'!$E$9+1,1))-AVERAGE(OFFSET($H$3,0,0,'Données projet'!$E$9+1,1))</f>
        <v>279.98352834501759</v>
      </c>
      <c r="T79" s="59">
        <f t="shared" si="88"/>
        <v>281.30062655265488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1.607272472354581</v>
      </c>
      <c r="AA79" s="21">
        <f>EXP(-LN(2)/25)*AA78+(1-EXP(-LN(2)/25))/(LN(2)/25)*Calculateur!V79*Calculateur!X79*VLOOKUP('Données projet'!$B$9,Paramètres!$A$1:$I$89,3,0)*0.475*44/12</f>
        <v>6.767114115308333</v>
      </c>
      <c r="AB79" s="21">
        <f>EXP(-LN(2)/2)*AB78+(1-EXP(-LN(2)/2))/(LN(2)/2)*V79*Y79*VLOOKUP('Données projet'!$B$9,Paramètres!$A$1:$I$89,3,0)*0.475*44/12</f>
        <v>3.3756661863106155E-6</v>
      </c>
      <c r="AC79" s="22">
        <f t="shared" si="57"/>
        <v>8.374389963329099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13.3</v>
      </c>
      <c r="AI79" s="13">
        <f>IF('Données projet'!$A$62&gt;35,AI78+AH79-AQ78,IF(A79&lt;'Données projet'!$A$62,$AF$205^A79,IF(A79='Données projet'!$A$62,'Données projet'!$B$62,AI78+AH79-AQ78)))</f>
        <v>624.79999999999905</v>
      </c>
      <c r="AJ79" s="13">
        <f>AI79*VLOOKUP('Données projet'!$B$10,Paramètres!$A$1:$I$89,3,0)*VLOOKUP('Données projet'!$B$10,Paramètres!$A$1:$I$89,5,0)</f>
        <v>300.52879999999953</v>
      </c>
      <c r="AK79" s="13">
        <f t="shared" si="89"/>
        <v>71.287308902085229</v>
      </c>
      <c r="AL79" s="20">
        <f t="shared" si="58"/>
        <v>647.5797230044642</v>
      </c>
      <c r="AM79" s="59">
        <f t="shared" si="59"/>
        <v>940.91305633779757</v>
      </c>
      <c r="AN79" s="59">
        <f ca="1">AVERAGE(OFFSET($AM$3,0,0,'Données projet'!$E$10+1,1))-AVERAGE(OFFSET($H$3,0,0,'Données projet'!$E$10+1,1))</f>
        <v>252.30925789500111</v>
      </c>
      <c r="AO79" s="59">
        <f t="shared" si="90"/>
        <v>213.96033794804805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1.8628188787327429</v>
      </c>
      <c r="AV79" s="21">
        <f>EXP(-LN(2)/25)*AV78+(1-EXP(-LN(2)/25))/(LN(2)/25)*Calculateur!AQ79*Calculateur!AS79*VLOOKUP('Données projet'!$B$10,Paramètres!$A$1:$I$89,3,0)*0.475*44/12</f>
        <v>2.5776948212067436</v>
      </c>
      <c r="AW79" s="21">
        <f>EXP(-LN(2)/2)*AW78+(1-EXP(-LN(2)/2))/(LN(2)/2)*AQ79*AT79*VLOOKUP('Données projet'!$B$10,Paramètres!$A$1:$I$89,3,0)*0.475*44/12</f>
        <v>1.7139361628186808E-6</v>
      </c>
      <c r="AX79" s="21">
        <f t="shared" si="60"/>
        <v>4.4405154138756497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421.19999999999959</v>
      </c>
      <c r="BE79" s="13">
        <f>BD79*VLOOKUP('Données projet'!$B$11,Paramètres!$A$1:$I$89,3,0)*VLOOKUP('Données projet'!$B$11,Paramètres!$A$1:$I$89,5,0)</f>
        <v>251.87759999999977</v>
      </c>
      <c r="BF79" s="13">
        <f t="shared" si="91"/>
        <v>60.987825380023018</v>
      </c>
      <c r="BG79" s="20">
        <f t="shared" si="61"/>
        <v>544.90728253687291</v>
      </c>
      <c r="BH79" s="59">
        <f t="shared" si="62"/>
        <v>838.24061587020628</v>
      </c>
      <c r="BI79" s="59">
        <f ca="1">AVERAGE(OFFSET($BH$3,0,0,'Données projet'!$E$11+1,1))-AVERAGE(OFFSET($H$3,0,0,'Données projet'!$E$11+1,1))</f>
        <v>216.94426559495264</v>
      </c>
      <c r="BJ79" s="59">
        <f t="shared" si="92"/>
        <v>225.33715877618704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3.5890792250456132</v>
      </c>
      <c r="BR79" s="21">
        <f>EXP(-LN(2)/2)*BR78+(1-EXP(-LN(2)/2))/(LN(2)/2)*BL79*BO79*VLOOKUP('Données projet'!$B$11,Paramètres!$A$1:$I$89,3,0)*0.475*44/12</f>
        <v>2.8287601320527758E-6</v>
      </c>
      <c r="BS79" s="22">
        <f t="shared" si="63"/>
        <v>3.5890820538057451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3.7</v>
      </c>
      <c r="BY79" s="12">
        <f>IF('Données projet'!$A$114&gt;35,BY78+BX79-CG78,IF(A79&lt;'Données projet'!$A$114,$BV$205^A79,IF(A79='Données projet'!$A$114,'Données projet'!$B$114,BY78+BX79-CG78)))</f>
        <v>232.19999999999996</v>
      </c>
      <c r="BZ79" s="13">
        <f>BY79*VLOOKUP('Données projet'!$B$12,Paramètres!$A$1:$I$89,3,0)*VLOOKUP('Données projet'!$B$12,Paramètres!$A$1:$I$89,5,0)</f>
        <v>202.84991999999997</v>
      </c>
      <c r="CA79" s="13">
        <f t="shared" si="93"/>
        <v>50.369977187686075</v>
      </c>
      <c r="CB79" s="20">
        <f t="shared" si="64"/>
        <v>441.02465426855321</v>
      </c>
      <c r="CC79" s="59">
        <f t="shared" si="65"/>
        <v>734.35798760188652</v>
      </c>
      <c r="CD79" s="59">
        <f ca="1">AVERAGE(OFFSET($CC$3,0,0,'Données projet'!$E$12+1,1))-AVERAGE(OFFSET($H$3,0,0,'Données projet'!$E$12+1,1))</f>
        <v>223.81948236065614</v>
      </c>
      <c r="CE79" s="59">
        <f t="shared" si="94"/>
        <v>320.1204011431372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1.2357211735505351</v>
      </c>
      <c r="CL79" s="21">
        <f>EXP(-LN(2)/25)*CL78+(1-EXP(-LN(2)/25))/(LN(2)/25)*Calculateur!CG79*Calculateur!CI79*VLOOKUP('Données projet'!$B$12,Paramètres!$A$1:$I$89,3,0)*0.475*44/12</f>
        <v>4.9418740582807503</v>
      </c>
      <c r="CM79" s="21">
        <f>EXP(-LN(2)/2)*CM78+(1-EXP(-LN(2)/2))/(LN(2)/2)*CG79*CJ79*VLOOKUP('Données projet'!$B$12,Paramètres!$A$1:$I$89,3,0)*0.475*44/12</f>
        <v>3.3104427825408836E-6</v>
      </c>
      <c r="CN79" s="22">
        <f t="shared" si="66"/>
        <v>6.1775985422740671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9.3000000000000007</v>
      </c>
      <c r="N80" s="13">
        <f>IF('Données projet'!$A$36&gt;35,N79+M80-V79,IF(A80&lt;'Données projet'!$A$36,$K$205^A80,IF(A80='Données projet'!$A$36,'Données projet'!$B$36,N79+M80-V79)))</f>
        <v>554.0999999999998</v>
      </c>
      <c r="O80" s="13">
        <f>N80*VLOOKUP('Données projet'!$B$9,Paramètres!$A$1:$I$89,3,0)*VLOOKUP('Données projet'!$B$9,Paramètres!$A$1:$I$89,5,0)</f>
        <v>309.74189999999993</v>
      </c>
      <c r="P80" s="13">
        <f t="shared" si="87"/>
        <v>73.214926006444216</v>
      </c>
      <c r="Q80" s="20">
        <f t="shared" si="54"/>
        <v>666.98313862789018</v>
      </c>
      <c r="R80" s="59">
        <f t="shared" si="55"/>
        <v>960.31647196122344</v>
      </c>
      <c r="S80" s="59">
        <f ca="1">AVERAGE(OFFSET($R$3,0,0,'Données projet'!$E$9+1,1))-AVERAGE(OFFSET($H$3,0,0,'Données projet'!$E$9+1,1))</f>
        <v>279.98352834501759</v>
      </c>
      <c r="T80" s="59">
        <f t="shared" si="88"/>
        <v>281.30062655265488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1.5757548395111154</v>
      </c>
      <c r="AA80" s="21">
        <f>EXP(-LN(2)/25)*AA79+(1-EXP(-LN(2)/25))/(LN(2)/25)*Calculateur!V80*Calculateur!X80*VLOOKUP('Données projet'!$B$9,Paramètres!$A$1:$I$89,3,0)*0.475*44/12</f>
        <v>6.582067023958162</v>
      </c>
      <c r="AB80" s="21">
        <f>EXP(-LN(2)/2)*AB79+(1-EXP(-LN(2)/2))/(LN(2)/2)*V80*Y80*VLOOKUP('Données projet'!$B$9,Paramètres!$A$1:$I$89,3,0)*0.475*44/12</f>
        <v>2.3869564513623678E-6</v>
      </c>
      <c r="AC80" s="22">
        <f t="shared" si="57"/>
        <v>8.1578242504257279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13.3</v>
      </c>
      <c r="AI80" s="13">
        <f>IF('Données projet'!$A$62&gt;35,AI79+AH80-AQ79,IF(A80&lt;'Données projet'!$A$62,$AF$205^A80,IF(A80='Données projet'!$A$62,'Données projet'!$B$62,AI79+AH80-AQ79)))</f>
        <v>638.099999999999</v>
      </c>
      <c r="AJ80" s="13">
        <f>AI80*VLOOKUP('Données projet'!$B$10,Paramètres!$A$1:$I$89,3,0)*VLOOKUP('Données projet'!$B$10,Paramètres!$A$1:$I$89,5,0)</f>
        <v>306.92609999999956</v>
      </c>
      <c r="AK80" s="13">
        <f t="shared" si="89"/>
        <v>72.626505662095198</v>
      </c>
      <c r="AL80" s="20">
        <f t="shared" si="58"/>
        <v>661.05412152814836</v>
      </c>
      <c r="AM80" s="59">
        <f t="shared" si="59"/>
        <v>954.38745486148173</v>
      </c>
      <c r="AN80" s="59">
        <f ca="1">AVERAGE(OFFSET($AM$3,0,0,'Données projet'!$E$10+1,1))-AVERAGE(OFFSET($H$3,0,0,'Données projet'!$E$10+1,1))</f>
        <v>252.30925789500111</v>
      </c>
      <c r="AO80" s="59">
        <f t="shared" si="90"/>
        <v>213.96033794804805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1.8262901367281186</v>
      </c>
      <c r="AV80" s="21">
        <f>EXP(-LN(2)/25)*AV79+(1-EXP(-LN(2)/25))/(LN(2)/25)*Calculateur!AQ80*Calculateur!AS80*VLOOKUP('Données projet'!$B$10,Paramètres!$A$1:$I$89,3,0)*0.475*44/12</f>
        <v>2.5072076207657661</v>
      </c>
      <c r="AW80" s="21">
        <f>EXP(-LN(2)/2)*AW79+(1-EXP(-LN(2)/2))/(LN(2)/2)*AQ80*AT80*VLOOKUP('Données projet'!$B$10,Paramètres!$A$1:$I$89,3,0)*0.475*44/12</f>
        <v>1.2119358832499398E-6</v>
      </c>
      <c r="AX80" s="21">
        <f t="shared" si="60"/>
        <v>4.3334989694297681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428.39999999999958</v>
      </c>
      <c r="BE80" s="13">
        <f>BD80*VLOOKUP('Données projet'!$B$11,Paramètres!$A$1:$I$89,3,0)*VLOOKUP('Données projet'!$B$11,Paramètres!$A$1:$I$89,5,0)</f>
        <v>256.18319999999977</v>
      </c>
      <c r="BF80" s="13">
        <f t="shared" si="91"/>
        <v>61.90809149979912</v>
      </c>
      <c r="BG80" s="20">
        <f t="shared" si="61"/>
        <v>554.00899936214978</v>
      </c>
      <c r="BH80" s="59">
        <f t="shared" si="62"/>
        <v>847.34233269548304</v>
      </c>
      <c r="BI80" s="59">
        <f ca="1">AVERAGE(OFFSET($BH$3,0,0,'Données projet'!$E$11+1,1))-AVERAGE(OFFSET($H$3,0,0,'Données projet'!$E$11+1,1))</f>
        <v>216.94426559495264</v>
      </c>
      <c r="BJ80" s="59">
        <f t="shared" si="92"/>
        <v>225.33715877618704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3.4909356648952672</v>
      </c>
      <c r="BR80" s="21">
        <f>EXP(-LN(2)/2)*BR79+(1-EXP(-LN(2)/2))/(LN(2)/2)*BL80*BO80*VLOOKUP('Données projet'!$B$11,Paramètres!$A$1:$I$89,3,0)*0.475*44/12</f>
        <v>2.0002354717246714E-6</v>
      </c>
      <c r="BS80" s="22">
        <f t="shared" si="63"/>
        <v>3.4909376651307391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3.7</v>
      </c>
      <c r="BY80" s="12">
        <f>IF('Données projet'!$A$114&gt;35,BY79+BX80-CG79,IF(A80&lt;'Données projet'!$A$114,$BV$205^A80,IF(A80='Données projet'!$A$114,'Données projet'!$B$114,BY79+BX80-CG79)))</f>
        <v>235.89999999999995</v>
      </c>
      <c r="BZ80" s="13">
        <f>BY80*VLOOKUP('Données projet'!$B$12,Paramètres!$A$1:$I$89,3,0)*VLOOKUP('Données projet'!$B$12,Paramètres!$A$1:$I$89,5,0)</f>
        <v>206.08223999999998</v>
      </c>
      <c r="CA80" s="13">
        <f t="shared" si="93"/>
        <v>51.078520483703407</v>
      </c>
      <c r="CB80" s="20">
        <f t="shared" si="64"/>
        <v>447.88832450911667</v>
      </c>
      <c r="CC80" s="59">
        <f t="shared" si="65"/>
        <v>741.22165784244999</v>
      </c>
      <c r="CD80" s="59">
        <f ca="1">AVERAGE(OFFSET($CC$3,0,0,'Données projet'!$E$12+1,1))-AVERAGE(OFFSET($H$3,0,0,'Données projet'!$E$12+1,1))</f>
        <v>223.81948236065614</v>
      </c>
      <c r="CE80" s="59">
        <f t="shared" si="94"/>
        <v>320.1204011431372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1.2114894350527017</v>
      </c>
      <c r="CL80" s="21">
        <f>EXP(-LN(2)/25)*CL79+(1-EXP(-LN(2)/25))/(LN(2)/25)*Calculateur!CG80*Calculateur!CI80*VLOOKUP('Données projet'!$B$12,Paramètres!$A$1:$I$89,3,0)*0.475*44/12</f>
        <v>4.8067382522752009</v>
      </c>
      <c r="CM80" s="21">
        <f>EXP(-LN(2)/2)*CM79+(1-EXP(-LN(2)/2))/(LN(2)/2)*CG80*CJ80*VLOOKUP('Données projet'!$B$12,Paramètres!$A$1:$I$89,3,0)*0.475*44/12</f>
        <v>2.340836540264722E-6</v>
      </c>
      <c r="CN80" s="22">
        <f t="shared" si="66"/>
        <v>6.0182300281644432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9.3000000000000007</v>
      </c>
      <c r="N81" s="13">
        <f>IF('Données projet'!$A$36&gt;35,N80+M81-V80,IF(A81&lt;'Données projet'!$A$36,$K$205^A81,IF(A81='Données projet'!$A$36,'Données projet'!$B$36,N80+M81-V80)))</f>
        <v>563.39999999999975</v>
      </c>
      <c r="O81" s="13">
        <f>N81*VLOOKUP('Données projet'!$B$9,Paramètres!$A$1:$I$89,3,0)*VLOOKUP('Données projet'!$B$9,Paramètres!$A$1:$I$89,5,0)</f>
        <v>314.94059999999985</v>
      </c>
      <c r="P81" s="13">
        <f t="shared" si="87"/>
        <v>74.299672673282643</v>
      </c>
      <c r="Q81" s="20">
        <f t="shared" si="54"/>
        <v>677.92680823930039</v>
      </c>
      <c r="R81" s="59">
        <f t="shared" si="55"/>
        <v>971.26014157263376</v>
      </c>
      <c r="S81" s="59">
        <f ca="1">AVERAGE(OFFSET($R$3,0,0,'Données projet'!$E$9+1,1))-AVERAGE(OFFSET($H$3,0,0,'Données projet'!$E$9+1,1))</f>
        <v>279.98352834501759</v>
      </c>
      <c r="T81" s="59">
        <f t="shared" si="88"/>
        <v>281.30062655265488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1.5448552482238522</v>
      </c>
      <c r="AA81" s="21">
        <f>EXP(-LN(2)/25)*AA80+(1-EXP(-LN(2)/25))/(LN(2)/25)*Calculateur!V81*Calculateur!X81*VLOOKUP('Données projet'!$B$9,Paramètres!$A$1:$I$89,3,0)*0.475*44/12</f>
        <v>6.4020800550521644</v>
      </c>
      <c r="AB81" s="21">
        <f>EXP(-LN(2)/2)*AB80+(1-EXP(-LN(2)/2))/(LN(2)/2)*V81*Y81*VLOOKUP('Données projet'!$B$9,Paramètres!$A$1:$I$89,3,0)*0.475*44/12</f>
        <v>1.6878330931553078E-6</v>
      </c>
      <c r="AC81" s="22">
        <f t="shared" si="57"/>
        <v>7.9469369911091094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13.3</v>
      </c>
      <c r="AI81" s="13">
        <f>IF('Données projet'!$A$62&gt;35,AI80+AH81-AQ80,IF(A81&lt;'Données projet'!$A$62,$AF$205^A81,IF(A81='Données projet'!$A$62,'Données projet'!$B$62,AI80+AH81-AQ80)))</f>
        <v>651.39999999999895</v>
      </c>
      <c r="AJ81" s="13">
        <f>AI81*VLOOKUP('Données projet'!$B$10,Paramètres!$A$1:$I$89,3,0)*VLOOKUP('Données projet'!$B$10,Paramètres!$A$1:$I$89,5,0)</f>
        <v>313.32339999999948</v>
      </c>
      <c r="AK81" s="13">
        <f t="shared" si="89"/>
        <v>73.962457032927716</v>
      </c>
      <c r="AL81" s="20">
        <f t="shared" si="58"/>
        <v>674.52286766568147</v>
      </c>
      <c r="AM81" s="59">
        <f t="shared" si="59"/>
        <v>967.85620099901485</v>
      </c>
      <c r="AN81" s="59">
        <f ca="1">AVERAGE(OFFSET($AM$3,0,0,'Données projet'!$E$10+1,1))-AVERAGE(OFFSET($H$3,0,0,'Données projet'!$E$10+1,1))</f>
        <v>252.30925789500111</v>
      </c>
      <c r="AO81" s="59">
        <f t="shared" si="90"/>
        <v>213.96033794804805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1.7904777010738724</v>
      </c>
      <c r="AV81" s="21">
        <f>EXP(-LN(2)/25)*AV80+(1-EXP(-LN(2)/25))/(LN(2)/25)*Calculateur!AQ81*Calculateur!AS81*VLOOKUP('Données projet'!$B$10,Paramètres!$A$1:$I$89,3,0)*0.475*44/12</f>
        <v>2.4386478965276077</v>
      </c>
      <c r="AW81" s="21">
        <f>EXP(-LN(2)/2)*AW80+(1-EXP(-LN(2)/2))/(LN(2)/2)*AQ81*AT81*VLOOKUP('Données projet'!$B$10,Paramètres!$A$1:$I$89,3,0)*0.475*44/12</f>
        <v>8.5696808140934038E-7</v>
      </c>
      <c r="AX81" s="21">
        <f t="shared" si="60"/>
        <v>4.2291264545695615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435.59999999999957</v>
      </c>
      <c r="BE81" s="13">
        <f>BD81*VLOOKUP('Données projet'!$B$11,Paramètres!$A$1:$I$89,3,0)*VLOOKUP('Données projet'!$B$11,Paramètres!$A$1:$I$89,5,0)</f>
        <v>260.48879999999974</v>
      </c>
      <c r="BF81" s="13">
        <f t="shared" si="91"/>
        <v>62.826558970958764</v>
      </c>
      <c r="BG81" s="20">
        <f t="shared" si="61"/>
        <v>563.107583541086</v>
      </c>
      <c r="BH81" s="59">
        <f t="shared" si="62"/>
        <v>856.44091687441937</v>
      </c>
      <c r="BI81" s="59">
        <f ca="1">AVERAGE(OFFSET($BH$3,0,0,'Données projet'!$E$11+1,1))-AVERAGE(OFFSET($H$3,0,0,'Données projet'!$E$11+1,1))</f>
        <v>216.94426559495264</v>
      </c>
      <c r="BJ81" s="59">
        <f t="shared" si="92"/>
        <v>225.33715877618704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3.3954758455583782</v>
      </c>
      <c r="BR81" s="21">
        <f>EXP(-LN(2)/2)*BR80+(1-EXP(-LN(2)/2))/(LN(2)/2)*BL81*BO81*VLOOKUP('Données projet'!$B$11,Paramètres!$A$1:$I$89,3,0)*0.475*44/12</f>
        <v>1.4143800660263879E-6</v>
      </c>
      <c r="BS81" s="22">
        <f t="shared" si="63"/>
        <v>3.3954772599384442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3.7</v>
      </c>
      <c r="BY81" s="12">
        <f>IF('Données projet'!$A$114&gt;35,BY80+BX81-CG80,IF(A81&lt;'Données projet'!$A$114,$BV$205^A81,IF(A81='Données projet'!$A$114,'Données projet'!$B$114,BY80+BX81-CG80)))</f>
        <v>239.59999999999994</v>
      </c>
      <c r="BZ81" s="13">
        <f>BY81*VLOOKUP('Données projet'!$B$12,Paramètres!$A$1:$I$89,3,0)*VLOOKUP('Données projet'!$B$12,Paramètres!$A$1:$I$89,5,0)</f>
        <v>209.31456</v>
      </c>
      <c r="CA81" s="13">
        <f t="shared" si="93"/>
        <v>51.78577132421475</v>
      </c>
      <c r="CB81" s="20">
        <f t="shared" si="64"/>
        <v>454.74974372300727</v>
      </c>
      <c r="CC81" s="59">
        <f t="shared" si="65"/>
        <v>748.08307705634058</v>
      </c>
      <c r="CD81" s="59">
        <f ca="1">AVERAGE(OFFSET($CC$3,0,0,'Données projet'!$E$12+1,1))-AVERAGE(OFFSET($H$3,0,0,'Données projet'!$E$12+1,1))</f>
        <v>223.81948236065614</v>
      </c>
      <c r="CE81" s="59">
        <f t="shared" si="94"/>
        <v>320.1204011431372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1.1877328661669098</v>
      </c>
      <c r="CL81" s="21">
        <f>EXP(-LN(2)/25)*CL80+(1-EXP(-LN(2)/25))/(LN(2)/25)*Calculateur!CG81*Calculateur!CI81*VLOOKUP('Données projet'!$B$12,Paramètres!$A$1:$I$89,3,0)*0.475*44/12</f>
        <v>4.6752977419913568</v>
      </c>
      <c r="CM81" s="21">
        <f>EXP(-LN(2)/2)*CM80+(1-EXP(-LN(2)/2))/(LN(2)/2)*CG81*CJ81*VLOOKUP('Données projet'!$B$12,Paramètres!$A$1:$I$89,3,0)*0.475*44/12</f>
        <v>1.6552213912704418E-6</v>
      </c>
      <c r="CN81" s="22">
        <f t="shared" si="66"/>
        <v>5.8630322633796581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9.3000000000000007</v>
      </c>
      <c r="N82" s="13">
        <f>IF('Données projet'!$A$36&gt;35,N81+M82-V81,IF(A82&lt;'Données projet'!$A$36,$K$205^A82,IF(A82='Données projet'!$A$36,'Données projet'!$B$36,N81+M82-V81)))</f>
        <v>572.6999999999997</v>
      </c>
      <c r="O82" s="13">
        <f>N82*VLOOKUP('Données projet'!$B$9,Paramètres!$A$1:$I$89,3,0)*VLOOKUP('Données projet'!$B$9,Paramètres!$A$1:$I$89,5,0)</f>
        <v>320.13929999999988</v>
      </c>
      <c r="P82" s="13">
        <f t="shared" si="87"/>
        <v>75.382337002709846</v>
      </c>
      <c r="Q82" s="20">
        <f t="shared" si="54"/>
        <v>688.8668511130528</v>
      </c>
      <c r="R82" s="59">
        <f t="shared" si="55"/>
        <v>982.20018444638617</v>
      </c>
      <c r="S82" s="59">
        <f ca="1">AVERAGE(OFFSET($R$3,0,0,'Données projet'!$E$9+1,1))-AVERAGE(OFFSET($H$3,0,0,'Données projet'!$E$9+1,1))</f>
        <v>279.98352834501759</v>
      </c>
      <c r="T82" s="59">
        <f t="shared" si="88"/>
        <v>281.30062655265488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1.5145615790748426</v>
      </c>
      <c r="AA82" s="21">
        <f>EXP(-LN(2)/25)*AA81+(1-EXP(-LN(2)/25))/(LN(2)/25)*Calculateur!V82*Calculateur!X82*VLOOKUP('Données projet'!$B$9,Paramètres!$A$1:$I$89,3,0)*0.475*44/12</f>
        <v>6.2270148392760047</v>
      </c>
      <c r="AB82" s="21">
        <f>EXP(-LN(2)/2)*AB81+(1-EXP(-LN(2)/2))/(LN(2)/2)*V82*Y82*VLOOKUP('Données projet'!$B$9,Paramètres!$A$1:$I$89,3,0)*0.475*44/12</f>
        <v>1.1934782256811839E-6</v>
      </c>
      <c r="AC82" s="22">
        <f t="shared" si="57"/>
        <v>7.7415776118290731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13.3</v>
      </c>
      <c r="AI82" s="13">
        <f>IF('Données projet'!$A$62&gt;35,AI81+AH82-AQ81,IF(A82&lt;'Données projet'!$A$62,$AF$205^A82,IF(A82='Données projet'!$A$62,'Données projet'!$B$62,AI81+AH82-AQ81)))</f>
        <v>664.69999999999891</v>
      </c>
      <c r="AJ82" s="13">
        <f>AI82*VLOOKUP('Données projet'!$B$10,Paramètres!$A$1:$I$89,3,0)*VLOOKUP('Données projet'!$B$10,Paramètres!$A$1:$I$89,5,0)</f>
        <v>319.72069999999951</v>
      </c>
      <c r="AK82" s="13">
        <f t="shared" si="89"/>
        <v>75.295236913052307</v>
      </c>
      <c r="AL82" s="20">
        <f t="shared" si="58"/>
        <v>687.98609012356519</v>
      </c>
      <c r="AM82" s="59">
        <f t="shared" si="59"/>
        <v>981.31942345689845</v>
      </c>
      <c r="AN82" s="59">
        <f ca="1">AVERAGE(OFFSET($AM$3,0,0,'Données projet'!$E$10+1,1))-AVERAGE(OFFSET($H$3,0,0,'Données projet'!$E$10+1,1))</f>
        <v>252.30925789500111</v>
      </c>
      <c r="AO82" s="59">
        <f t="shared" si="90"/>
        <v>213.96033794804805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1.755367525439377</v>
      </c>
      <c r="AV82" s="21">
        <f>EXP(-LN(2)/25)*AV81+(1-EXP(-LN(2)/25))/(LN(2)/25)*Calculateur!AQ82*Calculateur!AS82*VLOOKUP('Données projet'!$B$10,Paramètres!$A$1:$I$89,3,0)*0.475*44/12</f>
        <v>2.3719629415541412</v>
      </c>
      <c r="AW82" s="21">
        <f>EXP(-LN(2)/2)*AW81+(1-EXP(-LN(2)/2))/(LN(2)/2)*AQ82*AT82*VLOOKUP('Données projet'!$B$10,Paramètres!$A$1:$I$89,3,0)*0.475*44/12</f>
        <v>6.0596794162496988E-7</v>
      </c>
      <c r="AX82" s="21">
        <f t="shared" si="60"/>
        <v>4.1273310729614598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442.79999999999956</v>
      </c>
      <c r="BE82" s="13">
        <f>BD82*VLOOKUP('Données projet'!$B$11,Paramètres!$A$1:$I$89,3,0)*VLOOKUP('Données projet'!$B$11,Paramètres!$A$1:$I$89,5,0)</f>
        <v>264.79439999999977</v>
      </c>
      <c r="BF82" s="13">
        <f t="shared" si="91"/>
        <v>63.74326095490612</v>
      </c>
      <c r="BG82" s="20">
        <f t="shared" si="61"/>
        <v>572.2030928297944</v>
      </c>
      <c r="BH82" s="59">
        <f t="shared" si="62"/>
        <v>865.53642616312777</v>
      </c>
      <c r="BI82" s="59">
        <f ca="1">AVERAGE(OFFSET($BH$3,0,0,'Données projet'!$E$11+1,1))-AVERAGE(OFFSET($H$3,0,0,'Données projet'!$E$11+1,1))</f>
        <v>216.94426559495264</v>
      </c>
      <c r="BJ82" s="59">
        <f t="shared" si="92"/>
        <v>225.33715877618704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3.3026263800012701</v>
      </c>
      <c r="BR82" s="21">
        <f>EXP(-LN(2)/2)*BR81+(1-EXP(-LN(2)/2))/(LN(2)/2)*BL82*BO82*VLOOKUP('Données projet'!$B$11,Paramètres!$A$1:$I$89,3,0)*0.475*44/12</f>
        <v>1.0001177358623357E-6</v>
      </c>
      <c r="BS82" s="22">
        <f t="shared" si="63"/>
        <v>3.3026273801190058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3.7</v>
      </c>
      <c r="BY82" s="12">
        <f>IF('Données projet'!$A$114&gt;35,BY81+BX82-CG81,IF(A82&lt;'Données projet'!$A$114,$BV$205^A82,IF(A82='Données projet'!$A$114,'Données projet'!$B$114,BY81+BX82-CG81)))</f>
        <v>243.29999999999993</v>
      </c>
      <c r="BZ82" s="13">
        <f>BY82*VLOOKUP('Données projet'!$B$12,Paramètres!$A$1:$I$89,3,0)*VLOOKUP('Données projet'!$B$12,Paramètres!$A$1:$I$89,5,0)</f>
        <v>212.54687999999996</v>
      </c>
      <c r="CA82" s="13">
        <f t="shared" si="93"/>
        <v>52.491751972791846</v>
      </c>
      <c r="CB82" s="20">
        <f t="shared" si="64"/>
        <v>461.60895068594567</v>
      </c>
      <c r="CC82" s="59">
        <f t="shared" si="65"/>
        <v>754.94228401927899</v>
      </c>
      <c r="CD82" s="59">
        <f ca="1">AVERAGE(OFFSET($CC$3,0,0,'Données projet'!$E$12+1,1))-AVERAGE(OFFSET($H$3,0,0,'Données projet'!$E$12+1,1))</f>
        <v>223.81948236065614</v>
      </c>
      <c r="CE82" s="59">
        <f t="shared" si="94"/>
        <v>320.1204011431372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1.1644421491068919</v>
      </c>
      <c r="CL82" s="21">
        <f>EXP(-LN(2)/25)*CL81+(1-EXP(-LN(2)/25))/(LN(2)/25)*Calculateur!CG82*Calculateur!CI82*VLOOKUP('Données projet'!$B$12,Paramètres!$A$1:$I$89,3,0)*0.475*44/12</f>
        <v>4.5474514793733807</v>
      </c>
      <c r="CM82" s="21">
        <f>EXP(-LN(2)/2)*CM81+(1-EXP(-LN(2)/2))/(LN(2)/2)*CG82*CJ82*VLOOKUP('Données projet'!$B$12,Paramètres!$A$1:$I$89,3,0)*0.475*44/12</f>
        <v>1.170418270132361E-6</v>
      </c>
      <c r="CN82" s="22">
        <f t="shared" si="66"/>
        <v>5.711894798898542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582</v>
      </c>
      <c r="L83" s="12">
        <f>VLOOKUP(A83,'Données projet'!$A$35:$I$55,9,0)</f>
        <v>9.3000000000000007</v>
      </c>
      <c r="M83" s="12">
        <f t="array" ref="M83">INDEX(L:L,MIN(IF(ISNUMBER(L83:L279),ROW(L83:L279),"")))</f>
        <v>9.3000000000000007</v>
      </c>
      <c r="N83" s="13">
        <f>IF('Données projet'!$A$36&gt;35,N82+M83-V82,IF(A83&lt;'Données projet'!$A$36,$K$205^A83,IF(A83='Données projet'!$A$36,'Données projet'!$B$36,N82+M83-V82)))</f>
        <v>581.99999999999966</v>
      </c>
      <c r="O83" s="13">
        <f>N83*VLOOKUP('Données projet'!$B$9,Paramètres!$A$1:$I$89,3,0)*VLOOKUP('Données projet'!$B$9,Paramètres!$A$1:$I$89,5,0)</f>
        <v>325.33799999999979</v>
      </c>
      <c r="P83" s="13">
        <f t="shared" si="87"/>
        <v>76.462956713256162</v>
      </c>
      <c r="Q83" s="20">
        <f t="shared" si="54"/>
        <v>699.8033329422542</v>
      </c>
      <c r="R83" s="59">
        <f t="shared" si="55"/>
        <v>993.13666627558746</v>
      </c>
      <c r="S83" s="59">
        <f ca="1">AVERAGE(OFFSET($R$3,0,0,'Données projet'!$E$9+1,1))-AVERAGE(OFFSET($H$3,0,0,'Données projet'!$E$9+1,1))</f>
        <v>279.98352834501759</v>
      </c>
      <c r="T83" s="59">
        <f t="shared" si="88"/>
        <v>281.30062655265488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582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1.4848619503005314</v>
      </c>
      <c r="AA83" s="21">
        <f>EXP(-LN(2)/25)*AA82+(1-EXP(-LN(2)/25))/(LN(2)/25)*Calculateur!V83*Calculateur!X83*VLOOKUP('Données projet'!$B$9,Paramètres!$A$1:$I$89,3,0)*0.475*44/12</f>
        <v>6.0567367910315237</v>
      </c>
      <c r="AB83" s="21">
        <f>EXP(-LN(2)/2)*AB82+(1-EXP(-LN(2)/2))/(LN(2)/2)*V83*Y83*VLOOKUP('Données projet'!$B$9,Paramètres!$A$1:$I$89,3,0)*0.475*44/12</f>
        <v>8.4391654657765388E-7</v>
      </c>
      <c r="AC83" s="22">
        <f t="shared" si="57"/>
        <v>7.5415995852486013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678</v>
      </c>
      <c r="AG83" s="12">
        <f>VLOOKUP(A83,'Données projet'!$A$61:$I$81,9,0)</f>
        <v>13.3</v>
      </c>
      <c r="AH83" s="12">
        <f t="array" ref="AH83">INDEX(AG:AG,MIN(IF(ISNUMBER(AG83:AG279),ROW(AG83:AG279),"")))</f>
        <v>13.3</v>
      </c>
      <c r="AI83" s="13">
        <f>IF('Données projet'!$A$62&gt;35,AI82+AH83-AQ82,IF(A83&lt;'Données projet'!$A$62,$AF$205^A83,IF(A83='Données projet'!$A$62,'Données projet'!$B$62,AI82+AH83-AQ82)))</f>
        <v>677.99999999999886</v>
      </c>
      <c r="AJ83" s="13">
        <f>AI83*VLOOKUP('Données projet'!$B$10,Paramètres!$A$1:$I$89,3,0)*VLOOKUP('Données projet'!$B$10,Paramètres!$A$1:$I$89,5,0)</f>
        <v>326.11799999999948</v>
      </c>
      <c r="AK83" s="13">
        <f t="shared" si="89"/>
        <v>76.624916074567736</v>
      </c>
      <c r="AL83" s="20">
        <f t="shared" si="58"/>
        <v>701.44391216320446</v>
      </c>
      <c r="AM83" s="59">
        <f t="shared" si="59"/>
        <v>994.77724549653772</v>
      </c>
      <c r="AN83" s="59">
        <f ca="1">AVERAGE(OFFSET($AM$3,0,0,'Données projet'!$E$10+1,1))-AVERAGE(OFFSET($H$3,0,0,'Données projet'!$E$10+1,1))</f>
        <v>252.30925789500111</v>
      </c>
      <c r="AO83" s="59">
        <f t="shared" si="90"/>
        <v>213.96033794804805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678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1.7209458389339816</v>
      </c>
      <c r="AV83" s="21">
        <f>EXP(-LN(2)/25)*AV82+(1-EXP(-LN(2)/25))/(LN(2)/25)*Calculateur!AQ83*Calculateur!AS83*VLOOKUP('Données projet'!$B$10,Paramètres!$A$1:$I$89,3,0)*0.475*44/12</f>
        <v>2.3071014901812332</v>
      </c>
      <c r="AW83" s="21">
        <f>EXP(-LN(2)/2)*AW82+(1-EXP(-LN(2)/2))/(LN(2)/2)*AQ83*AT83*VLOOKUP('Données projet'!$B$10,Paramètres!$A$1:$I$89,3,0)*0.475*44/12</f>
        <v>4.2848404070467019E-7</v>
      </c>
      <c r="AX83" s="21">
        <f t="shared" si="60"/>
        <v>4.0280477575992562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450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449.99999999999955</v>
      </c>
      <c r="BE83" s="13">
        <f>BD83*VLOOKUP('Données projet'!$B$11,Paramètres!$A$1:$I$89,3,0)*VLOOKUP('Données projet'!$B$11,Paramètres!$A$1:$I$89,5,0)</f>
        <v>269.09999999999974</v>
      </c>
      <c r="BF83" s="13">
        <f t="shared" si="91"/>
        <v>64.658229472790936</v>
      </c>
      <c r="BG83" s="20">
        <f t="shared" si="61"/>
        <v>581.29558299844382</v>
      </c>
      <c r="BH83" s="59">
        <f t="shared" si="62"/>
        <v>874.62891633177719</v>
      </c>
      <c r="BI83" s="59">
        <f ca="1">AVERAGE(OFFSET($BH$3,0,0,'Données projet'!$E$11+1,1))-AVERAGE(OFFSET($H$3,0,0,'Données projet'!$E$11+1,1))</f>
        <v>216.94426559495264</v>
      </c>
      <c r="BJ83" s="59">
        <f t="shared" si="92"/>
        <v>225.33715877618704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450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3.2123158879625624</v>
      </c>
      <c r="BR83" s="21">
        <f>EXP(-LN(2)/2)*BR82+(1-EXP(-LN(2)/2))/(LN(2)/2)*BL83*BO83*VLOOKUP('Données projet'!$B$11,Paramètres!$A$1:$I$89,3,0)*0.475*44/12</f>
        <v>7.0719003301319395E-7</v>
      </c>
      <c r="BS83" s="22">
        <f t="shared" si="63"/>
        <v>3.2123165951525956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247</v>
      </c>
      <c r="BW83" s="12">
        <f>VLOOKUP(A83,'Données projet'!$A$113:$I$133,9,0)</f>
        <v>3.7</v>
      </c>
      <c r="BX83" s="12">
        <f t="array" ref="BX83">INDEX(BW:BW,MIN(IF(ISNUMBER(BW83:BW279),ROW(BW83:BW279),"")))</f>
        <v>3.7</v>
      </c>
      <c r="BY83" s="12">
        <f>IF('Données projet'!$A$114&gt;35,BY82+BX83-CG82,IF(A83&lt;'Données projet'!$A$114,$BV$205^A83,IF(A83='Données projet'!$A$114,'Données projet'!$B$114,BY82+BX83-CG82)))</f>
        <v>246.99999999999991</v>
      </c>
      <c r="BZ83" s="13">
        <f>BY83*VLOOKUP('Données projet'!$B$12,Paramètres!$A$1:$I$89,3,0)*VLOOKUP('Données projet'!$B$12,Paramètres!$A$1:$I$89,5,0)</f>
        <v>215.77919999999995</v>
      </c>
      <c r="CA83" s="13">
        <f t="shared" si="93"/>
        <v>53.196483976998607</v>
      </c>
      <c r="CB83" s="20">
        <f t="shared" si="64"/>
        <v>468.4659829266057</v>
      </c>
      <c r="CC83" s="59">
        <f t="shared" si="65"/>
        <v>761.79931625993902</v>
      </c>
      <c r="CD83" s="59">
        <f ca="1">AVERAGE(OFFSET($CC$3,0,0,'Données projet'!$E$12+1,1))-AVERAGE(OFFSET($H$3,0,0,'Données projet'!$E$12+1,1))</f>
        <v>223.81948236065614</v>
      </c>
      <c r="CE83" s="59">
        <f t="shared" si="94"/>
        <v>320.1204011431372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1.1416081488024863</v>
      </c>
      <c r="CL83" s="21">
        <f>EXP(-LN(2)/25)*CL82+(1-EXP(-LN(2)/25))/(LN(2)/25)*Calculateur!CG83*Calculateur!CI83*VLOOKUP('Données projet'!$B$12,Paramètres!$A$1:$I$89,3,0)*0.475*44/12</f>
        <v>4.4231011795298354</v>
      </c>
      <c r="CM83" s="21">
        <f>EXP(-LN(2)/2)*CM82+(1-EXP(-LN(2)/2))/(LN(2)/2)*CG83*CJ83*VLOOKUP('Données projet'!$B$12,Paramètres!$A$1:$I$89,3,0)*0.475*44/12</f>
        <v>8.2761069563522089E-7</v>
      </c>
      <c r="CN83" s="22">
        <f t="shared" si="66"/>
        <v>5.5647101559430174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-3.4106051316484809E-13</v>
      </c>
      <c r="O84" s="13">
        <f>N84*VLOOKUP('Données projet'!$B$9,Paramètres!$A$1:$I$89,3,0)*VLOOKUP('Données projet'!$B$9,Paramètres!$A$1:$I$89,5,0)</f>
        <v>-1.9065282685915009E-13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279.98352834501759</v>
      </c>
      <c r="T84" s="59">
        <f t="shared" si="88"/>
        <v>281.30062655265488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1.4557447131314996</v>
      </c>
      <c r="AA84" s="21">
        <f>EXP(-LN(2)/25)*AA83+(1-EXP(-LN(2)/25))/(LN(2)/25)*Calculateur!V84*Calculateur!X84*VLOOKUP('Données projet'!$B$9,Paramètres!$A$1:$I$89,3,0)*0.475*44/12</f>
        <v>5.8911150049708221</v>
      </c>
      <c r="AB84" s="21">
        <f>EXP(-LN(2)/2)*AB83+(1-EXP(-LN(2)/2))/(LN(2)/2)*V84*Y84*VLOOKUP('Données projet'!$B$9,Paramètres!$A$1:$I$89,3,0)*0.475*44/12</f>
        <v>5.9673911284059194E-7</v>
      </c>
      <c r="AC84" s="22">
        <f t="shared" si="57"/>
        <v>7.3468603148414351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-1.1368683772161603E-12</v>
      </c>
      <c r="AJ84" s="13">
        <f>AI84*VLOOKUP('Données projet'!$B$10,Paramètres!$A$1:$I$89,3,0)*VLOOKUP('Données projet'!$B$10,Paramètres!$A$1:$I$89,5,0)</f>
        <v>-5.4683368944097316E-13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252.30925789500111</v>
      </c>
      <c r="AO84" s="59">
        <f t="shared" si="90"/>
        <v>213.96033794804805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1.6871991407058013</v>
      </c>
      <c r="AV84" s="21">
        <f>EXP(-LN(2)/25)*AV83+(1-EXP(-LN(2)/25))/(LN(2)/25)*Calculateur!AQ84*Calculateur!AS84*VLOOKUP('Données projet'!$B$10,Paramètres!$A$1:$I$89,3,0)*0.475*44/12</f>
        <v>2.244013678607033</v>
      </c>
      <c r="AW84" s="21">
        <f>EXP(-LN(2)/2)*AW83+(1-EXP(-LN(2)/2))/(LN(2)/2)*AQ84*AT84*VLOOKUP('Données projet'!$B$10,Paramètres!$A$1:$I$89,3,0)*0.475*44/12</f>
        <v>3.0298397081248494E-7</v>
      </c>
      <c r="AX84" s="21">
        <f t="shared" si="60"/>
        <v>3.9312131222968052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-4.5474735088646412E-13</v>
      </c>
      <c r="BE84" s="13">
        <f>BD84*VLOOKUP('Données projet'!$B$11,Paramètres!$A$1:$I$89,3,0)*VLOOKUP('Données projet'!$B$11,Paramètres!$A$1:$I$89,5,0)</f>
        <v>-2.7193891583010558E-13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216.94426559495264</v>
      </c>
      <c r="BJ84" s="59">
        <f t="shared" si="92"/>
        <v>225.33715877618704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3.1244749410778754</v>
      </c>
      <c r="BR84" s="21">
        <f>EXP(-LN(2)/2)*BR83+(1-EXP(-LN(2)/2))/(LN(2)/2)*BL84*BO84*VLOOKUP('Données projet'!$B$11,Paramètres!$A$1:$I$89,3,0)*0.475*44/12</f>
        <v>5.0005886793116784E-7</v>
      </c>
      <c r="BS84" s="22">
        <f t="shared" si="63"/>
        <v>3.1244754411367435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2.9</v>
      </c>
      <c r="BY84" s="12">
        <f>IF('Données projet'!$A$114&gt;35,BY83+BX84-CG83,IF(A84&lt;'Données projet'!$A$114,$BV$205^A84,IF(A84='Données projet'!$A$114,'Données projet'!$B$114,BY83+BX84-CG83)))</f>
        <v>221.89999999999992</v>
      </c>
      <c r="BZ84" s="13">
        <f>BY84*VLOOKUP('Données projet'!$B$12,Paramètres!$A$1:$I$89,3,0)*VLOOKUP('Données projet'!$B$12,Paramètres!$A$1:$I$89,5,0)</f>
        <v>193.85183999999995</v>
      </c>
      <c r="CA84" s="13">
        <f t="shared" si="93"/>
        <v>48.390542715745532</v>
      </c>
      <c r="CB84" s="20">
        <f t="shared" si="64"/>
        <v>421.90548322992339</v>
      </c>
      <c r="CC84" s="59">
        <f t="shared" si="65"/>
        <v>715.23881656325671</v>
      </c>
      <c r="CD84" s="59">
        <f ca="1">AVERAGE(OFFSET($CC$3,0,0,'Données projet'!$E$12+1,1))-AVERAGE(OFFSET($H$3,0,0,'Données projet'!$E$12+1,1))</f>
        <v>223.81948236065614</v>
      </c>
      <c r="CE84" s="59">
        <f t="shared" si="94"/>
        <v>320.1204011431372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1.1192219093166851</v>
      </c>
      <c r="CL84" s="21">
        <f>EXP(-LN(2)/25)*CL83+(1-EXP(-LN(2)/25))/(LN(2)/25)*Calculateur!CG84*Calculateur!CI84*VLOOKUP('Données projet'!$B$12,Paramètres!$A$1:$I$89,3,0)*0.475*44/12</f>
        <v>4.3021512451748105</v>
      </c>
      <c r="CM84" s="21">
        <f>EXP(-LN(2)/2)*CM83+(1-EXP(-LN(2)/2))/(LN(2)/2)*CG84*CJ84*VLOOKUP('Données projet'!$B$12,Paramètres!$A$1:$I$89,3,0)*0.475*44/12</f>
        <v>5.8520913506618051E-7</v>
      </c>
      <c r="CN84" s="22">
        <f t="shared" si="66"/>
        <v>5.4213737397006314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-3.4106051316484809E-13</v>
      </c>
      <c r="O85" s="13">
        <f>N85*VLOOKUP('Données projet'!$B$9,Paramètres!$A$1:$I$89,3,0)*VLOOKUP('Données projet'!$B$9,Paramètres!$A$1:$I$89,5,0)</f>
        <v>-1.9065282685915009E-13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279.98352834501759</v>
      </c>
      <c r="T85" s="59">
        <f t="shared" si="88"/>
        <v>281.30062655265488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1.4271984472235915</v>
      </c>
      <c r="AA85" s="21">
        <f>EXP(-LN(2)/25)*AA84+(1-EXP(-LN(2)/25))/(LN(2)/25)*Calculateur!V85*Calculateur!X85*VLOOKUP('Données projet'!$B$9,Paramètres!$A$1:$I$89,3,0)*0.475*44/12</f>
        <v>5.7300221553596211</v>
      </c>
      <c r="AB85" s="21">
        <f>EXP(-LN(2)/2)*AB84+(1-EXP(-LN(2)/2))/(LN(2)/2)*V85*Y85*VLOOKUP('Données projet'!$B$9,Paramètres!$A$1:$I$89,3,0)*0.475*44/12</f>
        <v>4.2195827328882694E-7</v>
      </c>
      <c r="AC85" s="22">
        <f t="shared" si="57"/>
        <v>7.157221024541486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-1.1368683772161603E-12</v>
      </c>
      <c r="AJ85" s="13">
        <f>AI85*VLOOKUP('Données projet'!$B$10,Paramètres!$A$1:$I$89,3,0)*VLOOKUP('Données projet'!$B$10,Paramètres!$A$1:$I$89,5,0)</f>
        <v>-5.4683368944097316E-13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252.30925789500111</v>
      </c>
      <c r="AO85" s="59">
        <f t="shared" si="90"/>
        <v>213.96033794804805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1.6541141946464222</v>
      </c>
      <c r="AV85" s="21">
        <f>EXP(-LN(2)/25)*AV84+(1-EXP(-LN(2)/25))/(LN(2)/25)*Calculateur!AQ85*Calculateur!AS85*VLOOKUP('Données projet'!$B$10,Paramètres!$A$1:$I$89,3,0)*0.475*44/12</f>
        <v>2.1826510065579732</v>
      </c>
      <c r="AW85" s="21">
        <f>EXP(-LN(2)/2)*AW84+(1-EXP(-LN(2)/2))/(LN(2)/2)*AQ85*AT85*VLOOKUP('Données projet'!$B$10,Paramètres!$A$1:$I$89,3,0)*0.475*44/12</f>
        <v>2.1424202035233509E-7</v>
      </c>
      <c r="AX85" s="21">
        <f t="shared" si="60"/>
        <v>3.8367654154464157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-4.5474735088646412E-13</v>
      </c>
      <c r="BE85" s="13">
        <f>BD85*VLOOKUP('Données projet'!$B$11,Paramètres!$A$1:$I$89,3,0)*VLOOKUP('Données projet'!$B$11,Paramètres!$A$1:$I$89,5,0)</f>
        <v>-2.7193891583010558E-13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216.94426559495264</v>
      </c>
      <c r="BJ85" s="59">
        <f t="shared" si="92"/>
        <v>225.33715877618704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3.039036009505105</v>
      </c>
      <c r="BR85" s="21">
        <f>EXP(-LN(2)/2)*BR84+(1-EXP(-LN(2)/2))/(LN(2)/2)*BL85*BO85*VLOOKUP('Données projet'!$B$11,Paramètres!$A$1:$I$89,3,0)*0.475*44/12</f>
        <v>3.5359501650659697E-7</v>
      </c>
      <c r="BS85" s="22">
        <f t="shared" si="63"/>
        <v>3.0390363631001214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2.9</v>
      </c>
      <c r="BY85" s="12">
        <f>IF('Données projet'!$A$114&gt;35,BY84+BX85-CG84,IF(A85&lt;'Données projet'!$A$114,$BV$205^A85,IF(A85='Données projet'!$A$114,'Données projet'!$B$114,BY84+BX85-CG84)))</f>
        <v>224.79999999999993</v>
      </c>
      <c r="BZ85" s="13">
        <f>BY85*VLOOKUP('Données projet'!$B$12,Paramètres!$A$1:$I$89,3,0)*VLOOKUP('Données projet'!$B$12,Paramètres!$A$1:$I$89,5,0)</f>
        <v>196.38527999999997</v>
      </c>
      <c r="CA85" s="13">
        <f t="shared" si="93"/>
        <v>48.948920378863868</v>
      </c>
      <c r="CB85" s="20">
        <f t="shared" si="64"/>
        <v>427.29039899318786</v>
      </c>
      <c r="CC85" s="59">
        <f t="shared" si="65"/>
        <v>720.62373232652112</v>
      </c>
      <c r="CD85" s="59">
        <f ca="1">AVERAGE(OFFSET($CC$3,0,0,'Données projet'!$E$12+1,1))-AVERAGE(OFFSET($H$3,0,0,'Données projet'!$E$12+1,1))</f>
        <v>223.81948236065614</v>
      </c>
      <c r="CE85" s="59">
        <f t="shared" si="94"/>
        <v>320.1204011431372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1.0972746503329427</v>
      </c>
      <c r="CL85" s="21">
        <f>EXP(-LN(2)/25)*CL84+(1-EXP(-LN(2)/25))/(LN(2)/25)*Calculateur!CG85*Calculateur!CI85*VLOOKUP('Données projet'!$B$12,Paramètres!$A$1:$I$89,3,0)*0.475*44/12</f>
        <v>4.1845086931352045</v>
      </c>
      <c r="CM85" s="21">
        <f>EXP(-LN(2)/2)*CM84+(1-EXP(-LN(2)/2))/(LN(2)/2)*CG85*CJ85*VLOOKUP('Données projet'!$B$12,Paramètres!$A$1:$I$89,3,0)*0.475*44/12</f>
        <v>4.1380534781761044E-7</v>
      </c>
      <c r="CN85" s="22">
        <f t="shared" si="66"/>
        <v>5.2817837572734954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-3.4106051316484809E-13</v>
      </c>
      <c r="O86" s="13">
        <f>N86*VLOOKUP('Données projet'!$B$9,Paramètres!$A$1:$I$89,3,0)*VLOOKUP('Données projet'!$B$9,Paramètres!$A$1:$I$89,5,0)</f>
        <v>-1.9065282685915009E-13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279.98352834501759</v>
      </c>
      <c r="T86" s="59">
        <f t="shared" si="88"/>
        <v>281.30062655265488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1.3992119561786345</v>
      </c>
      <c r="AA86" s="21">
        <f>EXP(-LN(2)/25)*AA85+(1-EXP(-LN(2)/25))/(LN(2)/25)*Calculateur!V86*Calculateur!X86*VLOOKUP('Données projet'!$B$9,Paramètres!$A$1:$I$89,3,0)*0.475*44/12</f>
        <v>5.5733343981925429</v>
      </c>
      <c r="AB86" s="21">
        <f>EXP(-LN(2)/2)*AB85+(1-EXP(-LN(2)/2))/(LN(2)/2)*V86*Y86*VLOOKUP('Données projet'!$B$9,Paramètres!$A$1:$I$89,3,0)*0.475*44/12</f>
        <v>2.9836955642029597E-7</v>
      </c>
      <c r="AC86" s="22">
        <f t="shared" si="57"/>
        <v>6.9725466527407338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-1.1368683772161603E-12</v>
      </c>
      <c r="AJ86" s="13">
        <f>AI86*VLOOKUP('Données projet'!$B$10,Paramètres!$A$1:$I$89,3,0)*VLOOKUP('Données projet'!$B$10,Paramètres!$A$1:$I$89,5,0)</f>
        <v>-5.4683368944097316E-13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252.30925789500111</v>
      </c>
      <c r="AO86" s="59">
        <f t="shared" si="90"/>
        <v>213.96033794804805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1.6216780241994431</v>
      </c>
      <c r="AV86" s="21">
        <f>EXP(-LN(2)/25)*AV85+(1-EXP(-LN(2)/25))/(LN(2)/25)*Calculateur!AQ86*Calculateur!AS86*VLOOKUP('Données projet'!$B$10,Paramètres!$A$1:$I$89,3,0)*0.475*44/12</f>
        <v>2.1229663000030174</v>
      </c>
      <c r="AW86" s="21">
        <f>EXP(-LN(2)/2)*AW85+(1-EXP(-LN(2)/2))/(LN(2)/2)*AQ86*AT86*VLOOKUP('Données projet'!$B$10,Paramètres!$A$1:$I$89,3,0)*0.475*44/12</f>
        <v>1.5149198540624247E-7</v>
      </c>
      <c r="AX86" s="21">
        <f t="shared" si="60"/>
        <v>3.7446444756944461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-4.5474735088646412E-13</v>
      </c>
      <c r="BE86" s="13">
        <f>BD86*VLOOKUP('Données projet'!$B$11,Paramètres!$A$1:$I$89,3,0)*VLOOKUP('Données projet'!$B$11,Paramètres!$A$1:$I$89,5,0)</f>
        <v>-2.7193891583010558E-13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216.94426559495264</v>
      </c>
      <c r="BJ86" s="59">
        <f t="shared" si="92"/>
        <v>225.33715877618704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2.95593341000923</v>
      </c>
      <c r="BR86" s="21">
        <f>EXP(-LN(2)/2)*BR85+(1-EXP(-LN(2)/2))/(LN(2)/2)*BL86*BO86*VLOOKUP('Données projet'!$B$11,Paramètres!$A$1:$I$89,3,0)*0.475*44/12</f>
        <v>2.5002943396558392E-7</v>
      </c>
      <c r="BS86" s="22">
        <f t="shared" si="63"/>
        <v>2.9559336600386641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2.9</v>
      </c>
      <c r="BY86" s="12">
        <f>IF('Données projet'!$A$114&gt;35,BY85+BX86-CG85,IF(A86&lt;'Données projet'!$A$114,$BV$205^A86,IF(A86='Données projet'!$A$114,'Données projet'!$B$114,BY85+BX86-CG85)))</f>
        <v>227.69999999999993</v>
      </c>
      <c r="BZ86" s="13">
        <f>BY86*VLOOKUP('Données projet'!$B$12,Paramètres!$A$1:$I$89,3,0)*VLOOKUP('Données projet'!$B$12,Paramètres!$A$1:$I$89,5,0)</f>
        <v>198.91871999999995</v>
      </c>
      <c r="CA86" s="13">
        <f t="shared" si="93"/>
        <v>49.506460185916012</v>
      </c>
      <c r="CB86" s="20">
        <f t="shared" si="64"/>
        <v>432.67385549047032</v>
      </c>
      <c r="CC86" s="59">
        <f t="shared" si="65"/>
        <v>726.00718882380363</v>
      </c>
      <c r="CD86" s="59">
        <f ca="1">AVERAGE(OFFSET($CC$3,0,0,'Données projet'!$E$12+1,1))-AVERAGE(OFFSET($H$3,0,0,'Données projet'!$E$12+1,1))</f>
        <v>223.81948236065614</v>
      </c>
      <c r="CE86" s="59">
        <f t="shared" si="94"/>
        <v>320.1204011431372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1.0757577637113653</v>
      </c>
      <c r="CL86" s="21">
        <f>EXP(-LN(2)/25)*CL85+(1-EXP(-LN(2)/25))/(LN(2)/25)*Calculateur!CG86*Calculateur!CI86*VLOOKUP('Données projet'!$B$12,Paramètres!$A$1:$I$89,3,0)*0.475*44/12</f>
        <v>4.070083082867674</v>
      </c>
      <c r="CM86" s="21">
        <f>EXP(-LN(2)/2)*CM85+(1-EXP(-LN(2)/2))/(LN(2)/2)*CG86*CJ86*VLOOKUP('Données projet'!$B$12,Paramètres!$A$1:$I$89,3,0)*0.475*44/12</f>
        <v>2.9260456753309025E-7</v>
      </c>
      <c r="CN86" s="22">
        <f t="shared" si="66"/>
        <v>5.1458411391836067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-3.4106051316484809E-13</v>
      </c>
      <c r="O87" s="13">
        <f>N87*VLOOKUP('Données projet'!$B$9,Paramètres!$A$1:$I$89,3,0)*VLOOKUP('Données projet'!$B$9,Paramètres!$A$1:$I$89,5,0)</f>
        <v>-1.9065282685915009E-13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279.98352834501759</v>
      </c>
      <c r="T87" s="59">
        <f t="shared" si="88"/>
        <v>281.30062655265488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1.371774263152995</v>
      </c>
      <c r="AA87" s="21">
        <f>EXP(-LN(2)/25)*AA86+(1-EXP(-LN(2)/25))/(LN(2)/25)*Calculateur!V87*Calculateur!X87*VLOOKUP('Données projet'!$B$9,Paramètres!$A$1:$I$89,3,0)*0.475*44/12</f>
        <v>5.4209312759850503</v>
      </c>
      <c r="AB87" s="21">
        <f>EXP(-LN(2)/2)*AB86+(1-EXP(-LN(2)/2))/(LN(2)/2)*V87*Y87*VLOOKUP('Données projet'!$B$9,Paramètres!$A$1:$I$89,3,0)*0.475*44/12</f>
        <v>2.1097913664441347E-7</v>
      </c>
      <c r="AC87" s="22">
        <f t="shared" si="57"/>
        <v>6.7927057501171815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-1.1368683772161603E-12</v>
      </c>
      <c r="AJ87" s="13">
        <f>AI87*VLOOKUP('Données projet'!$B$10,Paramètres!$A$1:$I$89,3,0)*VLOOKUP('Données projet'!$B$10,Paramètres!$A$1:$I$89,5,0)</f>
        <v>-5.4683368944097316E-13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252.30925789500111</v>
      </c>
      <c r="AO87" s="59">
        <f t="shared" si="90"/>
        <v>213.96033794804805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1.5898779072708187</v>
      </c>
      <c r="AV87" s="21">
        <f>EXP(-LN(2)/25)*AV86+(1-EXP(-LN(2)/25))/(LN(2)/25)*Calculateur!AQ87*Calculateur!AS87*VLOOKUP('Données projet'!$B$10,Paramètres!$A$1:$I$89,3,0)*0.475*44/12</f>
        <v>2.0649136748874892</v>
      </c>
      <c r="AW87" s="21">
        <f>EXP(-LN(2)/2)*AW86+(1-EXP(-LN(2)/2))/(LN(2)/2)*AQ87*AT87*VLOOKUP('Données projet'!$B$10,Paramètres!$A$1:$I$89,3,0)*0.475*44/12</f>
        <v>1.0712101017616755E-7</v>
      </c>
      <c r="AX87" s="21">
        <f t="shared" si="60"/>
        <v>3.654791689279318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-4.5474735088646412E-13</v>
      </c>
      <c r="BE87" s="13">
        <f>BD87*VLOOKUP('Données projet'!$B$11,Paramètres!$A$1:$I$89,3,0)*VLOOKUP('Données projet'!$B$11,Paramètres!$A$1:$I$89,5,0)</f>
        <v>-2.7193891583010558E-13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216.94426559495264</v>
      </c>
      <c r="BJ87" s="59">
        <f t="shared" si="92"/>
        <v>225.33715877618704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2.8751032554667453</v>
      </c>
      <c r="BR87" s="21">
        <f>EXP(-LN(2)/2)*BR86+(1-EXP(-LN(2)/2))/(LN(2)/2)*BL87*BO87*VLOOKUP('Données projet'!$B$11,Paramètres!$A$1:$I$89,3,0)*0.475*44/12</f>
        <v>1.7679750825329849E-7</v>
      </c>
      <c r="BS87" s="22">
        <f t="shared" si="63"/>
        <v>2.8751034322642535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2.9</v>
      </c>
      <c r="BY87" s="12">
        <f>IF('Données projet'!$A$114&gt;35,BY86+BX87-CG86,IF(A87&lt;'Données projet'!$A$114,$BV$205^A87,IF(A87='Données projet'!$A$114,'Données projet'!$B$114,BY86+BX87-CG86)))</f>
        <v>230.59999999999994</v>
      </c>
      <c r="BZ87" s="13">
        <f>BY87*VLOOKUP('Données projet'!$B$12,Paramètres!$A$1:$I$89,3,0)*VLOOKUP('Données projet'!$B$12,Paramètres!$A$1:$I$89,5,0)</f>
        <v>201.45215999999996</v>
      </c>
      <c r="CA87" s="13">
        <f t="shared" si="93"/>
        <v>50.063174041807549</v>
      </c>
      <c r="CB87" s="20">
        <f t="shared" si="64"/>
        <v>438.05587345614805</v>
      </c>
      <c r="CC87" s="59">
        <f t="shared" si="65"/>
        <v>731.38920678948136</v>
      </c>
      <c r="CD87" s="59">
        <f ca="1">AVERAGE(OFFSET($CC$3,0,0,'Données projet'!$E$12+1,1))-AVERAGE(OFFSET($H$3,0,0,'Données projet'!$E$12+1,1))</f>
        <v>223.81948236065614</v>
      </c>
      <c r="CE87" s="59">
        <f t="shared" si="94"/>
        <v>320.1204011431372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1.0546628101124322</v>
      </c>
      <c r="CL87" s="21">
        <f>EXP(-LN(2)/25)*CL86+(1-EXP(-LN(2)/25))/(LN(2)/25)*Calculateur!CG87*Calculateur!CI87*VLOOKUP('Données projet'!$B$12,Paramètres!$A$1:$I$89,3,0)*0.475*44/12</f>
        <v>3.9587864469302905</v>
      </c>
      <c r="CM87" s="21">
        <f>EXP(-LN(2)/2)*CM86+(1-EXP(-LN(2)/2))/(LN(2)/2)*CG87*CJ87*VLOOKUP('Données projet'!$B$12,Paramètres!$A$1:$I$89,3,0)*0.475*44/12</f>
        <v>2.0690267390880522E-7</v>
      </c>
      <c r="CN87" s="22">
        <f t="shared" si="66"/>
        <v>5.0134494639453964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-3.4106051316484809E-13</v>
      </c>
      <c r="O88" s="13">
        <f>N88*VLOOKUP('Données projet'!$B$9,Paramètres!$A$1:$I$89,3,0)*VLOOKUP('Données projet'!$B$9,Paramètres!$A$1:$I$89,5,0)</f>
        <v>-1.9065282685915009E-13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279.98352834501759</v>
      </c>
      <c r="T88" s="59">
        <f t="shared" si="88"/>
        <v>281.30062655265488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1.3448746065522481</v>
      </c>
      <c r="AA88" s="21">
        <f>EXP(-LN(2)/25)*AA87+(1-EXP(-LN(2)/25))/(LN(2)/25)*Calculateur!V88*Calculateur!X88*VLOOKUP('Données projet'!$B$9,Paramètres!$A$1:$I$89,3,0)*0.475*44/12</f>
        <v>5.2726956251688533</v>
      </c>
      <c r="AB88" s="21">
        <f>EXP(-LN(2)/2)*AB87+(1-EXP(-LN(2)/2))/(LN(2)/2)*V88*Y88*VLOOKUP('Données projet'!$B$9,Paramètres!$A$1:$I$89,3,0)*0.475*44/12</f>
        <v>1.4918477821014799E-7</v>
      </c>
      <c r="AC88" s="22">
        <f t="shared" si="57"/>
        <v>6.6175703809058799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-1.1368683772161603E-12</v>
      </c>
      <c r="AJ88" s="13">
        <f>AI88*VLOOKUP('Données projet'!$B$10,Paramètres!$A$1:$I$89,3,0)*VLOOKUP('Données projet'!$B$10,Paramètres!$A$1:$I$89,5,0)</f>
        <v>-5.4683368944097316E-13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252.30925789500111</v>
      </c>
      <c r="AO88" s="59">
        <f t="shared" si="90"/>
        <v>213.96033794804805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1.5587013712390085</v>
      </c>
      <c r="AV88" s="21">
        <f>EXP(-LN(2)/25)*AV87+(1-EXP(-LN(2)/25))/(LN(2)/25)*Calculateur!AQ88*Calculateur!AS88*VLOOKUP('Données projet'!$B$10,Paramètres!$A$1:$I$89,3,0)*0.475*44/12</f>
        <v>2.0084485018586</v>
      </c>
      <c r="AW88" s="21">
        <f>EXP(-LN(2)/2)*AW87+(1-EXP(-LN(2)/2))/(LN(2)/2)*AQ88*AT88*VLOOKUP('Données projet'!$B$10,Paramètres!$A$1:$I$89,3,0)*0.475*44/12</f>
        <v>7.5745992703121235E-8</v>
      </c>
      <c r="AX88" s="21">
        <f t="shared" si="60"/>
        <v>3.5671499488436011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-4.5474735088646412E-13</v>
      </c>
      <c r="BE88" s="13">
        <f>BD88*VLOOKUP('Données projet'!$B$11,Paramètres!$A$1:$I$89,3,0)*VLOOKUP('Données projet'!$B$11,Paramètres!$A$1:$I$89,5,0)</f>
        <v>-2.7193891583010558E-13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216.94426559495264</v>
      </c>
      <c r="BJ88" s="59">
        <f t="shared" si="92"/>
        <v>225.33715877618704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2.796483405750898</v>
      </c>
      <c r="BR88" s="21">
        <f>EXP(-LN(2)/2)*BR87+(1-EXP(-LN(2)/2))/(LN(2)/2)*BL88*BO88*VLOOKUP('Données projet'!$B$11,Paramètres!$A$1:$I$89,3,0)*0.475*44/12</f>
        <v>1.2501471698279196E-7</v>
      </c>
      <c r="BS88" s="22">
        <f t="shared" si="63"/>
        <v>2.7964835307656148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2.9</v>
      </c>
      <c r="BY88" s="12">
        <f>IF('Données projet'!$A$114&gt;35,BY87+BX88-CG87,IF(A88&lt;'Données projet'!$A$114,$BV$205^A88,IF(A88='Données projet'!$A$114,'Données projet'!$B$114,BY87+BX88-CG87)))</f>
        <v>233.49999999999994</v>
      </c>
      <c r="BZ88" s="13">
        <f>BY88*VLOOKUP('Données projet'!$B$12,Paramètres!$A$1:$I$89,3,0)*VLOOKUP('Données projet'!$B$12,Paramètres!$A$1:$I$89,5,0)</f>
        <v>203.98560000000001</v>
      </c>
      <c r="CA88" s="13">
        <f t="shared" si="93"/>
        <v>50.619073534794722</v>
      </c>
      <c r="CB88" s="20">
        <f t="shared" si="64"/>
        <v>443.43647307310084</v>
      </c>
      <c r="CC88" s="59">
        <f t="shared" si="65"/>
        <v>736.7698064064341</v>
      </c>
      <c r="CD88" s="59">
        <f ca="1">AVERAGE(OFFSET($CC$3,0,0,'Données projet'!$E$12+1,1))-AVERAGE(OFFSET($H$3,0,0,'Données projet'!$E$12+1,1))</f>
        <v>223.81948236065614</v>
      </c>
      <c r="CE88" s="59">
        <f t="shared" si="94"/>
        <v>320.1204011431372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1.033981515686923</v>
      </c>
      <c r="CL88" s="21">
        <f>EXP(-LN(2)/25)*CL87+(1-EXP(-LN(2)/25))/(LN(2)/25)*Calculateur!CG88*Calculateur!CI88*VLOOKUP('Données projet'!$B$12,Paramètres!$A$1:$I$89,3,0)*0.475*44/12</f>
        <v>3.8505332233554506</v>
      </c>
      <c r="CM88" s="21">
        <f>EXP(-LN(2)/2)*CM87+(1-EXP(-LN(2)/2))/(LN(2)/2)*CG88*CJ88*VLOOKUP('Données projet'!$B$12,Paramètres!$A$1:$I$89,3,0)*0.475*44/12</f>
        <v>1.4630228376654513E-7</v>
      </c>
      <c r="CN88" s="22">
        <f t="shared" si="66"/>
        <v>4.8845148853446574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-3.4106051316484809E-13</v>
      </c>
      <c r="O89" s="13">
        <f>N89*VLOOKUP('Données projet'!$B$9,Paramètres!$A$1:$I$89,3,0)*VLOOKUP('Données projet'!$B$9,Paramètres!$A$1:$I$89,5,0)</f>
        <v>-1.9065282685915009E-13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279.98352834501759</v>
      </c>
      <c r="T89" s="59">
        <f t="shared" si="88"/>
        <v>281.30062655265488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1.3185024358102713</v>
      </c>
      <c r="AA89" s="21">
        <f>EXP(-LN(2)/25)*AA88+(1-EXP(-LN(2)/25))/(LN(2)/25)*Calculateur!V89*Calculateur!X89*VLOOKUP('Données projet'!$B$9,Paramètres!$A$1:$I$89,3,0)*0.475*44/12</f>
        <v>5.1285134860195987</v>
      </c>
      <c r="AB89" s="21">
        <f>EXP(-LN(2)/2)*AB88+(1-EXP(-LN(2)/2))/(LN(2)/2)*V89*Y89*VLOOKUP('Données projet'!$B$9,Paramètres!$A$1:$I$89,3,0)*0.475*44/12</f>
        <v>1.0548956832220674E-7</v>
      </c>
      <c r="AC89" s="22">
        <f t="shared" si="57"/>
        <v>6.4470160273194379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-1.1368683772161603E-12</v>
      </c>
      <c r="AJ89" s="13">
        <f>AI89*VLOOKUP('Données projet'!$B$10,Paramètres!$A$1:$I$89,3,0)*VLOOKUP('Données projet'!$B$10,Paramètres!$A$1:$I$89,5,0)</f>
        <v>-5.4683368944097316E-13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252.30925789500111</v>
      </c>
      <c r="AO89" s="59">
        <f t="shared" si="90"/>
        <v>213.96033794804805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1.5281361880629729</v>
      </c>
      <c r="AV89" s="21">
        <f>EXP(-LN(2)/25)*AV88+(1-EXP(-LN(2)/25))/(LN(2)/25)*Calculateur!AQ89*Calculateur!AS89*VLOOKUP('Données projet'!$B$10,Paramètres!$A$1:$I$89,3,0)*0.475*44/12</f>
        <v>1.9535273719555604</v>
      </c>
      <c r="AW89" s="21">
        <f>EXP(-LN(2)/2)*AW88+(1-EXP(-LN(2)/2))/(LN(2)/2)*AQ89*AT89*VLOOKUP('Données projet'!$B$10,Paramètres!$A$1:$I$89,3,0)*0.475*44/12</f>
        <v>5.3560505088083773E-8</v>
      </c>
      <c r="AX89" s="21">
        <f t="shared" si="60"/>
        <v>3.481663613579038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-4.5474735088646412E-13</v>
      </c>
      <c r="BE89" s="13">
        <f>BD89*VLOOKUP('Données projet'!$B$11,Paramètres!$A$1:$I$89,3,0)*VLOOKUP('Données projet'!$B$11,Paramètres!$A$1:$I$89,5,0)</f>
        <v>-2.7193891583010558E-13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216.94426559495264</v>
      </c>
      <c r="BJ89" s="59">
        <f t="shared" si="92"/>
        <v>225.33715877618704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2.7200134199599688</v>
      </c>
      <c r="BR89" s="21">
        <f>EXP(-LN(2)/2)*BR88+(1-EXP(-LN(2)/2))/(LN(2)/2)*BL89*BO89*VLOOKUP('Données projet'!$B$11,Paramètres!$A$1:$I$89,3,0)*0.475*44/12</f>
        <v>8.8398754126649244E-8</v>
      </c>
      <c r="BS89" s="22">
        <f t="shared" si="63"/>
        <v>2.7200135083587229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2.9</v>
      </c>
      <c r="BY89" s="12">
        <f>IF('Données projet'!$A$114&gt;35,BY88+BX89-CG88,IF(A89&lt;'Données projet'!$A$114,$BV$205^A89,IF(A89='Données projet'!$A$114,'Données projet'!$B$114,BY88+BX89-CG88)))</f>
        <v>236.39999999999995</v>
      </c>
      <c r="BZ89" s="13">
        <f>BY89*VLOOKUP('Données projet'!$B$12,Paramètres!$A$1:$I$89,3,0)*VLOOKUP('Données projet'!$B$12,Paramètres!$A$1:$I$89,5,0)</f>
        <v>206.51903999999999</v>
      </c>
      <c r="CA89" s="13">
        <f t="shared" si="93"/>
        <v>51.174169948732491</v>
      </c>
      <c r="CB89" s="20">
        <f t="shared" si="64"/>
        <v>448.81567399404236</v>
      </c>
      <c r="CC89" s="59">
        <f t="shared" si="65"/>
        <v>742.14900732737567</v>
      </c>
      <c r="CD89" s="59">
        <f ca="1">AVERAGE(OFFSET($CC$3,0,0,'Données projet'!$E$12+1,1))-AVERAGE(OFFSET($H$3,0,0,'Données projet'!$E$12+1,1))</f>
        <v>223.81948236065614</v>
      </c>
      <c r="CE89" s="59">
        <f t="shared" si="94"/>
        <v>320.1204011431372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1.0137057688307538</v>
      </c>
      <c r="CL89" s="21">
        <f>EXP(-LN(2)/25)*CL88+(1-EXP(-LN(2)/25))/(LN(2)/25)*Calculateur!CG89*Calculateur!CI89*VLOOKUP('Données projet'!$B$12,Paramètres!$A$1:$I$89,3,0)*0.475*44/12</f>
        <v>3.745240189872054</v>
      </c>
      <c r="CM89" s="21">
        <f>EXP(-LN(2)/2)*CM88+(1-EXP(-LN(2)/2))/(LN(2)/2)*CG89*CJ89*VLOOKUP('Données projet'!$B$12,Paramètres!$A$1:$I$89,3,0)*0.475*44/12</f>
        <v>1.0345133695440261E-7</v>
      </c>
      <c r="CN89" s="22">
        <f t="shared" si="66"/>
        <v>4.7589460621541448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-3.4106051316484809E-13</v>
      </c>
      <c r="O90" s="13">
        <f>N90*VLOOKUP('Données projet'!$B$9,Paramètres!$A$1:$I$89,3,0)*VLOOKUP('Données projet'!$B$9,Paramètres!$A$1:$I$89,5,0)</f>
        <v>-1.9065282685915009E-13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279.98352834501759</v>
      </c>
      <c r="T90" s="59">
        <f t="shared" si="88"/>
        <v>281.30062655265488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1.2926474072511089</v>
      </c>
      <c r="AA90" s="21">
        <f>EXP(-LN(2)/25)*AA89+(1-EXP(-LN(2)/25))/(LN(2)/25)*Calculateur!V90*Calculateur!X90*VLOOKUP('Données projet'!$B$9,Paramètres!$A$1:$I$89,3,0)*0.475*44/12</f>
        <v>4.9882740150475895</v>
      </c>
      <c r="AB90" s="21">
        <f>EXP(-LN(2)/2)*AB89+(1-EXP(-LN(2)/2))/(LN(2)/2)*V90*Y90*VLOOKUP('Données projet'!$B$9,Paramètres!$A$1:$I$89,3,0)*0.475*44/12</f>
        <v>7.4592389105073993E-8</v>
      </c>
      <c r="AC90" s="22">
        <f t="shared" si="57"/>
        <v>6.2809214968910876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-1.1368683772161603E-12</v>
      </c>
      <c r="AJ90" s="13">
        <f>AI90*VLOOKUP('Données projet'!$B$10,Paramètres!$A$1:$I$89,3,0)*VLOOKUP('Données projet'!$B$10,Paramètres!$A$1:$I$89,5,0)</f>
        <v>-5.4683368944097316E-13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252.30925789500111</v>
      </c>
      <c r="AO90" s="59">
        <f t="shared" si="90"/>
        <v>213.96033794804805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1.4981703694860984</v>
      </c>
      <c r="AV90" s="21">
        <f>EXP(-LN(2)/25)*AV89+(1-EXP(-LN(2)/25))/(LN(2)/25)*Calculateur!AQ90*Calculateur!AS90*VLOOKUP('Données projet'!$B$10,Paramètres!$A$1:$I$89,3,0)*0.475*44/12</f>
        <v>1.9001080632378959</v>
      </c>
      <c r="AW90" s="21">
        <f>EXP(-LN(2)/2)*AW89+(1-EXP(-LN(2)/2))/(LN(2)/2)*AQ90*AT90*VLOOKUP('Données projet'!$B$10,Paramètres!$A$1:$I$89,3,0)*0.475*44/12</f>
        <v>3.7872996351560618E-8</v>
      </c>
      <c r="AX90" s="21">
        <f t="shared" si="60"/>
        <v>3.3982784705969906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-4.5474735088646412E-13</v>
      </c>
      <c r="BE90" s="13">
        <f>BD90*VLOOKUP('Données projet'!$B$11,Paramètres!$A$1:$I$89,3,0)*VLOOKUP('Données projet'!$B$11,Paramètres!$A$1:$I$89,5,0)</f>
        <v>-2.7193891583010558E-13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216.94426559495264</v>
      </c>
      <c r="BJ90" s="59">
        <f t="shared" si="92"/>
        <v>225.33715877618704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2.6456345099518743</v>
      </c>
      <c r="BR90" s="21">
        <f>EXP(-LN(2)/2)*BR89+(1-EXP(-LN(2)/2))/(LN(2)/2)*BL90*BO90*VLOOKUP('Données projet'!$B$11,Paramètres!$A$1:$I$89,3,0)*0.475*44/12</f>
        <v>6.250735849139598E-8</v>
      </c>
      <c r="BS90" s="22">
        <f t="shared" si="63"/>
        <v>2.6456345724592327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2.9</v>
      </c>
      <c r="BY90" s="12">
        <f>IF('Données projet'!$A$114&gt;35,BY89+BX90-CG89,IF(A90&lt;'Données projet'!$A$114,$BV$205^A90,IF(A90='Données projet'!$A$114,'Données projet'!$B$114,BY89+BX90-CG89)))</f>
        <v>239.29999999999995</v>
      </c>
      <c r="BZ90" s="13">
        <f>BY90*VLOOKUP('Données projet'!$B$12,Paramètres!$A$1:$I$89,3,0)*VLOOKUP('Données projet'!$B$12,Paramètres!$A$1:$I$89,5,0)</f>
        <v>209.05247999999997</v>
      </c>
      <c r="CA90" s="13">
        <f t="shared" si="93"/>
        <v>51.728474274704773</v>
      </c>
      <c r="CB90" s="20">
        <f t="shared" si="64"/>
        <v>454.19349536177742</v>
      </c>
      <c r="CC90" s="59">
        <f t="shared" si="65"/>
        <v>747.52682869511068</v>
      </c>
      <c r="CD90" s="59">
        <f ca="1">AVERAGE(OFFSET($CC$3,0,0,'Données projet'!$E$12+1,1))-AVERAGE(OFFSET($H$3,0,0,'Données projet'!$E$12+1,1))</f>
        <v>223.81948236065614</v>
      </c>
      <c r="CE90" s="59">
        <f t="shared" si="94"/>
        <v>320.1204011431372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0.99382761700344968</v>
      </c>
      <c r="CL90" s="21">
        <f>EXP(-LN(2)/25)*CL89+(1-EXP(-LN(2)/25))/(LN(2)/25)*Calculateur!CG90*Calculateur!CI90*VLOOKUP('Données projet'!$B$12,Paramètres!$A$1:$I$89,3,0)*0.475*44/12</f>
        <v>3.6428263999263808</v>
      </c>
      <c r="CM90" s="21">
        <f>EXP(-LN(2)/2)*CM89+(1-EXP(-LN(2)/2))/(LN(2)/2)*CG90*CJ90*VLOOKUP('Données projet'!$B$12,Paramètres!$A$1:$I$89,3,0)*0.475*44/12</f>
        <v>7.3151141883272563E-8</v>
      </c>
      <c r="CN90" s="22">
        <f t="shared" si="66"/>
        <v>4.6366540900809721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-3.4106051316484809E-13</v>
      </c>
      <c r="O91" s="13">
        <f>N91*VLOOKUP('Données projet'!$B$9,Paramètres!$A$1:$I$89,3,0)*VLOOKUP('Données projet'!$B$9,Paramètres!$A$1:$I$89,5,0)</f>
        <v>-1.9065282685915009E-13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279.98352834501759</v>
      </c>
      <c r="T91" s="59">
        <f t="shared" si="88"/>
        <v>281.30062655265488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1.2672993800319814</v>
      </c>
      <c r="AA91" s="21">
        <f>EXP(-LN(2)/25)*AA90+(1-EXP(-LN(2)/25))/(LN(2)/25)*Calculateur!V91*Calculateur!X91*VLOOKUP('Données projet'!$B$9,Paramètres!$A$1:$I$89,3,0)*0.475*44/12</f>
        <v>4.8518693997841833</v>
      </c>
      <c r="AB91" s="21">
        <f>EXP(-LN(2)/2)*AB90+(1-EXP(-LN(2)/2))/(LN(2)/2)*V91*Y91*VLOOKUP('Données projet'!$B$9,Paramètres!$A$1:$I$89,3,0)*0.475*44/12</f>
        <v>5.2744784161103368E-8</v>
      </c>
      <c r="AC91" s="22">
        <f t="shared" si="57"/>
        <v>6.1191688325609492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-1.1368683772161603E-12</v>
      </c>
      <c r="AJ91" s="13">
        <f>AI91*VLOOKUP('Données projet'!$B$10,Paramètres!$A$1:$I$89,3,0)*VLOOKUP('Données projet'!$B$10,Paramètres!$A$1:$I$89,5,0)</f>
        <v>-5.4683368944097316E-13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252.30925789500111</v>
      </c>
      <c r="AO91" s="59">
        <f t="shared" si="90"/>
        <v>213.96033794804805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1.4687921623341718</v>
      </c>
      <c r="AV91" s="21">
        <f>EXP(-LN(2)/25)*AV90+(1-EXP(-LN(2)/25))/(LN(2)/25)*Calculateur!AQ91*Calculateur!AS91*VLOOKUP('Données projet'!$B$10,Paramètres!$A$1:$I$89,3,0)*0.475*44/12</f>
        <v>1.8481495083263153</v>
      </c>
      <c r="AW91" s="21">
        <f>EXP(-LN(2)/2)*AW90+(1-EXP(-LN(2)/2))/(LN(2)/2)*AQ91*AT91*VLOOKUP('Données projet'!$B$10,Paramètres!$A$1:$I$89,3,0)*0.475*44/12</f>
        <v>2.6780252544041887E-8</v>
      </c>
      <c r="AX91" s="21">
        <f t="shared" si="60"/>
        <v>3.3169416974407397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-4.5474735088646412E-13</v>
      </c>
      <c r="BE91" s="13">
        <f>BD91*VLOOKUP('Données projet'!$B$11,Paramètres!$A$1:$I$89,3,0)*VLOOKUP('Données projet'!$B$11,Paramètres!$A$1:$I$89,5,0)</f>
        <v>-2.7193891583010558E-13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216.94426559495264</v>
      </c>
      <c r="BJ91" s="59">
        <f t="shared" si="92"/>
        <v>225.33715877618704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2.5732894951493681</v>
      </c>
      <c r="BR91" s="21">
        <f>EXP(-LN(2)/2)*BR90+(1-EXP(-LN(2)/2))/(LN(2)/2)*BL91*BO91*VLOOKUP('Données projet'!$B$11,Paramètres!$A$1:$I$89,3,0)*0.475*44/12</f>
        <v>4.4199377063324622E-8</v>
      </c>
      <c r="BS91" s="22">
        <f t="shared" si="63"/>
        <v>2.5732895393487452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2.9</v>
      </c>
      <c r="BY91" s="12">
        <f>IF('Données projet'!$A$114&gt;35,BY90+BX91-CG90,IF(A91&lt;'Données projet'!$A$114,$BV$205^A91,IF(A91='Données projet'!$A$114,'Données projet'!$B$114,BY90+BX91-CG90)))</f>
        <v>242.19999999999996</v>
      </c>
      <c r="BZ91" s="13">
        <f>BY91*VLOOKUP('Données projet'!$B$12,Paramètres!$A$1:$I$89,3,0)*VLOOKUP('Données projet'!$B$12,Paramètres!$A$1:$I$89,5,0)</f>
        <v>211.58591999999996</v>
      </c>
      <c r="CA91" s="13">
        <f t="shared" si="93"/>
        <v>52.281997222074629</v>
      </c>
      <c r="CB91" s="20">
        <f t="shared" si="64"/>
        <v>459.56995582844655</v>
      </c>
      <c r="CC91" s="59">
        <f t="shared" si="65"/>
        <v>752.90328916177987</v>
      </c>
      <c r="CD91" s="59">
        <f ca="1">AVERAGE(OFFSET($CC$3,0,0,'Données projet'!$E$12+1,1))-AVERAGE(OFFSET($H$3,0,0,'Données projet'!$E$12+1,1))</f>
        <v>223.81948236065614</v>
      </c>
      <c r="CE91" s="59">
        <f t="shared" si="94"/>
        <v>320.1204011431372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0.97433926360900358</v>
      </c>
      <c r="CL91" s="21">
        <f>EXP(-LN(2)/25)*CL90+(1-EXP(-LN(2)/25))/(LN(2)/25)*Calculateur!CG91*Calculateur!CI91*VLOOKUP('Données projet'!$B$12,Paramètres!$A$1:$I$89,3,0)*0.475*44/12</f>
        <v>3.5432131204524793</v>
      </c>
      <c r="CM91" s="21">
        <f>EXP(-LN(2)/2)*CM90+(1-EXP(-LN(2)/2))/(LN(2)/2)*CG91*CJ91*VLOOKUP('Données projet'!$B$12,Paramètres!$A$1:$I$89,3,0)*0.475*44/12</f>
        <v>5.1725668477201305E-8</v>
      </c>
      <c r="CN91" s="22">
        <f t="shared" si="66"/>
        <v>4.5175524357871515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-3.4106051316484809E-13</v>
      </c>
      <c r="O92" s="13">
        <f>N92*VLOOKUP('Données projet'!$B$9,Paramètres!$A$1:$I$89,3,0)*VLOOKUP('Données projet'!$B$9,Paramètres!$A$1:$I$89,5,0)</f>
        <v>-1.9065282685915009E-13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279.98352834501759</v>
      </c>
      <c r="T92" s="59">
        <f t="shared" si="88"/>
        <v>281.30062655265488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1.242448412165851</v>
      </c>
      <c r="AA92" s="21">
        <f>EXP(-LN(2)/25)*AA91+(1-EXP(-LN(2)/25))/(LN(2)/25)*Calculateur!V92*Calculateur!X92*VLOOKUP('Données projet'!$B$9,Paramètres!$A$1:$I$89,3,0)*0.475*44/12</f>
        <v>4.7191947758983623</v>
      </c>
      <c r="AB92" s="21">
        <f>EXP(-LN(2)/2)*AB91+(1-EXP(-LN(2)/2))/(LN(2)/2)*V92*Y92*VLOOKUP('Données projet'!$B$9,Paramètres!$A$1:$I$89,3,0)*0.475*44/12</f>
        <v>3.7296194552536996E-8</v>
      </c>
      <c r="AC92" s="22">
        <f t="shared" si="57"/>
        <v>5.9616432253604081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-1.1368683772161603E-12</v>
      </c>
      <c r="AJ92" s="13">
        <f>AI92*VLOOKUP('Données projet'!$B$10,Paramètres!$A$1:$I$89,3,0)*VLOOKUP('Données projet'!$B$10,Paramètres!$A$1:$I$89,5,0)</f>
        <v>-5.4683368944097316E-13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252.30925789500111</v>
      </c>
      <c r="AO92" s="59">
        <f t="shared" si="90"/>
        <v>213.96033794804805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1.4399900439055573</v>
      </c>
      <c r="AV92" s="21">
        <f>EXP(-LN(2)/25)*AV91+(1-EXP(-LN(2)/25))/(LN(2)/25)*Calculateur!AQ92*Calculateur!AS92*VLOOKUP('Données projet'!$B$10,Paramètres!$A$1:$I$89,3,0)*0.475*44/12</f>
        <v>1.7976117628311736</v>
      </c>
      <c r="AW92" s="21">
        <f>EXP(-LN(2)/2)*AW91+(1-EXP(-LN(2)/2))/(LN(2)/2)*AQ92*AT92*VLOOKUP('Données projet'!$B$10,Paramètres!$A$1:$I$89,3,0)*0.475*44/12</f>
        <v>1.8936498175780309E-8</v>
      </c>
      <c r="AX92" s="21">
        <f t="shared" si="60"/>
        <v>3.2376018256732291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-4.5474735088646412E-13</v>
      </c>
      <c r="BE92" s="13">
        <f>BD92*VLOOKUP('Données projet'!$B$11,Paramètres!$A$1:$I$89,3,0)*VLOOKUP('Données projet'!$B$11,Paramètres!$A$1:$I$89,5,0)</f>
        <v>-2.7193891583010558E-13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216.94426559495264</v>
      </c>
      <c r="BJ92" s="59">
        <f t="shared" si="92"/>
        <v>225.33715877618704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2.5029227585810956</v>
      </c>
      <c r="BR92" s="21">
        <f>EXP(-LN(2)/2)*BR91+(1-EXP(-LN(2)/2))/(LN(2)/2)*BL92*BO92*VLOOKUP('Données projet'!$B$11,Paramètres!$A$1:$I$89,3,0)*0.475*44/12</f>
        <v>3.125367924569799E-8</v>
      </c>
      <c r="BS92" s="22">
        <f t="shared" si="63"/>
        <v>2.5029227898347748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2.9</v>
      </c>
      <c r="BY92" s="12">
        <f>IF('Données projet'!$A$114&gt;35,BY91+BX92-CG91,IF(A92&lt;'Données projet'!$A$114,$BV$205^A92,IF(A92='Données projet'!$A$114,'Données projet'!$B$114,BY91+BX92-CG91)))</f>
        <v>245.09999999999997</v>
      </c>
      <c r="BZ92" s="13">
        <f>BY92*VLOOKUP('Données projet'!$B$12,Paramètres!$A$1:$I$89,3,0)*VLOOKUP('Données projet'!$B$12,Paramètres!$A$1:$I$89,5,0)</f>
        <v>214.11936</v>
      </c>
      <c r="CA92" s="13">
        <f t="shared" si="93"/>
        <v>52.834749228990397</v>
      </c>
      <c r="CB92" s="20">
        <f t="shared" si="64"/>
        <v>464.94507357382491</v>
      </c>
      <c r="CC92" s="59">
        <f t="shared" si="65"/>
        <v>758.27840690715823</v>
      </c>
      <c r="CD92" s="59">
        <f ca="1">AVERAGE(OFFSET($CC$3,0,0,'Données projet'!$E$12+1,1))-AVERAGE(OFFSET($H$3,0,0,'Données projet'!$E$12+1,1))</f>
        <v>223.81948236065614</v>
      </c>
      <c r="CE92" s="59">
        <f t="shared" si="94"/>
        <v>320.1204011431372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0.95523306493790072</v>
      </c>
      <c r="CL92" s="21">
        <f>EXP(-LN(2)/25)*CL91+(1-EXP(-LN(2)/25))/(LN(2)/25)*Calculateur!CG92*Calculateur!CI92*VLOOKUP('Données projet'!$B$12,Paramètres!$A$1:$I$89,3,0)*0.475*44/12</f>
        <v>3.4463237713442263</v>
      </c>
      <c r="CM92" s="21">
        <f>EXP(-LN(2)/2)*CM91+(1-EXP(-LN(2)/2))/(LN(2)/2)*CG92*CJ92*VLOOKUP('Données projet'!$B$12,Paramètres!$A$1:$I$89,3,0)*0.475*44/12</f>
        <v>3.6575570941636282E-8</v>
      </c>
      <c r="CN92" s="22">
        <f t="shared" si="66"/>
        <v>4.4015568728576984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-3.4106051316484809E-13</v>
      </c>
      <c r="O93" s="13">
        <f>N93*VLOOKUP('Données projet'!$B$9,Paramètres!$A$1:$I$89,3,0)*VLOOKUP('Données projet'!$B$9,Paramètres!$A$1:$I$89,5,0)</f>
        <v>-1.9065282685915009E-13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279.98352834501759</v>
      </c>
      <c r="T93" s="59">
        <f t="shared" si="88"/>
        <v>281.30062655265488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1.2180847566219817</v>
      </c>
      <c r="AA93" s="21">
        <f>EXP(-LN(2)/25)*AA92+(1-EXP(-LN(2)/25))/(LN(2)/25)*Calculateur!V93*Calculateur!X93*VLOOKUP('Données projet'!$B$9,Paramètres!$A$1:$I$89,3,0)*0.475*44/12</f>
        <v>4.5901481465797538</v>
      </c>
      <c r="AB93" s="21">
        <f>EXP(-LN(2)/2)*AB92+(1-EXP(-LN(2)/2))/(LN(2)/2)*V93*Y93*VLOOKUP('Données projet'!$B$9,Paramètres!$A$1:$I$89,3,0)*0.475*44/12</f>
        <v>2.6372392080551684E-8</v>
      </c>
      <c r="AC93" s="22">
        <f t="shared" si="57"/>
        <v>5.8082329295741282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-1.1368683772161603E-12</v>
      </c>
      <c r="AJ93" s="13">
        <f>AI93*VLOOKUP('Données projet'!$B$10,Paramètres!$A$1:$I$89,3,0)*VLOOKUP('Données projet'!$B$10,Paramètres!$A$1:$I$89,5,0)</f>
        <v>-5.4683368944097316E-13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252.30925789500111</v>
      </c>
      <c r="AO93" s="59">
        <f t="shared" si="90"/>
        <v>213.96033794804805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1.4117527174517706</v>
      </c>
      <c r="AV93" s="21">
        <f>EXP(-LN(2)/25)*AV92+(1-EXP(-LN(2)/25))/(LN(2)/25)*Calculateur!AQ93*Calculateur!AS93*VLOOKUP('Données projet'!$B$10,Paramètres!$A$1:$I$89,3,0)*0.475*44/12</f>
        <v>1.7484559746442612</v>
      </c>
      <c r="AW93" s="21">
        <f>EXP(-LN(2)/2)*AW92+(1-EXP(-LN(2)/2))/(LN(2)/2)*AQ93*AT93*VLOOKUP('Données projet'!$B$10,Paramètres!$A$1:$I$89,3,0)*0.475*44/12</f>
        <v>1.3390126272020943E-8</v>
      </c>
      <c r="AX93" s="21">
        <f t="shared" si="60"/>
        <v>3.1602087054861583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-4.5474735088646412E-13</v>
      </c>
      <c r="BE93" s="13">
        <f>BD93*VLOOKUP('Données projet'!$B$11,Paramètres!$A$1:$I$89,3,0)*VLOOKUP('Données projet'!$B$11,Paramètres!$A$1:$I$89,5,0)</f>
        <v>-2.7193891583010558E-13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216.94426559495264</v>
      </c>
      <c r="BJ93" s="59">
        <f t="shared" si="92"/>
        <v>225.33715877618704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2.434480204124708</v>
      </c>
      <c r="BR93" s="21">
        <f>EXP(-LN(2)/2)*BR92+(1-EXP(-LN(2)/2))/(LN(2)/2)*BL93*BO93*VLOOKUP('Données projet'!$B$11,Paramètres!$A$1:$I$89,3,0)*0.475*44/12</f>
        <v>2.2099688531662311E-8</v>
      </c>
      <c r="BS93" s="22">
        <f t="shared" si="63"/>
        <v>2.4344802262243967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248</v>
      </c>
      <c r="BW93" s="12">
        <f>VLOOKUP(A93,'Données projet'!$A$113:$I$133,9,0)</f>
        <v>2.9</v>
      </c>
      <c r="BX93" s="12">
        <f t="array" ref="BX93">INDEX(BW:BW,MIN(IF(ISNUMBER(BW93:BW289),ROW(BW93:BW289),"")))</f>
        <v>2.9</v>
      </c>
      <c r="BY93" s="12">
        <f>IF('Données projet'!$A$114&gt;35,BY92+BX93-CG92,IF(A93&lt;'Données projet'!$A$114,$BV$205^A93,IF(A93='Données projet'!$A$114,'Données projet'!$B$114,BY92+BX93-CG92)))</f>
        <v>247.99999999999997</v>
      </c>
      <c r="BZ93" s="13">
        <f>BY93*VLOOKUP('Données projet'!$B$12,Paramètres!$A$1:$I$89,3,0)*VLOOKUP('Données projet'!$B$12,Paramètres!$A$1:$I$89,5,0)</f>
        <v>216.65280000000001</v>
      </c>
      <c r="CA93" s="13">
        <f t="shared" si="93"/>
        <v>53.38674047237982</v>
      </c>
      <c r="CB93" s="20">
        <f t="shared" si="64"/>
        <v>470.31886632272813</v>
      </c>
      <c r="CC93" s="59">
        <f t="shared" si="65"/>
        <v>763.65219965606138</v>
      </c>
      <c r="CD93" s="59">
        <f ca="1">AVERAGE(OFFSET($CC$3,0,0,'Données projet'!$E$12+1,1))-AVERAGE(OFFSET($H$3,0,0,'Données projet'!$E$12+1,1))</f>
        <v>223.81948236065614</v>
      </c>
      <c r="CE93" s="59">
        <f t="shared" si="94"/>
        <v>320.1204011431372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248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0.93650152716910773</v>
      </c>
      <c r="CL93" s="21">
        <f>EXP(-LN(2)/25)*CL92+(1-EXP(-LN(2)/25))/(LN(2)/25)*Calculateur!CG93*Calculateur!CI93*VLOOKUP('Données projet'!$B$12,Paramètres!$A$1:$I$89,3,0)*0.475*44/12</f>
        <v>3.3520838665825279</v>
      </c>
      <c r="CM93" s="21">
        <f>EXP(-LN(2)/2)*CM92+(1-EXP(-LN(2)/2))/(LN(2)/2)*CG93*CJ93*VLOOKUP('Données projet'!$B$12,Paramètres!$A$1:$I$89,3,0)*0.475*44/12</f>
        <v>2.5862834238600653E-8</v>
      </c>
      <c r="CN93" s="22">
        <f t="shared" si="66"/>
        <v>4.2885854196144697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-3.4106051316484809E-13</v>
      </c>
      <c r="O94" s="13">
        <f>N94*VLOOKUP('Données projet'!$B$9,Paramètres!$A$1:$I$89,3,0)*VLOOKUP('Données projet'!$B$9,Paramètres!$A$1:$I$89,5,0)</f>
        <v>-1.9065282685915009E-13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279.98352834501759</v>
      </c>
      <c r="T94" s="59">
        <f t="shared" si="88"/>
        <v>281.30062655265488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1.1941988575029652</v>
      </c>
      <c r="AA94" s="21">
        <f>EXP(-LN(2)/25)*AA93+(1-EXP(-LN(2)/25))/(LN(2)/25)*Calculateur!V94*Calculateur!X94*VLOOKUP('Données projet'!$B$9,Paramètres!$A$1:$I$89,3,0)*0.475*44/12</f>
        <v>4.4646303041261302</v>
      </c>
      <c r="AB94" s="21">
        <f>EXP(-LN(2)/2)*AB93+(1-EXP(-LN(2)/2))/(LN(2)/2)*V94*Y94*VLOOKUP('Données projet'!$B$9,Paramètres!$A$1:$I$89,3,0)*0.475*44/12</f>
        <v>1.8648097276268498E-8</v>
      </c>
      <c r="AC94" s="22">
        <f t="shared" si="57"/>
        <v>5.6588291802771922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-1.1368683772161603E-12</v>
      </c>
      <c r="AJ94" s="13">
        <f>AI94*VLOOKUP('Données projet'!$B$10,Paramètres!$A$1:$I$89,3,0)*VLOOKUP('Données projet'!$B$10,Paramètres!$A$1:$I$89,5,0)</f>
        <v>-5.4683368944097316E-13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252.30925789500111</v>
      </c>
      <c r="AO94" s="59">
        <f t="shared" si="90"/>
        <v>213.96033794804805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1.384069107746674</v>
      </c>
      <c r="AV94" s="21">
        <f>EXP(-LN(2)/25)*AV93+(1-EXP(-LN(2)/25))/(LN(2)/25)*Calculateur!AQ94*Calculateur!AS94*VLOOKUP('Données projet'!$B$10,Paramètres!$A$1:$I$89,3,0)*0.475*44/12</f>
        <v>1.7006443540703102</v>
      </c>
      <c r="AW94" s="21">
        <f>EXP(-LN(2)/2)*AW93+(1-EXP(-LN(2)/2))/(LN(2)/2)*AQ94*AT94*VLOOKUP('Données projet'!$B$10,Paramètres!$A$1:$I$89,3,0)*0.475*44/12</f>
        <v>9.4682490878901544E-9</v>
      </c>
      <c r="AX94" s="21">
        <f t="shared" si="60"/>
        <v>3.0847134712852338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-4.5474735088646412E-13</v>
      </c>
      <c r="BE94" s="13">
        <f>BD94*VLOOKUP('Données projet'!$B$11,Paramètres!$A$1:$I$89,3,0)*VLOOKUP('Données projet'!$B$11,Paramètres!$A$1:$I$89,5,0)</f>
        <v>-2.7193891583010558E-13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216.94426559495264</v>
      </c>
      <c r="BJ94" s="59">
        <f t="shared" si="92"/>
        <v>225.33715877618704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2.3679092149191678</v>
      </c>
      <c r="BR94" s="21">
        <f>EXP(-LN(2)/2)*BR93+(1-EXP(-LN(2)/2))/(LN(2)/2)*BL94*BO94*VLOOKUP('Données projet'!$B$11,Paramètres!$A$1:$I$89,3,0)*0.475*44/12</f>
        <v>1.5626839622848995E-8</v>
      </c>
      <c r="BS94" s="22">
        <f t="shared" si="63"/>
        <v>2.3679092305460077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-2.8421709430404007E-14</v>
      </c>
      <c r="BZ94" s="13">
        <f>BY94*VLOOKUP('Données projet'!$B$12,Paramètres!$A$1:$I$89,3,0)*VLOOKUP('Données projet'!$B$12,Paramètres!$A$1:$I$89,5,0)</f>
        <v>-2.4829205358400945E-14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223.81948236065614</v>
      </c>
      <c r="CE94" s="59">
        <f t="shared" si="94"/>
        <v>320.1204011431372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0.91813730343085087</v>
      </c>
      <c r="CL94" s="21">
        <f>EXP(-LN(2)/25)*CL93+(1-EXP(-LN(2)/25))/(LN(2)/25)*Calculateur!CG94*Calculateur!CI94*VLOOKUP('Données projet'!$B$12,Paramètres!$A$1:$I$89,3,0)*0.475*44/12</f>
        <v>3.2604209569723994</v>
      </c>
      <c r="CM94" s="21">
        <f>EXP(-LN(2)/2)*CM93+(1-EXP(-LN(2)/2))/(LN(2)/2)*CG94*CJ94*VLOOKUP('Données projet'!$B$12,Paramètres!$A$1:$I$89,3,0)*0.475*44/12</f>
        <v>1.8287785470818141E-8</v>
      </c>
      <c r="CN94" s="22">
        <f t="shared" si="66"/>
        <v>4.1785582786910354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-3.4106051316484809E-13</v>
      </c>
      <c r="O95" s="13">
        <f>N95*VLOOKUP('Données projet'!$B$9,Paramètres!$A$1:$I$89,3,0)*VLOOKUP('Données projet'!$B$9,Paramètres!$A$1:$I$89,5,0)</f>
        <v>-1.9065282685915009E-13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279.98352834501759</v>
      </c>
      <c r="T95" s="59">
        <f t="shared" si="88"/>
        <v>281.30062655265488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1.1707813462967127</v>
      </c>
      <c r="AA95" s="21">
        <f>EXP(-LN(2)/25)*AA94+(1-EXP(-LN(2)/25))/(LN(2)/25)*Calculateur!V95*Calculateur!X95*VLOOKUP('Données projet'!$B$9,Paramètres!$A$1:$I$89,3,0)*0.475*44/12</f>
        <v>4.3425447536750976</v>
      </c>
      <c r="AB95" s="21">
        <f>EXP(-LN(2)/2)*AB94+(1-EXP(-LN(2)/2))/(LN(2)/2)*V95*Y95*VLOOKUP('Données projet'!$B$9,Paramètres!$A$1:$I$89,3,0)*0.475*44/12</f>
        <v>1.3186196040275842E-8</v>
      </c>
      <c r="AC95" s="22">
        <f t="shared" si="57"/>
        <v>5.5133261131580067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-1.1368683772161603E-12</v>
      </c>
      <c r="AJ95" s="13">
        <f>AI95*VLOOKUP('Données projet'!$B$10,Paramètres!$A$1:$I$89,3,0)*VLOOKUP('Données projet'!$B$10,Paramètres!$A$1:$I$89,5,0)</f>
        <v>-5.4683368944097316E-13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252.30925789500111</v>
      </c>
      <c r="AO95" s="59">
        <f t="shared" si="90"/>
        <v>213.96033794804805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1.3569283567425598</v>
      </c>
      <c r="AV95" s="21">
        <f>EXP(-LN(2)/25)*AV94+(1-EXP(-LN(2)/25))/(LN(2)/25)*Calculateur!AQ95*Calculateur!AS95*VLOOKUP('Données projet'!$B$10,Paramètres!$A$1:$I$89,3,0)*0.475*44/12</f>
        <v>1.6541401447752579</v>
      </c>
      <c r="AW95" s="21">
        <f>EXP(-LN(2)/2)*AW94+(1-EXP(-LN(2)/2))/(LN(2)/2)*AQ95*AT95*VLOOKUP('Données projet'!$B$10,Paramètres!$A$1:$I$89,3,0)*0.475*44/12</f>
        <v>6.6950631360104717E-9</v>
      </c>
      <c r="AX95" s="21">
        <f t="shared" si="60"/>
        <v>3.011068508212881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-4.5474735088646412E-13</v>
      </c>
      <c r="BE95" s="13">
        <f>BD95*VLOOKUP('Données projet'!$B$11,Paramètres!$A$1:$I$89,3,0)*VLOOKUP('Données projet'!$B$11,Paramètres!$A$1:$I$89,5,0)</f>
        <v>-2.7193891583010558E-13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216.94426559495264</v>
      </c>
      <c r="BJ95" s="59">
        <f t="shared" si="92"/>
        <v>225.33715877618704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2.3031586129142694</v>
      </c>
      <c r="BR95" s="21">
        <f>EXP(-LN(2)/2)*BR94+(1-EXP(-LN(2)/2))/(LN(2)/2)*BL95*BO95*VLOOKUP('Données projet'!$B$11,Paramètres!$A$1:$I$89,3,0)*0.475*44/12</f>
        <v>1.1049844265831155E-8</v>
      </c>
      <c r="BS95" s="22">
        <f t="shared" si="63"/>
        <v>2.3031586239641135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-2.8421709430404007E-14</v>
      </c>
      <c r="BZ95" s="13">
        <f>BY95*VLOOKUP('Données projet'!$B$12,Paramètres!$A$1:$I$89,3,0)*VLOOKUP('Données projet'!$B$12,Paramètres!$A$1:$I$89,5,0)</f>
        <v>-2.4829205358400945E-14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223.81948236065614</v>
      </c>
      <c r="CE95" s="59">
        <f t="shared" si="94"/>
        <v>320.1204011431372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0.90013319091903077</v>
      </c>
      <c r="CL95" s="21">
        <f>EXP(-LN(2)/25)*CL94+(1-EXP(-LN(2)/25))/(LN(2)/25)*Calculateur!CG95*Calculateur!CI95*VLOOKUP('Données projet'!$B$12,Paramètres!$A$1:$I$89,3,0)*0.475*44/12</f>
        <v>3.1712645744459027</v>
      </c>
      <c r="CM95" s="21">
        <f>EXP(-LN(2)/2)*CM94+(1-EXP(-LN(2)/2))/(LN(2)/2)*CG95*CJ95*VLOOKUP('Données projet'!$B$12,Paramètres!$A$1:$I$89,3,0)*0.475*44/12</f>
        <v>1.2931417119300326E-8</v>
      </c>
      <c r="CN95" s="22">
        <f t="shared" si="66"/>
        <v>4.0713977782963502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-3.4106051316484809E-13</v>
      </c>
      <c r="O96" s="13">
        <f>N96*VLOOKUP('Données projet'!$B$9,Paramètres!$A$1:$I$89,3,0)*VLOOKUP('Données projet'!$B$9,Paramètres!$A$1:$I$89,5,0)</f>
        <v>-1.9065282685915009E-13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279.98352834501759</v>
      </c>
      <c r="T96" s="59">
        <f t="shared" si="88"/>
        <v>281.30062655265488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1.1478230382019432</v>
      </c>
      <c r="AA96" s="21">
        <f>EXP(-LN(2)/25)*AA95+(1-EXP(-LN(2)/25))/(LN(2)/25)*Calculateur!V96*Calculateur!X96*VLOOKUP('Données projet'!$B$9,Paramètres!$A$1:$I$89,3,0)*0.475*44/12</f>
        <v>4.2237976390213481</v>
      </c>
      <c r="AB96" s="21">
        <f>EXP(-LN(2)/2)*AB95+(1-EXP(-LN(2)/2))/(LN(2)/2)*V96*Y96*VLOOKUP('Données projet'!$B$9,Paramètres!$A$1:$I$89,3,0)*0.475*44/12</f>
        <v>9.3240486381342491E-9</v>
      </c>
      <c r="AC96" s="22">
        <f t="shared" si="57"/>
        <v>5.371620686547339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-1.1368683772161603E-12</v>
      </c>
      <c r="AJ96" s="13">
        <f>AI96*VLOOKUP('Données projet'!$B$10,Paramètres!$A$1:$I$89,3,0)*VLOOKUP('Données projet'!$B$10,Paramètres!$A$1:$I$89,5,0)</f>
        <v>-5.4683368944097316E-13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252.30925789500111</v>
      </c>
      <c r="AO96" s="59">
        <f t="shared" si="90"/>
        <v>213.96033794804805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1.3303198193114127</v>
      </c>
      <c r="AV96" s="21">
        <f>EXP(-LN(2)/25)*AV95+(1-EXP(-LN(2)/25))/(LN(2)/25)*Calculateur!AQ96*Calculateur!AS96*VLOOKUP('Données projet'!$B$10,Paramètres!$A$1:$I$89,3,0)*0.475*44/12</f>
        <v>1.6089075955289289</v>
      </c>
      <c r="AW96" s="21">
        <f>EXP(-LN(2)/2)*AW95+(1-EXP(-LN(2)/2))/(LN(2)/2)*AQ96*AT96*VLOOKUP('Données projet'!$B$10,Paramètres!$A$1:$I$89,3,0)*0.475*44/12</f>
        <v>4.7341245439450772E-9</v>
      </c>
      <c r="AX96" s="21">
        <f t="shared" si="60"/>
        <v>2.9392274195744661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-4.5474735088646412E-13</v>
      </c>
      <c r="BE96" s="13">
        <f>BD96*VLOOKUP('Données projet'!$B$11,Paramètres!$A$1:$I$89,3,0)*VLOOKUP('Données projet'!$B$11,Paramètres!$A$1:$I$89,5,0)</f>
        <v>-2.7193891583010558E-13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216.94426559495264</v>
      </c>
      <c r="BJ96" s="59">
        <f t="shared" si="92"/>
        <v>225.33715877618704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2.2401786195262812</v>
      </c>
      <c r="BR96" s="21">
        <f>EXP(-LN(2)/2)*BR95+(1-EXP(-LN(2)/2))/(LN(2)/2)*BL96*BO96*VLOOKUP('Données projet'!$B$11,Paramètres!$A$1:$I$89,3,0)*0.475*44/12</f>
        <v>7.8134198114244975E-9</v>
      </c>
      <c r="BS96" s="22">
        <f t="shared" si="63"/>
        <v>2.2401786273397009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-2.8421709430404007E-14</v>
      </c>
      <c r="BZ96" s="13">
        <f>BY96*VLOOKUP('Données projet'!$B$12,Paramètres!$A$1:$I$89,3,0)*VLOOKUP('Données projet'!$B$12,Paramètres!$A$1:$I$89,5,0)</f>
        <v>-2.4829205358400945E-14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223.81948236065614</v>
      </c>
      <c r="CE96" s="59">
        <f t="shared" si="94"/>
        <v>320.1204011431372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0.8824821280721431</v>
      </c>
      <c r="CL96" s="21">
        <f>EXP(-LN(2)/25)*CL95+(1-EXP(-LN(2)/25))/(LN(2)/25)*Calculateur!CG96*Calculateur!CI96*VLOOKUP('Données projet'!$B$12,Paramètres!$A$1:$I$89,3,0)*0.475*44/12</f>
        <v>3.0845461778881234</v>
      </c>
      <c r="CM96" s="21">
        <f>EXP(-LN(2)/2)*CM95+(1-EXP(-LN(2)/2))/(LN(2)/2)*CG96*CJ96*VLOOKUP('Données projet'!$B$12,Paramètres!$A$1:$I$89,3,0)*0.475*44/12</f>
        <v>9.1438927354090704E-9</v>
      </c>
      <c r="CN96" s="22">
        <f t="shared" si="66"/>
        <v>3.9670283151041592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-3.4106051316484809E-13</v>
      </c>
      <c r="O97" s="13">
        <f>N97*VLOOKUP('Données projet'!$B$9,Paramètres!$A$1:$I$89,3,0)*VLOOKUP('Données projet'!$B$9,Paramètres!$A$1:$I$89,5,0)</f>
        <v>-1.9065282685915009E-13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279.98352834501759</v>
      </c>
      <c r="T97" s="59">
        <f t="shared" si="88"/>
        <v>281.30062655265488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1.1253149285257269</v>
      </c>
      <c r="AA97" s="21">
        <f>EXP(-LN(2)/25)*AA96+(1-EXP(-LN(2)/25))/(LN(2)/25)*Calculateur!V97*Calculateur!X97*VLOOKUP('Données projet'!$B$9,Paramètres!$A$1:$I$89,3,0)*0.475*44/12</f>
        <v>4.108297670462445</v>
      </c>
      <c r="AB97" s="21">
        <f>EXP(-LN(2)/2)*AB96+(1-EXP(-LN(2)/2))/(LN(2)/2)*V97*Y97*VLOOKUP('Données projet'!$B$9,Paramètres!$A$1:$I$89,3,0)*0.475*44/12</f>
        <v>6.593098020137921E-9</v>
      </c>
      <c r="AC97" s="22">
        <f t="shared" si="57"/>
        <v>5.2336126055812695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-1.1368683772161603E-12</v>
      </c>
      <c r="AJ97" s="13">
        <f>AI97*VLOOKUP('Données projet'!$B$10,Paramètres!$A$1:$I$89,3,0)*VLOOKUP('Données projet'!$B$10,Paramètres!$A$1:$I$89,5,0)</f>
        <v>-5.4683368944097316E-13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252.30925789500111</v>
      </c>
      <c r="AO97" s="59">
        <f t="shared" si="90"/>
        <v>213.96033794804805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1.3042330590696851</v>
      </c>
      <c r="AV97" s="21">
        <f>EXP(-LN(2)/25)*AV96+(1-EXP(-LN(2)/25))/(LN(2)/25)*Calculateur!AQ97*Calculateur!AS97*VLOOKUP('Données projet'!$B$10,Paramètres!$A$1:$I$89,3,0)*0.475*44/12</f>
        <v>1.5649119327204171</v>
      </c>
      <c r="AW97" s="21">
        <f>EXP(-LN(2)/2)*AW96+(1-EXP(-LN(2)/2))/(LN(2)/2)*AQ97*AT97*VLOOKUP('Données projet'!$B$10,Paramètres!$A$1:$I$89,3,0)*0.475*44/12</f>
        <v>3.3475315680052358E-9</v>
      </c>
      <c r="AX97" s="21">
        <f t="shared" si="60"/>
        <v>2.8691449951376335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-4.5474735088646412E-13</v>
      </c>
      <c r="BE97" s="13">
        <f>BD97*VLOOKUP('Données projet'!$B$11,Paramètres!$A$1:$I$89,3,0)*VLOOKUP('Données projet'!$B$11,Paramètres!$A$1:$I$89,5,0)</f>
        <v>-2.7193891583010558E-13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216.94426559495264</v>
      </c>
      <c r="BJ97" s="59">
        <f t="shared" si="92"/>
        <v>225.33715877618704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2.1789208173694612</v>
      </c>
      <c r="BR97" s="21">
        <f>EXP(-LN(2)/2)*BR96+(1-EXP(-LN(2)/2))/(LN(2)/2)*BL97*BO97*VLOOKUP('Données projet'!$B$11,Paramètres!$A$1:$I$89,3,0)*0.475*44/12</f>
        <v>5.5249221329155777E-9</v>
      </c>
      <c r="BS97" s="22">
        <f t="shared" si="63"/>
        <v>2.1789208228943835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-2.8421709430404007E-14</v>
      </c>
      <c r="BZ97" s="13">
        <f>BY97*VLOOKUP('Données projet'!$B$12,Paramètres!$A$1:$I$89,3,0)*VLOOKUP('Données projet'!$B$12,Paramètres!$A$1:$I$89,5,0)</f>
        <v>-2.4829205358400945E-14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223.81948236065614</v>
      </c>
      <c r="CE97" s="59">
        <f t="shared" si="94"/>
        <v>320.1204011431372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0.86517719180159769</v>
      </c>
      <c r="CL97" s="21">
        <f>EXP(-LN(2)/25)*CL96+(1-EXP(-LN(2)/25))/(LN(2)/25)*Calculateur!CG97*Calculateur!CI97*VLOOKUP('Données projet'!$B$12,Paramètres!$A$1:$I$89,3,0)*0.475*44/12</f>
        <v>3.0001991004445387</v>
      </c>
      <c r="CM97" s="21">
        <f>EXP(-LN(2)/2)*CM96+(1-EXP(-LN(2)/2))/(LN(2)/2)*CG97*CJ97*VLOOKUP('Données projet'!$B$12,Paramètres!$A$1:$I$89,3,0)*0.475*44/12</f>
        <v>6.4657085596501632E-9</v>
      </c>
      <c r="CN97" s="22">
        <f t="shared" si="66"/>
        <v>3.865376298711845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-3.4106051316484809E-13</v>
      </c>
      <c r="O98" s="13">
        <f>N98*VLOOKUP('Données projet'!$B$9,Paramètres!$A$1:$I$89,3,0)*VLOOKUP('Données projet'!$B$9,Paramètres!$A$1:$I$89,5,0)</f>
        <v>-1.9065282685915009E-13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279.98352834501759</v>
      </c>
      <c r="T98" s="59">
        <f t="shared" si="88"/>
        <v>281.30062655265488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1.1032481891516699</v>
      </c>
      <c r="AA98" s="21">
        <f>EXP(-LN(2)/25)*AA97+(1-EXP(-LN(2)/25))/(LN(2)/25)*Calculateur!V98*Calculateur!X98*VLOOKUP('Données projet'!$B$9,Paramètres!$A$1:$I$89,3,0)*0.475*44/12</f>
        <v>3.9959560546176647</v>
      </c>
      <c r="AB98" s="21">
        <f>EXP(-LN(2)/2)*AB97+(1-EXP(-LN(2)/2))/(LN(2)/2)*V98*Y98*VLOOKUP('Données projet'!$B$9,Paramètres!$A$1:$I$89,3,0)*0.475*44/12</f>
        <v>4.6620243190671245E-9</v>
      </c>
      <c r="AC98" s="22">
        <f t="shared" si="57"/>
        <v>5.0992042484313593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-1.1368683772161603E-12</v>
      </c>
      <c r="AJ98" s="13">
        <f>AI98*VLOOKUP('Données projet'!$B$10,Paramètres!$A$1:$I$89,3,0)*VLOOKUP('Données projet'!$B$10,Paramètres!$A$1:$I$89,5,0)</f>
        <v>-5.4683368944097316E-13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252.30925789500111</v>
      </c>
      <c r="AO98" s="59">
        <f t="shared" si="90"/>
        <v>213.96033794804805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1.2786578442849452</v>
      </c>
      <c r="AV98" s="21">
        <f>EXP(-LN(2)/25)*AV97+(1-EXP(-LN(2)/25))/(LN(2)/25)*Calculateur!AQ98*Calculateur!AS98*VLOOKUP('Données projet'!$B$10,Paramètres!$A$1:$I$89,3,0)*0.475*44/12</f>
        <v>1.5221193336250354</v>
      </c>
      <c r="AW98" s="21">
        <f>EXP(-LN(2)/2)*AW97+(1-EXP(-LN(2)/2))/(LN(2)/2)*AQ98*AT98*VLOOKUP('Données projet'!$B$10,Paramètres!$A$1:$I$89,3,0)*0.475*44/12</f>
        <v>2.3670622719725386E-9</v>
      </c>
      <c r="AX98" s="21">
        <f t="shared" si="60"/>
        <v>2.8007771802770427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-4.5474735088646412E-13</v>
      </c>
      <c r="BE98" s="13">
        <f>BD98*VLOOKUP('Données projet'!$B$11,Paramètres!$A$1:$I$89,3,0)*VLOOKUP('Données projet'!$B$11,Paramètres!$A$1:$I$89,5,0)</f>
        <v>-2.7193891583010558E-13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216.94426559495264</v>
      </c>
      <c r="BJ98" s="59">
        <f t="shared" si="92"/>
        <v>225.33715877618704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2.1193381130340274</v>
      </c>
      <c r="BR98" s="21">
        <f>EXP(-LN(2)/2)*BR97+(1-EXP(-LN(2)/2))/(LN(2)/2)*BL98*BO98*VLOOKUP('Données projet'!$B$11,Paramètres!$A$1:$I$89,3,0)*0.475*44/12</f>
        <v>3.9067099057122488E-9</v>
      </c>
      <c r="BS98" s="22">
        <f t="shared" si="63"/>
        <v>2.1193381169407375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-2.8421709430404007E-14</v>
      </c>
      <c r="BZ98" s="13">
        <f>BY98*VLOOKUP('Données projet'!$B$12,Paramètres!$A$1:$I$89,3,0)*VLOOKUP('Données projet'!$B$12,Paramètres!$A$1:$I$89,5,0)</f>
        <v>-2.4829205358400945E-14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223.81948236065614</v>
      </c>
      <c r="CE98" s="59">
        <f t="shared" si="94"/>
        <v>320.1204011431372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0.84821159477634867</v>
      </c>
      <c r="CL98" s="21">
        <f>EXP(-LN(2)/25)*CL97+(1-EXP(-LN(2)/25))/(LN(2)/25)*Calculateur!CG98*Calculateur!CI98*VLOOKUP('Données projet'!$B$12,Paramètres!$A$1:$I$89,3,0)*0.475*44/12</f>
        <v>2.918158498269269</v>
      </c>
      <c r="CM98" s="21">
        <f>EXP(-LN(2)/2)*CM97+(1-EXP(-LN(2)/2))/(LN(2)/2)*CG98*CJ98*VLOOKUP('Données projet'!$B$12,Paramètres!$A$1:$I$89,3,0)*0.475*44/12</f>
        <v>4.5719463677045352E-9</v>
      </c>
      <c r="CN98" s="22">
        <f t="shared" si="66"/>
        <v>3.766370097617564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-3.4106051316484809E-13</v>
      </c>
      <c r="O99" s="13">
        <f>N99*VLOOKUP('Données projet'!$B$9,Paramètres!$A$1:$I$89,3,0)*VLOOKUP('Données projet'!$B$9,Paramètres!$A$1:$I$89,5,0)</f>
        <v>-1.9065282685915009E-13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279.98352834501759</v>
      </c>
      <c r="T99" s="59">
        <f t="shared" si="88"/>
        <v>281.30062655265488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1.0816141650773561</v>
      </c>
      <c r="AA99" s="21">
        <f>EXP(-LN(2)/25)*AA98+(1-EXP(-LN(2)/25))/(LN(2)/25)*Calculateur!V99*Calculateur!X99*VLOOKUP('Données projet'!$B$9,Paramètres!$A$1:$I$89,3,0)*0.475*44/12</f>
        <v>3.8866864261659484</v>
      </c>
      <c r="AB99" s="21">
        <f>EXP(-LN(2)/2)*AB98+(1-EXP(-LN(2)/2))/(LN(2)/2)*V99*Y99*VLOOKUP('Données projet'!$B$9,Paramètres!$A$1:$I$89,3,0)*0.475*44/12</f>
        <v>3.2965490100689605E-9</v>
      </c>
      <c r="AC99" s="22">
        <f t="shared" si="57"/>
        <v>4.9683005945398531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-1.1368683772161603E-12</v>
      </c>
      <c r="AJ99" s="13">
        <f>AI99*VLOOKUP('Données projet'!$B$10,Paramètres!$A$1:$I$89,3,0)*VLOOKUP('Données projet'!$B$10,Paramètres!$A$1:$I$89,5,0)</f>
        <v>-5.4683368944097316E-13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252.30925789500111</v>
      </c>
      <c r="AO99" s="59">
        <f t="shared" si="90"/>
        <v>213.96033794804805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1.2535841438627933</v>
      </c>
      <c r="AV99" s="21">
        <f>EXP(-LN(2)/25)*AV98+(1-EXP(-LN(2)/25))/(LN(2)/25)*Calculateur!AQ99*Calculateur!AS99*VLOOKUP('Données projet'!$B$10,Paramètres!$A$1:$I$89,3,0)*0.475*44/12</f>
        <v>1.4804969004022819</v>
      </c>
      <c r="AW99" s="21">
        <f>EXP(-LN(2)/2)*AW98+(1-EXP(-LN(2)/2))/(LN(2)/2)*AQ99*AT99*VLOOKUP('Données projet'!$B$10,Paramètres!$A$1:$I$89,3,0)*0.475*44/12</f>
        <v>1.6737657840026179E-9</v>
      </c>
      <c r="AX99" s="21">
        <f t="shared" si="60"/>
        <v>2.7340810459388405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-4.5474735088646412E-13</v>
      </c>
      <c r="BE99" s="13">
        <f>BD99*VLOOKUP('Données projet'!$B$11,Paramètres!$A$1:$I$89,3,0)*VLOOKUP('Données projet'!$B$11,Paramètres!$A$1:$I$89,5,0)</f>
        <v>-2.7193891583010558E-13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216.94426559495264</v>
      </c>
      <c r="BJ99" s="59">
        <f t="shared" si="92"/>
        <v>225.33715877618704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2.0613847008819643</v>
      </c>
      <c r="BR99" s="21">
        <f>EXP(-LN(2)/2)*BR98+(1-EXP(-LN(2)/2))/(LN(2)/2)*BL99*BO99*VLOOKUP('Données projet'!$B$11,Paramètres!$A$1:$I$89,3,0)*0.475*44/12</f>
        <v>2.7624610664577889E-9</v>
      </c>
      <c r="BS99" s="22">
        <f t="shared" si="63"/>
        <v>2.0613847036444253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-2.8421709430404007E-14</v>
      </c>
      <c r="BZ99" s="13">
        <f>BY99*VLOOKUP('Données projet'!$B$12,Paramètres!$A$1:$I$89,3,0)*VLOOKUP('Données projet'!$B$12,Paramètres!$A$1:$I$89,5,0)</f>
        <v>-2.4829205358400945E-14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223.81948236065614</v>
      </c>
      <c r="CE99" s="59">
        <f t="shared" si="94"/>
        <v>320.1204011431372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0.8315786827607724</v>
      </c>
      <c r="CL99" s="21">
        <f>EXP(-LN(2)/25)*CL98+(1-EXP(-LN(2)/25))/(LN(2)/25)*Calculateur!CG99*Calculateur!CI99*VLOOKUP('Données projet'!$B$12,Paramètres!$A$1:$I$89,3,0)*0.475*44/12</f>
        <v>2.8383613006748099</v>
      </c>
      <c r="CM99" s="21">
        <f>EXP(-LN(2)/2)*CM98+(1-EXP(-LN(2)/2))/(LN(2)/2)*CG99*CJ99*VLOOKUP('Données projet'!$B$12,Paramètres!$A$1:$I$89,3,0)*0.475*44/12</f>
        <v>3.2328542798250816E-9</v>
      </c>
      <c r="CN99" s="22">
        <f t="shared" si="66"/>
        <v>3.6699399866684366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-3.4106051316484809E-13</v>
      </c>
      <c r="O100" s="13">
        <f>N100*VLOOKUP('Données projet'!$B$9,Paramètres!$A$1:$I$89,3,0)*VLOOKUP('Données projet'!$B$9,Paramètres!$A$1:$I$89,5,0)</f>
        <v>-1.9065282685915009E-13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279.98352834501759</v>
      </c>
      <c r="T100" s="59">
        <f t="shared" si="88"/>
        <v>281.30062655265488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1.060404371019688</v>
      </c>
      <c r="AA100" s="21">
        <f>EXP(-LN(2)/25)*AA99+(1-EXP(-LN(2)/25))/(LN(2)/25)*Calculateur!V100*Calculateur!X100*VLOOKUP('Données projet'!$B$9,Paramètres!$A$1:$I$89,3,0)*0.475*44/12</f>
        <v>3.7804047814504846</v>
      </c>
      <c r="AB100" s="21">
        <f>EXP(-LN(2)/2)*AB99+(1-EXP(-LN(2)/2))/(LN(2)/2)*V100*Y100*VLOOKUP('Données projet'!$B$9,Paramètres!$A$1:$I$89,3,0)*0.475*44/12</f>
        <v>2.3310121595335623E-9</v>
      </c>
      <c r="AC100" s="22">
        <f t="shared" si="57"/>
        <v>4.8408091548011845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-1.1368683772161603E-12</v>
      </c>
      <c r="AJ100" s="13">
        <f>AI100*VLOOKUP('Données projet'!$B$10,Paramètres!$A$1:$I$89,3,0)*VLOOKUP('Données projet'!$B$10,Paramètres!$A$1:$I$89,5,0)</f>
        <v>-5.4683368944097316E-13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252.30925789500111</v>
      </c>
      <c r="AO100" s="59">
        <f t="shared" si="90"/>
        <v>213.96033794804805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1.2290021234124726</v>
      </c>
      <c r="AV100" s="21">
        <f>EXP(-LN(2)/25)*AV99+(1-EXP(-LN(2)/25))/(LN(2)/25)*Calculateur!AQ100*Calculateur!AS100*VLOOKUP('Données projet'!$B$10,Paramètres!$A$1:$I$89,3,0)*0.475*44/12</f>
        <v>1.4400126348048332</v>
      </c>
      <c r="AW100" s="21">
        <f>EXP(-LN(2)/2)*AW99+(1-EXP(-LN(2)/2))/(LN(2)/2)*AQ100*AT100*VLOOKUP('Données projet'!$B$10,Paramètres!$A$1:$I$89,3,0)*0.475*44/12</f>
        <v>1.1835311359862693E-9</v>
      </c>
      <c r="AX100" s="21">
        <f t="shared" si="60"/>
        <v>2.6690147594008367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-4.5474735088646412E-13</v>
      </c>
      <c r="BE100" s="13">
        <f>BD100*VLOOKUP('Données projet'!$B$11,Paramètres!$A$1:$I$89,3,0)*VLOOKUP('Données projet'!$B$11,Paramètres!$A$1:$I$89,5,0)</f>
        <v>-2.7193891583010558E-13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216.94426559495264</v>
      </c>
      <c r="BJ100" s="59">
        <f t="shared" si="92"/>
        <v>225.33715877618704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2.0050160278328368</v>
      </c>
      <c r="BR100" s="21">
        <f>EXP(-LN(2)/2)*BR99+(1-EXP(-LN(2)/2))/(LN(2)/2)*BL100*BO100*VLOOKUP('Données projet'!$B$11,Paramètres!$A$1:$I$89,3,0)*0.475*44/12</f>
        <v>1.9533549528561244E-9</v>
      </c>
      <c r="BS100" s="22">
        <f t="shared" si="63"/>
        <v>2.0050160297861916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-2.8421709430404007E-14</v>
      </c>
      <c r="BZ100" s="13">
        <f>BY100*VLOOKUP('Données projet'!$B$12,Paramètres!$A$1:$I$89,3,0)*VLOOKUP('Données projet'!$B$12,Paramètres!$A$1:$I$89,5,0)</f>
        <v>-2.4829205358400945E-14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223.81948236065614</v>
      </c>
      <c r="CE100" s="59">
        <f t="shared" si="94"/>
        <v>320.1204011431372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0.81527193200474701</v>
      </c>
      <c r="CL100" s="21">
        <f>EXP(-LN(2)/25)*CL99+(1-EXP(-LN(2)/25))/(LN(2)/25)*Calculateur!CG100*Calculateur!CI100*VLOOKUP('Données projet'!$B$12,Paramètres!$A$1:$I$89,3,0)*0.475*44/12</f>
        <v>2.7607461616449234</v>
      </c>
      <c r="CM100" s="21">
        <f>EXP(-LN(2)/2)*CM99+(1-EXP(-LN(2)/2))/(LN(2)/2)*CG100*CJ100*VLOOKUP('Données projet'!$B$12,Paramètres!$A$1:$I$89,3,0)*0.475*44/12</f>
        <v>2.2859731838522676E-9</v>
      </c>
      <c r="CN100" s="22">
        <f t="shared" si="66"/>
        <v>3.5760180959356438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-3.4106051316484809E-13</v>
      </c>
      <c r="O101" s="13">
        <f>N101*VLOOKUP('Données projet'!$B$9,Paramètres!$A$1:$I$89,3,0)*VLOOKUP('Données projet'!$B$9,Paramètres!$A$1:$I$89,5,0)</f>
        <v>-1.9065282685915009E-13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279.98352834501759</v>
      </c>
      <c r="T101" s="59">
        <f t="shared" si="88"/>
        <v>281.30062655265488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1.0396104880867938</v>
      </c>
      <c r="AA101" s="21">
        <f>EXP(-LN(2)/25)*AA100+(1-EXP(-LN(2)/25))/(LN(2)/25)*Calculateur!V101*Calculateur!X101*VLOOKUP('Données projet'!$B$9,Paramètres!$A$1:$I$89,3,0)*0.475*44/12</f>
        <v>3.6770294138988739</v>
      </c>
      <c r="AB101" s="21">
        <f>EXP(-LN(2)/2)*AB100+(1-EXP(-LN(2)/2))/(LN(2)/2)*V101*Y101*VLOOKUP('Données projet'!$B$9,Paramètres!$A$1:$I$89,3,0)*0.475*44/12</f>
        <v>1.6482745050344802E-9</v>
      </c>
      <c r="AC101" s="22">
        <f t="shared" si="57"/>
        <v>4.7166399036339417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-1.1368683772161603E-12</v>
      </c>
      <c r="AJ101" s="13">
        <f>AI101*VLOOKUP('Données projet'!$B$10,Paramètres!$A$1:$I$89,3,0)*VLOOKUP('Données projet'!$B$10,Paramètres!$A$1:$I$89,5,0)</f>
        <v>-5.4683368944097316E-13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252.30925789500111</v>
      </c>
      <c r="AO101" s="59">
        <f t="shared" si="90"/>
        <v>213.96033794804805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1.2049021413896308</v>
      </c>
      <c r="AV101" s="21">
        <f>EXP(-LN(2)/25)*AV100+(1-EXP(-LN(2)/25))/(LN(2)/25)*Calculateur!AQ101*Calculateur!AS101*VLOOKUP('Données projet'!$B$10,Paramètres!$A$1:$I$89,3,0)*0.475*44/12</f>
        <v>1.4006354135791217</v>
      </c>
      <c r="AW101" s="21">
        <f>EXP(-LN(2)/2)*AW100+(1-EXP(-LN(2)/2))/(LN(2)/2)*AQ101*AT101*VLOOKUP('Données projet'!$B$10,Paramètres!$A$1:$I$89,3,0)*0.475*44/12</f>
        <v>8.3688289200130896E-10</v>
      </c>
      <c r="AX101" s="21">
        <f t="shared" si="60"/>
        <v>2.6055375558056357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-4.5474735088646412E-13</v>
      </c>
      <c r="BE101" s="13">
        <f>BD101*VLOOKUP('Données projet'!$B$11,Paramètres!$A$1:$I$89,3,0)*VLOOKUP('Données projet'!$B$11,Paramètres!$A$1:$I$89,5,0)</f>
        <v>-2.7193891583010558E-13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216.94426559495264</v>
      </c>
      <c r="BJ101" s="59">
        <f t="shared" si="92"/>
        <v>225.33715877618704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1.9501887591125375</v>
      </c>
      <c r="BR101" s="21">
        <f>EXP(-LN(2)/2)*BR100+(1-EXP(-LN(2)/2))/(LN(2)/2)*BL101*BO101*VLOOKUP('Données projet'!$B$11,Paramètres!$A$1:$I$89,3,0)*0.475*44/12</f>
        <v>1.3812305332288944E-9</v>
      </c>
      <c r="BS101" s="22">
        <f t="shared" si="63"/>
        <v>1.950188760493768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-2.8421709430404007E-14</v>
      </c>
      <c r="BZ101" s="13">
        <f>BY101*VLOOKUP('Données projet'!$B$12,Paramètres!$A$1:$I$89,3,0)*VLOOKUP('Données projet'!$B$12,Paramètres!$A$1:$I$89,5,0)</f>
        <v>-2.4829205358400945E-14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223.81948236065614</v>
      </c>
      <c r="CE101" s="59">
        <f t="shared" si="94"/>
        <v>320.1204011431372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0.79928494668491146</v>
      </c>
      <c r="CL101" s="21">
        <f>EXP(-LN(2)/25)*CL100+(1-EXP(-LN(2)/25))/(LN(2)/25)*Calculateur!CG101*Calculateur!CI101*VLOOKUP('Données projet'!$B$12,Paramètres!$A$1:$I$89,3,0)*0.475*44/12</f>
        <v>2.6852534126734122</v>
      </c>
      <c r="CM101" s="21">
        <f>EXP(-LN(2)/2)*CM100+(1-EXP(-LN(2)/2))/(LN(2)/2)*CG101*CJ101*VLOOKUP('Données projet'!$B$12,Paramètres!$A$1:$I$89,3,0)*0.475*44/12</f>
        <v>1.6164271399125408E-9</v>
      </c>
      <c r="CN101" s="22">
        <f t="shared" si="66"/>
        <v>3.4845383609747507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-3.4106051316484809E-13</v>
      </c>
      <c r="O102" s="13">
        <f>N102*VLOOKUP('Données projet'!$B$9,Paramètres!$A$1:$I$89,3,0)*VLOOKUP('Données projet'!$B$9,Paramètres!$A$1:$I$89,5,0)</f>
        <v>-1.9065282685915009E-13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279.98352834501759</v>
      </c>
      <c r="T102" s="59">
        <f t="shared" si="88"/>
        <v>281.30062655265488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1.0192243605151974</v>
      </c>
      <c r="AA102" s="21">
        <f>EXP(-LN(2)/25)*AA101+(1-EXP(-LN(2)/25))/(LN(2)/25)*Calculateur!V102*Calculateur!X102*VLOOKUP('Données projet'!$B$9,Paramètres!$A$1:$I$89,3,0)*0.475*44/12</f>
        <v>3.5764808512092365</v>
      </c>
      <c r="AB102" s="21">
        <f>EXP(-LN(2)/2)*AB101+(1-EXP(-LN(2)/2))/(LN(2)/2)*V102*Y102*VLOOKUP('Données projet'!$B$9,Paramètres!$A$1:$I$89,3,0)*0.475*44/12</f>
        <v>1.1655060797667811E-9</v>
      </c>
      <c r="AC102" s="22">
        <f t="shared" si="57"/>
        <v>4.5957052128899401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-1.1368683772161603E-12</v>
      </c>
      <c r="AJ102" s="13">
        <f>AI102*VLOOKUP('Données projet'!$B$10,Paramètres!$A$1:$I$89,3,0)*VLOOKUP('Données projet'!$B$10,Paramètres!$A$1:$I$89,5,0)</f>
        <v>-5.4683368944097316E-13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252.30925789500111</v>
      </c>
      <c r="AO102" s="59">
        <f t="shared" si="90"/>
        <v>213.96033794804805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1.1812747453147192</v>
      </c>
      <c r="AV102" s="21">
        <f>EXP(-LN(2)/25)*AV101+(1-EXP(-LN(2)/25))/(LN(2)/25)*Calculateur!AQ102*Calculateur!AS102*VLOOKUP('Données projet'!$B$10,Paramètres!$A$1:$I$89,3,0)*0.475*44/12</f>
        <v>1.3623349645385854</v>
      </c>
      <c r="AW102" s="21">
        <f>EXP(-LN(2)/2)*AW101+(1-EXP(-LN(2)/2))/(LN(2)/2)*AQ102*AT102*VLOOKUP('Données projet'!$B$10,Paramètres!$A$1:$I$89,3,0)*0.475*44/12</f>
        <v>5.9176556799313465E-10</v>
      </c>
      <c r="AX102" s="21">
        <f t="shared" si="60"/>
        <v>2.5436097104450703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-4.5474735088646412E-13</v>
      </c>
      <c r="BE102" s="13">
        <f>BD102*VLOOKUP('Données projet'!$B$11,Paramètres!$A$1:$I$89,3,0)*VLOOKUP('Données projet'!$B$11,Paramètres!$A$1:$I$89,5,0)</f>
        <v>-2.7193891583010558E-13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216.94426559495264</v>
      </c>
      <c r="BJ102" s="59">
        <f t="shared" si="92"/>
        <v>225.33715877618704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1.8968607449386357</v>
      </c>
      <c r="BR102" s="21">
        <f>EXP(-LN(2)/2)*BR101+(1-EXP(-LN(2)/2))/(LN(2)/2)*BL102*BO102*VLOOKUP('Données projet'!$B$11,Paramètres!$A$1:$I$89,3,0)*0.475*44/12</f>
        <v>9.7667747642806219E-10</v>
      </c>
      <c r="BS102" s="22">
        <f t="shared" si="63"/>
        <v>1.8968607459153131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-2.8421709430404007E-14</v>
      </c>
      <c r="BZ102" s="13">
        <f>BY102*VLOOKUP('Données projet'!$B$12,Paramètres!$A$1:$I$89,3,0)*VLOOKUP('Données projet'!$B$12,Paramètres!$A$1:$I$89,5,0)</f>
        <v>-2.4829205358400945E-14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223.81948236065614</v>
      </c>
      <c r="CE102" s="59">
        <f t="shared" si="94"/>
        <v>320.1204011431372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0.78361145639609964</v>
      </c>
      <c r="CL102" s="21">
        <f>EXP(-LN(2)/25)*CL101+(1-EXP(-LN(2)/25))/(LN(2)/25)*Calculateur!CG102*Calculateur!CI102*VLOOKUP('Données projet'!$B$12,Paramètres!$A$1:$I$89,3,0)*0.475*44/12</f>
        <v>2.6118250168925181</v>
      </c>
      <c r="CM102" s="21">
        <f>EXP(-LN(2)/2)*CM101+(1-EXP(-LN(2)/2))/(LN(2)/2)*CG102*CJ102*VLOOKUP('Données projet'!$B$12,Paramètres!$A$1:$I$89,3,0)*0.475*44/12</f>
        <v>1.1429865919261338E-9</v>
      </c>
      <c r="CN102" s="22">
        <f t="shared" si="66"/>
        <v>3.3954364744316043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-3.4106051316484809E-13</v>
      </c>
      <c r="O103" s="13">
        <f>N103*VLOOKUP('Données projet'!$B$9,Paramètres!$A$1:$I$89,3,0)*VLOOKUP('Données projet'!$B$9,Paramètres!$A$1:$I$89,5,0)</f>
        <v>-1.9065282685915009E-13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279.98352834501759</v>
      </c>
      <c r="T103" s="59">
        <f t="shared" si="88"/>
        <v>281.30062655265488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0.99923799247096989</v>
      </c>
      <c r="AA103" s="21">
        <f>EXP(-LN(2)/25)*AA102+(1-EXP(-LN(2)/25))/(LN(2)/25)*Calculateur!V103*Calculateur!X103*VLOOKUP('Données projet'!$B$9,Paramètres!$A$1:$I$89,3,0)*0.475*44/12</f>
        <v>3.4786817942539661</v>
      </c>
      <c r="AB103" s="21">
        <f>EXP(-LN(2)/2)*AB102+(1-EXP(-LN(2)/2))/(LN(2)/2)*V103*Y103*VLOOKUP('Données projet'!$B$9,Paramètres!$A$1:$I$89,3,0)*0.475*44/12</f>
        <v>8.2413725251724012E-10</v>
      </c>
      <c r="AC103" s="22">
        <f t="shared" si="57"/>
        <v>4.477919787549073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-1.1368683772161603E-12</v>
      </c>
      <c r="AJ103" s="13">
        <f>AI103*VLOOKUP('Données projet'!$B$10,Paramètres!$A$1:$I$89,3,0)*VLOOKUP('Données projet'!$B$10,Paramètres!$A$1:$I$89,5,0)</f>
        <v>-5.4683368944097316E-13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252.30925789500111</v>
      </c>
      <c r="AO103" s="59">
        <f t="shared" si="90"/>
        <v>213.96033794804805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1.1581106680655482</v>
      </c>
      <c r="AV103" s="21">
        <f>EXP(-LN(2)/25)*AV102+(1-EXP(-LN(2)/25))/(LN(2)/25)*Calculateur!AQ103*Calculateur!AS103*VLOOKUP('Données projet'!$B$10,Paramètres!$A$1:$I$89,3,0)*0.475*44/12</f>
        <v>1.3250818432911957</v>
      </c>
      <c r="AW103" s="21">
        <f>EXP(-LN(2)/2)*AW102+(1-EXP(-LN(2)/2))/(LN(2)/2)*AQ103*AT103*VLOOKUP('Données projet'!$B$10,Paramètres!$A$1:$I$89,3,0)*0.475*44/12</f>
        <v>4.1844144600065448E-10</v>
      </c>
      <c r="AX103" s="21">
        <f t="shared" si="60"/>
        <v>2.4831925117751852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-4.5474735088646412E-13</v>
      </c>
      <c r="BE103" s="13">
        <f>BD103*VLOOKUP('Données projet'!$B$11,Paramètres!$A$1:$I$89,3,0)*VLOOKUP('Données projet'!$B$11,Paramètres!$A$1:$I$89,5,0)</f>
        <v>-2.7193891583010558E-13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216.94426559495264</v>
      </c>
      <c r="BJ103" s="59">
        <f t="shared" si="92"/>
        <v>225.33715877618704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1.8449909881167175</v>
      </c>
      <c r="BR103" s="21">
        <f>EXP(-LN(2)/2)*BR102+(1-EXP(-LN(2)/2))/(LN(2)/2)*BL103*BO103*VLOOKUP('Données projet'!$B$11,Paramètres!$A$1:$I$89,3,0)*0.475*44/12</f>
        <v>6.9061526661444722E-10</v>
      </c>
      <c r="BS103" s="22">
        <f t="shared" si="63"/>
        <v>1.8449909888073328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-2.8421709430404007E-14</v>
      </c>
      <c r="BZ103" s="13">
        <f>BY103*VLOOKUP('Données projet'!$B$12,Paramètres!$A$1:$I$89,3,0)*VLOOKUP('Données projet'!$B$12,Paramètres!$A$1:$I$89,5,0)</f>
        <v>-2.4829205358400945E-14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223.81948236065614</v>
      </c>
      <c r="CE103" s="59">
        <f t="shared" si="94"/>
        <v>320.1204011431372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0.76824531369196636</v>
      </c>
      <c r="CL103" s="21">
        <f>EXP(-LN(2)/25)*CL102+(1-EXP(-LN(2)/25))/(LN(2)/25)*Calculateur!CG103*Calculateur!CI103*VLOOKUP('Données projet'!$B$12,Paramètres!$A$1:$I$89,3,0)*0.475*44/12</f>
        <v>2.5404045244556839</v>
      </c>
      <c r="CM103" s="21">
        <f>EXP(-LN(2)/2)*CM102+(1-EXP(-LN(2)/2))/(LN(2)/2)*CG103*CJ103*VLOOKUP('Données projet'!$B$12,Paramètres!$A$1:$I$89,3,0)*0.475*44/12</f>
        <v>8.082135699562704E-10</v>
      </c>
      <c r="CN103" s="22">
        <f t="shared" si="66"/>
        <v>3.3086498389558638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-3.4106051316484809E-13</v>
      </c>
      <c r="O104" s="13">
        <f>N104*VLOOKUP('Données projet'!$B$9,Paramètres!$A$1:$I$89,3,0)*VLOOKUP('Données projet'!$B$9,Paramètres!$A$1:$I$89,5,0)</f>
        <v>-1.9065282685915009E-13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279.98352834501759</v>
      </c>
      <c r="T104" s="59">
        <f t="shared" si="88"/>
        <v>281.30062655265488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0.97964354491360894</v>
      </c>
      <c r="AA104" s="21">
        <f>EXP(-LN(2)/25)*AA103+(1-EXP(-LN(2)/25))/(LN(2)/25)*Calculateur!V104*Calculateur!X104*VLOOKUP('Données projet'!$B$9,Paramètres!$A$1:$I$89,3,0)*0.475*44/12</f>
        <v>3.3835570576541665</v>
      </c>
      <c r="AB104" s="21">
        <f>EXP(-LN(2)/2)*AB103+(1-EXP(-LN(2)/2))/(LN(2)/2)*V104*Y104*VLOOKUP('Données projet'!$B$9,Paramètres!$A$1:$I$89,3,0)*0.475*44/12</f>
        <v>5.8275303988339057E-10</v>
      </c>
      <c r="AC104" s="22">
        <f t="shared" si="57"/>
        <v>4.3632006031505286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-1.1368683772161603E-12</v>
      </c>
      <c r="AJ104" s="13">
        <f>AI104*VLOOKUP('Données projet'!$B$10,Paramètres!$A$1:$I$89,3,0)*VLOOKUP('Données projet'!$B$10,Paramètres!$A$1:$I$89,5,0)</f>
        <v>-5.4683368944097316E-13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252.30925789500111</v>
      </c>
      <c r="AO104" s="59">
        <f t="shared" si="90"/>
        <v>213.96033794804805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1.1354008242425413</v>
      </c>
      <c r="AV104" s="21">
        <f>EXP(-LN(2)/25)*AV103+(1-EXP(-LN(2)/25))/(LN(2)/25)*Calculateur!AQ104*Calculateur!AS104*VLOOKUP('Données projet'!$B$10,Paramètres!$A$1:$I$89,3,0)*0.475*44/12</f>
        <v>1.2888474106033723</v>
      </c>
      <c r="AW104" s="21">
        <f>EXP(-LN(2)/2)*AW103+(1-EXP(-LN(2)/2))/(LN(2)/2)*AQ104*AT104*VLOOKUP('Données projet'!$B$10,Paramètres!$A$1:$I$89,3,0)*0.475*44/12</f>
        <v>2.9588278399656732E-10</v>
      </c>
      <c r="AX104" s="21">
        <f t="shared" si="60"/>
        <v>2.4242482351417967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-4.5474735088646412E-13</v>
      </c>
      <c r="BE104" s="13">
        <f>BD104*VLOOKUP('Données projet'!$B$11,Paramètres!$A$1:$I$89,3,0)*VLOOKUP('Données projet'!$B$11,Paramètres!$A$1:$I$89,5,0)</f>
        <v>-2.7193891583010558E-13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216.94426559495264</v>
      </c>
      <c r="BJ104" s="59">
        <f t="shared" si="92"/>
        <v>225.33715877618704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1.7945396125228066</v>
      </c>
      <c r="BR104" s="21">
        <f>EXP(-LN(2)/2)*BR103+(1-EXP(-LN(2)/2))/(LN(2)/2)*BL104*BO104*VLOOKUP('Données projet'!$B$11,Paramètres!$A$1:$I$89,3,0)*0.475*44/12</f>
        <v>4.883387382140311E-10</v>
      </c>
      <c r="BS104" s="22">
        <f t="shared" si="63"/>
        <v>1.7945396130111453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-2.8421709430404007E-14</v>
      </c>
      <c r="BZ104" s="13">
        <f>BY104*VLOOKUP('Données projet'!$B$12,Paramètres!$A$1:$I$89,3,0)*VLOOKUP('Données projet'!$B$12,Paramètres!$A$1:$I$89,5,0)</f>
        <v>-2.4829205358400945E-14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223.81948236065614</v>
      </c>
      <c r="CE104" s="59">
        <f t="shared" si="94"/>
        <v>320.1204011431372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0.75318049167383949</v>
      </c>
      <c r="CL104" s="21">
        <f>EXP(-LN(2)/25)*CL103+(1-EXP(-LN(2)/25))/(LN(2)/25)*Calculateur!CG104*Calculateur!CI104*VLOOKUP('Données projet'!$B$12,Paramètres!$A$1:$I$89,3,0)*0.475*44/12</f>
        <v>2.4709370291403756</v>
      </c>
      <c r="CM104" s="21">
        <f>EXP(-LN(2)/2)*CM103+(1-EXP(-LN(2)/2))/(LN(2)/2)*CG104*CJ104*VLOOKUP('Données projet'!$B$12,Paramètres!$A$1:$I$89,3,0)*0.475*44/12</f>
        <v>5.714932959630669E-10</v>
      </c>
      <c r="CN104" s="22">
        <f t="shared" si="66"/>
        <v>3.2241175213857081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-3.4106051316484809E-13</v>
      </c>
      <c r="O105" s="13">
        <f>N105*VLOOKUP('Données projet'!$B$9,Paramètres!$A$1:$I$89,3,0)*VLOOKUP('Données projet'!$B$9,Paramètres!$A$1:$I$89,5,0)</f>
        <v>-1.9065282685915009E-13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279.98352834501759</v>
      </c>
      <c r="T105" s="59">
        <f t="shared" si="88"/>
        <v>281.30062655265488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0.96043333252141494</v>
      </c>
      <c r="AA105" s="21">
        <f>EXP(-LN(2)/25)*AA104+(1-EXP(-LN(2)/25))/(LN(2)/25)*Calculateur!V105*Calculateur!X105*VLOOKUP('Données projet'!$B$9,Paramètres!$A$1:$I$89,3,0)*0.475*44/12</f>
        <v>3.291033511979081</v>
      </c>
      <c r="AB105" s="21">
        <f>EXP(-LN(2)/2)*AB104+(1-EXP(-LN(2)/2))/(LN(2)/2)*V105*Y105*VLOOKUP('Données projet'!$B$9,Paramètres!$A$1:$I$89,3,0)*0.475*44/12</f>
        <v>4.1206862625862006E-10</v>
      </c>
      <c r="AC105" s="22">
        <f t="shared" si="57"/>
        <v>4.2514668449125645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-1.1368683772161603E-12</v>
      </c>
      <c r="AJ105" s="13">
        <f>AI105*VLOOKUP('Données projet'!$B$10,Paramètres!$A$1:$I$89,3,0)*VLOOKUP('Données projet'!$B$10,Paramètres!$A$1:$I$89,5,0)</f>
        <v>-5.4683368944097316E-13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252.30925789500111</v>
      </c>
      <c r="AO105" s="59">
        <f t="shared" si="90"/>
        <v>213.96033794804805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1.1131363066052666</v>
      </c>
      <c r="AV105" s="21">
        <f>EXP(-LN(2)/25)*AV104+(1-EXP(-LN(2)/25))/(LN(2)/25)*Calculateur!AQ105*Calculateur!AS105*VLOOKUP('Données projet'!$B$10,Paramètres!$A$1:$I$89,3,0)*0.475*44/12</f>
        <v>1.2536038103828835</v>
      </c>
      <c r="AW105" s="21">
        <f>EXP(-LN(2)/2)*AW104+(1-EXP(-LN(2)/2))/(LN(2)/2)*AQ105*AT105*VLOOKUP('Données projet'!$B$10,Paramètres!$A$1:$I$89,3,0)*0.475*44/12</f>
        <v>2.0922072300032724E-10</v>
      </c>
      <c r="AX105" s="21">
        <f t="shared" si="60"/>
        <v>2.3667401171973705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-4.5474735088646412E-13</v>
      </c>
      <c r="BE105" s="13">
        <f>BD105*VLOOKUP('Données projet'!$B$11,Paramètres!$A$1:$I$89,3,0)*VLOOKUP('Données projet'!$B$11,Paramètres!$A$1:$I$89,5,0)</f>
        <v>-2.7193891583010558E-13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216.94426559495264</v>
      </c>
      <c r="BJ105" s="59">
        <f t="shared" si="92"/>
        <v>225.33715877618704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1.7454678324476336</v>
      </c>
      <c r="BR105" s="21">
        <f>EXP(-LN(2)/2)*BR104+(1-EXP(-LN(2)/2))/(LN(2)/2)*BL105*BO105*VLOOKUP('Données projet'!$B$11,Paramètres!$A$1:$I$89,3,0)*0.475*44/12</f>
        <v>3.4530763330722361E-10</v>
      </c>
      <c r="BS105" s="22">
        <f t="shared" si="63"/>
        <v>1.7454678327929412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-2.8421709430404007E-14</v>
      </c>
      <c r="BZ105" s="13">
        <f>BY105*VLOOKUP('Données projet'!$B$12,Paramètres!$A$1:$I$89,3,0)*VLOOKUP('Données projet'!$B$12,Paramètres!$A$1:$I$89,5,0)</f>
        <v>-2.4829205358400945E-14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223.81948236065614</v>
      </c>
      <c r="CE105" s="59">
        <f t="shared" si="94"/>
        <v>320.1204011431372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0.73841108162685398</v>
      </c>
      <c r="CL105" s="21">
        <f>EXP(-LN(2)/25)*CL104+(1-EXP(-LN(2)/25))/(LN(2)/25)*Calculateur!CG105*Calculateur!CI105*VLOOKUP('Données projet'!$B$12,Paramètres!$A$1:$I$89,3,0)*0.475*44/12</f>
        <v>2.4033691261376009</v>
      </c>
      <c r="CM105" s="21">
        <f>EXP(-LN(2)/2)*CM104+(1-EXP(-LN(2)/2))/(LN(2)/2)*CG105*CJ105*VLOOKUP('Données projet'!$B$12,Paramètres!$A$1:$I$89,3,0)*0.475*44/12</f>
        <v>4.041067849781352E-10</v>
      </c>
      <c r="CN105" s="22">
        <f t="shared" si="66"/>
        <v>3.1417802081685617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-3.4106051316484809E-13</v>
      </c>
      <c r="O106" s="13">
        <f>N106*VLOOKUP('Données projet'!$B$9,Paramètres!$A$1:$I$89,3,0)*VLOOKUP('Données projet'!$B$9,Paramètres!$A$1:$I$89,5,0)</f>
        <v>-1.9065282685915009E-13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279.98352834501759</v>
      </c>
      <c r="T106" s="59">
        <f t="shared" si="88"/>
        <v>281.30062655265488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0.94159982067715919</v>
      </c>
      <c r="AA106" s="21">
        <f>EXP(-LN(2)/25)*AA105+(1-EXP(-LN(2)/25))/(LN(2)/25)*Calculateur!V106*Calculateur!X106*VLOOKUP('Données projet'!$B$9,Paramètres!$A$1:$I$89,3,0)*0.475*44/12</f>
        <v>3.2010400275260822</v>
      </c>
      <c r="AB106" s="21">
        <f>EXP(-LN(2)/2)*AB105+(1-EXP(-LN(2)/2))/(LN(2)/2)*V106*Y106*VLOOKUP('Données projet'!$B$9,Paramètres!$A$1:$I$89,3,0)*0.475*44/12</f>
        <v>2.9137651994169528E-10</v>
      </c>
      <c r="AC106" s="22">
        <f t="shared" si="57"/>
        <v>4.1426398484946185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-1.1368683772161603E-12</v>
      </c>
      <c r="AJ106" s="13">
        <f>AI106*VLOOKUP('Données projet'!$B$10,Paramètres!$A$1:$I$89,3,0)*VLOOKUP('Données projet'!$B$10,Paramètres!$A$1:$I$89,5,0)</f>
        <v>-5.4683368944097316E-13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252.30925789500111</v>
      </c>
      <c r="AO106" s="59">
        <f t="shared" si="90"/>
        <v>213.96033794804805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1.0913083825788441</v>
      </c>
      <c r="AV106" s="21">
        <f>EXP(-LN(2)/25)*AV105+(1-EXP(-LN(2)/25))/(LN(2)/25)*Calculateur!AQ106*Calculateur!AS106*VLOOKUP('Données projet'!$B$10,Paramètres!$A$1:$I$89,3,0)*0.475*44/12</f>
        <v>1.2193239482638043</v>
      </c>
      <c r="AW106" s="21">
        <f>EXP(-LN(2)/2)*AW105+(1-EXP(-LN(2)/2))/(LN(2)/2)*AQ106*AT106*VLOOKUP('Données projet'!$B$10,Paramètres!$A$1:$I$89,3,0)*0.475*44/12</f>
        <v>1.4794139199828366E-10</v>
      </c>
      <c r="AX106" s="21">
        <f t="shared" si="60"/>
        <v>2.3106323309905896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-4.5474735088646412E-13</v>
      </c>
      <c r="BE106" s="13">
        <f>BD106*VLOOKUP('Données projet'!$B$11,Paramètres!$A$1:$I$89,3,0)*VLOOKUP('Données projet'!$B$11,Paramètres!$A$1:$I$89,5,0)</f>
        <v>-2.7193891583010558E-13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216.94426559495264</v>
      </c>
      <c r="BJ106" s="59">
        <f t="shared" si="92"/>
        <v>225.33715877618704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1.6977379227791891</v>
      </c>
      <c r="BR106" s="21">
        <f>EXP(-LN(2)/2)*BR105+(1-EXP(-LN(2)/2))/(LN(2)/2)*BL106*BO106*VLOOKUP('Données projet'!$B$11,Paramètres!$A$1:$I$89,3,0)*0.475*44/12</f>
        <v>2.4416936910701555E-10</v>
      </c>
      <c r="BS106" s="22">
        <f t="shared" si="63"/>
        <v>1.6977379230233585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-2.8421709430404007E-14</v>
      </c>
      <c r="BZ106" s="13">
        <f>BY106*VLOOKUP('Données projet'!$B$12,Paramètres!$A$1:$I$89,3,0)*VLOOKUP('Données projet'!$B$12,Paramètres!$A$1:$I$89,5,0)</f>
        <v>-2.4829205358400945E-14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223.81948236065614</v>
      </c>
      <c r="CE106" s="59">
        <f t="shared" si="94"/>
        <v>320.1204011431372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0.72393129070243922</v>
      </c>
      <c r="CL106" s="21">
        <f>EXP(-LN(2)/25)*CL105+(1-EXP(-LN(2)/25))/(LN(2)/25)*Calculateur!CG106*Calculateur!CI106*VLOOKUP('Données projet'!$B$12,Paramètres!$A$1:$I$89,3,0)*0.475*44/12</f>
        <v>2.3376488709956789</v>
      </c>
      <c r="CM106" s="21">
        <f>EXP(-LN(2)/2)*CM105+(1-EXP(-LN(2)/2))/(LN(2)/2)*CG106*CJ106*VLOOKUP('Données projet'!$B$12,Paramètres!$A$1:$I$89,3,0)*0.475*44/12</f>
        <v>2.8574664798153345E-10</v>
      </c>
      <c r="CN106" s="22">
        <f t="shared" si="66"/>
        <v>3.0615801619838647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-3.4106051316484809E-13</v>
      </c>
      <c r="O107" s="13">
        <f>N107*VLOOKUP('Données projet'!$B$9,Paramètres!$A$1:$I$89,3,0)*VLOOKUP('Données projet'!$B$9,Paramètres!$A$1:$I$89,5,0)</f>
        <v>-1.9065282685915009E-13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279.98352834501759</v>
      </c>
      <c r="T107" s="59">
        <f t="shared" si="88"/>
        <v>281.30062655265488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0.92313562251286141</v>
      </c>
      <c r="AA107" s="21">
        <f>EXP(-LN(2)/25)*AA106+(1-EXP(-LN(2)/25))/(LN(2)/25)*Calculateur!V107*Calculateur!X107*VLOOKUP('Données projet'!$B$9,Paramètres!$A$1:$I$89,3,0)*0.475*44/12</f>
        <v>3.1135074196380024</v>
      </c>
      <c r="AB107" s="21">
        <f>EXP(-LN(2)/2)*AB106+(1-EXP(-LN(2)/2))/(LN(2)/2)*V107*Y107*VLOOKUP('Données projet'!$B$9,Paramètres!$A$1:$I$89,3,0)*0.475*44/12</f>
        <v>2.0603431312931003E-10</v>
      </c>
      <c r="AC107" s="22">
        <f t="shared" si="57"/>
        <v>4.0366430423568982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-1.1368683772161603E-12</v>
      </c>
      <c r="AJ107" s="13">
        <f>AI107*VLOOKUP('Données projet'!$B$10,Paramètres!$A$1:$I$89,3,0)*VLOOKUP('Données projet'!$B$10,Paramètres!$A$1:$I$89,5,0)</f>
        <v>-5.4683368944097316E-13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252.30925789500111</v>
      </c>
      <c r="AO107" s="59">
        <f t="shared" si="90"/>
        <v>213.96033794804805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1.0699084908288605</v>
      </c>
      <c r="AV107" s="21">
        <f>EXP(-LN(2)/25)*AV106+(1-EXP(-LN(2)/25))/(LN(2)/25)*Calculateur!AQ107*Calculateur!AS107*VLOOKUP('Données projet'!$B$10,Paramètres!$A$1:$I$89,3,0)*0.475*44/12</f>
        <v>1.1859814707770708</v>
      </c>
      <c r="AW107" s="21">
        <f>EXP(-LN(2)/2)*AW106+(1-EXP(-LN(2)/2))/(LN(2)/2)*AQ107*AT107*VLOOKUP('Données projet'!$B$10,Paramètres!$A$1:$I$89,3,0)*0.475*44/12</f>
        <v>1.0461036150016362E-10</v>
      </c>
      <c r="AX107" s="21">
        <f t="shared" si="60"/>
        <v>2.2558899617105421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-4.5474735088646412E-13</v>
      </c>
      <c r="BE107" s="13">
        <f>BD107*VLOOKUP('Données projet'!$B$11,Paramètres!$A$1:$I$89,3,0)*VLOOKUP('Données projet'!$B$11,Paramètres!$A$1:$I$89,5,0)</f>
        <v>-2.7193891583010558E-13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216.94426559495264</v>
      </c>
      <c r="BJ107" s="59">
        <f t="shared" si="92"/>
        <v>225.33715877618704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1.651313190000635</v>
      </c>
      <c r="BR107" s="21">
        <f>EXP(-LN(2)/2)*BR106+(1-EXP(-LN(2)/2))/(LN(2)/2)*BL107*BO107*VLOOKUP('Données projet'!$B$11,Paramètres!$A$1:$I$89,3,0)*0.475*44/12</f>
        <v>1.726538166536118E-10</v>
      </c>
      <c r="BS107" s="22">
        <f t="shared" si="63"/>
        <v>1.6513131901732889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-2.8421709430404007E-14</v>
      </c>
      <c r="BZ107" s="13">
        <f>BY107*VLOOKUP('Données projet'!$B$12,Paramètres!$A$1:$I$89,3,0)*VLOOKUP('Données projet'!$B$12,Paramètres!$A$1:$I$89,5,0)</f>
        <v>-2.4829205358400945E-14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223.81948236065614</v>
      </c>
      <c r="CE107" s="59">
        <f t="shared" si="94"/>
        <v>320.1204011431372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0.70973543964625185</v>
      </c>
      <c r="CL107" s="21">
        <f>EXP(-LN(2)/25)*CL106+(1-EXP(-LN(2)/25))/(LN(2)/25)*Calculateur!CG107*Calculateur!CI107*VLOOKUP('Données projet'!$B$12,Paramètres!$A$1:$I$89,3,0)*0.475*44/12</f>
        <v>2.2737257396866908</v>
      </c>
      <c r="CM107" s="21">
        <f>EXP(-LN(2)/2)*CM106+(1-EXP(-LN(2)/2))/(LN(2)/2)*CG107*CJ107*VLOOKUP('Données projet'!$B$12,Paramètres!$A$1:$I$89,3,0)*0.475*44/12</f>
        <v>2.020533924890676E-10</v>
      </c>
      <c r="CN107" s="22">
        <f t="shared" si="66"/>
        <v>2.9834611795349959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-3.4106051316484809E-13</v>
      </c>
      <c r="O108" s="13">
        <f>N108*VLOOKUP('Données projet'!$B$9,Paramètres!$A$1:$I$89,3,0)*VLOOKUP('Données projet'!$B$9,Paramètres!$A$1:$I$89,5,0)</f>
        <v>-1.9065282685915009E-13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279.98352834501759</v>
      </c>
      <c r="T108" s="59">
        <f t="shared" si="88"/>
        <v>281.30062655265488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0.9050334960125167</v>
      </c>
      <c r="AA108" s="21">
        <f>EXP(-LN(2)/25)*AA107+(1-EXP(-LN(2)/25))/(LN(2)/25)*Calculateur!V108*Calculateur!X108*VLOOKUP('Données projet'!$B$9,Paramètres!$A$1:$I$89,3,0)*0.475*44/12</f>
        <v>3.0283683955157619</v>
      </c>
      <c r="AB108" s="21">
        <f>EXP(-LN(2)/2)*AB107+(1-EXP(-LN(2)/2))/(LN(2)/2)*V108*Y108*VLOOKUP('Données projet'!$B$9,Paramètres!$A$1:$I$89,3,0)*0.475*44/12</f>
        <v>1.4568825997084764E-10</v>
      </c>
      <c r="AC108" s="22">
        <f t="shared" si="57"/>
        <v>3.933401891673967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-1.1368683772161603E-12</v>
      </c>
      <c r="AJ108" s="13">
        <f>AI108*VLOOKUP('Données projet'!$B$10,Paramètres!$A$1:$I$89,3,0)*VLOOKUP('Données projet'!$B$10,Paramètres!$A$1:$I$89,5,0)</f>
        <v>-5.4683368944097316E-13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252.30925789500111</v>
      </c>
      <c r="AO108" s="59">
        <f t="shared" si="90"/>
        <v>213.96033794804805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1.048928237903449</v>
      </c>
      <c r="AV108" s="21">
        <f>EXP(-LN(2)/25)*AV107+(1-EXP(-LN(2)/25))/(LN(2)/25)*Calculateur!AQ108*Calculateur!AS108*VLOOKUP('Données projet'!$B$10,Paramètres!$A$1:$I$89,3,0)*0.475*44/12</f>
        <v>1.1535507450906168</v>
      </c>
      <c r="AW108" s="21">
        <f>EXP(-LN(2)/2)*AW107+(1-EXP(-LN(2)/2))/(LN(2)/2)*AQ108*AT108*VLOOKUP('Données projet'!$B$10,Paramètres!$A$1:$I$89,3,0)*0.475*44/12</f>
        <v>7.3970695999141831E-11</v>
      </c>
      <c r="AX108" s="21">
        <f t="shared" si="60"/>
        <v>2.2024789830680365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-4.5474735088646412E-13</v>
      </c>
      <c r="BE108" s="13">
        <f>BD108*VLOOKUP('Données projet'!$B$11,Paramètres!$A$1:$I$89,3,0)*VLOOKUP('Données projet'!$B$11,Paramètres!$A$1:$I$89,5,0)</f>
        <v>-2.7193891583010558E-13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216.94426559495264</v>
      </c>
      <c r="BJ108" s="59">
        <f t="shared" si="92"/>
        <v>225.33715877618704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1.6061579439812812</v>
      </c>
      <c r="BR108" s="21">
        <f>EXP(-LN(2)/2)*BR107+(1-EXP(-LN(2)/2))/(LN(2)/2)*BL108*BO108*VLOOKUP('Données projet'!$B$11,Paramètres!$A$1:$I$89,3,0)*0.475*44/12</f>
        <v>1.2208468455350777E-10</v>
      </c>
      <c r="BS108" s="22">
        <f t="shared" si="63"/>
        <v>1.606157944103366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-2.8421709430404007E-14</v>
      </c>
      <c r="BZ108" s="13">
        <f>BY108*VLOOKUP('Données projet'!$B$12,Paramètres!$A$1:$I$89,3,0)*VLOOKUP('Données projet'!$B$12,Paramètres!$A$1:$I$89,5,0)</f>
        <v>-2.4829205358400945E-14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223.81948236065614</v>
      </c>
      <c r="CE108" s="59">
        <f t="shared" si="94"/>
        <v>320.1204011431372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0.69581796057066214</v>
      </c>
      <c r="CL108" s="21">
        <f>EXP(-LN(2)/25)*CL107+(1-EXP(-LN(2)/25))/(LN(2)/25)*Calculateur!CG108*Calculateur!CI108*VLOOKUP('Données projet'!$B$12,Paramètres!$A$1:$I$89,3,0)*0.475*44/12</f>
        <v>2.2115505897649181</v>
      </c>
      <c r="CM108" s="21">
        <f>EXP(-LN(2)/2)*CM107+(1-EXP(-LN(2)/2))/(LN(2)/2)*CG108*CJ108*VLOOKUP('Données projet'!$B$12,Paramètres!$A$1:$I$89,3,0)*0.475*44/12</f>
        <v>1.4287332399076673E-10</v>
      </c>
      <c r="CN108" s="22">
        <f t="shared" si="66"/>
        <v>2.9073685504784534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-3.4106051316484809E-13</v>
      </c>
      <c r="O109" s="13">
        <f>N109*VLOOKUP('Données projet'!$B$9,Paramètres!$A$1:$I$89,3,0)*VLOOKUP('Données projet'!$B$9,Paramètres!$A$1:$I$89,5,0)</f>
        <v>-1.9065282685915009E-13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279.98352834501759</v>
      </c>
      <c r="T109" s="59">
        <f t="shared" si="88"/>
        <v>281.30062655265488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0.88728634117163674</v>
      </c>
      <c r="AA109" s="21">
        <f>EXP(-LN(2)/25)*AA108+(1-EXP(-LN(2)/25))/(LN(2)/25)*Calculateur!V109*Calculateur!X109*VLOOKUP('Données projet'!$B$9,Paramètres!$A$1:$I$89,3,0)*0.475*44/12</f>
        <v>2.945557502485411</v>
      </c>
      <c r="AB109" s="21">
        <f>EXP(-LN(2)/2)*AB108+(1-EXP(-LN(2)/2))/(LN(2)/2)*V109*Y109*VLOOKUP('Données projet'!$B$9,Paramètres!$A$1:$I$89,3,0)*0.475*44/12</f>
        <v>1.0301715656465502E-10</v>
      </c>
      <c r="AC109" s="22">
        <f t="shared" si="57"/>
        <v>3.8328438437600649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-1.1368683772161603E-12</v>
      </c>
      <c r="AJ109" s="13">
        <f>AI109*VLOOKUP('Données projet'!$B$10,Paramètres!$A$1:$I$89,3,0)*VLOOKUP('Données projet'!$B$10,Paramètres!$A$1:$I$89,5,0)</f>
        <v>-5.4683368944097316E-13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252.30925789500111</v>
      </c>
      <c r="AO109" s="59">
        <f t="shared" si="90"/>
        <v>213.96033794804805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1.0283593949412142</v>
      </c>
      <c r="AV109" s="21">
        <f>EXP(-LN(2)/25)*AV108+(1-EXP(-LN(2)/25))/(LN(2)/25)*Calculateur!AQ109*Calculateur!AS109*VLOOKUP('Données projet'!$B$10,Paramètres!$A$1:$I$89,3,0)*0.475*44/12</f>
        <v>1.1220068393035167</v>
      </c>
      <c r="AW109" s="21">
        <f>EXP(-LN(2)/2)*AW108+(1-EXP(-LN(2)/2))/(LN(2)/2)*AQ109*AT109*VLOOKUP('Données projet'!$B$10,Paramètres!$A$1:$I$89,3,0)*0.475*44/12</f>
        <v>5.230518075008181E-11</v>
      </c>
      <c r="AX109" s="21">
        <f t="shared" si="60"/>
        <v>2.1503662342970364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-4.5474735088646412E-13</v>
      </c>
      <c r="BE109" s="13">
        <f>BD109*VLOOKUP('Données projet'!$B$11,Paramètres!$A$1:$I$89,3,0)*VLOOKUP('Données projet'!$B$11,Paramètres!$A$1:$I$89,5,0)</f>
        <v>-2.7193891583010558E-13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216.94426559495264</v>
      </c>
      <c r="BJ109" s="59">
        <f t="shared" si="92"/>
        <v>225.33715877618704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1.5622374705389377</v>
      </c>
      <c r="BR109" s="21">
        <f>EXP(-LN(2)/2)*BR108+(1-EXP(-LN(2)/2))/(LN(2)/2)*BL109*BO109*VLOOKUP('Données projet'!$B$11,Paramètres!$A$1:$I$89,3,0)*0.475*44/12</f>
        <v>8.6326908326805902E-11</v>
      </c>
      <c r="BS109" s="22">
        <f t="shared" si="63"/>
        <v>1.5622374706252646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-2.8421709430404007E-14</v>
      </c>
      <c r="BZ109" s="13">
        <f>BY109*VLOOKUP('Données projet'!$B$12,Paramètres!$A$1:$I$89,3,0)*VLOOKUP('Données projet'!$B$12,Paramètres!$A$1:$I$89,5,0)</f>
        <v>-2.4829205358400945E-14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223.81948236065614</v>
      </c>
      <c r="CE109" s="59">
        <f t="shared" si="94"/>
        <v>320.1204011431372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0.68217339477092065</v>
      </c>
      <c r="CL109" s="21">
        <f>EXP(-LN(2)/25)*CL108+(1-EXP(-LN(2)/25))/(LN(2)/25)*Calculateur!CG109*Calculateur!CI109*VLOOKUP('Données projet'!$B$12,Paramètres!$A$1:$I$89,3,0)*0.475*44/12</f>
        <v>2.1510756225874057</v>
      </c>
      <c r="CM109" s="21">
        <f>EXP(-LN(2)/2)*CM108+(1-EXP(-LN(2)/2))/(LN(2)/2)*CG109*CJ109*VLOOKUP('Données projet'!$B$12,Paramètres!$A$1:$I$89,3,0)*0.475*44/12</f>
        <v>1.010266962445338E-10</v>
      </c>
      <c r="CN109" s="22">
        <f t="shared" si="66"/>
        <v>2.833249017459353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-3.4106051316484809E-13</v>
      </c>
      <c r="O110" s="13">
        <f>N110*VLOOKUP('Données projet'!$B$9,Paramètres!$A$1:$I$89,3,0)*VLOOKUP('Données projet'!$B$9,Paramètres!$A$1:$I$89,5,0)</f>
        <v>-1.9065282685915009E-13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279.98352834501759</v>
      </c>
      <c r="T110" s="59">
        <f t="shared" si="88"/>
        <v>281.30062655265488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0.86988719721249086</v>
      </c>
      <c r="AA110" s="21">
        <f>EXP(-LN(2)/25)*AA109+(1-EXP(-LN(2)/25))/(LN(2)/25)*Calculateur!V110*Calculateur!X110*VLOOKUP('Données projet'!$B$9,Paramètres!$A$1:$I$89,3,0)*0.475*44/12</f>
        <v>2.8650110776798106</v>
      </c>
      <c r="AB110" s="21">
        <f>EXP(-LN(2)/2)*AB109+(1-EXP(-LN(2)/2))/(LN(2)/2)*V110*Y110*VLOOKUP('Données projet'!$B$9,Paramètres!$A$1:$I$89,3,0)*0.475*44/12</f>
        <v>7.2844129985423821E-11</v>
      </c>
      <c r="AC110" s="22">
        <f t="shared" si="57"/>
        <v>3.7348982749651451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-1.1368683772161603E-12</v>
      </c>
      <c r="AJ110" s="13">
        <f>AI110*VLOOKUP('Données projet'!$B$10,Paramètres!$A$1:$I$89,3,0)*VLOOKUP('Données projet'!$B$10,Paramètres!$A$1:$I$89,5,0)</f>
        <v>-5.4683368944097316E-13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252.30925789500111</v>
      </c>
      <c r="AO110" s="59">
        <f t="shared" si="90"/>
        <v>213.96033794804805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1.0081938944437134</v>
      </c>
      <c r="AV110" s="21">
        <f>EXP(-LN(2)/25)*AV109+(1-EXP(-LN(2)/25))/(LN(2)/25)*Calculateur!AQ110*Calculateur!AS110*VLOOKUP('Données projet'!$B$10,Paramètres!$A$1:$I$89,3,0)*0.475*44/12</f>
        <v>1.0913255032789868</v>
      </c>
      <c r="AW110" s="21">
        <f>EXP(-LN(2)/2)*AW109+(1-EXP(-LN(2)/2))/(LN(2)/2)*AQ110*AT110*VLOOKUP('Données projet'!$B$10,Paramètres!$A$1:$I$89,3,0)*0.475*44/12</f>
        <v>3.6985347999570916E-11</v>
      </c>
      <c r="AX110" s="21">
        <f t="shared" si="60"/>
        <v>2.0995193977596855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-4.5474735088646412E-13</v>
      </c>
      <c r="BE110" s="13">
        <f>BD110*VLOOKUP('Données projet'!$B$11,Paramètres!$A$1:$I$89,3,0)*VLOOKUP('Données projet'!$B$11,Paramètres!$A$1:$I$89,5,0)</f>
        <v>-2.7193891583010558E-13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216.94426559495264</v>
      </c>
      <c r="BJ110" s="59">
        <f t="shared" si="92"/>
        <v>225.33715877618704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1.5195180047525525</v>
      </c>
      <c r="BR110" s="21">
        <f>EXP(-LN(2)/2)*BR109+(1-EXP(-LN(2)/2))/(LN(2)/2)*BL110*BO110*VLOOKUP('Données projet'!$B$11,Paramètres!$A$1:$I$89,3,0)*0.475*44/12</f>
        <v>6.1042342276753887E-11</v>
      </c>
      <c r="BS110" s="22">
        <f t="shared" si="63"/>
        <v>1.5195180048135948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-2.8421709430404007E-14</v>
      </c>
      <c r="BZ110" s="13">
        <f>BY110*VLOOKUP('Données projet'!$B$12,Paramètres!$A$1:$I$89,3,0)*VLOOKUP('Données projet'!$B$12,Paramètres!$A$1:$I$89,5,0)</f>
        <v>-2.4829205358400945E-14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223.81948236065614</v>
      </c>
      <c r="CE110" s="59">
        <f t="shared" si="94"/>
        <v>320.1204011431372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0.66879639058414875</v>
      </c>
      <c r="CL110" s="21">
        <f>EXP(-LN(2)/25)*CL109+(1-EXP(-LN(2)/25))/(LN(2)/25)*Calculateur!CG110*Calculateur!CI110*VLOOKUP('Données projet'!$B$12,Paramètres!$A$1:$I$89,3,0)*0.475*44/12</f>
        <v>2.0922543465676022</v>
      </c>
      <c r="CM110" s="21">
        <f>EXP(-LN(2)/2)*CM109+(1-EXP(-LN(2)/2))/(LN(2)/2)*CG110*CJ110*VLOOKUP('Données projet'!$B$12,Paramètres!$A$1:$I$89,3,0)*0.475*44/12</f>
        <v>7.1436661995383363E-11</v>
      </c>
      <c r="CN110" s="22">
        <f t="shared" si="66"/>
        <v>2.7610507372231878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-3.4106051316484809E-13</v>
      </c>
      <c r="O111" s="13">
        <f>N111*VLOOKUP('Données projet'!$B$9,Paramètres!$A$1:$I$89,3,0)*VLOOKUP('Données projet'!$B$9,Paramètres!$A$1:$I$89,5,0)</f>
        <v>-1.9065282685915009E-13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279.98352834501759</v>
      </c>
      <c r="T111" s="59">
        <f t="shared" si="88"/>
        <v>281.30062655265488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0.85282923985395387</v>
      </c>
      <c r="AA111" s="21">
        <f>EXP(-LN(2)/25)*AA110+(1-EXP(-LN(2)/25))/(LN(2)/25)*Calculateur!V111*Calculateur!X111*VLOOKUP('Données projet'!$B$9,Paramètres!$A$1:$I$89,3,0)*0.475*44/12</f>
        <v>2.7866671990962715</v>
      </c>
      <c r="AB111" s="21">
        <f>EXP(-LN(2)/2)*AB110+(1-EXP(-LN(2)/2))/(LN(2)/2)*V111*Y111*VLOOKUP('Données projet'!$B$9,Paramètres!$A$1:$I$89,3,0)*0.475*44/12</f>
        <v>5.1508578282327508E-11</v>
      </c>
      <c r="AC111" s="22">
        <f t="shared" si="57"/>
        <v>3.6394964390017339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-1.1368683772161603E-12</v>
      </c>
      <c r="AJ111" s="13">
        <f>AI111*VLOOKUP('Données projet'!$B$10,Paramètres!$A$1:$I$89,3,0)*VLOOKUP('Données projet'!$B$10,Paramètres!$A$1:$I$89,5,0)</f>
        <v>-5.4683368944097316E-13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252.30925789500111</v>
      </c>
      <c r="AO111" s="59">
        <f t="shared" si="90"/>
        <v>213.96033794804805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0.98842382711122778</v>
      </c>
      <c r="AV111" s="21">
        <f>EXP(-LN(2)/25)*AV110+(1-EXP(-LN(2)/25))/(LN(2)/25)*Calculateur!AQ111*Calculateur!AS111*VLOOKUP('Données projet'!$B$10,Paramètres!$A$1:$I$89,3,0)*0.475*44/12</f>
        <v>1.0614831500015089</v>
      </c>
      <c r="AW111" s="21">
        <f>EXP(-LN(2)/2)*AW110+(1-EXP(-LN(2)/2))/(LN(2)/2)*AQ111*AT111*VLOOKUP('Données projet'!$B$10,Paramètres!$A$1:$I$89,3,0)*0.475*44/12</f>
        <v>2.6152590375040905E-11</v>
      </c>
      <c r="AX111" s="21">
        <f t="shared" si="60"/>
        <v>2.0499069771388889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-4.5474735088646412E-13</v>
      </c>
      <c r="BE111" s="13">
        <f>BD111*VLOOKUP('Données projet'!$B$11,Paramètres!$A$1:$I$89,3,0)*VLOOKUP('Données projet'!$B$11,Paramètres!$A$1:$I$89,5,0)</f>
        <v>-2.7193891583010558E-13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216.94426559495264</v>
      </c>
      <c r="BJ111" s="59">
        <f t="shared" si="92"/>
        <v>225.33715877618704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1.477966705004615</v>
      </c>
      <c r="BR111" s="21">
        <f>EXP(-LN(2)/2)*BR110+(1-EXP(-LN(2)/2))/(LN(2)/2)*BL111*BO111*VLOOKUP('Données projet'!$B$11,Paramètres!$A$1:$I$89,3,0)*0.475*44/12</f>
        <v>4.3163454163402951E-11</v>
      </c>
      <c r="BS111" s="22">
        <f t="shared" si="63"/>
        <v>1.4779667050477785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-2.8421709430404007E-14</v>
      </c>
      <c r="BZ111" s="13">
        <f>BY111*VLOOKUP('Données projet'!$B$12,Paramètres!$A$1:$I$89,3,0)*VLOOKUP('Données projet'!$B$12,Paramètres!$A$1:$I$89,5,0)</f>
        <v>-2.4829205358400945E-14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223.81948236065614</v>
      </c>
      <c r="CE111" s="59">
        <f t="shared" si="94"/>
        <v>320.1204011431372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0.65568170129031256</v>
      </c>
      <c r="CL111" s="21">
        <f>EXP(-LN(2)/25)*CL110+(1-EXP(-LN(2)/25))/(LN(2)/25)*Calculateur!CG111*Calculateur!CI111*VLOOKUP('Données projet'!$B$12,Paramètres!$A$1:$I$89,3,0)*0.475*44/12</f>
        <v>2.035041541433837</v>
      </c>
      <c r="CM111" s="21">
        <f>EXP(-LN(2)/2)*CM110+(1-EXP(-LN(2)/2))/(LN(2)/2)*CG111*CJ111*VLOOKUP('Données projet'!$B$12,Paramètres!$A$1:$I$89,3,0)*0.475*44/12</f>
        <v>5.05133481222669E-11</v>
      </c>
      <c r="CN111" s="22">
        <f t="shared" si="66"/>
        <v>2.6907232427746628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-3.4106051316484809E-13</v>
      </c>
      <c r="O112" s="13">
        <f>N112*VLOOKUP('Données projet'!$B$9,Paramètres!$A$1:$I$89,3,0)*VLOOKUP('Données projet'!$B$9,Paramètres!$A$1:$I$89,5,0)</f>
        <v>-1.9065282685915009E-13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279.98352834501759</v>
      </c>
      <c r="T112" s="59">
        <f t="shared" si="88"/>
        <v>281.30062655265488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0.83610577863489122</v>
      </c>
      <c r="AA112" s="21">
        <f>EXP(-LN(2)/25)*AA111+(1-EXP(-LN(2)/25))/(LN(2)/25)*Calculateur!V112*Calculateur!X112*VLOOKUP('Données projet'!$B$9,Paramètres!$A$1:$I$89,3,0)*0.475*44/12</f>
        <v>2.7104656379925252</v>
      </c>
      <c r="AB112" s="21">
        <f>EXP(-LN(2)/2)*AB111+(1-EXP(-LN(2)/2))/(LN(2)/2)*V112*Y112*VLOOKUP('Données projet'!$B$9,Paramètres!$A$1:$I$89,3,0)*0.475*44/12</f>
        <v>3.642206499271191E-11</v>
      </c>
      <c r="AC112" s="22">
        <f t="shared" si="57"/>
        <v>3.5465714166638382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-1.1368683772161603E-12</v>
      </c>
      <c r="AJ112" s="13">
        <f>AI112*VLOOKUP('Données projet'!$B$10,Paramètres!$A$1:$I$89,3,0)*VLOOKUP('Données projet'!$B$10,Paramètres!$A$1:$I$89,5,0)</f>
        <v>-5.4683368944097316E-13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252.30925789500111</v>
      </c>
      <c r="AO112" s="59">
        <f t="shared" si="90"/>
        <v>213.96033794804805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0.9690414387405818</v>
      </c>
      <c r="AV112" s="21">
        <f>EXP(-LN(2)/25)*AV111+(1-EXP(-LN(2)/25))/(LN(2)/25)*Calculateur!AQ112*Calculateur!AS112*VLOOKUP('Données projet'!$B$10,Paramètres!$A$1:$I$89,3,0)*0.475*44/12</f>
        <v>1.0324568374437448</v>
      </c>
      <c r="AW112" s="21">
        <f>EXP(-LN(2)/2)*AW111+(1-EXP(-LN(2)/2))/(LN(2)/2)*AQ112*AT112*VLOOKUP('Données projet'!$B$10,Paramètres!$A$1:$I$89,3,0)*0.475*44/12</f>
        <v>1.8492673999785458E-11</v>
      </c>
      <c r="AX112" s="21">
        <f t="shared" si="60"/>
        <v>2.0014982762028195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-4.5474735088646412E-13</v>
      </c>
      <c r="BE112" s="13">
        <f>BD112*VLOOKUP('Données projet'!$B$11,Paramètres!$A$1:$I$89,3,0)*VLOOKUP('Données projet'!$B$11,Paramètres!$A$1:$I$89,5,0)</f>
        <v>-2.7193891583010558E-13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216.94426559495264</v>
      </c>
      <c r="BJ112" s="59">
        <f t="shared" si="92"/>
        <v>225.33715877618704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1.4375516277333726</v>
      </c>
      <c r="BR112" s="21">
        <f>EXP(-LN(2)/2)*BR111+(1-EXP(-LN(2)/2))/(LN(2)/2)*BL112*BO112*VLOOKUP('Données projet'!$B$11,Paramètres!$A$1:$I$89,3,0)*0.475*44/12</f>
        <v>3.0521171138376943E-11</v>
      </c>
      <c r="BS112" s="22">
        <f t="shared" si="63"/>
        <v>1.4375516277638938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-2.8421709430404007E-14</v>
      </c>
      <c r="BZ112" s="13">
        <f>BY112*VLOOKUP('Données projet'!$B$12,Paramètres!$A$1:$I$89,3,0)*VLOOKUP('Données projet'!$B$12,Paramètres!$A$1:$I$89,5,0)</f>
        <v>-2.4829205358400945E-14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223.81948236065614</v>
      </c>
      <c r="CE112" s="59">
        <f t="shared" si="94"/>
        <v>320.1204011431372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0.64282418305435785</v>
      </c>
      <c r="CL112" s="21">
        <f>EXP(-LN(2)/25)*CL111+(1-EXP(-LN(2)/25))/(LN(2)/25)*Calculateur!CG112*Calculateur!CI112*VLOOKUP('Données projet'!$B$12,Paramètres!$A$1:$I$89,3,0)*0.475*44/12</f>
        <v>1.9793932234651452</v>
      </c>
      <c r="CM112" s="21">
        <f>EXP(-LN(2)/2)*CM111+(1-EXP(-LN(2)/2))/(LN(2)/2)*CG112*CJ112*VLOOKUP('Données projet'!$B$12,Paramètres!$A$1:$I$89,3,0)*0.475*44/12</f>
        <v>3.5718330997691681E-11</v>
      </c>
      <c r="CN112" s="22">
        <f t="shared" si="66"/>
        <v>2.6222174065552215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-3.4106051316484809E-13</v>
      </c>
      <c r="O113" s="13">
        <f>N113*VLOOKUP('Données projet'!$B$9,Paramètres!$A$1:$I$89,3,0)*VLOOKUP('Données projet'!$B$9,Paramètres!$A$1:$I$89,5,0)</f>
        <v>-1.9065282685915009E-13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279.98352834501759</v>
      </c>
      <c r="T113" s="59">
        <f t="shared" si="88"/>
        <v>281.30062655265488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0.81971025429003019</v>
      </c>
      <c r="AA113" s="21">
        <f>EXP(-LN(2)/25)*AA112+(1-EXP(-LN(2)/25))/(LN(2)/25)*Calculateur!V113*Calculateur!X113*VLOOKUP('Données projet'!$B$9,Paramètres!$A$1:$I$89,3,0)*0.475*44/12</f>
        <v>2.6363478125844266</v>
      </c>
      <c r="AB113" s="21">
        <f>EXP(-LN(2)/2)*AB112+(1-EXP(-LN(2)/2))/(LN(2)/2)*V113*Y113*VLOOKUP('Données projet'!$B$9,Paramètres!$A$1:$I$89,3,0)*0.475*44/12</f>
        <v>2.5754289141163754E-11</v>
      </c>
      <c r="AC113" s="22">
        <f t="shared" si="57"/>
        <v>3.4560580669002112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-1.1368683772161603E-12</v>
      </c>
      <c r="AJ113" s="13">
        <f>AI113*VLOOKUP('Données projet'!$B$10,Paramètres!$A$1:$I$89,3,0)*VLOOKUP('Données projet'!$B$10,Paramètres!$A$1:$I$89,5,0)</f>
        <v>-5.4683368944097316E-13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252.30925789500111</v>
      </c>
      <c r="AO113" s="59">
        <f t="shared" si="90"/>
        <v>213.96033794804805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0.95003912718379457</v>
      </c>
      <c r="AV113" s="21">
        <f>EXP(-LN(2)/25)*AV112+(1-EXP(-LN(2)/25))/(LN(2)/25)*Calculateur!AQ113*Calculateur!AS113*VLOOKUP('Données projet'!$B$10,Paramètres!$A$1:$I$89,3,0)*0.475*44/12</f>
        <v>1.0042242509293002</v>
      </c>
      <c r="AW113" s="21">
        <f>EXP(-LN(2)/2)*AW112+(1-EXP(-LN(2)/2))/(LN(2)/2)*AQ113*AT113*VLOOKUP('Données projet'!$B$10,Paramètres!$A$1:$I$89,3,0)*0.475*44/12</f>
        <v>1.3076295187520453E-11</v>
      </c>
      <c r="AX113" s="21">
        <f t="shared" si="60"/>
        <v>1.9542633781261709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-4.5474735088646412E-13</v>
      </c>
      <c r="BE113" s="13">
        <f>BD113*VLOOKUP('Données projet'!$B$11,Paramètres!$A$1:$I$89,3,0)*VLOOKUP('Données projet'!$B$11,Paramètres!$A$1:$I$89,5,0)</f>
        <v>-2.7193891583010558E-13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216.94426559495264</v>
      </c>
      <c r="BJ113" s="59">
        <f t="shared" si="92"/>
        <v>225.33715877618704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1.398241702875449</v>
      </c>
      <c r="BR113" s="21">
        <f>EXP(-LN(2)/2)*BR112+(1-EXP(-LN(2)/2))/(LN(2)/2)*BL113*BO113*VLOOKUP('Données projet'!$B$11,Paramètres!$A$1:$I$89,3,0)*0.475*44/12</f>
        <v>2.1581727081701476E-11</v>
      </c>
      <c r="BS113" s="22">
        <f t="shared" si="63"/>
        <v>1.3982417028970306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-2.8421709430404007E-14</v>
      </c>
      <c r="BZ113" s="13">
        <f>BY113*VLOOKUP('Données projet'!$B$12,Paramètres!$A$1:$I$89,3,0)*VLOOKUP('Données projet'!$B$12,Paramètres!$A$1:$I$89,5,0)</f>
        <v>-2.4829205358400945E-14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223.81948236065614</v>
      </c>
      <c r="CE113" s="59">
        <f t="shared" si="94"/>
        <v>320.1204011431372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0.63021879290869842</v>
      </c>
      <c r="CL113" s="21">
        <f>EXP(-LN(2)/25)*CL112+(1-EXP(-LN(2)/25))/(LN(2)/25)*Calculateur!CG113*Calculateur!CI113*VLOOKUP('Données projet'!$B$12,Paramètres!$A$1:$I$89,3,0)*0.475*44/12</f>
        <v>1.9252666116777253</v>
      </c>
      <c r="CM113" s="21">
        <f>EXP(-LN(2)/2)*CM112+(1-EXP(-LN(2)/2))/(LN(2)/2)*CG113*CJ113*VLOOKUP('Données projet'!$B$12,Paramètres!$A$1:$I$89,3,0)*0.475*44/12</f>
        <v>2.525667406113345E-11</v>
      </c>
      <c r="CN113" s="22">
        <f t="shared" si="66"/>
        <v>2.5554854046116806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-3.4106051316484809E-13</v>
      </c>
      <c r="O114" s="13">
        <f>N114*VLOOKUP('Données projet'!$B$9,Paramètres!$A$1:$I$89,3,0)*VLOOKUP('Données projet'!$B$9,Paramètres!$A$1:$I$89,5,0)</f>
        <v>-1.9065282685915009E-13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279.98352834501759</v>
      </c>
      <c r="T114" s="59">
        <f t="shared" si="88"/>
        <v>281.30062655265488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0.80363623617728952</v>
      </c>
      <c r="AA114" s="21">
        <f>EXP(-LN(2)/25)*AA113+(1-EXP(-LN(2)/25))/(LN(2)/25)*Calculateur!V114*Calculateur!X114*VLOOKUP('Données projet'!$B$9,Paramètres!$A$1:$I$89,3,0)*0.475*44/12</f>
        <v>2.5642567430097993</v>
      </c>
      <c r="AB114" s="21">
        <f>EXP(-LN(2)/2)*AB113+(1-EXP(-LN(2)/2))/(LN(2)/2)*V114*Y114*VLOOKUP('Données projet'!$B$9,Paramètres!$A$1:$I$89,3,0)*0.475*44/12</f>
        <v>1.8211032496355955E-11</v>
      </c>
      <c r="AC114" s="22">
        <f t="shared" si="57"/>
        <v>3.3678929792053003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-1.1368683772161603E-12</v>
      </c>
      <c r="AJ114" s="13">
        <f>AI114*VLOOKUP('Données projet'!$B$10,Paramètres!$A$1:$I$89,3,0)*VLOOKUP('Données projet'!$B$10,Paramètres!$A$1:$I$89,5,0)</f>
        <v>-5.4683368944097316E-13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252.30925789500111</v>
      </c>
      <c r="AO114" s="59">
        <f t="shared" si="90"/>
        <v>213.96033794804805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0.93140943936637033</v>
      </c>
      <c r="AV114" s="21">
        <f>EXP(-LN(2)/25)*AV113+(1-EXP(-LN(2)/25))/(LN(2)/25)*Calculateur!AQ114*Calculateur!AS114*VLOOKUP('Données projet'!$B$10,Paramètres!$A$1:$I$89,3,0)*0.475*44/12</f>
        <v>0.97676368597778029</v>
      </c>
      <c r="AW114" s="21">
        <f>EXP(-LN(2)/2)*AW113+(1-EXP(-LN(2)/2))/(LN(2)/2)*AQ114*AT114*VLOOKUP('Données projet'!$B$10,Paramètres!$A$1:$I$89,3,0)*0.475*44/12</f>
        <v>9.2463369998927289E-12</v>
      </c>
      <c r="AX114" s="21">
        <f t="shared" si="60"/>
        <v>1.9081731253533971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-4.5474735088646412E-13</v>
      </c>
      <c r="BE114" s="13">
        <f>BD114*VLOOKUP('Données projet'!$B$11,Paramètres!$A$1:$I$89,3,0)*VLOOKUP('Données projet'!$B$11,Paramètres!$A$1:$I$89,5,0)</f>
        <v>-2.7193891583010558E-13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216.94426559495264</v>
      </c>
      <c r="BJ114" s="59">
        <f t="shared" si="92"/>
        <v>225.33715877618704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1.3600067099799844</v>
      </c>
      <c r="BR114" s="21">
        <f>EXP(-LN(2)/2)*BR113+(1-EXP(-LN(2)/2))/(LN(2)/2)*BL114*BO114*VLOOKUP('Données projet'!$B$11,Paramètres!$A$1:$I$89,3,0)*0.475*44/12</f>
        <v>1.5260585569188472E-11</v>
      </c>
      <c r="BS114" s="22">
        <f t="shared" si="63"/>
        <v>1.3600067099952451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-2.8421709430404007E-14</v>
      </c>
      <c r="BZ114" s="13">
        <f>BY114*VLOOKUP('Données projet'!$B$12,Paramètres!$A$1:$I$89,3,0)*VLOOKUP('Données projet'!$B$12,Paramètres!$A$1:$I$89,5,0)</f>
        <v>-2.4829205358400945E-14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223.81948236065614</v>
      </c>
      <c r="CE114" s="59">
        <f t="shared" si="94"/>
        <v>320.1204011431372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0.61786058677526656</v>
      </c>
      <c r="CL114" s="21">
        <f>EXP(-LN(2)/25)*CL113+(1-EXP(-LN(2)/25))/(LN(2)/25)*Calculateur!CG114*Calculateur!CI114*VLOOKUP('Données projet'!$B$12,Paramètres!$A$1:$I$89,3,0)*0.475*44/12</f>
        <v>1.872620094936027</v>
      </c>
      <c r="CM114" s="21">
        <f>EXP(-LN(2)/2)*CM113+(1-EXP(-LN(2)/2))/(LN(2)/2)*CG114*CJ114*VLOOKUP('Données projet'!$B$12,Paramètres!$A$1:$I$89,3,0)*0.475*44/12</f>
        <v>1.7859165498845841E-11</v>
      </c>
      <c r="CN114" s="22">
        <f t="shared" si="66"/>
        <v>2.4904806817291525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-3.4106051316484809E-13</v>
      </c>
      <c r="O115" s="13">
        <f>N115*VLOOKUP('Données projet'!$B$9,Paramètres!$A$1:$I$89,3,0)*VLOOKUP('Données projet'!$B$9,Paramètres!$A$1:$I$89,5,0)</f>
        <v>-1.9065282685915009E-13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279.98352834501759</v>
      </c>
      <c r="T115" s="59">
        <f t="shared" si="88"/>
        <v>281.30062655265488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0.7878774197555567</v>
      </c>
      <c r="AA115" s="21">
        <f>EXP(-LN(2)/25)*AA114+(1-EXP(-LN(2)/25))/(LN(2)/25)*Calculateur!V115*Calculateur!X115*VLOOKUP('Données projet'!$B$9,Paramètres!$A$1:$I$89,3,0)*0.475*44/12</f>
        <v>2.4941370075237947</v>
      </c>
      <c r="AB115" s="21">
        <f>EXP(-LN(2)/2)*AB114+(1-EXP(-LN(2)/2))/(LN(2)/2)*V115*Y115*VLOOKUP('Données projet'!$B$9,Paramètres!$A$1:$I$89,3,0)*0.475*44/12</f>
        <v>1.2877144570581877E-11</v>
      </c>
      <c r="AC115" s="22">
        <f t="shared" si="57"/>
        <v>3.2820144272922289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-1.1368683772161603E-12</v>
      </c>
      <c r="AJ115" s="13">
        <f>AI115*VLOOKUP('Données projet'!$B$10,Paramètres!$A$1:$I$89,3,0)*VLOOKUP('Données projet'!$B$10,Paramètres!$A$1:$I$89,5,0)</f>
        <v>-5.4683368944097316E-13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252.30925789500111</v>
      </c>
      <c r="AO115" s="59">
        <f t="shared" si="90"/>
        <v>213.96033794804805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0.91314506836405829</v>
      </c>
      <c r="AV115" s="21">
        <f>EXP(-LN(2)/25)*AV114+(1-EXP(-LN(2)/25))/(LN(2)/25)*Calculateur!AQ115*Calculateur!AS115*VLOOKUP('Données projet'!$B$10,Paramètres!$A$1:$I$89,3,0)*0.475*44/12</f>
        <v>0.95005403161894808</v>
      </c>
      <c r="AW115" s="21">
        <f>EXP(-LN(2)/2)*AW114+(1-EXP(-LN(2)/2))/(LN(2)/2)*AQ115*AT115*VLOOKUP('Données projet'!$B$10,Paramètres!$A$1:$I$89,3,0)*0.475*44/12</f>
        <v>6.5381475937602263E-12</v>
      </c>
      <c r="AX115" s="21">
        <f t="shared" si="60"/>
        <v>1.8631990999895445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-4.5474735088646412E-13</v>
      </c>
      <c r="BE115" s="13">
        <f>BD115*VLOOKUP('Données projet'!$B$11,Paramètres!$A$1:$I$89,3,0)*VLOOKUP('Données projet'!$B$11,Paramètres!$A$1:$I$89,5,0)</f>
        <v>-2.7193891583010558E-13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216.94426559495264</v>
      </c>
      <c r="BJ115" s="59">
        <f t="shared" si="92"/>
        <v>225.33715877618704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1.3228172549759372</v>
      </c>
      <c r="BR115" s="21">
        <f>EXP(-LN(2)/2)*BR114+(1-EXP(-LN(2)/2))/(LN(2)/2)*BL115*BO115*VLOOKUP('Données projet'!$B$11,Paramètres!$A$1:$I$89,3,0)*0.475*44/12</f>
        <v>1.0790863540850738E-11</v>
      </c>
      <c r="BS115" s="22">
        <f t="shared" si="63"/>
        <v>1.3228172549867281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-2.8421709430404007E-14</v>
      </c>
      <c r="BZ115" s="13">
        <f>BY115*VLOOKUP('Données projet'!$B$12,Paramètres!$A$1:$I$89,3,0)*VLOOKUP('Données projet'!$B$12,Paramètres!$A$1:$I$89,5,0)</f>
        <v>-2.4829205358400945E-14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223.81948236065614</v>
      </c>
      <c r="CE115" s="59">
        <f t="shared" si="94"/>
        <v>320.1204011431372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0.60574471752634995</v>
      </c>
      <c r="CL115" s="21">
        <f>EXP(-LN(2)/25)*CL114+(1-EXP(-LN(2)/25))/(LN(2)/25)*Calculateur!CG115*Calculateur!CI115*VLOOKUP('Données projet'!$B$12,Paramètres!$A$1:$I$89,3,0)*0.475*44/12</f>
        <v>1.8214131999631904</v>
      </c>
      <c r="CM115" s="21">
        <f>EXP(-LN(2)/2)*CM114+(1-EXP(-LN(2)/2))/(LN(2)/2)*CG115*CJ115*VLOOKUP('Données projet'!$B$12,Paramètres!$A$1:$I$89,3,0)*0.475*44/12</f>
        <v>1.2628337030566725E-11</v>
      </c>
      <c r="CN115" s="22">
        <f t="shared" si="66"/>
        <v>2.4271579175021687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-3.4106051316484809E-13</v>
      </c>
      <c r="O116" s="13">
        <f>N116*VLOOKUP('Données projet'!$B$9,Paramètres!$A$1:$I$89,3,0)*VLOOKUP('Données projet'!$B$9,Paramètres!$A$1:$I$89,5,0)</f>
        <v>-1.9065282685915009E-13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279.98352834501759</v>
      </c>
      <c r="T116" s="59">
        <f t="shared" si="88"/>
        <v>281.30062655265488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0.77242762411192512</v>
      </c>
      <c r="AA116" s="21">
        <f>EXP(-LN(2)/25)*AA115+(1-EXP(-LN(2)/25))/(LN(2)/25)*Calculateur!V116*Calculateur!X116*VLOOKUP('Données projet'!$B$9,Paramètres!$A$1:$I$89,3,0)*0.475*44/12</f>
        <v>2.4259346998920917</v>
      </c>
      <c r="AB116" s="21">
        <f>EXP(-LN(2)/2)*AB115+(1-EXP(-LN(2)/2))/(LN(2)/2)*V116*Y116*VLOOKUP('Données projet'!$B$9,Paramètres!$A$1:$I$89,3,0)*0.475*44/12</f>
        <v>9.1055162481779776E-12</v>
      </c>
      <c r="AC116" s="22">
        <f t="shared" si="57"/>
        <v>3.1983623240131225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-1.1368683772161603E-12</v>
      </c>
      <c r="AJ116" s="13">
        <f>AI116*VLOOKUP('Données projet'!$B$10,Paramètres!$A$1:$I$89,3,0)*VLOOKUP('Données projet'!$B$10,Paramètres!$A$1:$I$89,5,0)</f>
        <v>-5.4683368944097316E-13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252.30925789500111</v>
      </c>
      <c r="AO116" s="59">
        <f t="shared" si="90"/>
        <v>213.96033794804805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0.89523885053693519</v>
      </c>
      <c r="AV116" s="21">
        <f>EXP(-LN(2)/25)*AV115+(1-EXP(-LN(2)/25))/(LN(2)/25)*Calculateur!AQ116*Calculateur!AS116*VLOOKUP('Données projet'!$B$10,Paramètres!$A$1:$I$89,3,0)*0.475*44/12</f>
        <v>0.92407475416315776</v>
      </c>
      <c r="AW116" s="21">
        <f>EXP(-LN(2)/2)*AW115+(1-EXP(-LN(2)/2))/(LN(2)/2)*AQ116*AT116*VLOOKUP('Données projet'!$B$10,Paramètres!$A$1:$I$89,3,0)*0.475*44/12</f>
        <v>4.6231684999463644E-12</v>
      </c>
      <c r="AX116" s="21">
        <f t="shared" si="60"/>
        <v>1.819313604704716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-4.5474735088646412E-13</v>
      </c>
      <c r="BE116" s="13">
        <f>BD116*VLOOKUP('Données projet'!$B$11,Paramètres!$A$1:$I$89,3,0)*VLOOKUP('Données projet'!$B$11,Paramètres!$A$1:$I$89,5,0)</f>
        <v>-2.7193891583010558E-13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216.94426559495264</v>
      </c>
      <c r="BJ116" s="59">
        <f t="shared" si="92"/>
        <v>225.33715877618704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1.2866447475746841</v>
      </c>
      <c r="BR116" s="21">
        <f>EXP(-LN(2)/2)*BR115+(1-EXP(-LN(2)/2))/(LN(2)/2)*BL116*BO116*VLOOKUP('Données projet'!$B$11,Paramètres!$A$1:$I$89,3,0)*0.475*44/12</f>
        <v>7.6302927845942359E-12</v>
      </c>
      <c r="BS116" s="22">
        <f t="shared" si="63"/>
        <v>1.2866447475823144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-2.8421709430404007E-14</v>
      </c>
      <c r="BZ116" s="13">
        <f>BY116*VLOOKUP('Données projet'!$B$12,Paramètres!$A$1:$I$89,3,0)*VLOOKUP('Données projet'!$B$12,Paramètres!$A$1:$I$89,5,0)</f>
        <v>-2.4829205358400945E-14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223.81948236065614</v>
      </c>
      <c r="CE116" s="59">
        <f t="shared" si="94"/>
        <v>320.1204011431372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0.59386643308345399</v>
      </c>
      <c r="CL116" s="21">
        <f>EXP(-LN(2)/25)*CL115+(1-EXP(-LN(2)/25))/(LN(2)/25)*Calculateur!CG116*Calculateur!CI116*VLOOKUP('Données projet'!$B$12,Paramètres!$A$1:$I$89,3,0)*0.475*44/12</f>
        <v>1.7716065602262396</v>
      </c>
      <c r="CM116" s="21">
        <f>EXP(-LN(2)/2)*CM115+(1-EXP(-LN(2)/2))/(LN(2)/2)*CG116*CJ116*VLOOKUP('Données projet'!$B$12,Paramètres!$A$1:$I$89,3,0)*0.475*44/12</f>
        <v>8.9295827494229203E-12</v>
      </c>
      <c r="CN116" s="22">
        <f t="shared" si="66"/>
        <v>2.3654729933186234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-3.4106051316484809E-13</v>
      </c>
      <c r="O117" s="13">
        <f>N117*VLOOKUP('Données projet'!$B$9,Paramètres!$A$1:$I$89,3,0)*VLOOKUP('Données projet'!$B$9,Paramètres!$A$1:$I$89,5,0)</f>
        <v>-1.9065282685915009E-13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279.98352834501759</v>
      </c>
      <c r="T117" s="59">
        <f t="shared" si="88"/>
        <v>281.30062655265488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0.75728078953742028</v>
      </c>
      <c r="AA117" s="21">
        <f>EXP(-LN(2)/25)*AA116+(1-EXP(-LN(2)/25))/(LN(2)/25)*Calculateur!V117*Calculateur!X117*VLOOKUP('Données projet'!$B$9,Paramètres!$A$1:$I$89,3,0)*0.475*44/12</f>
        <v>2.3595973879491812</v>
      </c>
      <c r="AB117" s="21">
        <f>EXP(-LN(2)/2)*AB116+(1-EXP(-LN(2)/2))/(LN(2)/2)*V117*Y117*VLOOKUP('Données projet'!$B$9,Paramètres!$A$1:$I$89,3,0)*0.475*44/12</f>
        <v>6.4385722852909385E-12</v>
      </c>
      <c r="AC117" s="22">
        <f t="shared" si="57"/>
        <v>3.1168781774930396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-1.1368683772161603E-12</v>
      </c>
      <c r="AJ117" s="13">
        <f>AI117*VLOOKUP('Données projet'!$B$10,Paramètres!$A$1:$I$89,3,0)*VLOOKUP('Données projet'!$B$10,Paramètres!$A$1:$I$89,5,0)</f>
        <v>-5.4683368944097316E-13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252.30925789500111</v>
      </c>
      <c r="AO117" s="59">
        <f t="shared" si="90"/>
        <v>213.96033794804805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0.87768376271968762</v>
      </c>
      <c r="AV117" s="21">
        <f>EXP(-LN(2)/25)*AV116+(1-EXP(-LN(2)/25))/(LN(2)/25)*Calculateur!AQ117*Calculateur!AS117*VLOOKUP('Données projet'!$B$10,Paramètres!$A$1:$I$89,3,0)*0.475*44/12</f>
        <v>0.89880588141558693</v>
      </c>
      <c r="AW117" s="21">
        <f>EXP(-LN(2)/2)*AW116+(1-EXP(-LN(2)/2))/(LN(2)/2)*AQ117*AT117*VLOOKUP('Données projet'!$B$10,Paramètres!$A$1:$I$89,3,0)*0.475*44/12</f>
        <v>3.2690737968801131E-12</v>
      </c>
      <c r="AX117" s="21">
        <f t="shared" si="60"/>
        <v>1.7764896441385438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-4.5474735088646412E-13</v>
      </c>
      <c r="BE117" s="13">
        <f>BD117*VLOOKUP('Données projet'!$B$11,Paramètres!$A$1:$I$89,3,0)*VLOOKUP('Données projet'!$B$11,Paramètres!$A$1:$I$89,5,0)</f>
        <v>-2.7193891583010558E-13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216.94426559495264</v>
      </c>
      <c r="BJ117" s="59">
        <f t="shared" si="92"/>
        <v>225.33715877618704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1.2514613792905478</v>
      </c>
      <c r="BR117" s="21">
        <f>EXP(-LN(2)/2)*BR116+(1-EXP(-LN(2)/2))/(LN(2)/2)*BL117*BO117*VLOOKUP('Données projet'!$B$11,Paramètres!$A$1:$I$89,3,0)*0.475*44/12</f>
        <v>5.3954317704253689E-12</v>
      </c>
      <c r="BS117" s="22">
        <f t="shared" si="63"/>
        <v>1.2514613792959433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-2.8421709430404007E-14</v>
      </c>
      <c r="BZ117" s="13">
        <f>BY117*VLOOKUP('Données projet'!$B$12,Paramètres!$A$1:$I$89,3,0)*VLOOKUP('Données projet'!$B$12,Paramètres!$A$1:$I$89,5,0)</f>
        <v>-2.4829205358400945E-14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223.81948236065614</v>
      </c>
      <c r="CE117" s="59">
        <f t="shared" si="94"/>
        <v>320.1204011431372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0.58222107455344507</v>
      </c>
      <c r="CL117" s="21">
        <f>EXP(-LN(2)/25)*CL116+(1-EXP(-LN(2)/25))/(LN(2)/25)*Calculateur!CG117*Calculateur!CI117*VLOOKUP('Données projet'!$B$12,Paramètres!$A$1:$I$89,3,0)*0.475*44/12</f>
        <v>1.7231618856721131</v>
      </c>
      <c r="CM117" s="21">
        <f>EXP(-LN(2)/2)*CM116+(1-EXP(-LN(2)/2))/(LN(2)/2)*CG117*CJ117*VLOOKUP('Données projet'!$B$12,Paramètres!$A$1:$I$89,3,0)*0.475*44/12</f>
        <v>6.3141685152833625E-12</v>
      </c>
      <c r="CN117" s="22">
        <f t="shared" si="66"/>
        <v>2.3053829602318725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-3.4106051316484809E-13</v>
      </c>
      <c r="O118" s="13">
        <f>N118*VLOOKUP('Données projet'!$B$9,Paramètres!$A$1:$I$89,3,0)*VLOOKUP('Données projet'!$B$9,Paramètres!$A$1:$I$89,5,0)</f>
        <v>-1.9065282685915009E-13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279.98352834501759</v>
      </c>
      <c r="T118" s="59">
        <f t="shared" si="88"/>
        <v>281.30062655265488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0.74243097515026468</v>
      </c>
      <c r="AA118" s="21">
        <f>EXP(-LN(2)/25)*AA117+(1-EXP(-LN(2)/25))/(LN(2)/25)*Calculateur!V118*Calculateur!X118*VLOOKUP('Données projet'!$B$9,Paramètres!$A$1:$I$89,3,0)*0.475*44/12</f>
        <v>2.2950740732898769</v>
      </c>
      <c r="AB118" s="21">
        <f>EXP(-LN(2)/2)*AB117+(1-EXP(-LN(2)/2))/(LN(2)/2)*V118*Y118*VLOOKUP('Données projet'!$B$9,Paramètres!$A$1:$I$89,3,0)*0.475*44/12</f>
        <v>4.5527581240889888E-12</v>
      </c>
      <c r="AC118" s="22">
        <f t="shared" si="57"/>
        <v>3.0375050484446944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-1.1368683772161603E-12</v>
      </c>
      <c r="AJ118" s="13">
        <f>AI118*VLOOKUP('Données projet'!$B$10,Paramètres!$A$1:$I$89,3,0)*VLOOKUP('Données projet'!$B$10,Paramètres!$A$1:$I$89,5,0)</f>
        <v>-5.4683368944097316E-13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252.30925789500111</v>
      </c>
      <c r="AO118" s="59">
        <f t="shared" si="90"/>
        <v>213.96033794804805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0.86047291946698989</v>
      </c>
      <c r="AV118" s="21">
        <f>EXP(-LN(2)/25)*AV117+(1-EXP(-LN(2)/25))/(LN(2)/25)*Calculateur!AQ118*Calculateur!AS118*VLOOKUP('Données projet'!$B$10,Paramètres!$A$1:$I$89,3,0)*0.475*44/12</f>
        <v>0.8742279873221307</v>
      </c>
      <c r="AW118" s="21">
        <f>EXP(-LN(2)/2)*AW117+(1-EXP(-LN(2)/2))/(LN(2)/2)*AQ118*AT118*VLOOKUP('Données projet'!$B$10,Paramètres!$A$1:$I$89,3,0)*0.475*44/12</f>
        <v>2.3115842499731822E-12</v>
      </c>
      <c r="AX118" s="21">
        <f t="shared" si="60"/>
        <v>1.7347009067914321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-4.5474735088646412E-13</v>
      </c>
      <c r="BE118" s="13">
        <f>BD118*VLOOKUP('Données projet'!$B$11,Paramètres!$A$1:$I$89,3,0)*VLOOKUP('Données projet'!$B$11,Paramètres!$A$1:$I$89,5,0)</f>
        <v>-2.7193891583010558E-13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216.94426559495264</v>
      </c>
      <c r="BJ118" s="59">
        <f t="shared" si="92"/>
        <v>225.33715877618704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1.217240102062354</v>
      </c>
      <c r="BR118" s="21">
        <f>EXP(-LN(2)/2)*BR117+(1-EXP(-LN(2)/2))/(LN(2)/2)*BL118*BO118*VLOOKUP('Données projet'!$B$11,Paramètres!$A$1:$I$89,3,0)*0.475*44/12</f>
        <v>3.8151463922971179E-12</v>
      </c>
      <c r="BS118" s="22">
        <f t="shared" si="63"/>
        <v>1.2172401020661692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-2.8421709430404007E-14</v>
      </c>
      <c r="BZ118" s="13">
        <f>BY118*VLOOKUP('Données projet'!$B$12,Paramètres!$A$1:$I$89,3,0)*VLOOKUP('Données projet'!$B$12,Paramètres!$A$1:$I$89,5,0)</f>
        <v>-2.4829205358400945E-14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223.81948236065614</v>
      </c>
      <c r="CE118" s="59">
        <f t="shared" si="94"/>
        <v>320.1204011431372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0.57080407440124237</v>
      </c>
      <c r="CL118" s="21">
        <f>EXP(-LN(2)/25)*CL117+(1-EXP(-LN(2)/25))/(LN(2)/25)*Calculateur!CG118*Calculateur!CI118*VLOOKUP('Données projet'!$B$12,Paramètres!$A$1:$I$89,3,0)*0.475*44/12</f>
        <v>1.6760419332912639</v>
      </c>
      <c r="CM118" s="21">
        <f>EXP(-LN(2)/2)*CM117+(1-EXP(-LN(2)/2))/(LN(2)/2)*CG118*CJ118*VLOOKUP('Données projet'!$B$12,Paramètres!$A$1:$I$89,3,0)*0.475*44/12</f>
        <v>4.4647913747114602E-12</v>
      </c>
      <c r="CN118" s="22">
        <f t="shared" si="66"/>
        <v>2.2468460076969712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-3.4106051316484809E-13</v>
      </c>
      <c r="O119" s="13">
        <f>N119*VLOOKUP('Données projet'!$B$9,Paramètres!$A$1:$I$89,3,0)*VLOOKUP('Données projet'!$B$9,Paramètres!$A$1:$I$89,5,0)</f>
        <v>-1.9065282685915009E-13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279.98352834501759</v>
      </c>
      <c r="T119" s="59">
        <f t="shared" si="88"/>
        <v>281.30062655265488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0.72787235656574878</v>
      </c>
      <c r="AA119" s="21">
        <f>EXP(-LN(2)/25)*AA118+(1-EXP(-LN(2)/25))/(LN(2)/25)*Calculateur!V119*Calculateur!X119*VLOOKUP('Données projet'!$B$9,Paramètres!$A$1:$I$89,3,0)*0.475*44/12</f>
        <v>2.2323151520630651</v>
      </c>
      <c r="AB119" s="21">
        <f>EXP(-LN(2)/2)*AB118+(1-EXP(-LN(2)/2))/(LN(2)/2)*V119*Y119*VLOOKUP('Données projet'!$B$9,Paramètres!$A$1:$I$89,3,0)*0.475*44/12</f>
        <v>3.2192861426454692E-12</v>
      </c>
      <c r="AC119" s="22">
        <f t="shared" si="57"/>
        <v>2.9601875086320333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-1.1368683772161603E-12</v>
      </c>
      <c r="AJ119" s="13">
        <f>AI119*VLOOKUP('Données projet'!$B$10,Paramètres!$A$1:$I$89,3,0)*VLOOKUP('Données projet'!$B$10,Paramètres!$A$1:$I$89,5,0)</f>
        <v>-5.4683368944097316E-13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252.30925789500111</v>
      </c>
      <c r="AO119" s="59">
        <f t="shared" si="90"/>
        <v>213.96033794804805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0.84359957035289979</v>
      </c>
      <c r="AV119" s="21">
        <f>EXP(-LN(2)/25)*AV118+(1-EXP(-LN(2)/25))/(LN(2)/25)*Calculateur!AQ119*Calculateur!AS119*VLOOKUP('Données projet'!$B$10,Paramètres!$A$1:$I$89,3,0)*0.475*44/12</f>
        <v>0.85032217703515522</v>
      </c>
      <c r="AW119" s="21">
        <f>EXP(-LN(2)/2)*AW118+(1-EXP(-LN(2)/2))/(LN(2)/2)*AQ119*AT119*VLOOKUP('Données projet'!$B$10,Paramètres!$A$1:$I$89,3,0)*0.475*44/12</f>
        <v>1.6345368984400566E-12</v>
      </c>
      <c r="AX119" s="21">
        <f t="shared" si="60"/>
        <v>1.6939217473896895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-4.5474735088646412E-13</v>
      </c>
      <c r="BE119" s="13">
        <f>BD119*VLOOKUP('Données projet'!$B$11,Paramètres!$A$1:$I$89,3,0)*VLOOKUP('Données projet'!$B$11,Paramètres!$A$1:$I$89,5,0)</f>
        <v>-2.7193891583010558E-13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216.94426559495264</v>
      </c>
      <c r="BJ119" s="59">
        <f t="shared" si="92"/>
        <v>225.33715877618704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1.1839546074595839</v>
      </c>
      <c r="BR119" s="21">
        <f>EXP(-LN(2)/2)*BR118+(1-EXP(-LN(2)/2))/(LN(2)/2)*BL119*BO119*VLOOKUP('Données projet'!$B$11,Paramètres!$A$1:$I$89,3,0)*0.475*44/12</f>
        <v>2.6977158852126844E-12</v>
      </c>
      <c r="BS119" s="22">
        <f t="shared" si="63"/>
        <v>1.1839546074622815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-2.8421709430404007E-14</v>
      </c>
      <c r="BZ119" s="13">
        <f>BY119*VLOOKUP('Données projet'!$B$12,Paramètres!$A$1:$I$89,3,0)*VLOOKUP('Données projet'!$B$12,Paramètres!$A$1:$I$89,5,0)</f>
        <v>-2.4829205358400945E-14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223.81948236065614</v>
      </c>
      <c r="CE119" s="59">
        <f t="shared" si="94"/>
        <v>320.1204011431372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0.55961095465834187</v>
      </c>
      <c r="CL119" s="21">
        <f>EXP(-LN(2)/25)*CL118+(1-EXP(-LN(2)/25))/(LN(2)/25)*Calculateur!CG119*Calculateur!CI119*VLOOKUP('Données projet'!$B$12,Paramètres!$A$1:$I$89,3,0)*0.475*44/12</f>
        <v>1.6302104784861997</v>
      </c>
      <c r="CM119" s="21">
        <f>EXP(-LN(2)/2)*CM118+(1-EXP(-LN(2)/2))/(LN(2)/2)*CG119*CJ119*VLOOKUP('Données projet'!$B$12,Paramètres!$A$1:$I$89,3,0)*0.475*44/12</f>
        <v>3.1570842576416812E-12</v>
      </c>
      <c r="CN119" s="22">
        <f t="shared" si="66"/>
        <v>2.1898214331476988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-3.4106051316484809E-13</v>
      </c>
      <c r="O120" s="13">
        <f>N120*VLOOKUP('Données projet'!$B$9,Paramètres!$A$1:$I$89,3,0)*VLOOKUP('Données projet'!$B$9,Paramètres!$A$1:$I$89,5,0)</f>
        <v>-1.9065282685915009E-13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279.98352834501759</v>
      </c>
      <c r="T120" s="59">
        <f t="shared" si="88"/>
        <v>281.30062655265488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0.71359922361179473</v>
      </c>
      <c r="AA120" s="21">
        <f>EXP(-LN(2)/25)*AA119+(1-EXP(-LN(2)/25))/(LN(2)/25)*Calculateur!V120*Calculateur!X120*VLOOKUP('Données projet'!$B$9,Paramètres!$A$1:$I$89,3,0)*0.475*44/12</f>
        <v>2.1712723768375488</v>
      </c>
      <c r="AB120" s="21">
        <f>EXP(-LN(2)/2)*AB119+(1-EXP(-LN(2)/2))/(LN(2)/2)*V120*Y120*VLOOKUP('Données projet'!$B$9,Paramètres!$A$1:$I$89,3,0)*0.475*44/12</f>
        <v>2.2763790620444944E-12</v>
      </c>
      <c r="AC120" s="22">
        <f t="shared" si="57"/>
        <v>2.8848716004516199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-1.1368683772161603E-12</v>
      </c>
      <c r="AJ120" s="13">
        <f>AI120*VLOOKUP('Données projet'!$B$10,Paramètres!$A$1:$I$89,3,0)*VLOOKUP('Données projet'!$B$10,Paramètres!$A$1:$I$89,5,0)</f>
        <v>-5.4683368944097316E-13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252.30925789500111</v>
      </c>
      <c r="AO120" s="59">
        <f t="shared" si="90"/>
        <v>213.96033794804805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0.8270570973232102</v>
      </c>
      <c r="AV120" s="21">
        <f>EXP(-LN(2)/25)*AV119+(1-EXP(-LN(2)/25))/(LN(2)/25)*Calculateur!AQ120*Calculateur!AS120*VLOOKUP('Données projet'!$B$10,Paramètres!$A$1:$I$89,3,0)*0.475*44/12</f>
        <v>0.82707007238762908</v>
      </c>
      <c r="AW120" s="21">
        <f>EXP(-LN(2)/2)*AW119+(1-EXP(-LN(2)/2))/(LN(2)/2)*AQ120*AT120*VLOOKUP('Données projet'!$B$10,Paramètres!$A$1:$I$89,3,0)*0.475*44/12</f>
        <v>1.1557921249865911E-12</v>
      </c>
      <c r="AX120" s="21">
        <f t="shared" si="60"/>
        <v>1.654127169711995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-4.5474735088646412E-13</v>
      </c>
      <c r="BE120" s="13">
        <f>BD120*VLOOKUP('Données projet'!$B$11,Paramètres!$A$1:$I$89,3,0)*VLOOKUP('Données projet'!$B$11,Paramètres!$A$1:$I$89,5,0)</f>
        <v>-2.7193891583010558E-13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216.94426559495264</v>
      </c>
      <c r="BJ120" s="59">
        <f t="shared" si="92"/>
        <v>225.33715877618704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1.1515793064571347</v>
      </c>
      <c r="BR120" s="21">
        <f>EXP(-LN(2)/2)*BR119+(1-EXP(-LN(2)/2))/(LN(2)/2)*BL120*BO120*VLOOKUP('Données projet'!$B$11,Paramètres!$A$1:$I$89,3,0)*0.475*44/12</f>
        <v>1.907573196148559E-12</v>
      </c>
      <c r="BS120" s="22">
        <f t="shared" si="63"/>
        <v>1.1515793064590423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-2.8421709430404007E-14</v>
      </c>
      <c r="BZ120" s="13">
        <f>BY120*VLOOKUP('Données projet'!$B$12,Paramètres!$A$1:$I$89,3,0)*VLOOKUP('Données projet'!$B$12,Paramètres!$A$1:$I$89,5,0)</f>
        <v>-2.4829205358400945E-14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223.81948236065614</v>
      </c>
      <c r="CE120" s="59">
        <f t="shared" si="94"/>
        <v>320.1204011431372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0.54863732516647068</v>
      </c>
      <c r="CL120" s="21">
        <f>EXP(-LN(2)/25)*CL119+(1-EXP(-LN(2)/25))/(LN(2)/25)*Calculateur!CG120*Calculateur!CI120*VLOOKUP('Données projet'!$B$12,Paramètres!$A$1:$I$89,3,0)*0.475*44/12</f>
        <v>1.5856322872229514</v>
      </c>
      <c r="CM120" s="21">
        <f>EXP(-LN(2)/2)*CM119+(1-EXP(-LN(2)/2))/(LN(2)/2)*CG120*CJ120*VLOOKUP('Données projet'!$B$12,Paramètres!$A$1:$I$89,3,0)*0.475*44/12</f>
        <v>2.2323956873557301E-12</v>
      </c>
      <c r="CN120" s="22">
        <f t="shared" si="66"/>
        <v>2.1342696123916545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-3.4106051316484809E-13</v>
      </c>
      <c r="O121" s="13">
        <f>N121*VLOOKUP('Données projet'!$B$9,Paramètres!$A$1:$I$89,3,0)*VLOOKUP('Données projet'!$B$9,Paramètres!$A$1:$I$89,5,0)</f>
        <v>-1.9065282685915009E-13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279.98352834501759</v>
      </c>
      <c r="T121" s="59">
        <f t="shared" si="88"/>
        <v>281.30062655265488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0.69960597808931624</v>
      </c>
      <c r="AA121" s="21">
        <f>EXP(-LN(2)/25)*AA120+(1-EXP(-LN(2)/25))/(LN(2)/25)*Calculateur!V121*Calculateur!X121*VLOOKUP('Données projet'!$B$9,Paramètres!$A$1:$I$89,3,0)*0.475*44/12</f>
        <v>2.111898819510674</v>
      </c>
      <c r="AB121" s="21">
        <f>EXP(-LN(2)/2)*AB120+(1-EXP(-LN(2)/2))/(LN(2)/2)*V121*Y121*VLOOKUP('Données projet'!$B$9,Paramètres!$A$1:$I$89,3,0)*0.475*44/12</f>
        <v>1.6096430713227346E-12</v>
      </c>
      <c r="AC121" s="22">
        <f t="shared" si="57"/>
        <v>2.8115047976016001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-1.1368683772161603E-12</v>
      </c>
      <c r="AJ121" s="13">
        <f>AI121*VLOOKUP('Données projet'!$B$10,Paramètres!$A$1:$I$89,3,0)*VLOOKUP('Données projet'!$B$10,Paramètres!$A$1:$I$89,5,0)</f>
        <v>-5.4683368944097316E-13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252.30925789500111</v>
      </c>
      <c r="AO121" s="59">
        <f t="shared" si="90"/>
        <v>213.96033794804805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0.81083901209972065</v>
      </c>
      <c r="AV121" s="21">
        <f>EXP(-LN(2)/25)*AV120+(1-EXP(-LN(2)/25))/(LN(2)/25)*Calculateur!AQ121*Calculateur!AS121*VLOOKUP('Données projet'!$B$10,Paramètres!$A$1:$I$89,3,0)*0.475*44/12</f>
        <v>0.80445379776446457</v>
      </c>
      <c r="AW121" s="21">
        <f>EXP(-LN(2)/2)*AW120+(1-EXP(-LN(2)/2))/(LN(2)/2)*AQ121*AT121*VLOOKUP('Données projet'!$B$10,Paramètres!$A$1:$I$89,3,0)*0.475*44/12</f>
        <v>8.1726844922002828E-13</v>
      </c>
      <c r="AX121" s="21">
        <f t="shared" si="60"/>
        <v>1.6152928098650026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-4.5474735088646412E-13</v>
      </c>
      <c r="BE121" s="13">
        <f>BD121*VLOOKUP('Données projet'!$B$11,Paramètres!$A$1:$I$89,3,0)*VLOOKUP('Données projet'!$B$11,Paramètres!$A$1:$I$89,5,0)</f>
        <v>-2.7193891583010558E-13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216.94426559495264</v>
      </c>
      <c r="BJ121" s="59">
        <f t="shared" si="92"/>
        <v>225.33715877618704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1.1200893097631406</v>
      </c>
      <c r="BR121" s="21">
        <f>EXP(-LN(2)/2)*BR120+(1-EXP(-LN(2)/2))/(LN(2)/2)*BL121*BO121*VLOOKUP('Données projet'!$B$11,Paramètres!$A$1:$I$89,3,0)*0.475*44/12</f>
        <v>1.3488579426063422E-12</v>
      </c>
      <c r="BS121" s="22">
        <f t="shared" si="63"/>
        <v>1.1200893097644895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-2.8421709430404007E-14</v>
      </c>
      <c r="BZ121" s="13">
        <f>BY121*VLOOKUP('Données projet'!$B$12,Paramètres!$A$1:$I$89,3,0)*VLOOKUP('Données projet'!$B$12,Paramètres!$A$1:$I$89,5,0)</f>
        <v>-2.4829205358400945E-14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223.81948236065614</v>
      </c>
      <c r="CE121" s="59">
        <f t="shared" si="94"/>
        <v>320.1204011431372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0.537878881855682</v>
      </c>
      <c r="CL121" s="21">
        <f>EXP(-LN(2)/25)*CL120+(1-EXP(-LN(2)/25))/(LN(2)/25)*Calculateur!CG121*Calculateur!CI121*VLOOKUP('Données projet'!$B$12,Paramètres!$A$1:$I$89,3,0)*0.475*44/12</f>
        <v>1.5422730889440617</v>
      </c>
      <c r="CM121" s="21">
        <f>EXP(-LN(2)/2)*CM120+(1-EXP(-LN(2)/2))/(LN(2)/2)*CG121*CJ121*VLOOKUP('Données projet'!$B$12,Paramètres!$A$1:$I$89,3,0)*0.475*44/12</f>
        <v>1.5785421288208406E-12</v>
      </c>
      <c r="CN121" s="22">
        <f t="shared" si="66"/>
        <v>2.0801519708013223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-3.4106051316484809E-13</v>
      </c>
      <c r="O122" s="13">
        <f>N122*VLOOKUP('Données projet'!$B$9,Paramètres!$A$1:$I$89,3,0)*VLOOKUP('Données projet'!$B$9,Paramètres!$A$1:$I$89,5,0)</f>
        <v>-1.9065282685915009E-13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279.98352834501759</v>
      </c>
      <c r="T122" s="59">
        <f t="shared" si="88"/>
        <v>281.30062655265488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0.6858871315764965</v>
      </c>
      <c r="AA122" s="21">
        <f>EXP(-LN(2)/25)*AA121+(1-EXP(-LN(2)/25))/(LN(2)/25)*Calculateur!V122*Calculateur!X122*VLOOKUP('Données projet'!$B$9,Paramètres!$A$1:$I$89,3,0)*0.475*44/12</f>
        <v>2.0541488352312225</v>
      </c>
      <c r="AB122" s="21">
        <f>EXP(-LN(2)/2)*AB121+(1-EXP(-LN(2)/2))/(LN(2)/2)*V122*Y122*VLOOKUP('Données projet'!$B$9,Paramètres!$A$1:$I$89,3,0)*0.475*44/12</f>
        <v>1.1381895310222472E-12</v>
      </c>
      <c r="AC122" s="22">
        <f t="shared" si="57"/>
        <v>2.7400359668088572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-1.1368683772161603E-12</v>
      </c>
      <c r="AJ122" s="13">
        <f>AI122*VLOOKUP('Données projet'!$B$10,Paramètres!$A$1:$I$89,3,0)*VLOOKUP('Données projet'!$B$10,Paramètres!$A$1:$I$89,5,0)</f>
        <v>-5.4683368944097316E-13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252.30925789500111</v>
      </c>
      <c r="AO122" s="59">
        <f t="shared" si="90"/>
        <v>213.96033794804805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0.79493895363540845</v>
      </c>
      <c r="AV122" s="21">
        <f>EXP(-LN(2)/25)*AV121+(1-EXP(-LN(2)/25))/(LN(2)/25)*Calculateur!AQ122*Calculateur!AS122*VLOOKUP('Données projet'!$B$10,Paramètres!$A$1:$I$89,3,0)*0.475*44/12</f>
        <v>0.78245596636020864</v>
      </c>
      <c r="AW122" s="21">
        <f>EXP(-LN(2)/2)*AW121+(1-EXP(-LN(2)/2))/(LN(2)/2)*AQ122*AT122*VLOOKUP('Données projet'!$B$10,Paramètres!$A$1:$I$89,3,0)*0.475*44/12</f>
        <v>5.7789606249329556E-13</v>
      </c>
      <c r="AX122" s="21">
        <f t="shared" si="60"/>
        <v>1.577394919996195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-4.5474735088646412E-13</v>
      </c>
      <c r="BE122" s="13">
        <f>BD122*VLOOKUP('Données projet'!$B$11,Paramètres!$A$1:$I$89,3,0)*VLOOKUP('Données projet'!$B$11,Paramètres!$A$1:$I$89,5,0)</f>
        <v>-2.7193891583010558E-13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216.94426559495264</v>
      </c>
      <c r="BJ122" s="59">
        <f t="shared" si="92"/>
        <v>225.33715877618704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1.0894604086847306</v>
      </c>
      <c r="BR122" s="21">
        <f>EXP(-LN(2)/2)*BR121+(1-EXP(-LN(2)/2))/(LN(2)/2)*BL122*BO122*VLOOKUP('Données projet'!$B$11,Paramètres!$A$1:$I$89,3,0)*0.475*44/12</f>
        <v>9.5378659807427948E-13</v>
      </c>
      <c r="BS122" s="22">
        <f t="shared" si="63"/>
        <v>1.0894604086856843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-2.8421709430404007E-14</v>
      </c>
      <c r="BZ122" s="13">
        <f>BY122*VLOOKUP('Données projet'!$B$12,Paramètres!$A$1:$I$89,3,0)*VLOOKUP('Données projet'!$B$12,Paramètres!$A$1:$I$89,5,0)</f>
        <v>-2.4829205358400945E-14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223.81948236065614</v>
      </c>
      <c r="CE122" s="59">
        <f t="shared" si="94"/>
        <v>320.1204011431372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0.52733140505621545</v>
      </c>
      <c r="CL122" s="21">
        <f>EXP(-LN(2)/25)*CL121+(1-EXP(-LN(2)/25))/(LN(2)/25)*Calculateur!CG122*Calculateur!CI122*VLOOKUP('Données projet'!$B$12,Paramètres!$A$1:$I$89,3,0)*0.475*44/12</f>
        <v>1.5000995502222694</v>
      </c>
      <c r="CM122" s="21">
        <f>EXP(-LN(2)/2)*CM121+(1-EXP(-LN(2)/2))/(LN(2)/2)*CG122*CJ122*VLOOKUP('Données projet'!$B$12,Paramètres!$A$1:$I$89,3,0)*0.475*44/12</f>
        <v>1.116197843677865E-12</v>
      </c>
      <c r="CN122" s="22">
        <f t="shared" si="66"/>
        <v>2.0274309552796006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-3.4106051316484809E-13</v>
      </c>
      <c r="O123" s="13">
        <f>N123*VLOOKUP('Données projet'!$B$9,Paramètres!$A$1:$I$89,3,0)*VLOOKUP('Données projet'!$B$9,Paramètres!$A$1:$I$89,5,0)</f>
        <v>-1.9065282685915009E-13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279.98352834501759</v>
      </c>
      <c r="T123" s="59">
        <f t="shared" si="88"/>
        <v>281.30062655265488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0.67243730327612306</v>
      </c>
      <c r="AA123" s="21">
        <f>EXP(-LN(2)/25)*AA122+(1-EXP(-LN(2)/25))/(LN(2)/25)*Calculateur!V123*Calculateur!X123*VLOOKUP('Données projet'!$B$9,Paramètres!$A$1:$I$89,3,0)*0.475*44/12</f>
        <v>1.9979780273088323</v>
      </c>
      <c r="AB123" s="21">
        <f>EXP(-LN(2)/2)*AB122+(1-EXP(-LN(2)/2))/(LN(2)/2)*V123*Y123*VLOOKUP('Données projet'!$B$9,Paramètres!$A$1:$I$89,3,0)*0.475*44/12</f>
        <v>8.0482153566136731E-13</v>
      </c>
      <c r="AC123" s="22">
        <f t="shared" si="57"/>
        <v>2.6704153305857599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-1.1368683772161603E-12</v>
      </c>
      <c r="AJ123" s="13">
        <f>AI123*VLOOKUP('Données projet'!$B$10,Paramètres!$A$1:$I$89,3,0)*VLOOKUP('Données projet'!$B$10,Paramètres!$A$1:$I$89,5,0)</f>
        <v>-5.4683368944097316E-13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252.30925789500111</v>
      </c>
      <c r="AO123" s="59">
        <f t="shared" si="90"/>
        <v>213.96033794804805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0.77935068561950338</v>
      </c>
      <c r="AV123" s="21">
        <f>EXP(-LN(2)/25)*AV122+(1-EXP(-LN(2)/25))/(LN(2)/25)*Calculateur!AQ123*Calculateur!AS123*VLOOKUP('Données projet'!$B$10,Paramètres!$A$1:$I$89,3,0)*0.475*44/12</f>
        <v>0.7610596668125178</v>
      </c>
      <c r="AW123" s="21">
        <f>EXP(-LN(2)/2)*AW122+(1-EXP(-LN(2)/2))/(LN(2)/2)*AQ123*AT123*VLOOKUP('Données projet'!$B$10,Paramètres!$A$1:$I$89,3,0)*0.475*44/12</f>
        <v>4.0863422461001414E-13</v>
      </c>
      <c r="AX123" s="21">
        <f t="shared" si="60"/>
        <v>1.5404103524324297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-4.5474735088646412E-13</v>
      </c>
      <c r="BE123" s="13">
        <f>BD123*VLOOKUP('Données projet'!$B$11,Paramètres!$A$1:$I$89,3,0)*VLOOKUP('Données projet'!$B$11,Paramètres!$A$1:$I$89,5,0)</f>
        <v>-2.7193891583010558E-13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216.94426559495264</v>
      </c>
      <c r="BJ123" s="59">
        <f t="shared" si="92"/>
        <v>225.33715877618704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1.0596690565170137</v>
      </c>
      <c r="BR123" s="21">
        <f>EXP(-LN(2)/2)*BR122+(1-EXP(-LN(2)/2))/(LN(2)/2)*BL123*BO123*VLOOKUP('Données projet'!$B$11,Paramètres!$A$1:$I$89,3,0)*0.475*44/12</f>
        <v>6.7442897130317111E-13</v>
      </c>
      <c r="BS123" s="22">
        <f t="shared" si="63"/>
        <v>1.0596690565176881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-2.8421709430404007E-14</v>
      </c>
      <c r="BZ123" s="13">
        <f>BY123*VLOOKUP('Données projet'!$B$12,Paramètres!$A$1:$I$89,3,0)*VLOOKUP('Données projet'!$B$12,Paramètres!$A$1:$I$89,5,0)</f>
        <v>-2.4829205358400945E-14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223.81948236065614</v>
      </c>
      <c r="CE123" s="59">
        <f t="shared" si="94"/>
        <v>320.1204011431372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0.51699075784346082</v>
      </c>
      <c r="CL123" s="21">
        <f>EXP(-LN(2)/25)*CL122+(1-EXP(-LN(2)/25))/(LN(2)/25)*Calculateur!CG123*Calculateur!CI123*VLOOKUP('Données projet'!$B$12,Paramètres!$A$1:$I$89,3,0)*0.475*44/12</f>
        <v>1.4590792491346345</v>
      </c>
      <c r="CM123" s="21">
        <f>EXP(-LN(2)/2)*CM122+(1-EXP(-LN(2)/2))/(LN(2)/2)*CG123*CJ123*VLOOKUP('Données projet'!$B$12,Paramètres!$A$1:$I$89,3,0)*0.475*44/12</f>
        <v>7.8927106441042031E-13</v>
      </c>
      <c r="CN123" s="22">
        <f t="shared" si="66"/>
        <v>1.9760700069788848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-1.9065282685915009E-13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279.98352834501759</v>
      </c>
      <c r="T124" s="59">
        <f t="shared" si="88"/>
        <v>281.30062655265488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0.65925121790513475</v>
      </c>
      <c r="AA124" s="21">
        <f>EXP(-LN(2)/25)*AA123+(1-EXP(-LN(2)/25))/(LN(2)/25)*Calculateur!V124*Calculateur!X124*VLOOKUP('Données projet'!$B$9,Paramètres!$A$1:$I$89,3,0)*0.475*44/12</f>
        <v>1.9433432130829742</v>
      </c>
      <c r="AB124" s="21">
        <f>EXP(-LN(2)/2)*AB123+(1-EXP(-LN(2)/2))/(LN(2)/2)*V124*Y124*VLOOKUP('Données projet'!$B$9,Paramètres!$A$1:$I$89,3,0)*0.475*44/12</f>
        <v>5.690947655111236E-13</v>
      </c>
      <c r="AC124" s="22">
        <f t="shared" si="57"/>
        <v>2.6025944309886779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-1.1368683772161603E-12</v>
      </c>
      <c r="AJ124" s="13">
        <f>AI124*VLOOKUP('Données projet'!$B$10,Paramètres!$A$1:$I$89,3,0)*VLOOKUP('Données projet'!$B$10,Paramètres!$A$1:$I$89,5,0)</f>
        <v>-5.4683368944097316E-13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252.30925789500111</v>
      </c>
      <c r="AO124" s="59">
        <f t="shared" si="90"/>
        <v>213.96033794804805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0.76406809403148557</v>
      </c>
      <c r="AV124" s="21">
        <f>EXP(-LN(2)/25)*AV123+(1-EXP(-LN(2)/25))/(LN(2)/25)*Calculateur!AQ124*Calculateur!AS124*VLOOKUP('Données projet'!$B$10,Paramètres!$A$1:$I$89,3,0)*0.475*44/12</f>
        <v>0.74024845020114105</v>
      </c>
      <c r="AW124" s="21">
        <f>EXP(-LN(2)/2)*AW123+(1-EXP(-LN(2)/2))/(LN(2)/2)*AQ124*AT124*VLOOKUP('Données projet'!$B$10,Paramètres!$A$1:$I$89,3,0)*0.475*44/12</f>
        <v>2.8894803124664778E-13</v>
      </c>
      <c r="AX124" s="21">
        <f t="shared" si="60"/>
        <v>1.5043165442329156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-4.5474735088646412E-13</v>
      </c>
      <c r="BE124" s="13">
        <f>BD124*VLOOKUP('Données projet'!$B$11,Paramètres!$A$1:$I$89,3,0)*VLOOKUP('Données projet'!$B$11,Paramètres!$A$1:$I$89,5,0)</f>
        <v>-2.7193891583010558E-13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216.94426559495264</v>
      </c>
      <c r="BJ124" s="59">
        <f t="shared" si="92"/>
        <v>225.33715877618704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1.0306923504409822</v>
      </c>
      <c r="BR124" s="21">
        <f>EXP(-LN(2)/2)*BR123+(1-EXP(-LN(2)/2))/(LN(2)/2)*BL124*BO124*VLOOKUP('Données projet'!$B$11,Paramètres!$A$1:$I$89,3,0)*0.475*44/12</f>
        <v>4.7689329903713974E-13</v>
      </c>
      <c r="BS124" s="22">
        <f t="shared" si="63"/>
        <v>1.0306923504414591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-2.8421709430404007E-14</v>
      </c>
      <c r="BZ124" s="13">
        <f>BY124*VLOOKUP('Données projet'!$B$12,Paramètres!$A$1:$I$89,3,0)*VLOOKUP('Données projet'!$B$12,Paramètres!$A$1:$I$89,5,0)</f>
        <v>-2.4829205358400945E-14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223.81948236065614</v>
      </c>
      <c r="CE124" s="59">
        <f t="shared" si="94"/>
        <v>320.1204011431372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0.50685288441537624</v>
      </c>
      <c r="CL124" s="21">
        <f>EXP(-LN(2)/25)*CL123+(1-EXP(-LN(2)/25))/(LN(2)/25)*Calculateur!CG124*Calculateur!CI124*VLOOKUP('Données projet'!$B$12,Paramètres!$A$1:$I$89,3,0)*0.475*44/12</f>
        <v>1.4191806503374049</v>
      </c>
      <c r="CM124" s="21">
        <f>EXP(-LN(2)/2)*CM123+(1-EXP(-LN(2)/2))/(LN(2)/2)*CG124*CJ124*VLOOKUP('Données projet'!$B$12,Paramètres!$A$1:$I$89,3,0)*0.475*44/12</f>
        <v>5.5809892183893252E-13</v>
      </c>
      <c r="CN124" s="22">
        <f t="shared" si="66"/>
        <v>1.926033534753339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-1.9065282685915009E-13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279.98352834501759</v>
      </c>
      <c r="T125" s="59">
        <f t="shared" si="88"/>
        <v>281.30062655265488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0.64632370362555358</v>
      </c>
      <c r="AA125" s="21">
        <f>EXP(-LN(2)/25)*AA124+(1-EXP(-LN(2)/25))/(LN(2)/25)*Calculateur!V125*Calculateur!X125*VLOOKUP('Données projet'!$B$9,Paramètres!$A$1:$I$89,3,0)*0.475*44/12</f>
        <v>1.8902023907252423</v>
      </c>
      <c r="AB125" s="21">
        <f>EXP(-LN(2)/2)*AB124+(1-EXP(-LN(2)/2))/(LN(2)/2)*V125*Y125*VLOOKUP('Données projet'!$B$9,Paramètres!$A$1:$I$89,3,0)*0.475*44/12</f>
        <v>4.0241076783068365E-13</v>
      </c>
      <c r="AC125" s="22">
        <f t="shared" si="57"/>
        <v>2.5365260943511982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-1.1368683772161603E-12</v>
      </c>
      <c r="AJ125" s="13">
        <f>AI125*VLOOKUP('Données projet'!$B$10,Paramètres!$A$1:$I$89,3,0)*VLOOKUP('Données projet'!$B$10,Paramètres!$A$1:$I$89,5,0)</f>
        <v>-5.4683368944097316E-13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252.30925789500111</v>
      </c>
      <c r="AO125" s="59">
        <f t="shared" si="90"/>
        <v>213.96033794804805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0.7490851847430483</v>
      </c>
      <c r="AV125" s="21">
        <f>EXP(-LN(2)/25)*AV124+(1-EXP(-LN(2)/25))/(LN(2)/25)*Calculateur!AQ125*Calculateur!AS125*VLOOKUP('Données projet'!$B$10,Paramètres!$A$1:$I$89,3,0)*0.475*44/12</f>
        <v>0.72000631740241672</v>
      </c>
      <c r="AW125" s="21">
        <f>EXP(-LN(2)/2)*AW124+(1-EXP(-LN(2)/2))/(LN(2)/2)*AQ125*AT125*VLOOKUP('Données projet'!$B$10,Paramètres!$A$1:$I$89,3,0)*0.475*44/12</f>
        <v>2.0431711230500707E-13</v>
      </c>
      <c r="AX125" s="21">
        <f t="shared" si="60"/>
        <v>1.4690915021456692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-4.5474735088646412E-13</v>
      </c>
      <c r="BE125" s="13">
        <f>BD125*VLOOKUP('Données projet'!$B$11,Paramètres!$A$1:$I$89,3,0)*VLOOKUP('Données projet'!$B$11,Paramètres!$A$1:$I$89,5,0)</f>
        <v>-2.7193891583010558E-13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216.94426559495264</v>
      </c>
      <c r="BJ125" s="59">
        <f t="shared" si="92"/>
        <v>225.33715877618704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1.0025080139164184</v>
      </c>
      <c r="BR125" s="21">
        <f>EXP(-LN(2)/2)*BR124+(1-EXP(-LN(2)/2))/(LN(2)/2)*BL125*BO125*VLOOKUP('Données projet'!$B$11,Paramètres!$A$1:$I$89,3,0)*0.475*44/12</f>
        <v>3.3721448565158556E-13</v>
      </c>
      <c r="BS125" s="22">
        <f t="shared" si="63"/>
        <v>1.0025080139167557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-2.8421709430404007E-14</v>
      </c>
      <c r="BZ125" s="13">
        <f>BY125*VLOOKUP('Données projet'!$B$12,Paramètres!$A$1:$I$89,3,0)*VLOOKUP('Données projet'!$B$12,Paramètres!$A$1:$I$89,5,0)</f>
        <v>-2.4829205358400945E-14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223.81948236065614</v>
      </c>
      <c r="CE125" s="59">
        <f t="shared" si="94"/>
        <v>320.1204011431372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0.49691380850172417</v>
      </c>
      <c r="CL125" s="21">
        <f>EXP(-LN(2)/25)*CL124+(1-EXP(-LN(2)/25))/(LN(2)/25)*Calculateur!CG125*Calculateur!CI125*VLOOKUP('Données projet'!$B$12,Paramètres!$A$1:$I$89,3,0)*0.475*44/12</f>
        <v>1.3803730808224617</v>
      </c>
      <c r="CM125" s="21">
        <f>EXP(-LN(2)/2)*CM124+(1-EXP(-LN(2)/2))/(LN(2)/2)*CG125*CJ125*VLOOKUP('Données projet'!$B$12,Paramètres!$A$1:$I$89,3,0)*0.475*44/12</f>
        <v>3.9463553220521016E-13</v>
      </c>
      <c r="CN125" s="22">
        <f t="shared" si="66"/>
        <v>1.8772868893245804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-1.9065282685915009E-13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279.98352834501759</v>
      </c>
      <c r="T126" s="59">
        <f t="shared" si="88"/>
        <v>281.30062655265488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0.63364969001598981</v>
      </c>
      <c r="AA126" s="21">
        <f>EXP(-LN(2)/25)*AA125+(1-EXP(-LN(2)/25))/(LN(2)/25)*Calculateur!V126*Calculateur!X126*VLOOKUP('Données projet'!$B$9,Paramètres!$A$1:$I$89,3,0)*0.475*44/12</f>
        <v>1.838514706949437</v>
      </c>
      <c r="AB126" s="21">
        <f>EXP(-LN(2)/2)*AB125+(1-EXP(-LN(2)/2))/(LN(2)/2)*V126*Y126*VLOOKUP('Données projet'!$B$9,Paramètres!$A$1:$I$89,3,0)*0.475*44/12</f>
        <v>2.845473827555618E-13</v>
      </c>
      <c r="AC126" s="22">
        <f t="shared" si="57"/>
        <v>2.4721643969657117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-1.1368683772161603E-12</v>
      </c>
      <c r="AJ126" s="13">
        <f>AI126*VLOOKUP('Données projet'!$B$10,Paramètres!$A$1:$I$89,3,0)*VLOOKUP('Données projet'!$B$10,Paramètres!$A$1:$I$89,5,0)</f>
        <v>-5.4683368944097316E-13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252.30925789500111</v>
      </c>
      <c r="AO126" s="59">
        <f t="shared" si="90"/>
        <v>213.96033794804805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0.73439608116708499</v>
      </c>
      <c r="AV126" s="21">
        <f>EXP(-LN(2)/25)*AV125+(1-EXP(-LN(2)/25))/(LN(2)/25)*Calculateur!AQ126*Calculateur!AS126*VLOOKUP('Données projet'!$B$10,Paramètres!$A$1:$I$89,3,0)*0.475*44/12</f>
        <v>0.70031770678956096</v>
      </c>
      <c r="AW126" s="21">
        <f>EXP(-LN(2)/2)*AW125+(1-EXP(-LN(2)/2))/(LN(2)/2)*AQ126*AT126*VLOOKUP('Données projet'!$B$10,Paramètres!$A$1:$I$89,3,0)*0.475*44/12</f>
        <v>1.4447401562332389E-13</v>
      </c>
      <c r="AX126" s="21">
        <f t="shared" si="60"/>
        <v>1.4347137879567906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-4.5474735088646412E-13</v>
      </c>
      <c r="BE126" s="13">
        <f>BD126*VLOOKUP('Données projet'!$B$11,Paramètres!$A$1:$I$89,3,0)*VLOOKUP('Données projet'!$B$11,Paramètres!$A$1:$I$89,5,0)</f>
        <v>-2.7193891583010558E-13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216.94426559495264</v>
      </c>
      <c r="BJ126" s="59">
        <f t="shared" si="92"/>
        <v>225.33715877618704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0.97509437955626876</v>
      </c>
      <c r="BR126" s="21">
        <f>EXP(-LN(2)/2)*BR125+(1-EXP(-LN(2)/2))/(LN(2)/2)*BL126*BO126*VLOOKUP('Données projet'!$B$11,Paramètres!$A$1:$I$89,3,0)*0.475*44/12</f>
        <v>2.3844664951856987E-13</v>
      </c>
      <c r="BS126" s="22">
        <f t="shared" si="63"/>
        <v>0.97509437955650724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-2.8421709430404007E-14</v>
      </c>
      <c r="BZ126" s="13">
        <f>BY126*VLOOKUP('Données projet'!$B$12,Paramètres!$A$1:$I$89,3,0)*VLOOKUP('Données projet'!$B$12,Paramètres!$A$1:$I$89,5,0)</f>
        <v>-2.4829205358400945E-14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223.81948236065614</v>
      </c>
      <c r="CE126" s="59">
        <f t="shared" si="94"/>
        <v>320.1204011431372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0.48716963180450112</v>
      </c>
      <c r="CL126" s="21">
        <f>EXP(-LN(2)/25)*CL125+(1-EXP(-LN(2)/25))/(LN(2)/25)*Calculateur!CG126*Calculateur!CI126*VLOOKUP('Données projet'!$B$12,Paramètres!$A$1:$I$89,3,0)*0.475*44/12</f>
        <v>1.3426267063367061</v>
      </c>
      <c r="CM126" s="21">
        <f>EXP(-LN(2)/2)*CM125+(1-EXP(-LN(2)/2))/(LN(2)/2)*CG126*CJ126*VLOOKUP('Données projet'!$B$12,Paramètres!$A$1:$I$89,3,0)*0.475*44/12</f>
        <v>2.7904946091946626E-13</v>
      </c>
      <c r="CN126" s="22">
        <f t="shared" si="66"/>
        <v>1.8297963381414863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-1.9065282685915009E-13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279.98352834501759</v>
      </c>
      <c r="T127" s="59">
        <f t="shared" si="88"/>
        <v>281.30062655265488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0.62122420608292461</v>
      </c>
      <c r="AA127" s="21">
        <f>EXP(-LN(2)/25)*AA126+(1-EXP(-LN(2)/25))/(LN(2)/25)*Calculateur!V127*Calculateur!X127*VLOOKUP('Données projet'!$B$9,Paramètres!$A$1:$I$89,3,0)*0.475*44/12</f>
        <v>1.7882404256046183</v>
      </c>
      <c r="AB127" s="21">
        <f>EXP(-LN(2)/2)*AB126+(1-EXP(-LN(2)/2))/(LN(2)/2)*V127*Y127*VLOOKUP('Données projet'!$B$9,Paramètres!$A$1:$I$89,3,0)*0.475*44/12</f>
        <v>2.0120538391534183E-13</v>
      </c>
      <c r="AC127" s="22">
        <f t="shared" si="57"/>
        <v>2.4094646316877442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-1.1368683772161603E-12</v>
      </c>
      <c r="AJ127" s="13">
        <f>AI127*VLOOKUP('Données projet'!$B$10,Paramètres!$A$1:$I$89,3,0)*VLOOKUP('Données projet'!$B$10,Paramètres!$A$1:$I$89,5,0)</f>
        <v>-5.4683368944097316E-13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252.30925789500111</v>
      </c>
      <c r="AO127" s="59">
        <f t="shared" si="90"/>
        <v>213.96033794804805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0.71999502195277787</v>
      </c>
      <c r="AV127" s="21">
        <f>EXP(-LN(2)/25)*AV126+(1-EXP(-LN(2)/25))/(LN(2)/25)*Calculateur!AQ127*Calculateur!AS127*VLOOKUP('Données projet'!$B$10,Paramètres!$A$1:$I$89,3,0)*0.475*44/12</f>
        <v>0.6811674822692928</v>
      </c>
      <c r="AW127" s="21">
        <f>EXP(-LN(2)/2)*AW126+(1-EXP(-LN(2)/2))/(LN(2)/2)*AQ127*AT127*VLOOKUP('Données projet'!$B$10,Paramètres!$A$1:$I$89,3,0)*0.475*44/12</f>
        <v>1.0215855615250354E-13</v>
      </c>
      <c r="AX127" s="21">
        <f t="shared" si="60"/>
        <v>1.4011625042221727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-4.5474735088646412E-13</v>
      </c>
      <c r="BE127" s="13">
        <f>BD127*VLOOKUP('Données projet'!$B$11,Paramètres!$A$1:$I$89,3,0)*VLOOKUP('Données projet'!$B$11,Paramètres!$A$1:$I$89,5,0)</f>
        <v>-2.7193891583010558E-13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216.94426559495264</v>
      </c>
      <c r="BJ127" s="59">
        <f t="shared" si="92"/>
        <v>225.33715877618704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0.94843037246931783</v>
      </c>
      <c r="BR127" s="21">
        <f>EXP(-LN(2)/2)*BR126+(1-EXP(-LN(2)/2))/(LN(2)/2)*BL127*BO127*VLOOKUP('Données projet'!$B$11,Paramètres!$A$1:$I$89,3,0)*0.475*44/12</f>
        <v>1.6860724282579278E-13</v>
      </c>
      <c r="BS127" s="22">
        <f t="shared" si="63"/>
        <v>0.94843037246948647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-2.8421709430404007E-14</v>
      </c>
      <c r="BZ127" s="13">
        <f>BY127*VLOOKUP('Données projet'!$B$12,Paramètres!$A$1:$I$89,3,0)*VLOOKUP('Données projet'!$B$12,Paramètres!$A$1:$I$89,5,0)</f>
        <v>-2.4829205358400945E-14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223.81948236065614</v>
      </c>
      <c r="CE127" s="59">
        <f t="shared" si="94"/>
        <v>320.1204011431372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0.47761653246894969</v>
      </c>
      <c r="CL127" s="21">
        <f>EXP(-LN(2)/25)*CL126+(1-EXP(-LN(2)/25))/(LN(2)/25)*Calculateur!CG127*Calculateur!CI127*VLOOKUP('Données projet'!$B$12,Paramètres!$A$1:$I$89,3,0)*0.475*44/12</f>
        <v>1.3059125084462591</v>
      </c>
      <c r="CM127" s="21">
        <f>EXP(-LN(2)/2)*CM126+(1-EXP(-LN(2)/2))/(LN(2)/2)*CG127*CJ127*VLOOKUP('Données projet'!$B$12,Paramètres!$A$1:$I$89,3,0)*0.475*44/12</f>
        <v>1.9731776610260508E-13</v>
      </c>
      <c r="CN127" s="22">
        <f t="shared" si="66"/>
        <v>1.7835290409154061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-1.9065282685915009E-13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279.98352834501759</v>
      </c>
      <c r="T128" s="59">
        <f t="shared" si="88"/>
        <v>281.30062655265488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0.60904237831098995</v>
      </c>
      <c r="AA128" s="21">
        <f>EXP(-LN(2)/25)*AA127+(1-EXP(-LN(2)/25))/(LN(2)/25)*Calculateur!V128*Calculateur!X128*VLOOKUP('Données projet'!$B$9,Paramètres!$A$1:$I$89,3,0)*0.475*44/12</f>
        <v>1.739340897126983</v>
      </c>
      <c r="AB128" s="21">
        <f>EXP(-LN(2)/2)*AB127+(1-EXP(-LN(2)/2))/(LN(2)/2)*V128*Y128*VLOOKUP('Données projet'!$B$9,Paramètres!$A$1:$I$89,3,0)*0.475*44/12</f>
        <v>1.422736913777809E-13</v>
      </c>
      <c r="AC128" s="22">
        <f t="shared" si="57"/>
        <v>2.3483832754381151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-1.1368683772161603E-12</v>
      </c>
      <c r="AJ128" s="13">
        <f>AI128*VLOOKUP('Données projet'!$B$10,Paramètres!$A$1:$I$89,3,0)*VLOOKUP('Données projet'!$B$10,Paramètres!$A$1:$I$89,5,0)</f>
        <v>-5.4683368944097316E-13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252.30925789500111</v>
      </c>
      <c r="AO128" s="59">
        <f t="shared" si="90"/>
        <v>213.96033794804805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0.7058763587258845</v>
      </c>
      <c r="AV128" s="21">
        <f>EXP(-LN(2)/25)*AV127+(1-EXP(-LN(2)/25))/(LN(2)/25)*Calculateur!AQ128*Calculateur!AS128*VLOOKUP('Données projet'!$B$10,Paramètres!$A$1:$I$89,3,0)*0.475*44/12</f>
        <v>0.66254092164559797</v>
      </c>
      <c r="AW128" s="21">
        <f>EXP(-LN(2)/2)*AW127+(1-EXP(-LN(2)/2))/(LN(2)/2)*AQ128*AT128*VLOOKUP('Données projet'!$B$10,Paramètres!$A$1:$I$89,3,0)*0.475*44/12</f>
        <v>7.2237007811661944E-14</v>
      </c>
      <c r="AX128" s="21">
        <f t="shared" si="60"/>
        <v>1.3684172803715546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-4.5474735088646412E-13</v>
      </c>
      <c r="BE128" s="13">
        <f>BD128*VLOOKUP('Données projet'!$B$11,Paramètres!$A$1:$I$89,3,0)*VLOOKUP('Données projet'!$B$11,Paramètres!$A$1:$I$89,5,0)</f>
        <v>-2.7193891583010558E-13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216.94426559495264</v>
      </c>
      <c r="BJ128" s="59">
        <f t="shared" si="92"/>
        <v>225.33715877618704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0.92249549405835873</v>
      </c>
      <c r="BR128" s="21">
        <f>EXP(-LN(2)/2)*BR127+(1-EXP(-LN(2)/2))/(LN(2)/2)*BL128*BO128*VLOOKUP('Données projet'!$B$11,Paramètres!$A$1:$I$89,3,0)*0.475*44/12</f>
        <v>1.1922332475928494E-13</v>
      </c>
      <c r="BS128" s="22">
        <f t="shared" si="63"/>
        <v>0.92249549405847797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-2.8421709430404007E-14</v>
      </c>
      <c r="BZ128" s="13">
        <f>BY128*VLOOKUP('Données projet'!$B$12,Paramètres!$A$1:$I$89,3,0)*VLOOKUP('Données projet'!$B$12,Paramètres!$A$1:$I$89,5,0)</f>
        <v>-2.4829205358400945E-14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223.81948236065614</v>
      </c>
      <c r="CE128" s="59">
        <f t="shared" si="94"/>
        <v>320.1204011431372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0.4682507635845532</v>
      </c>
      <c r="CL128" s="21">
        <f>EXP(-LN(2)/25)*CL127+(1-EXP(-LN(2)/25))/(LN(2)/25)*Calculateur!CG128*Calculateur!CI128*VLOOKUP('Données projet'!$B$12,Paramètres!$A$1:$I$89,3,0)*0.475*44/12</f>
        <v>1.2702022622278419</v>
      </c>
      <c r="CM128" s="21">
        <f>EXP(-LN(2)/2)*CM127+(1-EXP(-LN(2)/2))/(LN(2)/2)*CG128*CJ128*VLOOKUP('Données projet'!$B$12,Paramètres!$A$1:$I$89,3,0)*0.475*44/12</f>
        <v>1.3952473045973313E-13</v>
      </c>
      <c r="CN128" s="22">
        <f t="shared" si="66"/>
        <v>1.7384530258125346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-1.9065282685915009E-13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279.98352834501759</v>
      </c>
      <c r="T129" s="59">
        <f t="shared" si="88"/>
        <v>281.30062655265488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0.5970994287514817</v>
      </c>
      <c r="AA129" s="21">
        <f>EXP(-LN(2)/25)*AA128+(1-EXP(-LN(2)/25))/(LN(2)/25)*Calculateur!V129*Calculateur!X129*VLOOKUP('Données projet'!$B$9,Paramètres!$A$1:$I$89,3,0)*0.475*44/12</f>
        <v>1.6917785288270832</v>
      </c>
      <c r="AB129" s="21">
        <f>EXP(-LN(2)/2)*AB128+(1-EXP(-LN(2)/2))/(LN(2)/2)*V129*Y129*VLOOKUP('Données projet'!$B$9,Paramètres!$A$1:$I$89,3,0)*0.475*44/12</f>
        <v>1.0060269195767091E-13</v>
      </c>
      <c r="AC129" s="22">
        <f t="shared" si="57"/>
        <v>2.288877957578666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-1.1368683772161603E-12</v>
      </c>
      <c r="AJ129" s="13">
        <f>AI129*VLOOKUP('Données projet'!$B$10,Paramètres!$A$1:$I$89,3,0)*VLOOKUP('Données projet'!$B$10,Paramètres!$A$1:$I$89,5,0)</f>
        <v>-5.4683368944097316E-13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252.30925789500111</v>
      </c>
      <c r="AO129" s="59">
        <f t="shared" si="90"/>
        <v>213.96033794804805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0.69203455387333623</v>
      </c>
      <c r="AV129" s="21">
        <f>EXP(-LN(2)/25)*AV128+(1-EXP(-LN(2)/25))/(LN(2)/25)*Calculateur!AQ129*Calculateur!AS129*VLOOKUP('Données projet'!$B$10,Paramètres!$A$1:$I$89,3,0)*0.475*44/12</f>
        <v>0.64442370530168624</v>
      </c>
      <c r="AW129" s="21">
        <f>EXP(-LN(2)/2)*AW128+(1-EXP(-LN(2)/2))/(LN(2)/2)*AQ129*AT129*VLOOKUP('Données projet'!$B$10,Paramètres!$A$1:$I$89,3,0)*0.475*44/12</f>
        <v>5.1079278076251768E-14</v>
      </c>
      <c r="AX129" s="21">
        <f t="shared" si="60"/>
        <v>1.3364582591750735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-4.5474735088646412E-13</v>
      </c>
      <c r="BE129" s="13">
        <f>BD129*VLOOKUP('Données projet'!$B$11,Paramètres!$A$1:$I$89,3,0)*VLOOKUP('Données projet'!$B$11,Paramètres!$A$1:$I$89,5,0)</f>
        <v>-2.7193891583010558E-13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216.94426559495264</v>
      </c>
      <c r="BJ129" s="59">
        <f t="shared" si="92"/>
        <v>225.33715877618704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0.89726980626140329</v>
      </c>
      <c r="BR129" s="21">
        <f>EXP(-LN(2)/2)*BR128+(1-EXP(-LN(2)/2))/(LN(2)/2)*BL129*BO129*VLOOKUP('Données projet'!$B$11,Paramètres!$A$1:$I$89,3,0)*0.475*44/12</f>
        <v>8.4303621412896389E-14</v>
      </c>
      <c r="BS129" s="22">
        <f t="shared" si="63"/>
        <v>0.89726980626148756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-2.8421709430404007E-14</v>
      </c>
      <c r="BZ129" s="13">
        <f>BY129*VLOOKUP('Données projet'!$B$12,Paramètres!$A$1:$I$89,3,0)*VLOOKUP('Données projet'!$B$12,Paramètres!$A$1:$I$89,5,0)</f>
        <v>-2.4829205358400945E-14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223.81948236065614</v>
      </c>
      <c r="CE129" s="59">
        <f t="shared" si="94"/>
        <v>320.1204011431372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0.45906865171542477</v>
      </c>
      <c r="CL129" s="21">
        <f>EXP(-LN(2)/25)*CL128+(1-EXP(-LN(2)/25))/(LN(2)/25)*Calculateur!CG129*Calculateur!CI129*VLOOKUP('Données projet'!$B$12,Paramètres!$A$1:$I$89,3,0)*0.475*44/12</f>
        <v>1.2354685145701878</v>
      </c>
      <c r="CM129" s="21">
        <f>EXP(-LN(2)/2)*CM128+(1-EXP(-LN(2)/2))/(LN(2)/2)*CG129*CJ129*VLOOKUP('Données projet'!$B$12,Paramètres!$A$1:$I$89,3,0)*0.475*44/12</f>
        <v>9.8658883051302539E-14</v>
      </c>
      <c r="CN129" s="22">
        <f t="shared" si="66"/>
        <v>1.6945371662857112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-1.9065282685915009E-13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279.98352834501759</v>
      </c>
      <c r="T130" s="59">
        <f t="shared" si="88"/>
        <v>281.30062655265488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0.58539067314835547</v>
      </c>
      <c r="AA130" s="21">
        <f>EXP(-LN(2)/25)*AA129+(1-EXP(-LN(2)/25))/(LN(2)/25)*Calculateur!V130*Calculateur!X130*VLOOKUP('Données projet'!$B$9,Paramètres!$A$1:$I$89,3,0)*0.475*44/12</f>
        <v>1.6455167559895405</v>
      </c>
      <c r="AB130" s="21">
        <f>EXP(-LN(2)/2)*AB129+(1-EXP(-LN(2)/2))/(LN(2)/2)*V130*Y130*VLOOKUP('Données projet'!$B$9,Paramètres!$A$1:$I$89,3,0)*0.475*44/12</f>
        <v>7.113684568889045E-14</v>
      </c>
      <c r="AC130" s="22">
        <f t="shared" si="57"/>
        <v>2.2309074291379671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-1.1368683772161603E-12</v>
      </c>
      <c r="AJ130" s="13">
        <f>AI130*VLOOKUP('Données projet'!$B$10,Paramètres!$A$1:$I$89,3,0)*VLOOKUP('Données projet'!$B$10,Paramètres!$A$1:$I$89,5,0)</f>
        <v>-5.4683368944097316E-13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252.30925789500111</v>
      </c>
      <c r="AO130" s="59">
        <f t="shared" si="90"/>
        <v>213.96033794804805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0.67846417837127915</v>
      </c>
      <c r="AV130" s="21">
        <f>EXP(-LN(2)/25)*AV129+(1-EXP(-LN(2)/25))/(LN(2)/25)*Calculateur!AQ130*Calculateur!AS130*VLOOKUP('Données projet'!$B$10,Paramètres!$A$1:$I$89,3,0)*0.475*44/12</f>
        <v>0.62680190519144185</v>
      </c>
      <c r="AW130" s="21">
        <f>EXP(-LN(2)/2)*AW129+(1-EXP(-LN(2)/2))/(LN(2)/2)*AQ130*AT130*VLOOKUP('Données projet'!$B$10,Paramètres!$A$1:$I$89,3,0)*0.475*44/12</f>
        <v>3.6118503905830972E-14</v>
      </c>
      <c r="AX130" s="21">
        <f t="shared" si="60"/>
        <v>1.3052660835627572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-4.5474735088646412E-13</v>
      </c>
      <c r="BE130" s="13">
        <f>BD130*VLOOKUP('Données projet'!$B$11,Paramètres!$A$1:$I$89,3,0)*VLOOKUP('Données projet'!$B$11,Paramètres!$A$1:$I$89,5,0)</f>
        <v>-2.7193891583010558E-13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216.94426559495264</v>
      </c>
      <c r="BJ130" s="59">
        <f t="shared" si="92"/>
        <v>225.33715877618704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0.8727339162238168</v>
      </c>
      <c r="BR130" s="21">
        <f>EXP(-LN(2)/2)*BR129+(1-EXP(-LN(2)/2))/(LN(2)/2)*BL130*BO130*VLOOKUP('Données projet'!$B$11,Paramètres!$A$1:$I$89,3,0)*0.475*44/12</f>
        <v>5.9611662379642468E-14</v>
      </c>
      <c r="BS130" s="22">
        <f t="shared" si="63"/>
        <v>0.87273391622387642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-2.8421709430404007E-14</v>
      </c>
      <c r="BZ130" s="13">
        <f>BY130*VLOOKUP('Données projet'!$B$12,Paramètres!$A$1:$I$89,3,0)*VLOOKUP('Données projet'!$B$12,Paramètres!$A$1:$I$89,5,0)</f>
        <v>-2.4829205358400945E-14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223.81948236065614</v>
      </c>
      <c r="CE130" s="59">
        <f t="shared" si="94"/>
        <v>320.1204011431372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0.45006659545951472</v>
      </c>
      <c r="CL130" s="21">
        <f>EXP(-LN(2)/25)*CL129+(1-EXP(-LN(2)/25))/(LN(2)/25)*Calculateur!CG130*Calculateur!CI130*VLOOKUP('Données projet'!$B$12,Paramètres!$A$1:$I$89,3,0)*0.475*44/12</f>
        <v>1.2016845630688004</v>
      </c>
      <c r="CM130" s="21">
        <f>EXP(-LN(2)/2)*CM129+(1-EXP(-LN(2)/2))/(LN(2)/2)*CG130*CJ130*VLOOKUP('Données projet'!$B$12,Paramètres!$A$1:$I$89,3,0)*0.475*44/12</f>
        <v>6.9762365229866565E-14</v>
      </c>
      <c r="CN130" s="22">
        <f t="shared" si="66"/>
        <v>1.6517511585283848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-1.9065282685915009E-13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279.98352834501759</v>
      </c>
      <c r="T131" s="59">
        <f t="shared" si="88"/>
        <v>281.30062655265488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0.57391151910097082</v>
      </c>
      <c r="AA131" s="21">
        <f>EXP(-LN(2)/25)*AA130+(1-EXP(-LN(2)/25))/(LN(2)/25)*Calculateur!V131*Calculateur!X131*VLOOKUP('Données projet'!$B$9,Paramètres!$A$1:$I$89,3,0)*0.475*44/12</f>
        <v>1.6005200137630411</v>
      </c>
      <c r="AB131" s="21">
        <f>EXP(-LN(2)/2)*AB130+(1-EXP(-LN(2)/2))/(LN(2)/2)*V131*Y131*VLOOKUP('Données projet'!$B$9,Paramètres!$A$1:$I$89,3,0)*0.475*44/12</f>
        <v>5.0301345978835457E-14</v>
      </c>
      <c r="AC131" s="22">
        <f t="shared" si="57"/>
        <v>2.174431532864062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-1.1368683772161603E-12</v>
      </c>
      <c r="AJ131" s="13">
        <f>AI131*VLOOKUP('Données projet'!$B$10,Paramètres!$A$1:$I$89,3,0)*VLOOKUP('Données projet'!$B$10,Paramètres!$A$1:$I$89,5,0)</f>
        <v>-5.4683368944097316E-13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252.30925789500111</v>
      </c>
      <c r="AO131" s="59">
        <f t="shared" si="90"/>
        <v>213.96033794804805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0.66515990965570559</v>
      </c>
      <c r="AV131" s="21">
        <f>EXP(-LN(2)/25)*AV130+(1-EXP(-LN(2)/25))/(LN(2)/25)*Calculateur!AQ131*Calculateur!AS131*VLOOKUP('Données projet'!$B$10,Paramètres!$A$1:$I$89,3,0)*0.475*44/12</f>
        <v>0.60966197413190226</v>
      </c>
      <c r="AW131" s="21">
        <f>EXP(-LN(2)/2)*AW130+(1-EXP(-LN(2)/2))/(LN(2)/2)*AQ131*AT131*VLOOKUP('Données projet'!$B$10,Paramètres!$A$1:$I$89,3,0)*0.475*44/12</f>
        <v>2.5539639038125884E-14</v>
      </c>
      <c r="AX131" s="21">
        <f t="shared" si="60"/>
        <v>1.2748218837876333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-4.5474735088646412E-13</v>
      </c>
      <c r="BE131" s="13">
        <f>BD131*VLOOKUP('Données projet'!$B$11,Paramètres!$A$1:$I$89,3,0)*VLOOKUP('Données projet'!$B$11,Paramètres!$A$1:$I$89,5,0)</f>
        <v>-2.7193891583010558E-13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216.94426559495264</v>
      </c>
      <c r="BJ131" s="59">
        <f t="shared" si="92"/>
        <v>225.33715877618704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0.84886896138959456</v>
      </c>
      <c r="BR131" s="21">
        <f>EXP(-LN(2)/2)*BR130+(1-EXP(-LN(2)/2))/(LN(2)/2)*BL131*BO131*VLOOKUP('Données projet'!$B$11,Paramètres!$A$1:$I$89,3,0)*0.475*44/12</f>
        <v>4.2151810706448194E-14</v>
      </c>
      <c r="BS131" s="22">
        <f t="shared" si="63"/>
        <v>0.84886896138963674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-2.8421709430404007E-14</v>
      </c>
      <c r="BZ131" s="13">
        <f>BY131*VLOOKUP('Données projet'!$B$12,Paramètres!$A$1:$I$89,3,0)*VLOOKUP('Données projet'!$B$12,Paramètres!$A$1:$I$89,5,0)</f>
        <v>-2.4829205358400945E-14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223.81948236065614</v>
      </c>
      <c r="CE131" s="59">
        <f t="shared" si="94"/>
        <v>320.1204011431372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0.44124106403607088</v>
      </c>
      <c r="CL131" s="21">
        <f>EXP(-LN(2)/25)*CL130+(1-EXP(-LN(2)/25))/(LN(2)/25)*Calculateur!CG131*Calculateur!CI131*VLOOKUP('Données projet'!$B$12,Paramètres!$A$1:$I$89,3,0)*0.475*44/12</f>
        <v>1.1688244354978394</v>
      </c>
      <c r="CM131" s="21">
        <f>EXP(-LN(2)/2)*CM130+(1-EXP(-LN(2)/2))/(LN(2)/2)*CG131*CJ131*VLOOKUP('Données projet'!$B$12,Paramètres!$A$1:$I$89,3,0)*0.475*44/12</f>
        <v>4.9329441525651269E-14</v>
      </c>
      <c r="CN131" s="22">
        <f t="shared" si="66"/>
        <v>1.6100654995339596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-1.9065282685915009E-13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279.98352834501759</v>
      </c>
      <c r="T132" s="59">
        <f t="shared" si="88"/>
        <v>281.30062655265488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0.56265746426286267</v>
      </c>
      <c r="AA132" s="21">
        <f>EXP(-LN(2)/25)*AA131+(1-EXP(-LN(2)/25))/(LN(2)/25)*Calculateur!V132*Calculateur!X132*VLOOKUP('Données projet'!$B$9,Paramètres!$A$1:$I$89,3,0)*0.475*44/12</f>
        <v>1.5567537098190012</v>
      </c>
      <c r="AB132" s="21">
        <f>EXP(-LN(2)/2)*AB131+(1-EXP(-LN(2)/2))/(LN(2)/2)*V132*Y132*VLOOKUP('Données projet'!$B$9,Paramètres!$A$1:$I$89,3,0)*0.475*44/12</f>
        <v>3.5568422844445225E-14</v>
      </c>
      <c r="AC132" s="22">
        <f t="shared" ref="AC132:AC153" si="111">SUM(Z132:AB132)</f>
        <v>2.1194111740818995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-1.1368683772161603E-12</v>
      </c>
      <c r="AJ132" s="13">
        <f>AI132*VLOOKUP('Données projet'!$B$10,Paramètres!$A$1:$I$89,3,0)*VLOOKUP('Données projet'!$B$10,Paramètres!$A$1:$I$89,5,0)</f>
        <v>-5.4683368944097316E-13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252.30925789500111</v>
      </c>
      <c r="AO132" s="59">
        <f t="shared" si="90"/>
        <v>213.96033794804805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0.65211652953484178</v>
      </c>
      <c r="AV132" s="21">
        <f>EXP(-LN(2)/25)*AV131+(1-EXP(-LN(2)/25))/(LN(2)/25)*Calculateur!AQ132*Calculateur!AS132*VLOOKUP('Données projet'!$B$10,Paramètres!$A$1:$I$89,3,0)*0.475*44/12</f>
        <v>0.59299073538853553</v>
      </c>
      <c r="AW132" s="21">
        <f>EXP(-LN(2)/2)*AW131+(1-EXP(-LN(2)/2))/(LN(2)/2)*AQ132*AT132*VLOOKUP('Données projet'!$B$10,Paramètres!$A$1:$I$89,3,0)*0.475*44/12</f>
        <v>1.8059251952915486E-14</v>
      </c>
      <c r="AX132" s="21">
        <f t="shared" ref="AX132:AX153" si="114">SUM(AU132:AW132)</f>
        <v>1.2451072649233954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-4.5474735088646412E-13</v>
      </c>
      <c r="BE132" s="13">
        <f>BD132*VLOOKUP('Données projet'!$B$11,Paramètres!$A$1:$I$89,3,0)*VLOOKUP('Données projet'!$B$11,Paramètres!$A$1:$I$89,5,0)</f>
        <v>-2.7193891583010558E-13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216.94426559495264</v>
      </c>
      <c r="BJ132" s="59">
        <f t="shared" si="92"/>
        <v>225.33715877618704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0.82565659500031752</v>
      </c>
      <c r="BR132" s="21">
        <f>EXP(-LN(2)/2)*BR131+(1-EXP(-LN(2)/2))/(LN(2)/2)*BL132*BO132*VLOOKUP('Données projet'!$B$11,Paramètres!$A$1:$I$89,3,0)*0.475*44/12</f>
        <v>2.9805831189821234E-14</v>
      </c>
      <c r="BS132" s="22">
        <f t="shared" ref="BS132:BS153" si="117">SUM(BP132:BR132)</f>
        <v>0.82565659500034727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-2.8421709430404007E-14</v>
      </c>
      <c r="BZ132" s="13">
        <f>BY132*VLOOKUP('Données projet'!$B$12,Paramètres!$A$1:$I$89,3,0)*VLOOKUP('Données projet'!$B$12,Paramètres!$A$1:$I$89,5,0)</f>
        <v>-2.4829205358400945E-14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223.81948236065614</v>
      </c>
      <c r="CE132" s="59">
        <f t="shared" si="94"/>
        <v>320.1204011431372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0.43258859590079818</v>
      </c>
      <c r="CL132" s="21">
        <f>EXP(-LN(2)/25)*CL131+(1-EXP(-LN(2)/25))/(LN(2)/25)*Calculateur!CG132*Calculateur!CI132*VLOOKUP('Données projet'!$B$12,Paramètres!$A$1:$I$89,3,0)*0.475*44/12</f>
        <v>1.1368628698433454</v>
      </c>
      <c r="CM132" s="21">
        <f>EXP(-LN(2)/2)*CM131+(1-EXP(-LN(2)/2))/(LN(2)/2)*CG132*CJ132*VLOOKUP('Données projet'!$B$12,Paramètres!$A$1:$I$89,3,0)*0.475*44/12</f>
        <v>3.4881182614933283E-14</v>
      </c>
      <c r="CN132" s="22">
        <f t="shared" ref="CN132:CN153" si="120">SUM(CK132:CM132)</f>
        <v>1.5694514657441785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-1.9065282685915009E-13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279.98352834501759</v>
      </c>
      <c r="T133" s="59">
        <f t="shared" ref="T133:T196" si="142">$T$3</f>
        <v>281.30062655265488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0.55162409457583417</v>
      </c>
      <c r="AA133" s="21">
        <f>EXP(-LN(2)/25)*AA132+(1-EXP(-LN(2)/25))/(LN(2)/25)*Calculateur!V133*Calculateur!X133*VLOOKUP('Données projet'!$B$9,Paramètres!$A$1:$I$89,3,0)*0.475*44/12</f>
        <v>1.5141841977578809</v>
      </c>
      <c r="AB133" s="21">
        <f>EXP(-LN(2)/2)*AB132+(1-EXP(-LN(2)/2))/(LN(2)/2)*V133*Y133*VLOOKUP('Données projet'!$B$9,Paramètres!$A$1:$I$89,3,0)*0.475*44/12</f>
        <v>2.5150672989417728E-14</v>
      </c>
      <c r="AC133" s="22">
        <f t="shared" si="111"/>
        <v>2.0658082923337404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-1.1368683772161603E-12</v>
      </c>
      <c r="AJ133" s="13">
        <f>AI133*VLOOKUP('Données projet'!$B$10,Paramètres!$A$1:$I$89,3,0)*VLOOKUP('Données projet'!$B$10,Paramètres!$A$1:$I$89,5,0)</f>
        <v>-5.4683368944097316E-13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252.30925789500111</v>
      </c>
      <c r="AO133" s="59">
        <f t="shared" ref="AO133:AO196" si="144">$AO$3</f>
        <v>213.96033794804805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0.63932892214247183</v>
      </c>
      <c r="AV133" s="21">
        <f>EXP(-LN(2)/25)*AV132+(1-EXP(-LN(2)/25))/(LN(2)/25)*Calculateur!AQ133*Calculateur!AS133*VLOOKUP('Données projet'!$B$10,Paramètres!$A$1:$I$89,3,0)*0.475*44/12</f>
        <v>0.57677537254530853</v>
      </c>
      <c r="AW133" s="21">
        <f>EXP(-LN(2)/2)*AW132+(1-EXP(-LN(2)/2))/(LN(2)/2)*AQ133*AT133*VLOOKUP('Données projet'!$B$10,Paramètres!$A$1:$I$89,3,0)*0.475*44/12</f>
        <v>1.2769819519062942E-14</v>
      </c>
      <c r="AX133" s="21">
        <f t="shared" si="114"/>
        <v>1.2161042946877934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-4.5474735088646412E-13</v>
      </c>
      <c r="BE133" s="13">
        <f>BD133*VLOOKUP('Données projet'!$B$11,Paramètres!$A$1:$I$89,3,0)*VLOOKUP('Données projet'!$B$11,Paramètres!$A$1:$I$89,5,0)</f>
        <v>-2.7193891583010558E-13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216.94426559495264</v>
      </c>
      <c r="BJ133" s="59">
        <f t="shared" ref="BJ133:BJ196" si="146">$BJ$3</f>
        <v>225.33715877618704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0.8030789719906406</v>
      </c>
      <c r="BR133" s="21">
        <f>EXP(-LN(2)/2)*BR132+(1-EXP(-LN(2)/2))/(LN(2)/2)*BL133*BO133*VLOOKUP('Données projet'!$B$11,Paramètres!$A$1:$I$89,3,0)*0.475*44/12</f>
        <v>2.1075905353224097E-14</v>
      </c>
      <c r="BS133" s="22">
        <f t="shared" si="117"/>
        <v>0.80307897199066169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-2.8421709430404007E-14</v>
      </c>
      <c r="BZ133" s="13">
        <f>BY133*VLOOKUP('Données projet'!$B$12,Paramètres!$A$1:$I$89,3,0)*VLOOKUP('Données projet'!$B$12,Paramètres!$A$1:$I$89,5,0)</f>
        <v>-2.4829205358400945E-14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223.81948236065614</v>
      </c>
      <c r="CE133" s="59">
        <f t="shared" ref="CE133:CE196" si="148">$CE$3</f>
        <v>320.1204011431372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0.42410579738817372</v>
      </c>
      <c r="CL133" s="21">
        <f>EXP(-LN(2)/25)*CL132+(1-EXP(-LN(2)/25))/(LN(2)/25)*Calculateur!CG133*Calculateur!CI133*VLOOKUP('Données projet'!$B$12,Paramètres!$A$1:$I$89,3,0)*0.475*44/12</f>
        <v>1.1057752948824591</v>
      </c>
      <c r="CM133" s="21">
        <f>EXP(-LN(2)/2)*CM132+(1-EXP(-LN(2)/2))/(LN(2)/2)*CG133*CJ133*VLOOKUP('Données projet'!$B$12,Paramètres!$A$1:$I$89,3,0)*0.475*44/12</f>
        <v>2.4664720762825635E-14</v>
      </c>
      <c r="CN133" s="22">
        <f t="shared" si="120"/>
        <v>1.5298810922706574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-1.9065282685915009E-13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279.98352834501759</v>
      </c>
      <c r="T134" s="59">
        <f t="shared" si="142"/>
        <v>281.30062655265488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0.54080708253867738</v>
      </c>
      <c r="AA134" s="21">
        <f>EXP(-LN(2)/25)*AA133+(1-EXP(-LN(2)/25))/(LN(2)/25)*Calculateur!V134*Calculateur!X134*VLOOKUP('Données projet'!$B$9,Paramètres!$A$1:$I$89,3,0)*0.475*44/12</f>
        <v>1.4727787512427055</v>
      </c>
      <c r="AB134" s="21">
        <f>EXP(-LN(2)/2)*AB133+(1-EXP(-LN(2)/2))/(LN(2)/2)*V134*Y134*VLOOKUP('Données projet'!$B$9,Paramètres!$A$1:$I$89,3,0)*0.475*44/12</f>
        <v>1.7784211422222613E-14</v>
      </c>
      <c r="AC134" s="22">
        <f t="shared" si="111"/>
        <v>2.0135858337814008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-1.1368683772161603E-12</v>
      </c>
      <c r="AJ134" s="13">
        <f>AI134*VLOOKUP('Données projet'!$B$10,Paramètres!$A$1:$I$89,3,0)*VLOOKUP('Données projet'!$B$10,Paramètres!$A$1:$I$89,5,0)</f>
        <v>-5.4683368944097316E-13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252.30925789500111</v>
      </c>
      <c r="AO134" s="59">
        <f t="shared" si="144"/>
        <v>213.96033794804805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0.62679207193139586</v>
      </c>
      <c r="AV134" s="21">
        <f>EXP(-LN(2)/25)*AV133+(1-EXP(-LN(2)/25))/(LN(2)/25)*Calculateur!AQ134*Calculateur!AS134*VLOOKUP('Données projet'!$B$10,Paramètres!$A$1:$I$89,3,0)*0.475*44/12</f>
        <v>0.56100341965175848</v>
      </c>
      <c r="AW134" s="21">
        <f>EXP(-LN(2)/2)*AW133+(1-EXP(-LN(2)/2))/(LN(2)/2)*AQ134*AT134*VLOOKUP('Données projet'!$B$10,Paramètres!$A$1:$I$89,3,0)*0.475*44/12</f>
        <v>9.0296259764577431E-15</v>
      </c>
      <c r="AX134" s="21">
        <f t="shared" si="114"/>
        <v>1.1877954915831634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-4.5474735088646412E-13</v>
      </c>
      <c r="BE134" s="13">
        <f>BD134*VLOOKUP('Données projet'!$B$11,Paramètres!$A$1:$I$89,3,0)*VLOOKUP('Données projet'!$B$11,Paramètres!$A$1:$I$89,5,0)</f>
        <v>-2.7193891583010558E-13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216.94426559495264</v>
      </c>
      <c r="BJ134" s="59">
        <f t="shared" si="146"/>
        <v>225.33715877618704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0.78111873526946884</v>
      </c>
      <c r="BR134" s="21">
        <f>EXP(-LN(2)/2)*BR133+(1-EXP(-LN(2)/2))/(LN(2)/2)*BL134*BO134*VLOOKUP('Données projet'!$B$11,Paramètres!$A$1:$I$89,3,0)*0.475*44/12</f>
        <v>1.4902915594910617E-14</v>
      </c>
      <c r="BS134" s="22">
        <f t="shared" si="117"/>
        <v>0.78111873526948372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-2.8421709430404007E-14</v>
      </c>
      <c r="BZ134" s="13">
        <f>BY134*VLOOKUP('Données projet'!$B$12,Paramètres!$A$1:$I$89,3,0)*VLOOKUP('Données projet'!$B$12,Paramètres!$A$1:$I$89,5,0)</f>
        <v>-2.4829205358400945E-14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223.81948236065614</v>
      </c>
      <c r="CE134" s="59">
        <f t="shared" si="148"/>
        <v>320.1204011431372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0.41578934138038559</v>
      </c>
      <c r="CL134" s="21">
        <f>EXP(-LN(2)/25)*CL133+(1-EXP(-LN(2)/25))/(LN(2)/25)*Calculateur!CG134*Calculateur!CI134*VLOOKUP('Données projet'!$B$12,Paramètres!$A$1:$I$89,3,0)*0.475*44/12</f>
        <v>1.0755378112937029</v>
      </c>
      <c r="CM134" s="21">
        <f>EXP(-LN(2)/2)*CM133+(1-EXP(-LN(2)/2))/(LN(2)/2)*CG134*CJ134*VLOOKUP('Données projet'!$B$12,Paramètres!$A$1:$I$89,3,0)*0.475*44/12</f>
        <v>1.7440591307466641E-14</v>
      </c>
      <c r="CN134" s="22">
        <f t="shared" si="120"/>
        <v>1.4913271526741061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-1.9065282685915009E-13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279.98352834501759</v>
      </c>
      <c r="T135" s="59">
        <f t="shared" si="142"/>
        <v>281.30062655265488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0.53020218550984333</v>
      </c>
      <c r="AA135" s="21">
        <f>EXP(-LN(2)/25)*AA134+(1-EXP(-LN(2)/25))/(LN(2)/25)*Calculateur!V135*Calculateur!X135*VLOOKUP('Données projet'!$B$9,Paramètres!$A$1:$I$89,3,0)*0.475*44/12</f>
        <v>1.4325055388399053</v>
      </c>
      <c r="AB135" s="21">
        <f>EXP(-LN(2)/2)*AB134+(1-EXP(-LN(2)/2))/(LN(2)/2)*V135*Y135*VLOOKUP('Données projet'!$B$9,Paramètres!$A$1:$I$89,3,0)*0.475*44/12</f>
        <v>1.2575336494708864E-14</v>
      </c>
      <c r="AC135" s="22">
        <f t="shared" si="111"/>
        <v>1.9627077243497613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-1.1368683772161603E-12</v>
      </c>
      <c r="AJ135" s="13">
        <f>AI135*VLOOKUP('Données projet'!$B$10,Paramètres!$A$1:$I$89,3,0)*VLOOKUP('Données projet'!$B$10,Paramètres!$A$1:$I$89,5,0)</f>
        <v>-5.4683368944097316E-13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252.30925789500111</v>
      </c>
      <c r="AO135" s="59">
        <f t="shared" si="144"/>
        <v>213.96033794804805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0.61450106170623553</v>
      </c>
      <c r="AV135" s="21">
        <f>EXP(-LN(2)/25)*AV134+(1-EXP(-LN(2)/25))/(LN(2)/25)*Calculateur!AQ135*Calculateur!AS135*VLOOKUP('Données projet'!$B$10,Paramètres!$A$1:$I$89,3,0)*0.475*44/12</f>
        <v>0.54566275163949352</v>
      </c>
      <c r="AW135" s="21">
        <f>EXP(-LN(2)/2)*AW134+(1-EXP(-LN(2)/2))/(LN(2)/2)*AQ135*AT135*VLOOKUP('Données projet'!$B$10,Paramètres!$A$1:$I$89,3,0)*0.475*44/12</f>
        <v>6.3849097595314709E-15</v>
      </c>
      <c r="AX135" s="21">
        <f t="shared" si="114"/>
        <v>1.1601638133457355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-4.5474735088646412E-13</v>
      </c>
      <c r="BE135" s="13">
        <f>BD135*VLOOKUP('Données projet'!$B$11,Paramètres!$A$1:$I$89,3,0)*VLOOKUP('Données projet'!$B$11,Paramètres!$A$1:$I$89,5,0)</f>
        <v>-2.7193891583010558E-13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216.94426559495264</v>
      </c>
      <c r="BJ135" s="59">
        <f t="shared" si="146"/>
        <v>225.33715877618704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0.75975900237627625</v>
      </c>
      <c r="BR135" s="21">
        <f>EXP(-LN(2)/2)*BR134+(1-EXP(-LN(2)/2))/(LN(2)/2)*BL135*BO135*VLOOKUP('Données projet'!$B$11,Paramètres!$A$1:$I$89,3,0)*0.475*44/12</f>
        <v>1.0537952676612049E-14</v>
      </c>
      <c r="BS135" s="22">
        <f t="shared" si="117"/>
        <v>0.7597590023762868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-2.8421709430404007E-14</v>
      </c>
      <c r="BZ135" s="13">
        <f>BY135*VLOOKUP('Données projet'!$B$12,Paramètres!$A$1:$I$89,3,0)*VLOOKUP('Données projet'!$B$12,Paramètres!$A$1:$I$89,5,0)</f>
        <v>-2.4829205358400945E-14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223.81948236065614</v>
      </c>
      <c r="CE135" s="59">
        <f t="shared" si="148"/>
        <v>320.1204011431372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0.4076359660023729</v>
      </c>
      <c r="CL135" s="21">
        <f>EXP(-LN(2)/25)*CL134+(1-EXP(-LN(2)/25))/(LN(2)/25)*Calculateur!CG135*Calculateur!CI135*VLOOKUP('Données projet'!$B$12,Paramètres!$A$1:$I$89,3,0)*0.475*44/12</f>
        <v>1.0461271732838011</v>
      </c>
      <c r="CM135" s="21">
        <f>EXP(-LN(2)/2)*CM134+(1-EXP(-LN(2)/2))/(LN(2)/2)*CG135*CJ135*VLOOKUP('Données projet'!$B$12,Paramètres!$A$1:$I$89,3,0)*0.475*44/12</f>
        <v>1.2332360381412817E-14</v>
      </c>
      <c r="CN135" s="22">
        <f t="shared" si="120"/>
        <v>1.4537631392861865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-1.9065282685915009E-13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279.98352834501759</v>
      </c>
      <c r="T136" s="59">
        <f t="shared" si="142"/>
        <v>281.30062655265488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0.51980524404339623</v>
      </c>
      <c r="AA136" s="21">
        <f>EXP(-LN(2)/25)*AA135+(1-EXP(-LN(2)/25))/(LN(2)/25)*Calculateur!V136*Calculateur!X136*VLOOKUP('Données projet'!$B$9,Paramètres!$A$1:$I$89,3,0)*0.475*44/12</f>
        <v>1.3933335995481357</v>
      </c>
      <c r="AB136" s="21">
        <f>EXP(-LN(2)/2)*AB135+(1-EXP(-LN(2)/2))/(LN(2)/2)*V136*Y136*VLOOKUP('Données projet'!$B$9,Paramètres!$A$1:$I$89,3,0)*0.475*44/12</f>
        <v>8.8921057111113063E-15</v>
      </c>
      <c r="AC136" s="22">
        <f t="shared" si="111"/>
        <v>1.9131388435915408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-1.1368683772161603E-12</v>
      </c>
      <c r="AJ136" s="13">
        <f>AI136*VLOOKUP('Données projet'!$B$10,Paramètres!$A$1:$I$89,3,0)*VLOOKUP('Données projet'!$B$10,Paramètres!$A$1:$I$89,5,0)</f>
        <v>-5.4683368944097316E-13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252.30925789500111</v>
      </c>
      <c r="AO136" s="59">
        <f t="shared" si="144"/>
        <v>213.96033794804805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0.60245107069481463</v>
      </c>
      <c r="AV136" s="21">
        <f>EXP(-LN(2)/25)*AV135+(1-EXP(-LN(2)/25))/(LN(2)/25)*Calculateur!AQ136*Calculateur!AS136*VLOOKUP('Données projet'!$B$10,Paramètres!$A$1:$I$89,3,0)*0.475*44/12</f>
        <v>0.53074157500075458</v>
      </c>
      <c r="AW136" s="21">
        <f>EXP(-LN(2)/2)*AW135+(1-EXP(-LN(2)/2))/(LN(2)/2)*AQ136*AT136*VLOOKUP('Données projet'!$B$10,Paramètres!$A$1:$I$89,3,0)*0.475*44/12</f>
        <v>4.5148129882288715E-15</v>
      </c>
      <c r="AX136" s="21">
        <f t="shared" si="114"/>
        <v>1.1331926456955737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-4.5474735088646412E-13</v>
      </c>
      <c r="BE136" s="13">
        <f>BD136*VLOOKUP('Données projet'!$B$11,Paramètres!$A$1:$I$89,3,0)*VLOOKUP('Données projet'!$B$11,Paramètres!$A$1:$I$89,5,0)</f>
        <v>-2.7193891583010558E-13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216.94426559495264</v>
      </c>
      <c r="BJ136" s="59">
        <f t="shared" si="146"/>
        <v>225.33715877618704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0.73898335250230751</v>
      </c>
      <c r="BR136" s="21">
        <f>EXP(-LN(2)/2)*BR135+(1-EXP(-LN(2)/2))/(LN(2)/2)*BL136*BO136*VLOOKUP('Données projet'!$B$11,Paramètres!$A$1:$I$89,3,0)*0.475*44/12</f>
        <v>7.4514577974553085E-15</v>
      </c>
      <c r="BS136" s="22">
        <f t="shared" si="117"/>
        <v>0.73898335250231495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-2.8421709430404007E-14</v>
      </c>
      <c r="BZ136" s="13">
        <f>BY136*VLOOKUP('Données projet'!$B$12,Paramètres!$A$1:$I$89,3,0)*VLOOKUP('Données projet'!$B$12,Paramètres!$A$1:$I$89,5,0)</f>
        <v>-2.4829205358400945E-14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223.81948236065614</v>
      </c>
      <c r="CE136" s="59">
        <f t="shared" si="148"/>
        <v>320.1204011431372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0.39964247334245512</v>
      </c>
      <c r="CL136" s="21">
        <f>EXP(-LN(2)/25)*CL135+(1-EXP(-LN(2)/25))/(LN(2)/25)*Calculateur!CG136*Calculateur!CI136*VLOOKUP('Données projet'!$B$12,Paramètres!$A$1:$I$89,3,0)*0.475*44/12</f>
        <v>1.0175207707169185</v>
      </c>
      <c r="CM136" s="21">
        <f>EXP(-LN(2)/2)*CM135+(1-EXP(-LN(2)/2))/(LN(2)/2)*CG136*CJ136*VLOOKUP('Données projet'!$B$12,Paramètres!$A$1:$I$89,3,0)*0.475*44/12</f>
        <v>8.7202956537333206E-15</v>
      </c>
      <c r="CN136" s="22">
        <f t="shared" si="120"/>
        <v>1.4171632440593822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-1.9065282685915009E-13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279.98352834501759</v>
      </c>
      <c r="T137" s="59">
        <f t="shared" si="142"/>
        <v>281.30062655265488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0.50961218025759802</v>
      </c>
      <c r="AA137" s="21">
        <f>EXP(-LN(2)/25)*AA136+(1-EXP(-LN(2)/25))/(LN(2)/25)*Calculateur!V137*Calculateur!X137*VLOOKUP('Données projet'!$B$9,Paramètres!$A$1:$I$89,3,0)*0.475*44/12</f>
        <v>1.3552328189962626</v>
      </c>
      <c r="AB137" s="21">
        <f>EXP(-LN(2)/2)*AB136+(1-EXP(-LN(2)/2))/(LN(2)/2)*V137*Y137*VLOOKUP('Données projet'!$B$9,Paramètres!$A$1:$I$89,3,0)*0.475*44/12</f>
        <v>6.2876682473544321E-15</v>
      </c>
      <c r="AC137" s="22">
        <f t="shared" si="111"/>
        <v>1.8648449992538669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-1.1368683772161603E-12</v>
      </c>
      <c r="AJ137" s="13">
        <f>AI137*VLOOKUP('Données projet'!$B$10,Paramètres!$A$1:$I$89,3,0)*VLOOKUP('Données projet'!$B$10,Paramètres!$A$1:$I$89,5,0)</f>
        <v>-5.4683368944097316E-13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252.30925789500111</v>
      </c>
      <c r="AO137" s="59">
        <f t="shared" si="144"/>
        <v>213.96033794804805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0.59063737265735894</v>
      </c>
      <c r="AV137" s="21">
        <f>EXP(-LN(2)/25)*AV136+(1-EXP(-LN(2)/25))/(LN(2)/25)*Calculateur!AQ137*Calculateur!AS137*VLOOKUP('Données projet'!$B$10,Paramètres!$A$1:$I$89,3,0)*0.475*44/12</f>
        <v>0.51622841872187253</v>
      </c>
      <c r="AW137" s="21">
        <f>EXP(-LN(2)/2)*AW136+(1-EXP(-LN(2)/2))/(LN(2)/2)*AQ137*AT137*VLOOKUP('Données projet'!$B$10,Paramètres!$A$1:$I$89,3,0)*0.475*44/12</f>
        <v>3.1924548797657355E-15</v>
      </c>
      <c r="AX137" s="21">
        <f t="shared" si="114"/>
        <v>1.1068657913792346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-4.5474735088646412E-13</v>
      </c>
      <c r="BE137" s="13">
        <f>BD137*VLOOKUP('Données projet'!$B$11,Paramètres!$A$1:$I$89,3,0)*VLOOKUP('Données projet'!$B$11,Paramètres!$A$1:$I$89,5,0)</f>
        <v>-2.7193891583010558E-13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216.94426559495264</v>
      </c>
      <c r="BJ137" s="59">
        <f t="shared" si="146"/>
        <v>225.33715877618704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0.71877581386668632</v>
      </c>
      <c r="BR137" s="21">
        <f>EXP(-LN(2)/2)*BR136+(1-EXP(-LN(2)/2))/(LN(2)/2)*BL137*BO137*VLOOKUP('Données projet'!$B$11,Paramètres!$A$1:$I$89,3,0)*0.475*44/12</f>
        <v>5.2689763383060243E-15</v>
      </c>
      <c r="BS137" s="22">
        <f t="shared" si="117"/>
        <v>0.71877581386669154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-2.8421709430404007E-14</v>
      </c>
      <c r="BZ137" s="13">
        <f>BY137*VLOOKUP('Données projet'!$B$12,Paramètres!$A$1:$I$89,3,0)*VLOOKUP('Données projet'!$B$12,Paramètres!$A$1:$I$89,5,0)</f>
        <v>-2.4829205358400945E-14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223.81948236065614</v>
      </c>
      <c r="CE137" s="59">
        <f t="shared" si="148"/>
        <v>320.1204011431372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0.39180572819804921</v>
      </c>
      <c r="CL137" s="21">
        <f>EXP(-LN(2)/25)*CL136+(1-EXP(-LN(2)/25))/(LN(2)/25)*Calculateur!CG137*Calculateur!CI137*VLOOKUP('Données projet'!$B$12,Paramètres!$A$1:$I$89,3,0)*0.475*44/12</f>
        <v>0.98969661173257262</v>
      </c>
      <c r="CM137" s="21">
        <f>EXP(-LN(2)/2)*CM136+(1-EXP(-LN(2)/2))/(LN(2)/2)*CG137*CJ137*VLOOKUP('Données projet'!$B$12,Paramètres!$A$1:$I$89,3,0)*0.475*44/12</f>
        <v>6.1661801907064087E-15</v>
      </c>
      <c r="CN137" s="22">
        <f t="shared" si="120"/>
        <v>1.3815023399306281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-1.9065282685915009E-13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279.98352834501759</v>
      </c>
      <c r="T138" s="59">
        <f t="shared" si="142"/>
        <v>281.30062655265488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0.49961899623548428</v>
      </c>
      <c r="AA138" s="21">
        <f>EXP(-LN(2)/25)*AA137+(1-EXP(-LN(2)/25))/(LN(2)/25)*Calculateur!V138*Calculateur!X138*VLOOKUP('Données projet'!$B$9,Paramètres!$A$1:$I$89,3,0)*0.475*44/12</f>
        <v>1.3181739062922133</v>
      </c>
      <c r="AB138" s="21">
        <f>EXP(-LN(2)/2)*AB137+(1-EXP(-LN(2)/2))/(LN(2)/2)*V138*Y138*VLOOKUP('Données projet'!$B$9,Paramètres!$A$1:$I$89,3,0)*0.475*44/12</f>
        <v>4.4460528555556531E-15</v>
      </c>
      <c r="AC138" s="22">
        <f t="shared" si="111"/>
        <v>1.817792902527702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-1.1368683772161603E-12</v>
      </c>
      <c r="AJ138" s="13">
        <f>AI138*VLOOKUP('Données projet'!$B$10,Paramètres!$A$1:$I$89,3,0)*VLOOKUP('Données projet'!$B$10,Paramètres!$A$1:$I$89,5,0)</f>
        <v>-5.4683368944097316E-13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252.30925789500111</v>
      </c>
      <c r="AO138" s="59">
        <f t="shared" si="144"/>
        <v>213.96033794804805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0.57905533403277343</v>
      </c>
      <c r="AV138" s="21">
        <f>EXP(-LN(2)/25)*AV137+(1-EXP(-LN(2)/25))/(LN(2)/25)*Calculateur!AQ138*Calculateur!AS138*VLOOKUP('Données projet'!$B$10,Paramètres!$A$1:$I$89,3,0)*0.475*44/12</f>
        <v>0.50211212546465023</v>
      </c>
      <c r="AW138" s="21">
        <f>EXP(-LN(2)/2)*AW137+(1-EXP(-LN(2)/2))/(LN(2)/2)*AQ138*AT138*VLOOKUP('Données projet'!$B$10,Paramètres!$A$1:$I$89,3,0)*0.475*44/12</f>
        <v>2.2574064941144358E-15</v>
      </c>
      <c r="AX138" s="21">
        <f t="shared" si="114"/>
        <v>1.0811674594974259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-4.5474735088646412E-13</v>
      </c>
      <c r="BE138" s="13">
        <f>BD138*VLOOKUP('Données projet'!$B$11,Paramètres!$A$1:$I$89,3,0)*VLOOKUP('Données projet'!$B$11,Paramètres!$A$1:$I$89,5,0)</f>
        <v>-2.7193891583010558E-13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216.94426559495264</v>
      </c>
      <c r="BJ138" s="59">
        <f t="shared" si="146"/>
        <v>225.33715877618704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0.69912085143772451</v>
      </c>
      <c r="BR138" s="21">
        <f>EXP(-LN(2)/2)*BR137+(1-EXP(-LN(2)/2))/(LN(2)/2)*BL138*BO138*VLOOKUP('Données projet'!$B$11,Paramètres!$A$1:$I$89,3,0)*0.475*44/12</f>
        <v>3.7257288987276542E-15</v>
      </c>
      <c r="BS138" s="22">
        <f t="shared" si="117"/>
        <v>0.69912085143772829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-2.8421709430404007E-14</v>
      </c>
      <c r="BZ138" s="13">
        <f>BY138*VLOOKUP('Données projet'!$B$12,Paramètres!$A$1:$I$89,3,0)*VLOOKUP('Données projet'!$B$12,Paramètres!$A$1:$I$89,5,0)</f>
        <v>-2.4829205358400945E-14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223.81948236065614</v>
      </c>
      <c r="CE138" s="59">
        <f t="shared" si="148"/>
        <v>320.1204011431372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0.38412265684598257</v>
      </c>
      <c r="CL138" s="21">
        <f>EXP(-LN(2)/25)*CL137+(1-EXP(-LN(2)/25))/(LN(2)/25)*Calculateur!CG138*Calculateur!CI138*VLOOKUP('Données projet'!$B$12,Paramètres!$A$1:$I$89,3,0)*0.475*44/12</f>
        <v>0.96263330583886264</v>
      </c>
      <c r="CM138" s="21">
        <f>EXP(-LN(2)/2)*CM137+(1-EXP(-LN(2)/2))/(LN(2)/2)*CG138*CJ138*VLOOKUP('Données projet'!$B$12,Paramètres!$A$1:$I$89,3,0)*0.475*44/12</f>
        <v>4.3601478268666603E-15</v>
      </c>
      <c r="CN138" s="22">
        <f t="shared" si="120"/>
        <v>1.3467559626848495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-1.9065282685915009E-13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279.98352834501759</v>
      </c>
      <c r="T139" s="59">
        <f t="shared" si="142"/>
        <v>281.30062655265488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0.48982177245680381</v>
      </c>
      <c r="AA139" s="21">
        <f>EXP(-LN(2)/25)*AA138+(1-EXP(-LN(2)/25))/(LN(2)/25)*Calculateur!V139*Calculateur!X139*VLOOKUP('Données projet'!$B$9,Paramètres!$A$1:$I$89,3,0)*0.475*44/12</f>
        <v>1.2821283715048997</v>
      </c>
      <c r="AB139" s="21">
        <f>EXP(-LN(2)/2)*AB138+(1-EXP(-LN(2)/2))/(LN(2)/2)*V139*Y139*VLOOKUP('Données projet'!$B$9,Paramètres!$A$1:$I$89,3,0)*0.475*44/12</f>
        <v>3.143834123677216E-15</v>
      </c>
      <c r="AC139" s="22">
        <f t="shared" si="111"/>
        <v>1.7719501439617065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-1.1368683772161603E-12</v>
      </c>
      <c r="AJ139" s="13">
        <f>AI139*VLOOKUP('Données projet'!$B$10,Paramètres!$A$1:$I$89,3,0)*VLOOKUP('Données projet'!$B$10,Paramètres!$A$1:$I$89,5,0)</f>
        <v>-5.4683368944097316E-13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252.30925789500111</v>
      </c>
      <c r="AO139" s="59">
        <f t="shared" si="144"/>
        <v>213.96033794804805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0.56770041212126998</v>
      </c>
      <c r="AV139" s="21">
        <f>EXP(-LN(2)/25)*AV138+(1-EXP(-LN(2)/25))/(LN(2)/25)*Calculateur!AQ139*Calculateur!AS139*VLOOKUP('Données projet'!$B$10,Paramètres!$A$1:$I$89,3,0)*0.475*44/12</f>
        <v>0.48838184298889026</v>
      </c>
      <c r="AW139" s="21">
        <f>EXP(-LN(2)/2)*AW138+(1-EXP(-LN(2)/2))/(LN(2)/2)*AQ139*AT139*VLOOKUP('Données projet'!$B$10,Paramètres!$A$1:$I$89,3,0)*0.475*44/12</f>
        <v>1.5962274398828677E-15</v>
      </c>
      <c r="AX139" s="21">
        <f t="shared" si="114"/>
        <v>1.0560822551101618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-4.5474735088646412E-13</v>
      </c>
      <c r="BE139" s="13">
        <f>BD139*VLOOKUP('Données projet'!$B$11,Paramètres!$A$1:$I$89,3,0)*VLOOKUP('Données projet'!$B$11,Paramètres!$A$1:$I$89,5,0)</f>
        <v>-2.7193891583010558E-13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216.94426559495264</v>
      </c>
      <c r="BJ139" s="59">
        <f t="shared" si="146"/>
        <v>225.33715877618704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0.6800033549899922</v>
      </c>
      <c r="BR139" s="21">
        <f>EXP(-LN(2)/2)*BR138+(1-EXP(-LN(2)/2))/(LN(2)/2)*BL139*BO139*VLOOKUP('Données projet'!$B$11,Paramètres!$A$1:$I$89,3,0)*0.475*44/12</f>
        <v>2.6344881691530121E-15</v>
      </c>
      <c r="BS139" s="22">
        <f t="shared" si="117"/>
        <v>0.68000335498999487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-2.8421709430404007E-14</v>
      </c>
      <c r="BZ139" s="13">
        <f>BY139*VLOOKUP('Données projet'!$B$12,Paramètres!$A$1:$I$89,3,0)*VLOOKUP('Données projet'!$B$12,Paramètres!$A$1:$I$89,5,0)</f>
        <v>-2.4829205358400945E-14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223.81948236065614</v>
      </c>
      <c r="CE139" s="59">
        <f t="shared" si="148"/>
        <v>320.1204011431372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0.37659024583691914</v>
      </c>
      <c r="CL139" s="21">
        <f>EXP(-LN(2)/25)*CL138+(1-EXP(-LN(2)/25))/(LN(2)/25)*Calculateur!CG139*Calculateur!CI139*VLOOKUP('Données projet'!$B$12,Paramètres!$A$1:$I$89,3,0)*0.475*44/12</f>
        <v>0.9363100474680135</v>
      </c>
      <c r="CM139" s="21">
        <f>EXP(-LN(2)/2)*CM138+(1-EXP(-LN(2)/2))/(LN(2)/2)*CG139*CJ139*VLOOKUP('Données projet'!$B$12,Paramètres!$A$1:$I$89,3,0)*0.475*44/12</f>
        <v>3.0830900953532043E-15</v>
      </c>
      <c r="CN139" s="22">
        <f t="shared" si="120"/>
        <v>1.3129002933049359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-1.9065282685915009E-13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279.98352834501759</v>
      </c>
      <c r="T140" s="59">
        <f t="shared" si="142"/>
        <v>281.30062655265488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0.4802166662607068</v>
      </c>
      <c r="AA140" s="21">
        <f>EXP(-LN(2)/25)*AA139+(1-EXP(-LN(2)/25))/(LN(2)/25)*Calculateur!V140*Calculateur!X140*VLOOKUP('Données projet'!$B$9,Paramètres!$A$1:$I$89,3,0)*0.475*44/12</f>
        <v>1.2470685037618974</v>
      </c>
      <c r="AB140" s="21">
        <f>EXP(-LN(2)/2)*AB139+(1-EXP(-LN(2)/2))/(LN(2)/2)*V140*Y140*VLOOKUP('Données projet'!$B$9,Paramètres!$A$1:$I$89,3,0)*0.475*44/12</f>
        <v>2.2230264277778266E-15</v>
      </c>
      <c r="AC140" s="22">
        <f t="shared" si="111"/>
        <v>1.7272851700226064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-1.1368683772161603E-12</v>
      </c>
      <c r="AJ140" s="13">
        <f>AI140*VLOOKUP('Données projet'!$B$10,Paramètres!$A$1:$I$89,3,0)*VLOOKUP('Données projet'!$B$10,Paramètres!$A$1:$I$89,5,0)</f>
        <v>-5.4683368944097316E-13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252.30925789500111</v>
      </c>
      <c r="AO140" s="59">
        <f t="shared" si="144"/>
        <v>213.96033794804805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0.55656815330263265</v>
      </c>
      <c r="AV140" s="21">
        <f>EXP(-LN(2)/25)*AV139+(1-EXP(-LN(2)/25))/(LN(2)/25)*Calculateur!AQ140*Calculateur!AS140*VLOOKUP('Données projet'!$B$10,Paramètres!$A$1:$I$89,3,0)*0.475*44/12</f>
        <v>0.47502701580947415</v>
      </c>
      <c r="AW140" s="21">
        <f>EXP(-LN(2)/2)*AW139+(1-EXP(-LN(2)/2))/(LN(2)/2)*AQ140*AT140*VLOOKUP('Données projet'!$B$10,Paramètres!$A$1:$I$89,3,0)*0.475*44/12</f>
        <v>1.1287032470572179E-15</v>
      </c>
      <c r="AX140" s="21">
        <f t="shared" si="114"/>
        <v>1.0315951691121079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-4.5474735088646412E-13</v>
      </c>
      <c r="BE140" s="13">
        <f>BD140*VLOOKUP('Données projet'!$B$11,Paramètres!$A$1:$I$89,3,0)*VLOOKUP('Données projet'!$B$11,Paramètres!$A$1:$I$89,5,0)</f>
        <v>-2.7193891583010558E-13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216.94426559495264</v>
      </c>
      <c r="BJ140" s="59">
        <f t="shared" si="146"/>
        <v>225.33715877618704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0.66140862748796858</v>
      </c>
      <c r="BR140" s="21">
        <f>EXP(-LN(2)/2)*BR139+(1-EXP(-LN(2)/2))/(LN(2)/2)*BL140*BO140*VLOOKUP('Données projet'!$B$11,Paramètres!$A$1:$I$89,3,0)*0.475*44/12</f>
        <v>1.8628644493638271E-15</v>
      </c>
      <c r="BS140" s="22">
        <f t="shared" si="117"/>
        <v>0.66140862748797047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-2.8421709430404007E-14</v>
      </c>
      <c r="BZ140" s="13">
        <f>BY140*VLOOKUP('Données projet'!$B$12,Paramètres!$A$1:$I$89,3,0)*VLOOKUP('Données projet'!$B$12,Paramètres!$A$1:$I$89,5,0)</f>
        <v>-2.4829205358400945E-14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223.81948236065614</v>
      </c>
      <c r="CE140" s="59">
        <f t="shared" si="148"/>
        <v>320.1204011431372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0.36920554081342638</v>
      </c>
      <c r="CL140" s="21">
        <f>EXP(-LN(2)/25)*CL139+(1-EXP(-LN(2)/25))/(LN(2)/25)*Calculateur!CG140*Calculateur!CI140*VLOOKUP('Données projet'!$B$12,Paramètres!$A$1:$I$89,3,0)*0.475*44/12</f>
        <v>0.9107065999815952</v>
      </c>
      <c r="CM140" s="21">
        <f>EXP(-LN(2)/2)*CM139+(1-EXP(-LN(2)/2))/(LN(2)/2)*CG140*CJ140*VLOOKUP('Données projet'!$B$12,Paramètres!$A$1:$I$89,3,0)*0.475*44/12</f>
        <v>2.1800739134333302E-15</v>
      </c>
      <c r="CN140" s="22">
        <f t="shared" si="120"/>
        <v>1.2799121407950238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-1.9065282685915009E-13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279.98352834501759</v>
      </c>
      <c r="T141" s="59">
        <f t="shared" si="142"/>
        <v>281.30062655265488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0.47079991033857899</v>
      </c>
      <c r="AA141" s="21">
        <f>EXP(-LN(2)/25)*AA140+(1-EXP(-LN(2)/25))/(LN(2)/25)*Calculateur!V141*Calculateur!X141*VLOOKUP('Données projet'!$B$9,Paramètres!$A$1:$I$89,3,0)*0.475*44/12</f>
        <v>1.2129673499460458</v>
      </c>
      <c r="AB141" s="21">
        <f>EXP(-LN(2)/2)*AB140+(1-EXP(-LN(2)/2))/(LN(2)/2)*V141*Y141*VLOOKUP('Données projet'!$B$9,Paramètres!$A$1:$I$89,3,0)*0.475*44/12</f>
        <v>1.571917061838608E-15</v>
      </c>
      <c r="AC141" s="22">
        <f t="shared" si="111"/>
        <v>1.6837672602846263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-1.1368683772161603E-12</v>
      </c>
      <c r="AJ141" s="13">
        <f>AI141*VLOOKUP('Données projet'!$B$10,Paramètres!$A$1:$I$89,3,0)*VLOOKUP('Données projet'!$B$10,Paramètres!$A$1:$I$89,5,0)</f>
        <v>-5.4683368944097316E-13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252.30925789500111</v>
      </c>
      <c r="AO141" s="59">
        <f t="shared" si="144"/>
        <v>213.96033794804805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0.54565419128942139</v>
      </c>
      <c r="AV141" s="21">
        <f>EXP(-LN(2)/25)*AV140+(1-EXP(-LN(2)/25))/(LN(2)/25)*Calculateur!AQ141*Calculateur!AS141*VLOOKUP('Données projet'!$B$10,Paramètres!$A$1:$I$89,3,0)*0.475*44/12</f>
        <v>0.46203737708157899</v>
      </c>
      <c r="AW141" s="21">
        <f>EXP(-LN(2)/2)*AW140+(1-EXP(-LN(2)/2))/(LN(2)/2)*AQ141*AT141*VLOOKUP('Données projet'!$B$10,Paramètres!$A$1:$I$89,3,0)*0.475*44/12</f>
        <v>7.9811371994143387E-16</v>
      </c>
      <c r="AX141" s="21">
        <f t="shared" si="114"/>
        <v>1.0076915683710013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-4.5474735088646412E-13</v>
      </c>
      <c r="BE141" s="13">
        <f>BD141*VLOOKUP('Données projet'!$B$11,Paramètres!$A$1:$I$89,3,0)*VLOOKUP('Données projet'!$B$11,Paramètres!$A$1:$I$89,5,0)</f>
        <v>-2.7193891583010558E-13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216.94426559495264</v>
      </c>
      <c r="BJ141" s="59">
        <f t="shared" si="146"/>
        <v>225.33715877618704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0.64332237378734203</v>
      </c>
      <c r="BR141" s="21">
        <f>EXP(-LN(2)/2)*BR140+(1-EXP(-LN(2)/2))/(LN(2)/2)*BL141*BO141*VLOOKUP('Données projet'!$B$11,Paramètres!$A$1:$I$89,3,0)*0.475*44/12</f>
        <v>1.3172440845765061E-15</v>
      </c>
      <c r="BS141" s="22">
        <f t="shared" si="117"/>
        <v>0.64332237378734336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-2.8421709430404007E-14</v>
      </c>
      <c r="BZ141" s="13">
        <f>BY141*VLOOKUP('Données projet'!$B$12,Paramètres!$A$1:$I$89,3,0)*VLOOKUP('Données projet'!$B$12,Paramètres!$A$1:$I$89,5,0)</f>
        <v>-2.4829205358400945E-14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223.81948236065614</v>
      </c>
      <c r="CE141" s="59">
        <f t="shared" si="148"/>
        <v>320.1204011431372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0.361965645351219</v>
      </c>
      <c r="CL141" s="21">
        <f>EXP(-LN(2)/25)*CL140+(1-EXP(-LN(2)/25))/(LN(2)/25)*Calculateur!CG141*Calculateur!CI141*VLOOKUP('Données projet'!$B$12,Paramètres!$A$1:$I$89,3,0)*0.475*44/12</f>
        <v>0.88580328011311982</v>
      </c>
      <c r="CM141" s="21">
        <f>EXP(-LN(2)/2)*CM140+(1-EXP(-LN(2)/2))/(LN(2)/2)*CG141*CJ141*VLOOKUP('Données projet'!$B$12,Paramètres!$A$1:$I$89,3,0)*0.475*44/12</f>
        <v>1.5415450476766022E-15</v>
      </c>
      <c r="CN141" s="22">
        <f t="shared" si="120"/>
        <v>1.2477689254643403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-1.9065282685915009E-13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279.98352834501759</v>
      </c>
      <c r="T142" s="59">
        <f t="shared" si="142"/>
        <v>281.30062655265488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0.46156781125643009</v>
      </c>
      <c r="AA142" s="21">
        <f>EXP(-LN(2)/25)*AA141+(1-EXP(-LN(2)/25))/(LN(2)/25)*Calculateur!V142*Calculateur!X142*VLOOKUP('Données projet'!$B$9,Paramètres!$A$1:$I$89,3,0)*0.475*44/12</f>
        <v>1.1797986939745906</v>
      </c>
      <c r="AB142" s="21">
        <f>EXP(-LN(2)/2)*AB141+(1-EXP(-LN(2)/2))/(LN(2)/2)*V142*Y142*VLOOKUP('Données projet'!$B$9,Paramètres!$A$1:$I$89,3,0)*0.475*44/12</f>
        <v>1.1115132138889133E-15</v>
      </c>
      <c r="AC142" s="22">
        <f t="shared" si="111"/>
        <v>1.6413665052310218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-1.1368683772161603E-12</v>
      </c>
      <c r="AJ142" s="13">
        <f>AI142*VLOOKUP('Données projet'!$B$10,Paramètres!$A$1:$I$89,3,0)*VLOOKUP('Données projet'!$B$10,Paramètres!$A$1:$I$89,5,0)</f>
        <v>-5.4683368944097316E-13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252.30925789500111</v>
      </c>
      <c r="AO142" s="59">
        <f t="shared" si="144"/>
        <v>213.96033794804805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0.5349542454144296</v>
      </c>
      <c r="AV142" s="21">
        <f>EXP(-LN(2)/25)*AV141+(1-EXP(-LN(2)/25))/(LN(2)/25)*Calculateur!AQ142*Calculateur!AS142*VLOOKUP('Données projet'!$B$10,Paramètres!$A$1:$I$89,3,0)*0.475*44/12</f>
        <v>0.44940294070779357</v>
      </c>
      <c r="AW142" s="21">
        <f>EXP(-LN(2)/2)*AW141+(1-EXP(-LN(2)/2))/(LN(2)/2)*AQ142*AT142*VLOOKUP('Données projet'!$B$10,Paramètres!$A$1:$I$89,3,0)*0.475*44/12</f>
        <v>5.6435162352860894E-16</v>
      </c>
      <c r="AX142" s="21">
        <f t="shared" si="114"/>
        <v>0.98435718612222367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-4.5474735088646412E-13</v>
      </c>
      <c r="BE142" s="13">
        <f>BD142*VLOOKUP('Données projet'!$B$11,Paramètres!$A$1:$I$89,3,0)*VLOOKUP('Données projet'!$B$11,Paramètres!$A$1:$I$89,5,0)</f>
        <v>-2.7193891583010558E-13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216.94426559495264</v>
      </c>
      <c r="BJ142" s="59">
        <f t="shared" si="146"/>
        <v>225.33715877618704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0.6257306896452739</v>
      </c>
      <c r="BR142" s="21">
        <f>EXP(-LN(2)/2)*BR141+(1-EXP(-LN(2)/2))/(LN(2)/2)*BL142*BO142*VLOOKUP('Données projet'!$B$11,Paramètres!$A$1:$I$89,3,0)*0.475*44/12</f>
        <v>9.3143222468191356E-16</v>
      </c>
      <c r="BS142" s="22">
        <f t="shared" si="117"/>
        <v>0.62573068964527478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-2.8421709430404007E-14</v>
      </c>
      <c r="BZ142" s="13">
        <f>BY142*VLOOKUP('Données projet'!$B$12,Paramètres!$A$1:$I$89,3,0)*VLOOKUP('Données projet'!$B$12,Paramètres!$A$1:$I$89,5,0)</f>
        <v>-2.4829205358400945E-14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223.81948236065614</v>
      </c>
      <c r="CE142" s="59">
        <f t="shared" si="148"/>
        <v>320.1204011431372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0.35486771982312532</v>
      </c>
      <c r="CL142" s="21">
        <f>EXP(-LN(2)/25)*CL141+(1-EXP(-LN(2)/25))/(LN(2)/25)*Calculateur!CG142*Calculateur!CI142*VLOOKUP('Données projet'!$B$12,Paramètres!$A$1:$I$89,3,0)*0.475*44/12</f>
        <v>0.86158094283605657</v>
      </c>
      <c r="CM142" s="21">
        <f>EXP(-LN(2)/2)*CM141+(1-EXP(-LN(2)/2))/(LN(2)/2)*CG142*CJ142*VLOOKUP('Données projet'!$B$12,Paramètres!$A$1:$I$89,3,0)*0.475*44/12</f>
        <v>1.0900369567166651E-15</v>
      </c>
      <c r="CN142" s="22">
        <f t="shared" si="120"/>
        <v>1.2164486626591831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-1.9065282685915009E-13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279.98352834501759</v>
      </c>
      <c r="T143" s="59">
        <f t="shared" si="142"/>
        <v>281.30062655265488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0.45251674800625774</v>
      </c>
      <c r="AA143" s="21">
        <f>EXP(-LN(2)/25)*AA142+(1-EXP(-LN(2)/25))/(LN(2)/25)*Calculateur!V143*Calculateur!X143*VLOOKUP('Données projet'!$B$9,Paramètres!$A$1:$I$89,3,0)*0.475*44/12</f>
        <v>1.1475370366449384</v>
      </c>
      <c r="AB143" s="21">
        <f>EXP(-LN(2)/2)*AB142+(1-EXP(-LN(2)/2))/(LN(2)/2)*V143*Y143*VLOOKUP('Données projet'!$B$9,Paramètres!$A$1:$I$89,3,0)*0.475*44/12</f>
        <v>7.8595853091930401E-16</v>
      </c>
      <c r="AC143" s="22">
        <f t="shared" si="111"/>
        <v>1.6000537846511971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-1.1368683772161603E-12</v>
      </c>
      <c r="AJ143" s="13">
        <f>AI143*VLOOKUP('Données projet'!$B$10,Paramètres!$A$1:$I$89,3,0)*VLOOKUP('Données projet'!$B$10,Paramètres!$A$1:$I$89,5,0)</f>
        <v>-5.4683368944097316E-13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252.30925789500111</v>
      </c>
      <c r="AO143" s="59">
        <f t="shared" si="144"/>
        <v>213.96033794804805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0.52446411895172385</v>
      </c>
      <c r="AV143" s="21">
        <f>EXP(-LN(2)/25)*AV142+(1-EXP(-LN(2)/25))/(LN(2)/25)*Calculateur!AQ143*Calculateur!AS143*VLOOKUP('Données projet'!$B$10,Paramètres!$A$1:$I$89,3,0)*0.475*44/12</f>
        <v>0.43711399366106546</v>
      </c>
      <c r="AW143" s="21">
        <f>EXP(-LN(2)/2)*AW142+(1-EXP(-LN(2)/2))/(LN(2)/2)*AQ143*AT143*VLOOKUP('Données projet'!$B$10,Paramètres!$A$1:$I$89,3,0)*0.475*44/12</f>
        <v>3.9905685997071693E-16</v>
      </c>
      <c r="AX143" s="21">
        <f t="shared" si="114"/>
        <v>0.9615781126127898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-4.5474735088646412E-13</v>
      </c>
      <c r="BE143" s="13">
        <f>BD143*VLOOKUP('Données projet'!$B$11,Paramètres!$A$1:$I$89,3,0)*VLOOKUP('Données projet'!$B$11,Paramètres!$A$1:$I$89,5,0)</f>
        <v>-2.7193891583010558E-13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216.94426559495264</v>
      </c>
      <c r="BJ143" s="59">
        <f t="shared" si="146"/>
        <v>225.33715877618704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0.608620051031177</v>
      </c>
      <c r="BR143" s="21">
        <f>EXP(-LN(2)/2)*BR142+(1-EXP(-LN(2)/2))/(LN(2)/2)*BL143*BO143*VLOOKUP('Données projet'!$B$11,Paramètres!$A$1:$I$89,3,0)*0.475*44/12</f>
        <v>6.5862204228825304E-16</v>
      </c>
      <c r="BS143" s="22">
        <f t="shared" si="117"/>
        <v>0.60862005103117767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-2.8421709430404007E-14</v>
      </c>
      <c r="BZ143" s="13">
        <f>BY143*VLOOKUP('Données projet'!$B$12,Paramètres!$A$1:$I$89,3,0)*VLOOKUP('Données projet'!$B$12,Paramètres!$A$1:$I$89,5,0)</f>
        <v>-2.4829205358400945E-14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223.81948236065614</v>
      </c>
      <c r="CE143" s="59">
        <f t="shared" si="148"/>
        <v>320.1204011431372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0.34790898028533046</v>
      </c>
      <c r="CL143" s="21">
        <f>EXP(-LN(2)/25)*CL142+(1-EXP(-LN(2)/25))/(LN(2)/25)*Calculateur!CG143*Calculateur!CI143*VLOOKUP('Données projet'!$B$12,Paramètres!$A$1:$I$89,3,0)*0.475*44/12</f>
        <v>0.83802096664563197</v>
      </c>
      <c r="CM143" s="21">
        <f>EXP(-LN(2)/2)*CM142+(1-EXP(-LN(2)/2))/(LN(2)/2)*CG143*CJ143*VLOOKUP('Données projet'!$B$12,Paramètres!$A$1:$I$89,3,0)*0.475*44/12</f>
        <v>7.7077252383830108E-16</v>
      </c>
      <c r="CN143" s="22">
        <f t="shared" si="120"/>
        <v>1.185929946930963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-1.9065282685915009E-13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279.98352834501759</v>
      </c>
      <c r="T144" s="59">
        <f t="shared" si="142"/>
        <v>281.30062655265488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0.44364317058581781</v>
      </c>
      <c r="AA144" s="21">
        <f>EXP(-LN(2)/25)*AA143+(1-EXP(-LN(2)/25))/(LN(2)/25)*Calculateur!V144*Calculateur!X144*VLOOKUP('Données projet'!$B$9,Paramètres!$A$1:$I$89,3,0)*0.475*44/12</f>
        <v>1.1161575760315325</v>
      </c>
      <c r="AB144" s="21">
        <f>EXP(-LN(2)/2)*AB143+(1-EXP(-LN(2)/2))/(LN(2)/2)*V144*Y144*VLOOKUP('Données projet'!$B$9,Paramètres!$A$1:$I$89,3,0)*0.475*44/12</f>
        <v>5.5575660694445664E-16</v>
      </c>
      <c r="AC144" s="22">
        <f t="shared" si="111"/>
        <v>1.5598007466173509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-1.1368683772161603E-12</v>
      </c>
      <c r="AJ144" s="13">
        <f>AI144*VLOOKUP('Données projet'!$B$10,Paramètres!$A$1:$I$89,3,0)*VLOOKUP('Données projet'!$B$10,Paramètres!$A$1:$I$89,5,0)</f>
        <v>-5.4683368944097316E-13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252.30925789500111</v>
      </c>
      <c r="AO144" s="59">
        <f t="shared" si="144"/>
        <v>213.96033794804805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0.51417969747060643</v>
      </c>
      <c r="AV144" s="21">
        <f>EXP(-LN(2)/25)*AV143+(1-EXP(-LN(2)/25))/(LN(2)/25)*Calculateur!AQ144*Calculateur!AS144*VLOOKUP('Données projet'!$B$10,Paramètres!$A$1:$I$89,3,0)*0.475*44/12</f>
        <v>0.42516108851757772</v>
      </c>
      <c r="AW144" s="21">
        <f>EXP(-LN(2)/2)*AW143+(1-EXP(-LN(2)/2))/(LN(2)/2)*AQ144*AT144*VLOOKUP('Données projet'!$B$10,Paramètres!$A$1:$I$89,3,0)*0.475*44/12</f>
        <v>2.8217581176430447E-16</v>
      </c>
      <c r="AX144" s="21">
        <f t="shared" si="114"/>
        <v>0.93934078598818449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-4.5474735088646412E-13</v>
      </c>
      <c r="BE144" s="13">
        <f>BD144*VLOOKUP('Données projet'!$B$11,Paramètres!$A$1:$I$89,3,0)*VLOOKUP('Données projet'!$B$11,Paramètres!$A$1:$I$89,5,0)</f>
        <v>-2.7193891583010558E-13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216.94426559495264</v>
      </c>
      <c r="BJ144" s="59">
        <f t="shared" si="146"/>
        <v>225.33715877618704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0.59197730372979196</v>
      </c>
      <c r="BR144" s="21">
        <f>EXP(-LN(2)/2)*BR143+(1-EXP(-LN(2)/2))/(LN(2)/2)*BL144*BO144*VLOOKUP('Données projet'!$B$11,Paramètres!$A$1:$I$89,3,0)*0.475*44/12</f>
        <v>4.6571611234095678E-16</v>
      </c>
      <c r="BS144" s="22">
        <f t="shared" si="117"/>
        <v>0.5919773037297924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-2.8421709430404007E-14</v>
      </c>
      <c r="BZ144" s="13">
        <f>BY144*VLOOKUP('Données projet'!$B$12,Paramètres!$A$1:$I$89,3,0)*VLOOKUP('Données projet'!$B$12,Paramètres!$A$1:$I$89,5,0)</f>
        <v>-2.4829205358400945E-14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223.81948236065614</v>
      </c>
      <c r="CE144" s="59">
        <f t="shared" si="148"/>
        <v>320.1204011431372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0.34108669738545977</v>
      </c>
      <c r="CL144" s="21">
        <f>EXP(-LN(2)/25)*CL143+(1-EXP(-LN(2)/25))/(LN(2)/25)*Calculateur!CG144*Calculateur!CI144*VLOOKUP('Données projet'!$B$12,Paramètres!$A$1:$I$89,3,0)*0.475*44/12</f>
        <v>0.81510523924309985</v>
      </c>
      <c r="CM144" s="21">
        <f>EXP(-LN(2)/2)*CM143+(1-EXP(-LN(2)/2))/(LN(2)/2)*CG144*CJ144*VLOOKUP('Données projet'!$B$12,Paramètres!$A$1:$I$89,3,0)*0.475*44/12</f>
        <v>5.4501847835833254E-16</v>
      </c>
      <c r="CN144" s="22">
        <f t="shared" si="120"/>
        <v>1.15619193662856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-1.9065282685915009E-13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279.98352834501759</v>
      </c>
      <c r="T145" s="59">
        <f t="shared" si="142"/>
        <v>281.30062655265488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0.43494359860624487</v>
      </c>
      <c r="AA145" s="21">
        <f>EXP(-LN(2)/25)*AA144+(1-EXP(-LN(2)/25))/(LN(2)/25)*Calculateur!V145*Calculateur!X145*VLOOKUP('Données projet'!$B$9,Paramètres!$A$1:$I$89,3,0)*0.475*44/12</f>
        <v>1.0856361884187744</v>
      </c>
      <c r="AB145" s="21">
        <f>EXP(-LN(2)/2)*AB144+(1-EXP(-LN(2)/2))/(LN(2)/2)*V145*Y145*VLOOKUP('Données projet'!$B$9,Paramètres!$A$1:$I$89,3,0)*0.475*44/12</f>
        <v>3.9297926545965201E-16</v>
      </c>
      <c r="AC145" s="22">
        <f t="shared" si="111"/>
        <v>1.5205797870250197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-1.1368683772161603E-12</v>
      </c>
      <c r="AJ145" s="13">
        <f>AI145*VLOOKUP('Données projet'!$B$10,Paramètres!$A$1:$I$89,3,0)*VLOOKUP('Données projet'!$B$10,Paramètres!$A$1:$I$89,5,0)</f>
        <v>-5.4683368944097316E-13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252.30925789500111</v>
      </c>
      <c r="AO145" s="59">
        <f t="shared" si="144"/>
        <v>213.96033794804805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0.50409694722185605</v>
      </c>
      <c r="AV145" s="21">
        <f>EXP(-LN(2)/25)*AV144+(1-EXP(-LN(2)/25))/(LN(2)/25)*Calculateur!AQ145*Calculateur!AS145*VLOOKUP('Données projet'!$B$10,Paramètres!$A$1:$I$89,3,0)*0.475*44/12</f>
        <v>0.41353503619381465</v>
      </c>
      <c r="AW145" s="21">
        <f>EXP(-LN(2)/2)*AW144+(1-EXP(-LN(2)/2))/(LN(2)/2)*AQ145*AT145*VLOOKUP('Données projet'!$B$10,Paramètres!$A$1:$I$89,3,0)*0.475*44/12</f>
        <v>1.9952842998535847E-16</v>
      </c>
      <c r="AX145" s="21">
        <f t="shared" si="114"/>
        <v>0.91763198341567098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-4.5474735088646412E-13</v>
      </c>
      <c r="BE145" s="13">
        <f>BD145*VLOOKUP('Données projet'!$B$11,Paramètres!$A$1:$I$89,3,0)*VLOOKUP('Données projet'!$B$11,Paramètres!$A$1:$I$89,5,0)</f>
        <v>-2.7193891583010558E-13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216.94426559495264</v>
      </c>
      <c r="BJ145" s="59">
        <f t="shared" si="146"/>
        <v>225.33715877618704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0.57578965322856734</v>
      </c>
      <c r="BR145" s="21">
        <f>EXP(-LN(2)/2)*BR144+(1-EXP(-LN(2)/2))/(LN(2)/2)*BL145*BO145*VLOOKUP('Données projet'!$B$11,Paramètres!$A$1:$I$89,3,0)*0.475*44/12</f>
        <v>3.2931102114412652E-16</v>
      </c>
      <c r="BS145" s="22">
        <f t="shared" si="117"/>
        <v>0.57578965322856768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-2.8421709430404007E-14</v>
      </c>
      <c r="BZ145" s="13">
        <f>BY145*VLOOKUP('Données projet'!$B$12,Paramètres!$A$1:$I$89,3,0)*VLOOKUP('Données projet'!$B$12,Paramètres!$A$1:$I$89,5,0)</f>
        <v>-2.4829205358400945E-14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223.81948236065614</v>
      </c>
      <c r="CE145" s="59">
        <f t="shared" si="148"/>
        <v>320.1204011431372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0.33439819529207382</v>
      </c>
      <c r="CL145" s="21">
        <f>EXP(-LN(2)/25)*CL144+(1-EXP(-LN(2)/25))/(LN(2)/25)*Calculateur!CG145*Calculateur!CI145*VLOOKUP('Données projet'!$B$12,Paramètres!$A$1:$I$89,3,0)*0.475*44/12</f>
        <v>0.79281614361147568</v>
      </c>
      <c r="CM145" s="21">
        <f>EXP(-LN(2)/2)*CM144+(1-EXP(-LN(2)/2))/(LN(2)/2)*CG145*CJ145*VLOOKUP('Données projet'!$B$12,Paramètres!$A$1:$I$89,3,0)*0.475*44/12</f>
        <v>3.8538626191915054E-16</v>
      </c>
      <c r="CN145" s="22">
        <f t="shared" si="120"/>
        <v>1.1272143389035501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-1.9065282685915009E-13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279.98352834501759</v>
      </c>
      <c r="T146" s="59">
        <f t="shared" si="142"/>
        <v>281.30062655265488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0.42641461992697643</v>
      </c>
      <c r="AA146" s="21">
        <f>EXP(-LN(2)/25)*AA145+(1-EXP(-LN(2)/25))/(LN(2)/25)*Calculateur!V146*Calculateur!X146*VLOOKUP('Données projet'!$B$9,Paramètres!$A$1:$I$89,3,0)*0.475*44/12</f>
        <v>1.055949409755337</v>
      </c>
      <c r="AB146" s="21">
        <f>EXP(-LN(2)/2)*AB145+(1-EXP(-LN(2)/2))/(LN(2)/2)*V146*Y146*VLOOKUP('Données projet'!$B$9,Paramètres!$A$1:$I$89,3,0)*0.475*44/12</f>
        <v>2.7787830347222832E-16</v>
      </c>
      <c r="AC146" s="22">
        <f t="shared" si="111"/>
        <v>1.4823640296823137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-1.1368683772161603E-12</v>
      </c>
      <c r="AJ146" s="13">
        <f>AI146*VLOOKUP('Données projet'!$B$10,Paramètres!$A$1:$I$89,3,0)*VLOOKUP('Données projet'!$B$10,Paramètres!$A$1:$I$89,5,0)</f>
        <v>-5.4683368944097316E-13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252.30925789500111</v>
      </c>
      <c r="AO146" s="59">
        <f t="shared" si="144"/>
        <v>213.96033794804805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0.49421191355561322</v>
      </c>
      <c r="AV146" s="21">
        <f>EXP(-LN(2)/25)*AV145+(1-EXP(-LN(2)/25))/(LN(2)/25)*Calculateur!AQ146*Calculateur!AS146*VLOOKUP('Données projet'!$B$10,Paramètres!$A$1:$I$89,3,0)*0.475*44/12</f>
        <v>0.4022268988822324</v>
      </c>
      <c r="AW146" s="21">
        <f>EXP(-LN(2)/2)*AW145+(1-EXP(-LN(2)/2))/(LN(2)/2)*AQ146*AT146*VLOOKUP('Données projet'!$B$10,Paramètres!$A$1:$I$89,3,0)*0.475*44/12</f>
        <v>1.4108790588215224E-16</v>
      </c>
      <c r="AX146" s="21">
        <f t="shared" si="114"/>
        <v>0.89643881243784573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-4.5474735088646412E-13</v>
      </c>
      <c r="BE146" s="13">
        <f>BD146*VLOOKUP('Données projet'!$B$11,Paramètres!$A$1:$I$89,3,0)*VLOOKUP('Données projet'!$B$11,Paramètres!$A$1:$I$89,5,0)</f>
        <v>-2.7193891583010558E-13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216.94426559495264</v>
      </c>
      <c r="BJ146" s="59">
        <f t="shared" si="146"/>
        <v>225.33715877618704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0.56004465488157029</v>
      </c>
      <c r="BR146" s="21">
        <f>EXP(-LN(2)/2)*BR145+(1-EXP(-LN(2)/2))/(LN(2)/2)*BL146*BO146*VLOOKUP('Données projet'!$B$11,Paramètres!$A$1:$I$89,3,0)*0.475*44/12</f>
        <v>2.3285805617047839E-16</v>
      </c>
      <c r="BS146" s="22">
        <f t="shared" si="117"/>
        <v>0.56004465488157051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-2.8421709430404007E-14</v>
      </c>
      <c r="BZ146" s="13">
        <f>BY146*VLOOKUP('Données projet'!$B$12,Paramètres!$A$1:$I$89,3,0)*VLOOKUP('Données projet'!$B$12,Paramètres!$A$1:$I$89,5,0)</f>
        <v>-2.4829205358400945E-14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223.81948236065614</v>
      </c>
      <c r="CE146" s="59">
        <f t="shared" si="148"/>
        <v>320.1204011431372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0.32784085064515572</v>
      </c>
      <c r="CL146" s="21">
        <f>EXP(-LN(2)/25)*CL145+(1-EXP(-LN(2)/25))/(LN(2)/25)*Calculateur!CG146*Calculateur!CI146*VLOOKUP('Données projet'!$B$12,Paramètres!$A$1:$I$89,3,0)*0.475*44/12</f>
        <v>0.77113654447203084</v>
      </c>
      <c r="CM146" s="21">
        <f>EXP(-LN(2)/2)*CM145+(1-EXP(-LN(2)/2))/(LN(2)/2)*CG146*CJ146*VLOOKUP('Données projet'!$B$12,Paramètres!$A$1:$I$89,3,0)*0.475*44/12</f>
        <v>2.7250923917916627E-16</v>
      </c>
      <c r="CN146" s="22">
        <f t="shared" si="120"/>
        <v>1.0989773951171868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-1.9065282685915009E-13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279.98352834501759</v>
      </c>
      <c r="T147" s="59">
        <f t="shared" si="142"/>
        <v>281.30062655265488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0.41805288931744511</v>
      </c>
      <c r="AA147" s="21">
        <f>EXP(-LN(2)/25)*AA146+(1-EXP(-LN(2)/25))/(LN(2)/25)*Calculateur!V147*Calculateur!X147*VLOOKUP('Données projet'!$B$9,Paramètres!$A$1:$I$89,3,0)*0.475*44/12</f>
        <v>1.0270744176156112</v>
      </c>
      <c r="AB147" s="21">
        <f>EXP(-LN(2)/2)*AB146+(1-EXP(-LN(2)/2))/(LN(2)/2)*V147*Y147*VLOOKUP('Données projet'!$B$9,Paramètres!$A$1:$I$89,3,0)*0.475*44/12</f>
        <v>1.96489632729826E-16</v>
      </c>
      <c r="AC147" s="22">
        <f t="shared" si="111"/>
        <v>1.4451273069330566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-1.1368683772161603E-12</v>
      </c>
      <c r="AJ147" s="13">
        <f>AI147*VLOOKUP('Données projet'!$B$10,Paramètres!$A$1:$I$89,3,0)*VLOOKUP('Données projet'!$B$10,Paramètres!$A$1:$I$89,5,0)</f>
        <v>-5.4683368944097316E-13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252.30925789500111</v>
      </c>
      <c r="AO147" s="59">
        <f t="shared" si="144"/>
        <v>213.96033794804805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0.48452071937029023</v>
      </c>
      <c r="AV147" s="21">
        <f>EXP(-LN(2)/25)*AV146+(1-EXP(-LN(2)/25))/(LN(2)/25)*Calculateur!AQ147*Calculateur!AS147*VLOOKUP('Données projet'!$B$10,Paramètres!$A$1:$I$89,3,0)*0.475*44/12</f>
        <v>0.39122798318010443</v>
      </c>
      <c r="AW147" s="21">
        <f>EXP(-LN(2)/2)*AW146+(1-EXP(-LN(2)/2))/(LN(2)/2)*AQ147*AT147*VLOOKUP('Données projet'!$B$10,Paramètres!$A$1:$I$89,3,0)*0.475*44/12</f>
        <v>9.9764214992679234E-17</v>
      </c>
      <c r="AX147" s="21">
        <f t="shared" si="114"/>
        <v>0.87574870255039483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-4.5474735088646412E-13</v>
      </c>
      <c r="BE147" s="13">
        <f>BD147*VLOOKUP('Données projet'!$B$11,Paramètres!$A$1:$I$89,3,0)*VLOOKUP('Données projet'!$B$11,Paramètres!$A$1:$I$89,5,0)</f>
        <v>-2.7193891583010558E-13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216.94426559495264</v>
      </c>
      <c r="BJ147" s="59">
        <f t="shared" si="146"/>
        <v>225.33715877618704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0.5447302043423653</v>
      </c>
      <c r="BR147" s="21">
        <f>EXP(-LN(2)/2)*BR146+(1-EXP(-LN(2)/2))/(LN(2)/2)*BL147*BO147*VLOOKUP('Données projet'!$B$11,Paramètres!$A$1:$I$89,3,0)*0.475*44/12</f>
        <v>1.6465551057206326E-16</v>
      </c>
      <c r="BS147" s="22">
        <f t="shared" si="117"/>
        <v>0.54473020434236541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-2.8421709430404007E-14</v>
      </c>
      <c r="BZ147" s="13">
        <f>BY147*VLOOKUP('Données projet'!$B$12,Paramètres!$A$1:$I$89,3,0)*VLOOKUP('Données projet'!$B$12,Paramètres!$A$1:$I$89,5,0)</f>
        <v>-2.4829205358400945E-14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223.81948236065614</v>
      </c>
      <c r="CE147" s="59">
        <f t="shared" si="148"/>
        <v>320.1204011431372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0.32141209152717837</v>
      </c>
      <c r="CL147" s="21">
        <f>EXP(-LN(2)/25)*CL146+(1-EXP(-LN(2)/25))/(LN(2)/25)*Calculateur!CG147*Calculateur!CI147*VLOOKUP('Données projet'!$B$12,Paramètres!$A$1:$I$89,3,0)*0.475*44/12</f>
        <v>0.75004977511113469</v>
      </c>
      <c r="CM147" s="21">
        <f>EXP(-LN(2)/2)*CM146+(1-EXP(-LN(2)/2))/(LN(2)/2)*CG147*CJ147*VLOOKUP('Données projet'!$B$12,Paramètres!$A$1:$I$89,3,0)*0.475*44/12</f>
        <v>1.9269313095957527E-16</v>
      </c>
      <c r="CN147" s="22">
        <f t="shared" si="120"/>
        <v>1.0714618666383133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-1.9065282685915009E-13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279.98352834501759</v>
      </c>
      <c r="T148" s="59">
        <f t="shared" si="142"/>
        <v>281.30062655265488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0.4098551271450146</v>
      </c>
      <c r="AA148" s="21">
        <f>EXP(-LN(2)/25)*AA147+(1-EXP(-LN(2)/25))/(LN(2)/25)*Calculateur!V148*Calculateur!X148*VLOOKUP('Données projet'!$B$9,Paramètres!$A$1:$I$89,3,0)*0.475*44/12</f>
        <v>0.99898901365441617</v>
      </c>
      <c r="AB148" s="21">
        <f>EXP(-LN(2)/2)*AB147+(1-EXP(-LN(2)/2))/(LN(2)/2)*V148*Y148*VLOOKUP('Données projet'!$B$9,Paramètres!$A$1:$I$89,3,0)*0.475*44/12</f>
        <v>1.3893915173611416E-16</v>
      </c>
      <c r="AC148" s="22">
        <f t="shared" si="111"/>
        <v>1.408844140799431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-1.1368683772161603E-12</v>
      </c>
      <c r="AJ148" s="13">
        <f>AI148*VLOOKUP('Données projet'!$B$10,Paramètres!$A$1:$I$89,3,0)*VLOOKUP('Données projet'!$B$10,Paramètres!$A$1:$I$89,5,0)</f>
        <v>-5.4683368944097316E-13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252.30925789500111</v>
      </c>
      <c r="AO148" s="59">
        <f t="shared" si="144"/>
        <v>213.96033794804805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0.47501956359189662</v>
      </c>
      <c r="AV148" s="21">
        <f>EXP(-LN(2)/25)*AV147+(1-EXP(-LN(2)/25))/(LN(2)/25)*Calculateur!AQ148*Calculateur!AS148*VLOOKUP('Données projet'!$B$10,Paramètres!$A$1:$I$89,3,0)*0.475*44/12</f>
        <v>0.38052983340625901</v>
      </c>
      <c r="AW148" s="21">
        <f>EXP(-LN(2)/2)*AW147+(1-EXP(-LN(2)/2))/(LN(2)/2)*AQ148*AT148*VLOOKUP('Données projet'!$B$10,Paramètres!$A$1:$I$89,3,0)*0.475*44/12</f>
        <v>7.0543952941076118E-17</v>
      </c>
      <c r="AX148" s="21">
        <f t="shared" si="114"/>
        <v>0.85554939699815569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-4.5474735088646412E-13</v>
      </c>
      <c r="BE148" s="13">
        <f>BD148*VLOOKUP('Données projet'!$B$11,Paramètres!$A$1:$I$89,3,0)*VLOOKUP('Données projet'!$B$11,Paramètres!$A$1:$I$89,5,0)</f>
        <v>-2.7193891583010558E-13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216.94426559495264</v>
      </c>
      <c r="BJ148" s="59">
        <f t="shared" si="146"/>
        <v>225.33715877618704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0.52983452825850685</v>
      </c>
      <c r="BR148" s="21">
        <f>EXP(-LN(2)/2)*BR147+(1-EXP(-LN(2)/2))/(LN(2)/2)*BL148*BO148*VLOOKUP('Données projet'!$B$11,Paramètres!$A$1:$I$89,3,0)*0.475*44/12</f>
        <v>1.1642902808523919E-16</v>
      </c>
      <c r="BS148" s="22">
        <f t="shared" si="117"/>
        <v>0.52983452825850696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-2.8421709430404007E-14</v>
      </c>
      <c r="BZ148" s="13">
        <f>BY148*VLOOKUP('Données projet'!$B$12,Paramètres!$A$1:$I$89,3,0)*VLOOKUP('Données projet'!$B$12,Paramètres!$A$1:$I$89,5,0)</f>
        <v>-2.4829205358400945E-14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223.81948236065614</v>
      </c>
      <c r="CE148" s="59">
        <f t="shared" si="148"/>
        <v>320.1204011431372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0.31510939645434871</v>
      </c>
      <c r="CL148" s="21">
        <f>EXP(-LN(2)/25)*CL147+(1-EXP(-LN(2)/25))/(LN(2)/25)*Calculateur!CG148*Calculateur!CI148*VLOOKUP('Données projet'!$B$12,Paramètres!$A$1:$I$89,3,0)*0.475*44/12</f>
        <v>0.72953962456731725</v>
      </c>
      <c r="CM148" s="21">
        <f>EXP(-LN(2)/2)*CM147+(1-EXP(-LN(2)/2))/(LN(2)/2)*CG148*CJ148*VLOOKUP('Données projet'!$B$12,Paramètres!$A$1:$I$89,3,0)*0.475*44/12</f>
        <v>1.3625461958958313E-16</v>
      </c>
      <c r="CN148" s="22">
        <f t="shared" si="120"/>
        <v>1.0446490210216661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-1.9065282685915009E-13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279.98352834501759</v>
      </c>
      <c r="T149" s="59">
        <f t="shared" si="142"/>
        <v>281.30062655265488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0.40181811808864426</v>
      </c>
      <c r="AA149" s="21">
        <f>EXP(-LN(2)/25)*AA148+(1-EXP(-LN(2)/25))/(LN(2)/25)*Calculateur!V149*Calculateur!X149*VLOOKUP('Données projet'!$B$9,Paramètres!$A$1:$I$89,3,0)*0.475*44/12</f>
        <v>0.9716716065414871</v>
      </c>
      <c r="AB149" s="21">
        <f>EXP(-LN(2)/2)*AB148+(1-EXP(-LN(2)/2))/(LN(2)/2)*V149*Y149*VLOOKUP('Données projet'!$B$9,Paramètres!$A$1:$I$89,3,0)*0.475*44/12</f>
        <v>9.8244816364913001E-17</v>
      </c>
      <c r="AC149" s="22">
        <f t="shared" si="111"/>
        <v>1.3734897246301314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-1.1368683772161603E-12</v>
      </c>
      <c r="AJ149" s="13">
        <f>AI149*VLOOKUP('Données projet'!$B$10,Paramètres!$A$1:$I$89,3,0)*VLOOKUP('Données projet'!$B$10,Paramètres!$A$1:$I$89,5,0)</f>
        <v>-5.4683368944097316E-13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252.30925789500111</v>
      </c>
      <c r="AO149" s="59">
        <f t="shared" si="144"/>
        <v>213.96033794804805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0.46570471968318455</v>
      </c>
      <c r="AV149" s="21">
        <f>EXP(-LN(2)/25)*AV148+(1-EXP(-LN(2)/25))/(LN(2)/25)*Calculateur!AQ149*Calculateur!AS149*VLOOKUP('Données projet'!$B$10,Paramètres!$A$1:$I$89,3,0)*0.475*44/12</f>
        <v>0.37012422510057064</v>
      </c>
      <c r="AW149" s="21">
        <f>EXP(-LN(2)/2)*AW148+(1-EXP(-LN(2)/2))/(LN(2)/2)*AQ149*AT149*VLOOKUP('Données projet'!$B$10,Paramètres!$A$1:$I$89,3,0)*0.475*44/12</f>
        <v>4.9882107496339617E-17</v>
      </c>
      <c r="AX149" s="21">
        <f t="shared" si="114"/>
        <v>0.83582894478375525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-4.5474735088646412E-13</v>
      </c>
      <c r="BE149" s="13">
        <f>BD149*VLOOKUP('Données projet'!$B$11,Paramètres!$A$1:$I$89,3,0)*VLOOKUP('Données projet'!$B$11,Paramètres!$A$1:$I$89,5,0)</f>
        <v>-2.7193891583010558E-13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216.94426559495264</v>
      </c>
      <c r="BJ149" s="59">
        <f t="shared" si="146"/>
        <v>225.33715877618704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0.51534617522049109</v>
      </c>
      <c r="BR149" s="21">
        <f>EXP(-LN(2)/2)*BR148+(1-EXP(-LN(2)/2))/(LN(2)/2)*BL149*BO149*VLOOKUP('Données projet'!$B$11,Paramètres!$A$1:$I$89,3,0)*0.475*44/12</f>
        <v>8.232775528603163E-17</v>
      </c>
      <c r="BS149" s="22">
        <f t="shared" si="117"/>
        <v>0.5153461752204912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-2.8421709430404007E-14</v>
      </c>
      <c r="BZ149" s="13">
        <f>BY149*VLOOKUP('Données projet'!$B$12,Paramètres!$A$1:$I$89,3,0)*VLOOKUP('Données projet'!$B$12,Paramètres!$A$1:$I$89,5,0)</f>
        <v>-2.4829205358400945E-14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223.81948236065614</v>
      </c>
      <c r="CE149" s="59">
        <f t="shared" si="148"/>
        <v>320.1204011431372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0.30893029338763284</v>
      </c>
      <c r="CL149" s="21">
        <f>EXP(-LN(2)/25)*CL148+(1-EXP(-LN(2)/25))/(LN(2)/25)*Calculateur!CG149*Calculateur!CI149*VLOOKUP('Données projet'!$B$12,Paramètres!$A$1:$I$89,3,0)*0.475*44/12</f>
        <v>0.70959032516870246</v>
      </c>
      <c r="CM149" s="21">
        <f>EXP(-LN(2)/2)*CM148+(1-EXP(-LN(2)/2))/(LN(2)/2)*CG149*CJ149*VLOOKUP('Données projet'!$B$12,Paramètres!$A$1:$I$89,3,0)*0.475*44/12</f>
        <v>9.6346565479787636E-17</v>
      </c>
      <c r="CN149" s="22">
        <f t="shared" si="120"/>
        <v>1.0185206185563354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-1.9065282685915009E-13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279.98352834501759</v>
      </c>
      <c r="T150" s="59">
        <f t="shared" si="142"/>
        <v>281.30062655265488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0.39393870987777785</v>
      </c>
      <c r="AA150" s="21">
        <f>EXP(-LN(2)/25)*AA149+(1-EXP(-LN(2)/25))/(LN(2)/25)*Calculateur!V150*Calculateur!X150*VLOOKUP('Données projet'!$B$9,Paramètres!$A$1:$I$89,3,0)*0.475*44/12</f>
        <v>0.94510119536262116</v>
      </c>
      <c r="AB150" s="21">
        <f>EXP(-LN(2)/2)*AB149+(1-EXP(-LN(2)/2))/(LN(2)/2)*V150*Y150*VLOOKUP('Données projet'!$B$9,Paramètres!$A$1:$I$89,3,0)*0.475*44/12</f>
        <v>6.946957586805708E-17</v>
      </c>
      <c r="AC150" s="22">
        <f t="shared" si="111"/>
        <v>1.339039905240399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-1.1368683772161603E-12</v>
      </c>
      <c r="AJ150" s="13">
        <f>AI150*VLOOKUP('Données projet'!$B$10,Paramètres!$A$1:$I$89,3,0)*VLOOKUP('Données projet'!$B$10,Paramètres!$A$1:$I$89,5,0)</f>
        <v>-5.4683368944097316E-13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252.30925789500111</v>
      </c>
      <c r="AO150" s="59">
        <f t="shared" si="144"/>
        <v>213.96033794804805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0.45657253418202853</v>
      </c>
      <c r="AV150" s="21">
        <f>EXP(-LN(2)/25)*AV149+(1-EXP(-LN(2)/25))/(LN(2)/25)*Calculateur!AQ150*Calculateur!AS150*VLOOKUP('Données projet'!$B$10,Paramètres!$A$1:$I$89,3,0)*0.475*44/12</f>
        <v>0.36000315870120847</v>
      </c>
      <c r="AW150" s="21">
        <f>EXP(-LN(2)/2)*AW149+(1-EXP(-LN(2)/2))/(LN(2)/2)*AQ150*AT150*VLOOKUP('Données projet'!$B$10,Paramètres!$A$1:$I$89,3,0)*0.475*44/12</f>
        <v>3.5271976470538059E-17</v>
      </c>
      <c r="AX150" s="21">
        <f t="shared" si="114"/>
        <v>0.81657569288323706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-4.5474735088646412E-13</v>
      </c>
      <c r="BE150" s="13">
        <f>BD150*VLOOKUP('Données projet'!$B$11,Paramètres!$A$1:$I$89,3,0)*VLOOKUP('Données projet'!$B$11,Paramètres!$A$1:$I$89,5,0)</f>
        <v>-2.7193891583010558E-13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216.94426559495264</v>
      </c>
      <c r="BJ150" s="59">
        <f t="shared" si="146"/>
        <v>225.33715877618704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0.50125400695820921</v>
      </c>
      <c r="BR150" s="21">
        <f>EXP(-LN(2)/2)*BR149+(1-EXP(-LN(2)/2))/(LN(2)/2)*BL150*BO150*VLOOKUP('Données projet'!$B$11,Paramètres!$A$1:$I$89,3,0)*0.475*44/12</f>
        <v>5.8214514042619597E-17</v>
      </c>
      <c r="BS150" s="22">
        <f t="shared" si="117"/>
        <v>0.50125400695820932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-2.8421709430404007E-14</v>
      </c>
      <c r="BZ150" s="13">
        <f>BY150*VLOOKUP('Données projet'!$B$12,Paramètres!$A$1:$I$89,3,0)*VLOOKUP('Données projet'!$B$12,Paramètres!$A$1:$I$89,5,0)</f>
        <v>-2.4829205358400945E-14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223.81948236065614</v>
      </c>
      <c r="CE150" s="59">
        <f t="shared" si="148"/>
        <v>320.1204011431372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0.30287235876317453</v>
      </c>
      <c r="CL150" s="21">
        <f>EXP(-LN(2)/25)*CL149+(1-EXP(-LN(2)/25))/(LN(2)/25)*Calculateur!CG150*Calculateur!CI150*VLOOKUP('Données projet'!$B$12,Paramètres!$A$1:$I$89,3,0)*0.475*44/12</f>
        <v>0.69018654041123084</v>
      </c>
      <c r="CM150" s="21">
        <f>EXP(-LN(2)/2)*CM149+(1-EXP(-LN(2)/2))/(LN(2)/2)*CG150*CJ150*VLOOKUP('Données projet'!$B$12,Paramètres!$A$1:$I$89,3,0)*0.475*44/12</f>
        <v>6.8127309794791567E-17</v>
      </c>
      <c r="CN150" s="22">
        <f t="shared" si="120"/>
        <v>0.99305889917440548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-1.9065282685915009E-13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279.98352834501759</v>
      </c>
      <c r="T151" s="59">
        <f t="shared" si="142"/>
        <v>281.30062655265488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0.38621381205596206</v>
      </c>
      <c r="AA151" s="21">
        <f>EXP(-LN(2)/25)*AA150+(1-EXP(-LN(2)/25))/(LN(2)/25)*Calculateur!V151*Calculateur!X151*VLOOKUP('Données projet'!$B$9,Paramètres!$A$1:$I$89,3,0)*0.475*44/12</f>
        <v>0.91925735347471849</v>
      </c>
      <c r="AB151" s="21">
        <f>EXP(-LN(2)/2)*AB150+(1-EXP(-LN(2)/2))/(LN(2)/2)*V151*Y151*VLOOKUP('Données projet'!$B$9,Paramètres!$A$1:$I$89,3,0)*0.475*44/12</f>
        <v>4.9122408182456501E-17</v>
      </c>
      <c r="AC151" s="22">
        <f t="shared" si="111"/>
        <v>1.3054711655306805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-1.1368683772161603E-12</v>
      </c>
      <c r="AJ151" s="13">
        <f>AI151*VLOOKUP('Données projet'!$B$10,Paramètres!$A$1:$I$89,3,0)*VLOOKUP('Données projet'!$B$10,Paramètres!$A$1:$I$89,5,0)</f>
        <v>-5.4683368944097316E-13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252.30925789500111</v>
      </c>
      <c r="AO151" s="59">
        <f t="shared" si="144"/>
        <v>213.96033794804805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0.44761942526846704</v>
      </c>
      <c r="AV151" s="21">
        <f>EXP(-LN(2)/25)*AV150+(1-EXP(-LN(2)/25))/(LN(2)/25)*Calculateur!AQ151*Calculateur!AS151*VLOOKUP('Données projet'!$B$10,Paramètres!$A$1:$I$89,3,0)*0.475*44/12</f>
        <v>0.35015885339478059</v>
      </c>
      <c r="AW151" s="21">
        <f>EXP(-LN(2)/2)*AW150+(1-EXP(-LN(2)/2))/(LN(2)/2)*AQ151*AT151*VLOOKUP('Données projet'!$B$10,Paramètres!$A$1:$I$89,3,0)*0.475*44/12</f>
        <v>2.4941053748169808E-17</v>
      </c>
      <c r="AX151" s="21">
        <f t="shared" si="114"/>
        <v>0.79777827866324769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-4.5474735088646412E-13</v>
      </c>
      <c r="BE151" s="13">
        <f>BD151*VLOOKUP('Données projet'!$B$11,Paramètres!$A$1:$I$89,3,0)*VLOOKUP('Données projet'!$B$11,Paramètres!$A$1:$I$89,5,0)</f>
        <v>-2.7193891583010558E-13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216.94426559495264</v>
      </c>
      <c r="BJ151" s="59">
        <f t="shared" si="146"/>
        <v>225.33715877618704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0.48754718977813438</v>
      </c>
      <c r="BR151" s="21">
        <f>EXP(-LN(2)/2)*BR150+(1-EXP(-LN(2)/2))/(LN(2)/2)*BL151*BO151*VLOOKUP('Données projet'!$B$11,Paramètres!$A$1:$I$89,3,0)*0.475*44/12</f>
        <v>4.1163877643015815E-17</v>
      </c>
      <c r="BS151" s="22">
        <f t="shared" si="117"/>
        <v>0.48754718977813444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-2.8421709430404007E-14</v>
      </c>
      <c r="BZ151" s="13">
        <f>BY151*VLOOKUP('Données projet'!$B$12,Paramètres!$A$1:$I$89,3,0)*VLOOKUP('Données projet'!$B$12,Paramètres!$A$1:$I$89,5,0)</f>
        <v>-2.4829205358400945E-14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223.81948236065614</v>
      </c>
      <c r="CE151" s="59">
        <f t="shared" si="148"/>
        <v>320.1204011431372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0.29693321654172655</v>
      </c>
      <c r="CL151" s="21">
        <f>EXP(-LN(2)/25)*CL150+(1-EXP(-LN(2)/25))/(LN(2)/25)*Calculateur!CG151*Calculateur!CI151*VLOOKUP('Données projet'!$B$12,Paramètres!$A$1:$I$89,3,0)*0.475*44/12</f>
        <v>0.67131335316835306</v>
      </c>
      <c r="CM151" s="21">
        <f>EXP(-LN(2)/2)*CM150+(1-EXP(-LN(2)/2))/(LN(2)/2)*CG151*CJ151*VLOOKUP('Données projet'!$B$12,Paramètres!$A$1:$I$89,3,0)*0.475*44/12</f>
        <v>4.8173282739893818E-17</v>
      </c>
      <c r="CN151" s="22">
        <f t="shared" si="120"/>
        <v>0.96824656971007961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-1.9065282685915009E-13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279.98352834501759</v>
      </c>
      <c r="T152" s="59">
        <f t="shared" si="142"/>
        <v>281.30062655265488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0.3786403947687097</v>
      </c>
      <c r="AA152" s="21">
        <f>EXP(-LN(2)/25)*AA151+(1-EXP(-LN(2)/25))/(LN(2)/25)*Calculateur!V152*Calculateur!X152*VLOOKUP('Données projet'!$B$9,Paramètres!$A$1:$I$89,3,0)*0.475*44/12</f>
        <v>0.89412021280230913</v>
      </c>
      <c r="AB152" s="21">
        <f>EXP(-LN(2)/2)*AB151+(1-EXP(-LN(2)/2))/(LN(2)/2)*V152*Y152*VLOOKUP('Données projet'!$B$9,Paramètres!$A$1:$I$89,3,0)*0.475*44/12</f>
        <v>3.473478793402854E-17</v>
      </c>
      <c r="AC152" s="22">
        <f t="shared" si="111"/>
        <v>1.2727606075710187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-1.1368683772161603E-12</v>
      </c>
      <c r="AJ152" s="13">
        <f>AI152*VLOOKUP('Données projet'!$B$10,Paramètres!$A$1:$I$89,3,0)*VLOOKUP('Données projet'!$B$10,Paramètres!$A$1:$I$89,5,0)</f>
        <v>-5.4683368944097316E-13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252.30925789500111</v>
      </c>
      <c r="AO152" s="59">
        <f t="shared" si="144"/>
        <v>213.96033794804805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0.43884188135984326</v>
      </c>
      <c r="AV152" s="21">
        <f>EXP(-LN(2)/25)*AV151+(1-EXP(-LN(2)/25))/(LN(2)/25)*Calculateur!AQ152*Calculateur!AS152*VLOOKUP('Données projet'!$B$10,Paramètres!$A$1:$I$89,3,0)*0.475*44/12</f>
        <v>0.34058374113464651</v>
      </c>
      <c r="AW152" s="21">
        <f>EXP(-LN(2)/2)*AW151+(1-EXP(-LN(2)/2))/(LN(2)/2)*AQ152*AT152*VLOOKUP('Données projet'!$B$10,Paramètres!$A$1:$I$89,3,0)*0.475*44/12</f>
        <v>1.7635988235269029E-17</v>
      </c>
      <c r="AX152" s="21">
        <f t="shared" si="114"/>
        <v>0.77942562249448977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-4.5474735088646412E-13</v>
      </c>
      <c r="BE152" s="13">
        <f>BD152*VLOOKUP('Données projet'!$B$11,Paramètres!$A$1:$I$89,3,0)*VLOOKUP('Données projet'!$B$11,Paramètres!$A$1:$I$89,5,0)</f>
        <v>-2.7193891583010558E-13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216.94426559495264</v>
      </c>
      <c r="BJ152" s="59">
        <f t="shared" si="146"/>
        <v>225.33715877618704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0.47421518623465891</v>
      </c>
      <c r="BR152" s="21">
        <f>EXP(-LN(2)/2)*BR151+(1-EXP(-LN(2)/2))/(LN(2)/2)*BL152*BO152*VLOOKUP('Données projet'!$B$11,Paramètres!$A$1:$I$89,3,0)*0.475*44/12</f>
        <v>2.9107257021309799E-17</v>
      </c>
      <c r="BS152" s="22">
        <f t="shared" si="117"/>
        <v>0.47421518623465897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-2.8421709430404007E-14</v>
      </c>
      <c r="BZ152" s="13">
        <f>BY152*VLOOKUP('Données projet'!$B$12,Paramètres!$A$1:$I$89,3,0)*VLOOKUP('Données projet'!$B$12,Paramètres!$A$1:$I$89,5,0)</f>
        <v>-2.4829205358400945E-14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223.81948236065614</v>
      </c>
      <c r="CE152" s="59">
        <f t="shared" si="148"/>
        <v>320.1204011431372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0.29111053727672215</v>
      </c>
      <c r="CL152" s="21">
        <f>EXP(-LN(2)/25)*CL151+(1-EXP(-LN(2)/25))/(LN(2)/25)*Calculateur!CG152*Calculateur!CI152*VLOOKUP('Données projet'!$B$12,Paramètres!$A$1:$I$89,3,0)*0.475*44/12</f>
        <v>0.65295625422312953</v>
      </c>
      <c r="CM152" s="21">
        <f>EXP(-LN(2)/2)*CM151+(1-EXP(-LN(2)/2))/(LN(2)/2)*CG152*CJ152*VLOOKUP('Données projet'!$B$12,Paramètres!$A$1:$I$89,3,0)*0.475*44/12</f>
        <v>3.4063654897395784E-17</v>
      </c>
      <c r="CN152" s="22">
        <f t="shared" si="120"/>
        <v>0.94406679149985173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-1.9065282685915009E-13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279.98352834501759</v>
      </c>
      <c r="T153" s="59">
        <f t="shared" si="142"/>
        <v>281.30062655265488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0.3712154875751319</v>
      </c>
      <c r="AA153" s="21">
        <f>EXP(-LN(2)/25)*AA152+(1-EXP(-LN(2)/25))/(LN(2)/25)*Calculateur!V153*Calculateur!X153*VLOOKUP('Données projet'!$B$9,Paramètres!$A$1:$I$89,3,0)*0.475*44/12</f>
        <v>0.86967044856349152</v>
      </c>
      <c r="AB153" s="21">
        <f>EXP(-LN(2)/2)*AB152+(1-EXP(-LN(2)/2))/(LN(2)/2)*V153*Y153*VLOOKUP('Données projet'!$B$9,Paramètres!$A$1:$I$89,3,0)*0.475*44/12</f>
        <v>2.456120409122825E-17</v>
      </c>
      <c r="AC153" s="22">
        <f t="shared" si="111"/>
        <v>1.2408859361386235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-1.1368683772161603E-12</v>
      </c>
      <c r="AJ153" s="13">
        <f>AI153*VLOOKUP('Données projet'!$B$10,Paramètres!$A$1:$I$89,3,0)*VLOOKUP('Données projet'!$B$10,Paramètres!$A$1:$I$89,5,0)</f>
        <v>-5.4683368944097316E-13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252.30925789500111</v>
      </c>
      <c r="AO153" s="59">
        <f t="shared" si="144"/>
        <v>213.96033794804805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0.43023645973349445</v>
      </c>
      <c r="AV153" s="21">
        <f>EXP(-LN(2)/25)*AV152+(1-EXP(-LN(2)/25))/(LN(2)/25)*Calculateur!AQ153*Calculateur!AS153*VLOOKUP('Données projet'!$B$10,Paramètres!$A$1:$I$89,3,0)*0.475*44/12</f>
        <v>0.3312704608227991</v>
      </c>
      <c r="AW153" s="21">
        <f>EXP(-LN(2)/2)*AW152+(1-EXP(-LN(2)/2))/(LN(2)/2)*AQ153*AT153*VLOOKUP('Données projet'!$B$10,Paramètres!$A$1:$I$89,3,0)*0.475*44/12</f>
        <v>1.2470526874084904E-17</v>
      </c>
      <c r="AX153" s="21">
        <f t="shared" si="114"/>
        <v>0.76150692055629354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-4.5474735088646412E-13</v>
      </c>
      <c r="BE153" s="13">
        <f>BD153*VLOOKUP('Données projet'!$B$11,Paramètres!$A$1:$I$89,3,0)*VLOOKUP('Données projet'!$B$11,Paramètres!$A$1:$I$89,5,0)</f>
        <v>-2.7193891583010558E-13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216.94426559495264</v>
      </c>
      <c r="BJ153" s="59">
        <f t="shared" si="146"/>
        <v>225.33715877618704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0.46124774702917937</v>
      </c>
      <c r="BR153" s="21">
        <f>EXP(-LN(2)/2)*BR152+(1-EXP(-LN(2)/2))/(LN(2)/2)*BL153*BO153*VLOOKUP('Données projet'!$B$11,Paramètres!$A$1:$I$89,3,0)*0.475*44/12</f>
        <v>2.0581938821507907E-17</v>
      </c>
      <c r="BS153" s="22">
        <f t="shared" si="117"/>
        <v>0.46124774702917937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-2.8421709430404007E-14</v>
      </c>
      <c r="BZ153" s="13">
        <f>BY153*VLOOKUP('Données projet'!$B$12,Paramètres!$A$1:$I$89,3,0)*VLOOKUP('Données projet'!$B$12,Paramètres!$A$1:$I$89,5,0)</f>
        <v>-2.4829205358400945E-14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223.81948236065614</v>
      </c>
      <c r="CE153" s="59">
        <f t="shared" si="148"/>
        <v>320.1204011431372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0.2854020372006208</v>
      </c>
      <c r="CL153" s="21">
        <f>EXP(-LN(2)/25)*CL152+(1-EXP(-LN(2)/25))/(LN(2)/25)*Calculateur!CG153*Calculateur!CI153*VLOOKUP('Données projet'!$B$12,Paramètres!$A$1:$I$89,3,0)*0.475*44/12</f>
        <v>0.63510113111392097</v>
      </c>
      <c r="CM153" s="21">
        <f>EXP(-LN(2)/2)*CM152+(1-EXP(-LN(2)/2))/(LN(2)/2)*CG153*CJ153*VLOOKUP('Données projet'!$B$12,Paramètres!$A$1:$I$89,3,0)*0.475*44/12</f>
        <v>2.4086641369946909E-17</v>
      </c>
      <c r="CN153" s="22">
        <f t="shared" si="120"/>
        <v>0.92050316831454171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-1.9065282685915009E-13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279.98352834501759</v>
      </c>
      <c r="T154" s="59">
        <f t="shared" si="142"/>
        <v>281.30062655265488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0.36393617828287395</v>
      </c>
      <c r="AA154" s="21">
        <f>EXP(-LN(2)/25)*AA153+(1-EXP(-LN(2)/25))/(LN(2)/25)*Calculateur!V154*Calculateur!X154*VLOOKUP('Données projet'!$B$9,Paramètres!$A$1:$I$89,3,0)*0.475*44/12</f>
        <v>0.84588926441354162</v>
      </c>
      <c r="AB154" s="21">
        <f>EXP(-LN(2)/2)*AB153+(1-EXP(-LN(2)/2))/(LN(2)/2)*V154*Y154*VLOOKUP('Données projet'!$B$9,Paramètres!$A$1:$I$89,3,0)*0.475*44/12</f>
        <v>1.736739396701427E-17</v>
      </c>
      <c r="AC154" s="22">
        <f t="shared" ref="AC154:AC203" si="163">SUM(Z154:AB154)</f>
        <v>1.2098254426964155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-1.1368683772161603E-12</v>
      </c>
      <c r="AJ154" s="13">
        <f>AI154*VLOOKUP('Données projet'!$B$10,Paramètres!$A$1:$I$89,3,0)*VLOOKUP('Données projet'!$B$10,Paramètres!$A$1:$I$89,5,0)</f>
        <v>-5.4683368944097316E-13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252.30925789500111</v>
      </c>
      <c r="AO154" s="59">
        <f t="shared" si="144"/>
        <v>213.96033794804805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0.42179978517644939</v>
      </c>
      <c r="AV154" s="21">
        <f>EXP(-LN(2)/25)*AV153+(1-EXP(-LN(2)/25))/(LN(2)/25)*Calculateur!AQ154*Calculateur!AS154*VLOOKUP('Données projet'!$B$10,Paramètres!$A$1:$I$89,3,0)*0.475*44/12</f>
        <v>0.32221185265084323</v>
      </c>
      <c r="AW154" s="21">
        <f>EXP(-LN(2)/2)*AW153+(1-EXP(-LN(2)/2))/(LN(2)/2)*AQ154*AT154*VLOOKUP('Données projet'!$B$10,Paramètres!$A$1:$I$89,3,0)*0.475*44/12</f>
        <v>8.8179941176345147E-18</v>
      </c>
      <c r="AX154" s="21">
        <f t="shared" ref="AX154:AX203" si="166">SUM(AU154:AW154)</f>
        <v>0.74401163782729263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-4.5474735088646412E-13</v>
      </c>
      <c r="BE154" s="13">
        <f>BD154*VLOOKUP('Données projet'!$B$11,Paramètres!$A$1:$I$89,3,0)*VLOOKUP('Données projet'!$B$11,Paramètres!$A$1:$I$89,5,0)</f>
        <v>-2.7193891583010558E-13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216.94426559495264</v>
      </c>
      <c r="BJ154" s="59">
        <f t="shared" si="146"/>
        <v>225.33715877618704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0.44863490313070165</v>
      </c>
      <c r="BR154" s="21">
        <f>EXP(-LN(2)/2)*BR153+(1-EXP(-LN(2)/2))/(LN(2)/2)*BL154*BO154*VLOOKUP('Données projet'!$B$11,Paramètres!$A$1:$I$89,3,0)*0.475*44/12</f>
        <v>1.4553628510654899E-17</v>
      </c>
      <c r="BS154" s="22">
        <f t="shared" ref="BS154:BS203" si="169">SUM(BP154:BR154)</f>
        <v>0.44863490313070165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-2.8421709430404007E-14</v>
      </c>
      <c r="BZ154" s="13">
        <f>BY154*VLOOKUP('Données projet'!$B$12,Paramètres!$A$1:$I$89,3,0)*VLOOKUP('Données projet'!$B$12,Paramètres!$A$1:$I$89,5,0)</f>
        <v>-2.4829205358400945E-14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223.81948236065614</v>
      </c>
      <c r="CE154" s="59">
        <f t="shared" si="148"/>
        <v>320.1204011431372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0.27980547732917055</v>
      </c>
      <c r="CL154" s="21">
        <f>EXP(-LN(2)/25)*CL153+(1-EXP(-LN(2)/25))/(LN(2)/25)*Calculateur!CG154*Calculateur!CI154*VLOOKUP('Données projet'!$B$12,Paramètres!$A$1:$I$89,3,0)*0.475*44/12</f>
        <v>0.6177342572850939</v>
      </c>
      <c r="CM154" s="21">
        <f>EXP(-LN(2)/2)*CM153+(1-EXP(-LN(2)/2))/(LN(2)/2)*CG154*CJ154*VLOOKUP('Données projet'!$B$12,Paramètres!$A$1:$I$89,3,0)*0.475*44/12</f>
        <v>1.7031827448697892E-17</v>
      </c>
      <c r="CN154" s="22">
        <f t="shared" ref="CN154:CN203" si="172">SUM(CK154:CM154)</f>
        <v>0.8975397346142644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-1.9065282685915009E-13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279.98352834501759</v>
      </c>
      <c r="T155" s="59">
        <f t="shared" si="142"/>
        <v>281.30062655265488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0.35679961180589692</v>
      </c>
      <c r="AA155" s="21">
        <f>EXP(-LN(2)/25)*AA154+(1-EXP(-LN(2)/25))/(LN(2)/25)*Calculateur!V155*Calculateur!X155*VLOOKUP('Données projet'!$B$9,Paramètres!$A$1:$I$89,3,0)*0.475*44/12</f>
        <v>0.82275837799477025</v>
      </c>
      <c r="AB155" s="21">
        <f>EXP(-LN(2)/2)*AB154+(1-EXP(-LN(2)/2))/(LN(2)/2)*V155*Y155*VLOOKUP('Données projet'!$B$9,Paramètres!$A$1:$I$89,3,0)*0.475*44/12</f>
        <v>1.2280602045614125E-17</v>
      </c>
      <c r="AC155" s="22">
        <f t="shared" si="163"/>
        <v>1.1795579898006672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-1.1368683772161603E-12</v>
      </c>
      <c r="AJ155" s="13">
        <f>AI155*VLOOKUP('Données projet'!$B$10,Paramètres!$A$1:$I$89,3,0)*VLOOKUP('Données projet'!$B$10,Paramètres!$A$1:$I$89,5,0)</f>
        <v>-5.4683368944097316E-13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252.30925789500111</v>
      </c>
      <c r="AO155" s="59">
        <f t="shared" si="144"/>
        <v>213.96033794804805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0.41352854866160466</v>
      </c>
      <c r="AV155" s="21">
        <f>EXP(-LN(2)/25)*AV154+(1-EXP(-LN(2)/25))/(LN(2)/25)*Calculateur!AQ155*Calculateur!AS155*VLOOKUP('Données projet'!$B$10,Paramètres!$A$1:$I$89,3,0)*0.475*44/12</f>
        <v>0.31340095259572104</v>
      </c>
      <c r="AW155" s="21">
        <f>EXP(-LN(2)/2)*AW154+(1-EXP(-LN(2)/2))/(LN(2)/2)*AQ155*AT155*VLOOKUP('Données projet'!$B$10,Paramètres!$A$1:$I$89,3,0)*0.475*44/12</f>
        <v>6.2352634370424521E-18</v>
      </c>
      <c r="AX155" s="21">
        <f t="shared" si="166"/>
        <v>0.72692950125732569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-4.5474735088646412E-13</v>
      </c>
      <c r="BE155" s="13">
        <f>BD155*VLOOKUP('Données projet'!$B$11,Paramètres!$A$1:$I$89,3,0)*VLOOKUP('Données projet'!$B$11,Paramètres!$A$1:$I$89,5,0)</f>
        <v>-2.7193891583010558E-13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216.94426559495264</v>
      </c>
      <c r="BJ155" s="59">
        <f t="shared" si="146"/>
        <v>225.33715877618704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0.4363669581119084</v>
      </c>
      <c r="BR155" s="21">
        <f>EXP(-LN(2)/2)*BR154+(1-EXP(-LN(2)/2))/(LN(2)/2)*BL155*BO155*VLOOKUP('Données projet'!$B$11,Paramètres!$A$1:$I$89,3,0)*0.475*44/12</f>
        <v>1.0290969410753954E-17</v>
      </c>
      <c r="BS155" s="22">
        <f t="shared" si="169"/>
        <v>0.4363669581119084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-2.8421709430404007E-14</v>
      </c>
      <c r="BZ155" s="13">
        <f>BY155*VLOOKUP('Données projet'!$B$12,Paramètres!$A$1:$I$89,3,0)*VLOOKUP('Données projet'!$B$12,Paramètres!$A$1:$I$89,5,0)</f>
        <v>-2.4829205358400945E-14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223.81948236065614</v>
      </c>
      <c r="CE155" s="59">
        <f t="shared" si="148"/>
        <v>320.1204011431372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0.27431866258323495</v>
      </c>
      <c r="CL155" s="21">
        <f>EXP(-LN(2)/25)*CL154+(1-EXP(-LN(2)/25))/(LN(2)/25)*Calculateur!CG155*Calculateur!CI155*VLOOKUP('Données projet'!$B$12,Paramètres!$A$1:$I$89,3,0)*0.475*44/12</f>
        <v>0.60084228153440022</v>
      </c>
      <c r="CM155" s="21">
        <f>EXP(-LN(2)/2)*CM154+(1-EXP(-LN(2)/2))/(LN(2)/2)*CG155*CJ155*VLOOKUP('Données projet'!$B$12,Paramètres!$A$1:$I$89,3,0)*0.475*44/12</f>
        <v>1.2043320684973454E-17</v>
      </c>
      <c r="CN155" s="22">
        <f t="shared" si="172"/>
        <v>0.87516094411763512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-1.9065282685915009E-13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279.98352834501759</v>
      </c>
      <c r="T156" s="59">
        <f t="shared" si="142"/>
        <v>281.30062655265488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0.34980298904465768</v>
      </c>
      <c r="AA156" s="21">
        <f>EXP(-LN(2)/25)*AA155+(1-EXP(-LN(2)/25))/(LN(2)/25)*Calculateur!V156*Calculateur!X156*VLOOKUP('Données projet'!$B$9,Paramètres!$A$1:$I$89,3,0)*0.475*44/12</f>
        <v>0.80026000688152055</v>
      </c>
      <c r="AB156" s="21">
        <f>EXP(-LN(2)/2)*AB155+(1-EXP(-LN(2)/2))/(LN(2)/2)*V156*Y156*VLOOKUP('Données projet'!$B$9,Paramètres!$A$1:$I$89,3,0)*0.475*44/12</f>
        <v>8.683696983507135E-18</v>
      </c>
      <c r="AC156" s="22">
        <f t="shared" si="163"/>
        <v>1.1500629959261781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-1.1368683772161603E-12</v>
      </c>
      <c r="AJ156" s="13">
        <f>AI156*VLOOKUP('Données projet'!$B$10,Paramètres!$A$1:$I$89,3,0)*VLOOKUP('Données projet'!$B$10,Paramètres!$A$1:$I$89,5,0)</f>
        <v>-5.4683368944097316E-13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252.30925789500111</v>
      </c>
      <c r="AO156" s="59">
        <f t="shared" si="144"/>
        <v>213.96033794804805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0.40541950604985988</v>
      </c>
      <c r="AV156" s="21">
        <f>EXP(-LN(2)/25)*AV155+(1-EXP(-LN(2)/25))/(LN(2)/25)*Calculateur!AQ156*Calculateur!AS156*VLOOKUP('Données projet'!$B$10,Paramètres!$A$1:$I$89,3,0)*0.475*44/12</f>
        <v>0.30483098706595124</v>
      </c>
      <c r="AW156" s="21">
        <f>EXP(-LN(2)/2)*AW155+(1-EXP(-LN(2)/2))/(LN(2)/2)*AQ156*AT156*VLOOKUP('Données projet'!$B$10,Paramètres!$A$1:$I$89,3,0)*0.475*44/12</f>
        <v>4.4089970588172574E-18</v>
      </c>
      <c r="AX156" s="21">
        <f t="shared" si="166"/>
        <v>0.71025049311581112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-4.5474735088646412E-13</v>
      </c>
      <c r="BE156" s="13">
        <f>BD156*VLOOKUP('Données projet'!$B$11,Paramètres!$A$1:$I$89,3,0)*VLOOKUP('Données projet'!$B$11,Paramètres!$A$1:$I$89,5,0)</f>
        <v>-2.7193891583010558E-13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216.94426559495264</v>
      </c>
      <c r="BJ156" s="59">
        <f t="shared" si="146"/>
        <v>225.33715877618704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0.42443448069479728</v>
      </c>
      <c r="BR156" s="21">
        <f>EXP(-LN(2)/2)*BR155+(1-EXP(-LN(2)/2))/(LN(2)/2)*BL156*BO156*VLOOKUP('Données projet'!$B$11,Paramètres!$A$1:$I$89,3,0)*0.475*44/12</f>
        <v>7.2768142553274497E-18</v>
      </c>
      <c r="BS156" s="22">
        <f t="shared" si="169"/>
        <v>0.42443448069479728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-2.8421709430404007E-14</v>
      </c>
      <c r="BZ156" s="13">
        <f>BY156*VLOOKUP('Données projet'!$B$12,Paramètres!$A$1:$I$89,3,0)*VLOOKUP('Données projet'!$B$12,Paramètres!$A$1:$I$89,5,0)</f>
        <v>-2.4829205358400945E-14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223.81948236065614</v>
      </c>
      <c r="CE156" s="59">
        <f t="shared" si="148"/>
        <v>320.1204011431372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0.26893944092784061</v>
      </c>
      <c r="CL156" s="21">
        <f>EXP(-LN(2)/25)*CL155+(1-EXP(-LN(2)/25))/(LN(2)/25)*Calculateur!CG156*Calculateur!CI156*VLOOKUP('Données projet'!$B$12,Paramètres!$A$1:$I$89,3,0)*0.475*44/12</f>
        <v>0.58441221774891972</v>
      </c>
      <c r="CM156" s="21">
        <f>EXP(-LN(2)/2)*CM155+(1-EXP(-LN(2)/2))/(LN(2)/2)*CG156*CJ156*VLOOKUP('Données projet'!$B$12,Paramètres!$A$1:$I$89,3,0)*0.475*44/12</f>
        <v>8.5159137243489459E-18</v>
      </c>
      <c r="CN156" s="22">
        <f t="shared" si="172"/>
        <v>0.85335165867676033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-1.9065282685915009E-13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279.98352834501759</v>
      </c>
      <c r="T157" s="59">
        <f t="shared" si="142"/>
        <v>281.30062655265488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0.34294356578824781</v>
      </c>
      <c r="AA157" s="21">
        <f>EXP(-LN(2)/25)*AA156+(1-EXP(-LN(2)/25))/(LN(2)/25)*Calculateur!V157*Calculateur!X157*VLOOKUP('Données projet'!$B$9,Paramètres!$A$1:$I$89,3,0)*0.475*44/12</f>
        <v>0.77837685490950059</v>
      </c>
      <c r="AB157" s="21">
        <f>EXP(-LN(2)/2)*AB156+(1-EXP(-LN(2)/2))/(LN(2)/2)*V157*Y157*VLOOKUP('Données projet'!$B$9,Paramètres!$A$1:$I$89,3,0)*0.475*44/12</f>
        <v>6.1403010228070626E-18</v>
      </c>
      <c r="AC157" s="22">
        <f t="shared" si="163"/>
        <v>1.1213204206977485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-1.1368683772161603E-12</v>
      </c>
      <c r="AJ157" s="13">
        <f>AI157*VLOOKUP('Données projet'!$B$10,Paramètres!$A$1:$I$89,3,0)*VLOOKUP('Données projet'!$B$10,Paramètres!$A$1:$I$89,5,0)</f>
        <v>-5.4683368944097316E-13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252.30925789500111</v>
      </c>
      <c r="AO157" s="59">
        <f t="shared" si="144"/>
        <v>213.96033794804805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0.39746947681770378</v>
      </c>
      <c r="AV157" s="21">
        <f>EXP(-LN(2)/25)*AV156+(1-EXP(-LN(2)/25))/(LN(2)/25)*Calculateur!AQ157*Calculateur!AS157*VLOOKUP('Données projet'!$B$10,Paramètres!$A$1:$I$89,3,0)*0.475*44/12</f>
        <v>0.29649536769426788</v>
      </c>
      <c r="AW157" s="21">
        <f>EXP(-LN(2)/2)*AW156+(1-EXP(-LN(2)/2))/(LN(2)/2)*AQ157*AT157*VLOOKUP('Données projet'!$B$10,Paramètres!$A$1:$I$89,3,0)*0.475*44/12</f>
        <v>3.117631718521226E-18</v>
      </c>
      <c r="AX157" s="21">
        <f t="shared" si="166"/>
        <v>0.69396484451197171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-4.5474735088646412E-13</v>
      </c>
      <c r="BE157" s="13">
        <f>BD157*VLOOKUP('Données projet'!$B$11,Paramètres!$A$1:$I$89,3,0)*VLOOKUP('Données projet'!$B$11,Paramètres!$A$1:$I$89,5,0)</f>
        <v>-2.7193891583010558E-13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216.94426559495264</v>
      </c>
      <c r="BJ157" s="59">
        <f t="shared" si="146"/>
        <v>225.33715877618704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0.41282829750015876</v>
      </c>
      <c r="BR157" s="21">
        <f>EXP(-LN(2)/2)*BR156+(1-EXP(-LN(2)/2))/(LN(2)/2)*BL157*BO157*VLOOKUP('Données projet'!$B$11,Paramètres!$A$1:$I$89,3,0)*0.475*44/12</f>
        <v>5.1454847053769769E-18</v>
      </c>
      <c r="BS157" s="22">
        <f t="shared" si="169"/>
        <v>0.41282829750015876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-2.8421709430404007E-14</v>
      </c>
      <c r="BZ157" s="13">
        <f>BY157*VLOOKUP('Données projet'!$B$12,Paramètres!$A$1:$I$89,3,0)*VLOOKUP('Données projet'!$B$12,Paramètres!$A$1:$I$89,5,0)</f>
        <v>-2.4829205358400945E-14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223.81948236065614</v>
      </c>
      <c r="CE157" s="59">
        <f t="shared" si="148"/>
        <v>320.1204011431372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0.26366570252810734</v>
      </c>
      <c r="CL157" s="21">
        <f>EXP(-LN(2)/25)*CL156+(1-EXP(-LN(2)/25))/(LN(2)/25)*Calculateur!CG157*Calculateur!CI157*VLOOKUP('Données projet'!$B$12,Paramètres!$A$1:$I$89,3,0)*0.475*44/12</f>
        <v>0.5684314349216727</v>
      </c>
      <c r="CM157" s="21">
        <f>EXP(-LN(2)/2)*CM156+(1-EXP(-LN(2)/2))/(LN(2)/2)*CG157*CJ157*VLOOKUP('Données projet'!$B$12,Paramètres!$A$1:$I$89,3,0)*0.475*44/12</f>
        <v>6.0216603424867272E-18</v>
      </c>
      <c r="CN157" s="22">
        <f t="shared" si="172"/>
        <v>0.83209713744978009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-1.9065282685915009E-13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279.98352834501759</v>
      </c>
      <c r="T158" s="59">
        <f t="shared" si="142"/>
        <v>281.30062655265488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0.33621865163806108</v>
      </c>
      <c r="AA158" s="21">
        <f>EXP(-LN(2)/25)*AA157+(1-EXP(-LN(2)/25))/(LN(2)/25)*Calculateur!V158*Calculateur!X158*VLOOKUP('Données projet'!$B$9,Paramètres!$A$1:$I$89,3,0)*0.475*44/12</f>
        <v>0.75709209887894047</v>
      </c>
      <c r="AB158" s="21">
        <f>EXP(-LN(2)/2)*AB157+(1-EXP(-LN(2)/2))/(LN(2)/2)*V158*Y158*VLOOKUP('Données projet'!$B$9,Paramètres!$A$1:$I$89,3,0)*0.475*44/12</f>
        <v>4.3418484917535675E-18</v>
      </c>
      <c r="AC158" s="22">
        <f t="shared" si="163"/>
        <v>1.0933107505170017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-1.1368683772161603E-12</v>
      </c>
      <c r="AJ158" s="13">
        <f>AI158*VLOOKUP('Données projet'!$B$10,Paramètres!$A$1:$I$89,3,0)*VLOOKUP('Données projet'!$B$10,Paramètres!$A$1:$I$89,5,0)</f>
        <v>-5.4683368944097316E-13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252.30925789500111</v>
      </c>
      <c r="AO158" s="59">
        <f t="shared" si="144"/>
        <v>213.96033794804805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0.38967534280975125</v>
      </c>
      <c r="AV158" s="21">
        <f>EXP(-LN(2)/25)*AV157+(1-EXP(-LN(2)/25))/(LN(2)/25)*Calculateur!AQ158*Calculateur!AS158*VLOOKUP('Données projet'!$B$10,Paramètres!$A$1:$I$89,3,0)*0.475*44/12</f>
        <v>0.28838768627265438</v>
      </c>
      <c r="AW158" s="21">
        <f>EXP(-LN(2)/2)*AW157+(1-EXP(-LN(2)/2))/(LN(2)/2)*AQ158*AT158*VLOOKUP('Données projet'!$B$10,Paramètres!$A$1:$I$89,3,0)*0.475*44/12</f>
        <v>2.2044985294086287E-18</v>
      </c>
      <c r="AX158" s="21">
        <f t="shared" si="166"/>
        <v>0.67806302908240568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-4.5474735088646412E-13</v>
      </c>
      <c r="BE158" s="13">
        <f>BD158*VLOOKUP('Données projet'!$B$11,Paramètres!$A$1:$I$89,3,0)*VLOOKUP('Données projet'!$B$11,Paramètres!$A$1:$I$89,5,0)</f>
        <v>-2.7193891583010558E-13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216.94426559495264</v>
      </c>
      <c r="BJ158" s="59">
        <f t="shared" si="146"/>
        <v>225.33715877618704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0.4015394859953203</v>
      </c>
      <c r="BR158" s="21">
        <f>EXP(-LN(2)/2)*BR157+(1-EXP(-LN(2)/2))/(LN(2)/2)*BL158*BO158*VLOOKUP('Données projet'!$B$11,Paramètres!$A$1:$I$89,3,0)*0.475*44/12</f>
        <v>3.6384071276637248E-18</v>
      </c>
      <c r="BS158" s="22">
        <f t="shared" si="169"/>
        <v>0.4015394859953203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-2.8421709430404007E-14</v>
      </c>
      <c r="BZ158" s="13">
        <f>BY158*VLOOKUP('Données projet'!$B$12,Paramètres!$A$1:$I$89,3,0)*VLOOKUP('Données projet'!$B$12,Paramètres!$A$1:$I$89,5,0)</f>
        <v>-2.4829205358400945E-14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223.81948236065614</v>
      </c>
      <c r="CE158" s="59">
        <f t="shared" si="148"/>
        <v>320.1204011431372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0.25849537892173002</v>
      </c>
      <c r="CL158" s="21">
        <f>EXP(-LN(2)/25)*CL157+(1-EXP(-LN(2)/25))/(LN(2)/25)*Calculateur!CG158*Calculateur!CI158*VLOOKUP('Données projet'!$B$12,Paramètres!$A$1:$I$89,3,0)*0.475*44/12</f>
        <v>0.55288764744122953</v>
      </c>
      <c r="CM158" s="21">
        <f>EXP(-LN(2)/2)*CM157+(1-EXP(-LN(2)/2))/(LN(2)/2)*CG158*CJ158*VLOOKUP('Données projet'!$B$12,Paramètres!$A$1:$I$89,3,0)*0.475*44/12</f>
        <v>4.257956862174473E-18</v>
      </c>
      <c r="CN158" s="22">
        <f t="shared" si="172"/>
        <v>0.81138302636295956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-1.9065282685915009E-13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279.98352834501759</v>
      </c>
      <c r="T159" s="59">
        <f t="shared" si="142"/>
        <v>281.30062655265488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0.32962560895256693</v>
      </c>
      <c r="AA159" s="21">
        <f>EXP(-LN(2)/25)*AA158+(1-EXP(-LN(2)/25))/(LN(2)/25)*Calculateur!V159*Calculateur!X159*VLOOKUP('Données projet'!$B$9,Paramètres!$A$1:$I$89,3,0)*0.475*44/12</f>
        <v>0.73638937562135276</v>
      </c>
      <c r="AB159" s="21">
        <f>EXP(-LN(2)/2)*AB158+(1-EXP(-LN(2)/2))/(LN(2)/2)*V159*Y159*VLOOKUP('Données projet'!$B$9,Paramètres!$A$1:$I$89,3,0)*0.475*44/12</f>
        <v>3.0701505114035313E-18</v>
      </c>
      <c r="AC159" s="22">
        <f t="shared" si="163"/>
        <v>1.0660149845739197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-1.1368683772161603E-12</v>
      </c>
      <c r="AJ159" s="13">
        <f>AI159*VLOOKUP('Données projet'!$B$10,Paramètres!$A$1:$I$89,3,0)*VLOOKUP('Données projet'!$B$10,Paramètres!$A$1:$I$89,5,0)</f>
        <v>-5.4683368944097316E-13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252.30925789500111</v>
      </c>
      <c r="AO159" s="59">
        <f t="shared" si="144"/>
        <v>213.96033794804805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0.38203404701574234</v>
      </c>
      <c r="AV159" s="21">
        <f>EXP(-LN(2)/25)*AV158+(1-EXP(-LN(2)/25))/(LN(2)/25)*Calculateur!AQ159*Calculateur!AS159*VLOOKUP('Données projet'!$B$10,Paramètres!$A$1:$I$89,3,0)*0.475*44/12</f>
        <v>0.28050170982587935</v>
      </c>
      <c r="AW159" s="21">
        <f>EXP(-LN(2)/2)*AW158+(1-EXP(-LN(2)/2))/(LN(2)/2)*AQ159*AT159*VLOOKUP('Données projet'!$B$10,Paramètres!$A$1:$I$89,3,0)*0.475*44/12</f>
        <v>1.558815859260613E-18</v>
      </c>
      <c r="AX159" s="21">
        <f t="shared" si="166"/>
        <v>0.66253575684162169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-4.5474735088646412E-13</v>
      </c>
      <c r="BE159" s="13">
        <f>BD159*VLOOKUP('Données projet'!$B$11,Paramètres!$A$1:$I$89,3,0)*VLOOKUP('Données projet'!$B$11,Paramètres!$A$1:$I$89,5,0)</f>
        <v>-2.7193891583010558E-13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216.94426559495264</v>
      </c>
      <c r="BJ159" s="59">
        <f t="shared" si="146"/>
        <v>225.33715877618704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0.39055936763473442</v>
      </c>
      <c r="BR159" s="21">
        <f>EXP(-LN(2)/2)*BR158+(1-EXP(-LN(2)/2))/(LN(2)/2)*BL159*BO159*VLOOKUP('Données projet'!$B$11,Paramètres!$A$1:$I$89,3,0)*0.475*44/12</f>
        <v>2.5727423526884884E-18</v>
      </c>
      <c r="BS159" s="22">
        <f t="shared" si="169"/>
        <v>0.39055936763473442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-2.8421709430404007E-14</v>
      </c>
      <c r="BZ159" s="13">
        <f>BY159*VLOOKUP('Données projet'!$B$12,Paramètres!$A$1:$I$89,3,0)*VLOOKUP('Données projet'!$B$12,Paramètres!$A$1:$I$89,5,0)</f>
        <v>-2.4829205358400945E-14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223.81948236065614</v>
      </c>
      <c r="CE159" s="59">
        <f t="shared" si="148"/>
        <v>320.1204011431372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0.25342644220768773</v>
      </c>
      <c r="CL159" s="21">
        <f>EXP(-LN(2)/25)*CL158+(1-EXP(-LN(2)/25))/(LN(2)/25)*Calculateur!CG159*Calculateur!CI159*VLOOKUP('Données projet'!$B$12,Paramètres!$A$1:$I$89,3,0)*0.475*44/12</f>
        <v>0.53776890564685143</v>
      </c>
      <c r="CM159" s="21">
        <f>EXP(-LN(2)/2)*CM158+(1-EXP(-LN(2)/2))/(LN(2)/2)*CG159*CJ159*VLOOKUP('Données projet'!$B$12,Paramètres!$A$1:$I$89,3,0)*0.475*44/12</f>
        <v>3.0108301712433636E-18</v>
      </c>
      <c r="CN159" s="22">
        <f t="shared" si="172"/>
        <v>0.79119534785453915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-1.9065282685915009E-13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279.98352834501759</v>
      </c>
      <c r="T160" s="59">
        <f t="shared" si="142"/>
        <v>281.30062655265488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0.32316185181277635</v>
      </c>
      <c r="AA160" s="21">
        <f>EXP(-LN(2)/25)*AA159+(1-EXP(-LN(2)/25))/(LN(2)/25)*Calculateur!V160*Calculateur!X160*VLOOKUP('Données projet'!$B$9,Paramètres!$A$1:$I$89,3,0)*0.475*44/12</f>
        <v>0.71625276941995264</v>
      </c>
      <c r="AB160" s="21">
        <f>EXP(-LN(2)/2)*AB159+(1-EXP(-LN(2)/2))/(LN(2)/2)*V160*Y160*VLOOKUP('Données projet'!$B$9,Paramètres!$A$1:$I$89,3,0)*0.475*44/12</f>
        <v>2.1709242458767838E-18</v>
      </c>
      <c r="AC160" s="22">
        <f t="shared" si="163"/>
        <v>1.0394146212327291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-1.1368683772161603E-12</v>
      </c>
      <c r="AJ160" s="13">
        <f>AI160*VLOOKUP('Données projet'!$B$10,Paramètres!$A$1:$I$89,3,0)*VLOOKUP('Données projet'!$B$10,Paramètres!$A$1:$I$89,5,0)</f>
        <v>-5.4683368944097316E-13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252.30925789500111</v>
      </c>
      <c r="AO160" s="59">
        <f t="shared" si="144"/>
        <v>213.96033794804805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0.37454259237152371</v>
      </c>
      <c r="AV160" s="21">
        <f>EXP(-LN(2)/25)*AV159+(1-EXP(-LN(2)/25))/(LN(2)/25)*Calculateur!AQ160*Calculateur!AS160*VLOOKUP('Données projet'!$B$10,Paramètres!$A$1:$I$89,3,0)*0.475*44/12</f>
        <v>0.27283137581974687</v>
      </c>
      <c r="AW160" s="21">
        <f>EXP(-LN(2)/2)*AW159+(1-EXP(-LN(2)/2))/(LN(2)/2)*AQ160*AT160*VLOOKUP('Données projet'!$B$10,Paramètres!$A$1:$I$89,3,0)*0.475*44/12</f>
        <v>1.1022492647043143E-18</v>
      </c>
      <c r="AX160" s="21">
        <f t="shared" si="166"/>
        <v>0.64737396819127058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-4.5474735088646412E-13</v>
      </c>
      <c r="BE160" s="13">
        <f>BD160*VLOOKUP('Données projet'!$B$11,Paramètres!$A$1:$I$89,3,0)*VLOOKUP('Données projet'!$B$11,Paramètres!$A$1:$I$89,5,0)</f>
        <v>-2.7193891583010558E-13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216.94426559495264</v>
      </c>
      <c r="BJ160" s="59">
        <f t="shared" si="146"/>
        <v>225.33715877618704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0.37987950118813812</v>
      </c>
      <c r="BR160" s="21">
        <f>EXP(-LN(2)/2)*BR159+(1-EXP(-LN(2)/2))/(LN(2)/2)*BL160*BO160*VLOOKUP('Données projet'!$B$11,Paramètres!$A$1:$I$89,3,0)*0.475*44/12</f>
        <v>1.8192035638318624E-18</v>
      </c>
      <c r="BS160" s="22">
        <f t="shared" si="169"/>
        <v>0.37987950118813812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-2.8421709430404007E-14</v>
      </c>
      <c r="BZ160" s="13">
        <f>BY160*VLOOKUP('Données projet'!$B$12,Paramètres!$A$1:$I$89,3,0)*VLOOKUP('Données projet'!$B$12,Paramètres!$A$1:$I$89,5,0)</f>
        <v>-2.4829205358400945E-14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223.81948236065614</v>
      </c>
      <c r="CE160" s="59">
        <f t="shared" si="148"/>
        <v>320.1204011431372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0.24845690425086173</v>
      </c>
      <c r="CL160" s="21">
        <f>EXP(-LN(2)/25)*CL159+(1-EXP(-LN(2)/25))/(LN(2)/25)*Calculateur!CG160*Calculateur!CI160*VLOOKUP('Données projet'!$B$12,Paramètres!$A$1:$I$89,3,0)*0.475*44/12</f>
        <v>0.52306358664190056</v>
      </c>
      <c r="CM160" s="21">
        <f>EXP(-LN(2)/2)*CM159+(1-EXP(-LN(2)/2))/(LN(2)/2)*CG160*CJ160*VLOOKUP('Données projet'!$B$12,Paramètres!$A$1:$I$89,3,0)*0.475*44/12</f>
        <v>2.1289784310872365E-18</v>
      </c>
      <c r="CN160" s="22">
        <f t="shared" si="172"/>
        <v>0.77152049089276231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-1.9065282685915009E-13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279.98352834501759</v>
      </c>
      <c r="T161" s="59">
        <f t="shared" si="142"/>
        <v>281.30062655265488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0.31682484500799446</v>
      </c>
      <c r="AA161" s="21">
        <f>EXP(-LN(2)/25)*AA160+(1-EXP(-LN(2)/25))/(LN(2)/25)*Calculateur!V161*Calculateur!X161*VLOOKUP('Données projet'!$B$9,Paramètres!$A$1:$I$89,3,0)*0.475*44/12</f>
        <v>0.69666679977406787</v>
      </c>
      <c r="AB161" s="21">
        <f>EXP(-LN(2)/2)*AB160+(1-EXP(-LN(2)/2))/(LN(2)/2)*V161*Y161*VLOOKUP('Données projet'!$B$9,Paramètres!$A$1:$I$89,3,0)*0.475*44/12</f>
        <v>1.5350752557017656E-18</v>
      </c>
      <c r="AC161" s="22">
        <f t="shared" si="163"/>
        <v>1.0134916447820623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-1.1368683772161603E-12</v>
      </c>
      <c r="AJ161" s="13">
        <f>AI161*VLOOKUP('Données projet'!$B$10,Paramètres!$A$1:$I$89,3,0)*VLOOKUP('Données projet'!$B$10,Paramètres!$A$1:$I$89,5,0)</f>
        <v>-5.4683368944097316E-13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252.30925789500111</v>
      </c>
      <c r="AO161" s="59">
        <f t="shared" si="144"/>
        <v>213.96033794804805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0.36719804058354205</v>
      </c>
      <c r="AV161" s="21">
        <f>EXP(-LN(2)/25)*AV160+(1-EXP(-LN(2)/25))/(LN(2)/25)*Calculateur!AQ161*Calculateur!AS161*VLOOKUP('Données projet'!$B$10,Paramètres!$A$1:$I$89,3,0)*0.475*44/12</f>
        <v>0.2653707875003774</v>
      </c>
      <c r="AW161" s="21">
        <f>EXP(-LN(2)/2)*AW160+(1-EXP(-LN(2)/2))/(LN(2)/2)*AQ161*AT161*VLOOKUP('Données projet'!$B$10,Paramètres!$A$1:$I$89,3,0)*0.475*44/12</f>
        <v>7.7940792963030651E-19</v>
      </c>
      <c r="AX161" s="21">
        <f t="shared" si="166"/>
        <v>0.63256882808391945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-4.5474735088646412E-13</v>
      </c>
      <c r="BE161" s="13">
        <f>BD161*VLOOKUP('Données projet'!$B$11,Paramètres!$A$1:$I$89,3,0)*VLOOKUP('Données projet'!$B$11,Paramètres!$A$1:$I$89,5,0)</f>
        <v>-2.7193891583010558E-13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216.94426559495264</v>
      </c>
      <c r="BJ161" s="59">
        <f t="shared" si="146"/>
        <v>225.33715877618704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0.36949167625115376</v>
      </c>
      <c r="BR161" s="21">
        <f>EXP(-LN(2)/2)*BR160+(1-EXP(-LN(2)/2))/(LN(2)/2)*BL161*BO161*VLOOKUP('Données projet'!$B$11,Paramètres!$A$1:$I$89,3,0)*0.475*44/12</f>
        <v>1.2863711763442442E-18</v>
      </c>
      <c r="BS161" s="22">
        <f t="shared" si="169"/>
        <v>0.36949167625115376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-2.8421709430404007E-14</v>
      </c>
      <c r="BZ161" s="13">
        <f>BY161*VLOOKUP('Données projet'!$B$12,Paramètres!$A$1:$I$89,3,0)*VLOOKUP('Données projet'!$B$12,Paramètres!$A$1:$I$89,5,0)</f>
        <v>-2.4829205358400945E-14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223.81948236065614</v>
      </c>
      <c r="CE161" s="59">
        <f t="shared" si="148"/>
        <v>320.1204011431372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0.24358481590225023</v>
      </c>
      <c r="CL161" s="21">
        <f>EXP(-LN(2)/25)*CL160+(1-EXP(-LN(2)/25))/(LN(2)/25)*Calculateur!CG161*Calculateur!CI161*VLOOKUP('Données projet'!$B$12,Paramètres!$A$1:$I$89,3,0)*0.475*44/12</f>
        <v>0.50876038535845924</v>
      </c>
      <c r="CM161" s="21">
        <f>EXP(-LN(2)/2)*CM160+(1-EXP(-LN(2)/2))/(LN(2)/2)*CG161*CJ161*VLOOKUP('Données projet'!$B$12,Paramètres!$A$1:$I$89,3,0)*0.475*44/12</f>
        <v>1.5054150856216818E-18</v>
      </c>
      <c r="CN161" s="22">
        <f t="shared" si="172"/>
        <v>0.75234520126070947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-1.9065282685915009E-13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279.98352834501759</v>
      </c>
      <c r="T162" s="59">
        <f t="shared" si="142"/>
        <v>281.30062655265488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0.31061210304146186</v>
      </c>
      <c r="AA162" s="21">
        <f>EXP(-LN(2)/25)*AA161+(1-EXP(-LN(2)/25))/(LN(2)/25)*Calculateur!V162*Calculateur!X162*VLOOKUP('Données projet'!$B$9,Paramètres!$A$1:$I$89,3,0)*0.475*44/12</f>
        <v>0.67761640949813129</v>
      </c>
      <c r="AB162" s="21">
        <f>EXP(-LN(2)/2)*AB161+(1-EXP(-LN(2)/2))/(LN(2)/2)*V162*Y162*VLOOKUP('Données projet'!$B$9,Paramètres!$A$1:$I$89,3,0)*0.475*44/12</f>
        <v>1.0854621229383919E-18</v>
      </c>
      <c r="AC162" s="22">
        <f t="shared" si="163"/>
        <v>0.9882285125395931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-1.1368683772161603E-12</v>
      </c>
      <c r="AJ162" s="13">
        <f>AI162*VLOOKUP('Données projet'!$B$10,Paramètres!$A$1:$I$89,3,0)*VLOOKUP('Données projet'!$B$10,Paramètres!$A$1:$I$89,5,0)</f>
        <v>-5.4683368944097316E-13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252.30925789500111</v>
      </c>
      <c r="AO162" s="59">
        <f t="shared" si="144"/>
        <v>213.96033794804805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0.35999751097638849</v>
      </c>
      <c r="AV162" s="21">
        <f>EXP(-LN(2)/25)*AV161+(1-EXP(-LN(2)/25))/(LN(2)/25)*Calculateur!AQ162*Calculateur!AS162*VLOOKUP('Données projet'!$B$10,Paramètres!$A$1:$I$89,3,0)*0.475*44/12</f>
        <v>0.25811420936093638</v>
      </c>
      <c r="AW162" s="21">
        <f>EXP(-LN(2)/2)*AW161+(1-EXP(-LN(2)/2))/(LN(2)/2)*AQ162*AT162*VLOOKUP('Données projet'!$B$10,Paramètres!$A$1:$I$89,3,0)*0.475*44/12</f>
        <v>5.5112463235215717E-19</v>
      </c>
      <c r="AX162" s="21">
        <f t="shared" si="166"/>
        <v>0.61811172033732487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-4.5474735088646412E-13</v>
      </c>
      <c r="BE162" s="13">
        <f>BD162*VLOOKUP('Données projet'!$B$11,Paramètres!$A$1:$I$89,3,0)*VLOOKUP('Données projet'!$B$11,Paramètres!$A$1:$I$89,5,0)</f>
        <v>-2.7193891583010558E-13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216.94426559495264</v>
      </c>
      <c r="BJ162" s="59">
        <f t="shared" si="146"/>
        <v>225.33715877618704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0.35938790693334316</v>
      </c>
      <c r="BR162" s="21">
        <f>EXP(-LN(2)/2)*BR161+(1-EXP(-LN(2)/2))/(LN(2)/2)*BL162*BO162*VLOOKUP('Données projet'!$B$11,Paramètres!$A$1:$I$89,3,0)*0.475*44/12</f>
        <v>9.0960178191593121E-19</v>
      </c>
      <c r="BS162" s="22">
        <f t="shared" si="169"/>
        <v>0.35938790693334316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-2.8421709430404007E-14</v>
      </c>
      <c r="BZ162" s="13">
        <f>BY162*VLOOKUP('Données projet'!$B$12,Paramètres!$A$1:$I$89,3,0)*VLOOKUP('Données projet'!$B$12,Paramètres!$A$1:$I$89,5,0)</f>
        <v>-2.4829205358400945E-14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223.81948236065614</v>
      </c>
      <c r="CE162" s="59">
        <f t="shared" si="148"/>
        <v>320.1204011431372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0.23880826623447454</v>
      </c>
      <c r="CL162" s="21">
        <f>EXP(-LN(2)/25)*CL161+(1-EXP(-LN(2)/25))/(LN(2)/25)*Calculateur!CG162*Calculateur!CI162*VLOOKUP('Données projet'!$B$12,Paramètres!$A$1:$I$89,3,0)*0.475*44/12</f>
        <v>0.49484830586628631</v>
      </c>
      <c r="CM162" s="21">
        <f>EXP(-LN(2)/2)*CM161+(1-EXP(-LN(2)/2))/(LN(2)/2)*CG162*CJ162*VLOOKUP('Données projet'!$B$12,Paramètres!$A$1:$I$89,3,0)*0.475*44/12</f>
        <v>1.0644892155436182E-18</v>
      </c>
      <c r="CN162" s="22">
        <f t="shared" si="172"/>
        <v>0.73365657210076085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-1.9065282685915009E-13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279.98352834501759</v>
      </c>
      <c r="T163" s="59">
        <f t="shared" si="142"/>
        <v>281.30062655265488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0.30452118915549453</v>
      </c>
      <c r="AA163" s="21">
        <f>EXP(-LN(2)/25)*AA162+(1-EXP(-LN(2)/25))/(LN(2)/25)*Calculateur!V163*Calculateur!X163*VLOOKUP('Données projet'!$B$9,Paramètres!$A$1:$I$89,3,0)*0.475*44/12</f>
        <v>0.65908695314610666</v>
      </c>
      <c r="AB163" s="21">
        <f>EXP(-LN(2)/2)*AB162+(1-EXP(-LN(2)/2))/(LN(2)/2)*V163*Y163*VLOOKUP('Données projet'!$B$9,Paramètres!$A$1:$I$89,3,0)*0.475*44/12</f>
        <v>7.6753762785088282E-19</v>
      </c>
      <c r="AC163" s="22">
        <f t="shared" si="163"/>
        <v>0.96360814230160119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-1.1368683772161603E-12</v>
      </c>
      <c r="AJ163" s="13">
        <f>AI163*VLOOKUP('Données projet'!$B$10,Paramètres!$A$1:$I$89,3,0)*VLOOKUP('Données projet'!$B$10,Paramètres!$A$1:$I$89,5,0)</f>
        <v>-5.4683368944097316E-13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252.30925789500111</v>
      </c>
      <c r="AO163" s="59">
        <f t="shared" si="144"/>
        <v>213.96033794804805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0.35293817936294181</v>
      </c>
      <c r="AV163" s="21">
        <f>EXP(-LN(2)/25)*AV162+(1-EXP(-LN(2)/25))/(LN(2)/25)*Calculateur!AQ163*Calculateur!AS163*VLOOKUP('Données projet'!$B$10,Paramètres!$A$1:$I$89,3,0)*0.475*44/12</f>
        <v>0.25105606273232522</v>
      </c>
      <c r="AW163" s="21">
        <f>EXP(-LN(2)/2)*AW162+(1-EXP(-LN(2)/2))/(LN(2)/2)*AQ163*AT163*VLOOKUP('Données projet'!$B$10,Paramètres!$A$1:$I$89,3,0)*0.475*44/12</f>
        <v>3.8970396481515326E-19</v>
      </c>
      <c r="AX163" s="21">
        <f t="shared" si="166"/>
        <v>0.60399424209526709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-4.5474735088646412E-13</v>
      </c>
      <c r="BE163" s="13">
        <f>BD163*VLOOKUP('Données projet'!$B$11,Paramètres!$A$1:$I$89,3,0)*VLOOKUP('Données projet'!$B$11,Paramètres!$A$1:$I$89,5,0)</f>
        <v>-2.7193891583010558E-13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216.94426559495264</v>
      </c>
      <c r="BJ163" s="59">
        <f t="shared" si="146"/>
        <v>225.33715877618704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0.34956042571886226</v>
      </c>
      <c r="BR163" s="21">
        <f>EXP(-LN(2)/2)*BR162+(1-EXP(-LN(2)/2))/(LN(2)/2)*BL163*BO163*VLOOKUP('Données projet'!$B$11,Paramètres!$A$1:$I$89,3,0)*0.475*44/12</f>
        <v>6.4318558817212211E-19</v>
      </c>
      <c r="BS163" s="22">
        <f t="shared" si="169"/>
        <v>0.34956042571886226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-2.8421709430404007E-14</v>
      </c>
      <c r="BZ163" s="13">
        <f>BY163*VLOOKUP('Données projet'!$B$12,Paramètres!$A$1:$I$89,3,0)*VLOOKUP('Données projet'!$B$12,Paramètres!$A$1:$I$89,5,0)</f>
        <v>-2.4829205358400945E-14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223.81948236065614</v>
      </c>
      <c r="CE163" s="59">
        <f t="shared" si="148"/>
        <v>320.1204011431372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0.23412538179227629</v>
      </c>
      <c r="CL163" s="21">
        <f>EXP(-LN(2)/25)*CL162+(1-EXP(-LN(2)/25))/(LN(2)/25)*Calculateur!CG163*Calculateur!CI163*VLOOKUP('Données projet'!$B$12,Paramètres!$A$1:$I$89,3,0)*0.475*44/12</f>
        <v>0.48131665291943132</v>
      </c>
      <c r="CM163" s="21">
        <f>EXP(-LN(2)/2)*CM162+(1-EXP(-LN(2)/2))/(LN(2)/2)*CG163*CJ163*VLOOKUP('Données projet'!$B$12,Paramètres!$A$1:$I$89,3,0)*0.475*44/12</f>
        <v>7.527075428108409E-19</v>
      </c>
      <c r="CN163" s="22">
        <f t="shared" si="172"/>
        <v>0.71544203471170764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-1.9065282685915009E-13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279.98352834501759</v>
      </c>
      <c r="T164" s="59">
        <f t="shared" si="142"/>
        <v>281.30062655265488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0.2985497143757404</v>
      </c>
      <c r="AA164" s="21">
        <f>EXP(-LN(2)/25)*AA163+(1-EXP(-LN(2)/25))/(LN(2)/25)*Calculateur!V164*Calculateur!X164*VLOOKUP('Données projet'!$B$9,Paramètres!$A$1:$I$89,3,0)*0.475*44/12</f>
        <v>0.64106418575244983</v>
      </c>
      <c r="AB164" s="21">
        <f>EXP(-LN(2)/2)*AB163+(1-EXP(-LN(2)/2))/(LN(2)/2)*V164*Y164*VLOOKUP('Données projet'!$B$9,Paramètres!$A$1:$I$89,3,0)*0.475*44/12</f>
        <v>5.4273106146919594E-19</v>
      </c>
      <c r="AC164" s="22">
        <f t="shared" si="163"/>
        <v>0.93961390012819024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-1.1368683772161603E-12</v>
      </c>
      <c r="AJ164" s="13">
        <f>AI164*VLOOKUP('Données projet'!$B$10,Paramètres!$A$1:$I$89,3,0)*VLOOKUP('Données projet'!$B$10,Paramètres!$A$1:$I$89,5,0)</f>
        <v>-5.4683368944097316E-13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252.30925789500111</v>
      </c>
      <c r="AO164" s="59">
        <f t="shared" si="144"/>
        <v>213.96033794804805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0.34601727693666767</v>
      </c>
      <c r="AV164" s="21">
        <f>EXP(-LN(2)/25)*AV163+(1-EXP(-LN(2)/25))/(LN(2)/25)*Calculateur!AQ164*Calculateur!AS164*VLOOKUP('Données projet'!$B$10,Paramètres!$A$1:$I$89,3,0)*0.475*44/12</f>
        <v>0.24419092149444524</v>
      </c>
      <c r="AW164" s="21">
        <f>EXP(-LN(2)/2)*AW163+(1-EXP(-LN(2)/2))/(LN(2)/2)*AQ164*AT164*VLOOKUP('Données projet'!$B$10,Paramètres!$A$1:$I$89,3,0)*0.475*44/12</f>
        <v>2.7556231617607858E-19</v>
      </c>
      <c r="AX164" s="21">
        <f t="shared" si="166"/>
        <v>0.59020819843111294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-4.5474735088646412E-13</v>
      </c>
      <c r="BE164" s="13">
        <f>BD164*VLOOKUP('Données projet'!$B$11,Paramètres!$A$1:$I$89,3,0)*VLOOKUP('Données projet'!$B$11,Paramètres!$A$1:$I$89,5,0)</f>
        <v>-2.7193891583010558E-13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216.94426559495264</v>
      </c>
      <c r="BJ164" s="59">
        <f t="shared" si="146"/>
        <v>225.33715877618704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0.3400016774949961</v>
      </c>
      <c r="BR164" s="21">
        <f>EXP(-LN(2)/2)*BR163+(1-EXP(-LN(2)/2))/(LN(2)/2)*BL164*BO164*VLOOKUP('Données projet'!$B$11,Paramètres!$A$1:$I$89,3,0)*0.475*44/12</f>
        <v>4.548008909579656E-19</v>
      </c>
      <c r="BS164" s="22">
        <f t="shared" si="169"/>
        <v>0.3400016774949961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-2.8421709430404007E-14</v>
      </c>
      <c r="BZ164" s="13">
        <f>BY164*VLOOKUP('Données projet'!$B$12,Paramètres!$A$1:$I$89,3,0)*VLOOKUP('Données projet'!$B$12,Paramètres!$A$1:$I$89,5,0)</f>
        <v>-2.4829205358400945E-14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223.81948236065614</v>
      </c>
      <c r="CE164" s="59">
        <f t="shared" si="148"/>
        <v>320.1204011431372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0.22953432585771208</v>
      </c>
      <c r="CL164" s="21">
        <f>EXP(-LN(2)/25)*CL163+(1-EXP(-LN(2)/25))/(LN(2)/25)*Calculateur!CG164*Calculateur!CI164*VLOOKUP('Données projet'!$B$12,Paramètres!$A$1:$I$89,3,0)*0.475*44/12</f>
        <v>0.46815502373400675</v>
      </c>
      <c r="CM164" s="21">
        <f>EXP(-LN(2)/2)*CM163+(1-EXP(-LN(2)/2))/(LN(2)/2)*CG164*CJ164*VLOOKUP('Données projet'!$B$12,Paramètres!$A$1:$I$89,3,0)*0.475*44/12</f>
        <v>5.3224460777180912E-19</v>
      </c>
      <c r="CN164" s="22">
        <f t="shared" si="172"/>
        <v>0.6976893495917188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-1.9065282685915009E-13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279.98352834501759</v>
      </c>
      <c r="T165" s="59">
        <f t="shared" si="142"/>
        <v>281.30062655265488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0.29269533657417729</v>
      </c>
      <c r="AA165" s="21">
        <f>EXP(-LN(2)/25)*AA164+(1-EXP(-LN(2)/25))/(LN(2)/25)*Calculateur!V165*Calculateur!X165*VLOOKUP('Données projet'!$B$9,Paramètres!$A$1:$I$89,3,0)*0.475*44/12</f>
        <v>0.62353425188094869</v>
      </c>
      <c r="AB165" s="21">
        <f>EXP(-LN(2)/2)*AB164+(1-EXP(-LN(2)/2))/(LN(2)/2)*V165*Y165*VLOOKUP('Données projet'!$B$9,Paramètres!$A$1:$I$89,3,0)*0.475*44/12</f>
        <v>3.8376881392544141E-19</v>
      </c>
      <c r="AC165" s="22">
        <f t="shared" si="163"/>
        <v>0.91622958845512592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-1.1368683772161603E-12</v>
      </c>
      <c r="AJ165" s="13">
        <f>AI165*VLOOKUP('Données projet'!$B$10,Paramètres!$A$1:$I$89,3,0)*VLOOKUP('Données projet'!$B$10,Paramètres!$A$1:$I$89,5,0)</f>
        <v>-5.4683368944097316E-13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252.30925789500111</v>
      </c>
      <c r="AO165" s="59">
        <f t="shared" si="144"/>
        <v>213.96033794804805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0.33923208918563913</v>
      </c>
      <c r="AV165" s="21">
        <f>EXP(-LN(2)/25)*AV164+(1-EXP(-LN(2)/25))/(LN(2)/25)*Calculateur!AQ165*Calculateur!AS165*VLOOKUP('Données projet'!$B$10,Paramètres!$A$1:$I$89,3,0)*0.475*44/12</f>
        <v>0.23751350790473719</v>
      </c>
      <c r="AW165" s="21">
        <f>EXP(-LN(2)/2)*AW164+(1-EXP(-LN(2)/2))/(LN(2)/2)*AQ165*AT165*VLOOKUP('Données projet'!$B$10,Paramètres!$A$1:$I$89,3,0)*0.475*44/12</f>
        <v>1.9485198240757663E-19</v>
      </c>
      <c r="AX165" s="21">
        <f t="shared" si="166"/>
        <v>0.57674559709037632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-4.5474735088646412E-13</v>
      </c>
      <c r="BE165" s="13">
        <f>BD165*VLOOKUP('Données projet'!$B$11,Paramètres!$A$1:$I$89,3,0)*VLOOKUP('Données projet'!$B$11,Paramètres!$A$1:$I$89,5,0)</f>
        <v>-2.7193891583010558E-13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216.94426559495264</v>
      </c>
      <c r="BJ165" s="59">
        <f t="shared" si="146"/>
        <v>225.33715877618704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0.33070431374398429</v>
      </c>
      <c r="BR165" s="21">
        <f>EXP(-LN(2)/2)*BR164+(1-EXP(-LN(2)/2))/(LN(2)/2)*BL165*BO165*VLOOKUP('Données projet'!$B$11,Paramètres!$A$1:$I$89,3,0)*0.475*44/12</f>
        <v>3.2159279408606105E-19</v>
      </c>
      <c r="BS165" s="22">
        <f t="shared" si="169"/>
        <v>0.33070431374398429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-2.8421709430404007E-14</v>
      </c>
      <c r="BZ165" s="13">
        <f>BY165*VLOOKUP('Données projet'!$B$12,Paramètres!$A$1:$I$89,3,0)*VLOOKUP('Données projet'!$B$12,Paramètres!$A$1:$I$89,5,0)</f>
        <v>-2.4829205358400945E-14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223.81948236065614</v>
      </c>
      <c r="CE165" s="59">
        <f t="shared" si="148"/>
        <v>320.1204011431372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0.22503329772975705</v>
      </c>
      <c r="CL165" s="21">
        <f>EXP(-LN(2)/25)*CL164+(1-EXP(-LN(2)/25))/(LN(2)/25)*Calculateur!CG165*Calculateur!CI165*VLOOKUP('Données projet'!$B$12,Paramètres!$A$1:$I$89,3,0)*0.475*44/12</f>
        <v>0.4553532999907976</v>
      </c>
      <c r="CM165" s="21">
        <f>EXP(-LN(2)/2)*CM164+(1-EXP(-LN(2)/2))/(LN(2)/2)*CG165*CJ165*VLOOKUP('Données projet'!$B$12,Paramètres!$A$1:$I$89,3,0)*0.475*44/12</f>
        <v>3.7635377140542045E-19</v>
      </c>
      <c r="CN165" s="22">
        <f t="shared" si="172"/>
        <v>0.68038659772055465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-1.9065282685915009E-13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279.98352834501759</v>
      </c>
      <c r="T166" s="59">
        <f t="shared" si="142"/>
        <v>281.30062655265488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0.28695575955048497</v>
      </c>
      <c r="AA166" s="21">
        <f>EXP(-LN(2)/25)*AA165+(1-EXP(-LN(2)/25))/(LN(2)/25)*Calculateur!V166*Calculateur!X166*VLOOKUP('Données projet'!$B$9,Paramètres!$A$1:$I$89,3,0)*0.475*44/12</f>
        <v>0.60648367497302291</v>
      </c>
      <c r="AB166" s="21">
        <f>EXP(-LN(2)/2)*AB165+(1-EXP(-LN(2)/2))/(LN(2)/2)*V166*Y166*VLOOKUP('Données projet'!$B$9,Paramètres!$A$1:$I$89,3,0)*0.475*44/12</f>
        <v>2.7136553073459797E-19</v>
      </c>
      <c r="AC166" s="22">
        <f t="shared" si="163"/>
        <v>0.89343943452350794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-1.1368683772161603E-12</v>
      </c>
      <c r="AJ166" s="13">
        <f>AI166*VLOOKUP('Données projet'!$B$10,Paramètres!$A$1:$I$89,3,0)*VLOOKUP('Données projet'!$B$10,Paramètres!$A$1:$I$89,5,0)</f>
        <v>-5.4683368944097316E-13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252.30925789500111</v>
      </c>
      <c r="AO166" s="59">
        <f t="shared" si="144"/>
        <v>213.96033794804805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0.33257995482785235</v>
      </c>
      <c r="AV166" s="21">
        <f>EXP(-LN(2)/25)*AV165+(1-EXP(-LN(2)/25))/(LN(2)/25)*Calculateur!AQ166*Calculateur!AS166*VLOOKUP('Données projet'!$B$10,Paramètres!$A$1:$I$89,3,0)*0.475*44/12</f>
        <v>0.23101868854078961</v>
      </c>
      <c r="AW166" s="21">
        <f>EXP(-LN(2)/2)*AW165+(1-EXP(-LN(2)/2))/(LN(2)/2)*AQ166*AT166*VLOOKUP('Données projet'!$B$10,Paramètres!$A$1:$I$89,3,0)*0.475*44/12</f>
        <v>1.3778115808803929E-19</v>
      </c>
      <c r="AX166" s="21">
        <f t="shared" si="166"/>
        <v>0.56359864336864196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-4.5474735088646412E-13</v>
      </c>
      <c r="BE166" s="13">
        <f>BD166*VLOOKUP('Données projet'!$B$11,Paramètres!$A$1:$I$89,3,0)*VLOOKUP('Données projet'!$B$11,Paramètres!$A$1:$I$89,5,0)</f>
        <v>-2.7193891583010558E-13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216.94426559495264</v>
      </c>
      <c r="BJ166" s="59">
        <f t="shared" si="146"/>
        <v>225.33715877618704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0.32166118689367101</v>
      </c>
      <c r="BR166" s="21">
        <f>EXP(-LN(2)/2)*BR165+(1-EXP(-LN(2)/2))/(LN(2)/2)*BL166*BO166*VLOOKUP('Données projet'!$B$11,Paramètres!$A$1:$I$89,3,0)*0.475*44/12</f>
        <v>2.274004454789828E-19</v>
      </c>
      <c r="BS166" s="22">
        <f t="shared" si="169"/>
        <v>0.32166118689367101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-2.8421709430404007E-14</v>
      </c>
      <c r="BZ166" s="13">
        <f>BY166*VLOOKUP('Données projet'!$B$12,Paramètres!$A$1:$I$89,3,0)*VLOOKUP('Données projet'!$B$12,Paramètres!$A$1:$I$89,5,0)</f>
        <v>-2.4829205358400945E-14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223.81948236065614</v>
      </c>
      <c r="CE166" s="59">
        <f t="shared" si="148"/>
        <v>320.1204011431372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0.22062053201803516</v>
      </c>
      <c r="CL166" s="21">
        <f>EXP(-LN(2)/25)*CL165+(1-EXP(-LN(2)/25))/(LN(2)/25)*Calculateur!CG166*Calculateur!CI166*VLOOKUP('Données projet'!$B$12,Paramètres!$A$1:$I$89,3,0)*0.475*44/12</f>
        <v>0.44290164005655991</v>
      </c>
      <c r="CM166" s="21">
        <f>EXP(-LN(2)/2)*CM165+(1-EXP(-LN(2)/2))/(LN(2)/2)*CG166*CJ166*VLOOKUP('Données projet'!$B$12,Paramètres!$A$1:$I$89,3,0)*0.475*44/12</f>
        <v>2.6612230388590456E-19</v>
      </c>
      <c r="CN166" s="22">
        <f t="shared" si="172"/>
        <v>0.66352217207459507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-1.9065282685915009E-13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279.98352834501759</v>
      </c>
      <c r="T167" s="59">
        <f t="shared" si="142"/>
        <v>281.30062655265488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0.28132873213143095</v>
      </c>
      <c r="AA167" s="21">
        <f>EXP(-LN(2)/25)*AA166+(1-EXP(-LN(2)/25))/(LN(2)/25)*Calculateur!V167*Calculateur!X167*VLOOKUP('Données projet'!$B$9,Paramètres!$A$1:$I$89,3,0)*0.475*44/12</f>
        <v>0.58989934698729529</v>
      </c>
      <c r="AB167" s="21">
        <f>EXP(-LN(2)/2)*AB166+(1-EXP(-LN(2)/2))/(LN(2)/2)*V167*Y167*VLOOKUP('Données projet'!$B$9,Paramètres!$A$1:$I$89,3,0)*0.475*44/12</f>
        <v>1.9188440696272071E-19</v>
      </c>
      <c r="AC167" s="22">
        <f t="shared" si="163"/>
        <v>0.87122807911872624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-1.1368683772161603E-12</v>
      </c>
      <c r="AJ167" s="13">
        <f>AI167*VLOOKUP('Données projet'!$B$10,Paramètres!$A$1:$I$89,3,0)*VLOOKUP('Données projet'!$B$10,Paramètres!$A$1:$I$89,5,0)</f>
        <v>-5.4683368944097316E-13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252.30925789500111</v>
      </c>
      <c r="AO167" s="59">
        <f t="shared" si="144"/>
        <v>213.96033794804805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0.32605826476742045</v>
      </c>
      <c r="AV167" s="21">
        <f>EXP(-LN(2)/25)*AV166+(1-EXP(-LN(2)/25))/(LN(2)/25)*Calculateur!AQ167*Calculateur!AS167*VLOOKUP('Données projet'!$B$10,Paramètres!$A$1:$I$89,3,0)*0.475*44/12</f>
        <v>0.2247014703538969</v>
      </c>
      <c r="AW167" s="21">
        <f>EXP(-LN(2)/2)*AW166+(1-EXP(-LN(2)/2))/(LN(2)/2)*AQ167*AT167*VLOOKUP('Données projet'!$B$10,Paramètres!$A$1:$I$89,3,0)*0.475*44/12</f>
        <v>9.7425991203788314E-20</v>
      </c>
      <c r="AX167" s="21">
        <f t="shared" si="166"/>
        <v>0.55075973512131737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-4.5474735088646412E-13</v>
      </c>
      <c r="BE167" s="13">
        <f>BD167*VLOOKUP('Données projet'!$B$11,Paramètres!$A$1:$I$89,3,0)*VLOOKUP('Données projet'!$B$11,Paramètres!$A$1:$I$89,5,0)</f>
        <v>-2.7193891583010558E-13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216.94426559495264</v>
      </c>
      <c r="BJ167" s="59">
        <f t="shared" si="146"/>
        <v>225.33715877618704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0.31286534482263695</v>
      </c>
      <c r="BR167" s="21">
        <f>EXP(-LN(2)/2)*BR166+(1-EXP(-LN(2)/2))/(LN(2)/2)*BL167*BO167*VLOOKUP('Données projet'!$B$11,Paramètres!$A$1:$I$89,3,0)*0.475*44/12</f>
        <v>1.6079639704303053E-19</v>
      </c>
      <c r="BS167" s="22">
        <f t="shared" si="169"/>
        <v>0.31286534482263695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-2.8421709430404007E-14</v>
      </c>
      <c r="BZ167" s="13">
        <f>BY167*VLOOKUP('Données projet'!$B$12,Paramètres!$A$1:$I$89,3,0)*VLOOKUP('Données projet'!$B$12,Paramètres!$A$1:$I$89,5,0)</f>
        <v>-2.4829205358400945E-14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223.81948236065614</v>
      </c>
      <c r="CE167" s="59">
        <f t="shared" si="148"/>
        <v>320.1204011431372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0.21629429795039881</v>
      </c>
      <c r="CL167" s="21">
        <f>EXP(-LN(2)/25)*CL166+(1-EXP(-LN(2)/25))/(LN(2)/25)*Calculateur!CG167*Calculateur!CI167*VLOOKUP('Données projet'!$B$12,Paramètres!$A$1:$I$89,3,0)*0.475*44/12</f>
        <v>0.43079047141802829</v>
      </c>
      <c r="CM167" s="21">
        <f>EXP(-LN(2)/2)*CM166+(1-EXP(-LN(2)/2))/(LN(2)/2)*CG167*CJ167*VLOOKUP('Données projet'!$B$12,Paramètres!$A$1:$I$89,3,0)*0.475*44/12</f>
        <v>1.8817688570271023E-19</v>
      </c>
      <c r="CN167" s="22">
        <f t="shared" si="172"/>
        <v>0.64708476936842707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-1.9065282685915009E-13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279.98352834501759</v>
      </c>
      <c r="T168" s="59">
        <f t="shared" si="142"/>
        <v>281.30062655265488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0.27581204728791675</v>
      </c>
      <c r="AA168" s="21">
        <f>EXP(-LN(2)/25)*AA167+(1-EXP(-LN(2)/25))/(LN(2)/25)*Calculateur!V168*Calculateur!X168*VLOOKUP('Données projet'!$B$9,Paramètres!$A$1:$I$89,3,0)*0.475*44/12</f>
        <v>0.57376851832246922</v>
      </c>
      <c r="AB168" s="21">
        <f>EXP(-LN(2)/2)*AB167+(1-EXP(-LN(2)/2))/(LN(2)/2)*V168*Y168*VLOOKUP('Données projet'!$B$9,Paramètres!$A$1:$I$89,3,0)*0.475*44/12</f>
        <v>1.3568276536729898E-19</v>
      </c>
      <c r="AC168" s="22">
        <f t="shared" si="163"/>
        <v>0.84958056561038597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-1.1368683772161603E-12</v>
      </c>
      <c r="AJ168" s="13">
        <f>AI168*VLOOKUP('Données projet'!$B$10,Paramètres!$A$1:$I$89,3,0)*VLOOKUP('Données projet'!$B$10,Paramètres!$A$1:$I$89,5,0)</f>
        <v>-5.4683368944097316E-13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252.30925789500111</v>
      </c>
      <c r="AO168" s="59">
        <f t="shared" si="144"/>
        <v>213.96033794804805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0.31966446107123547</v>
      </c>
      <c r="AV168" s="21">
        <f>EXP(-LN(2)/25)*AV167+(1-EXP(-LN(2)/25))/(LN(2)/25)*Calculateur!AQ168*Calculateur!AS168*VLOOKUP('Données projet'!$B$10,Paramètres!$A$1:$I$89,3,0)*0.475*44/12</f>
        <v>0.21855699683053281</v>
      </c>
      <c r="AW168" s="21">
        <f>EXP(-LN(2)/2)*AW167+(1-EXP(-LN(2)/2))/(LN(2)/2)*AQ168*AT168*VLOOKUP('Données projet'!$B$10,Paramètres!$A$1:$I$89,3,0)*0.475*44/12</f>
        <v>6.8890579044019646E-20</v>
      </c>
      <c r="AX168" s="21">
        <f t="shared" si="166"/>
        <v>0.53822145790176834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-4.5474735088646412E-13</v>
      </c>
      <c r="BE168" s="13">
        <f>BD168*VLOOKUP('Données projet'!$B$11,Paramètres!$A$1:$I$89,3,0)*VLOOKUP('Données projet'!$B$11,Paramètres!$A$1:$I$89,5,0)</f>
        <v>-2.7193891583010558E-13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216.94426559495264</v>
      </c>
      <c r="BJ168" s="59">
        <f t="shared" si="146"/>
        <v>225.33715877618704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0.3043100255155885</v>
      </c>
      <c r="BR168" s="21">
        <f>EXP(-LN(2)/2)*BR167+(1-EXP(-LN(2)/2))/(LN(2)/2)*BL168*BO168*VLOOKUP('Données projet'!$B$11,Paramètres!$A$1:$I$89,3,0)*0.475*44/12</f>
        <v>1.137002227394914E-19</v>
      </c>
      <c r="BS168" s="22">
        <f t="shared" si="169"/>
        <v>0.3043100255155885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-2.8421709430404007E-14</v>
      </c>
      <c r="BZ168" s="13">
        <f>BY168*VLOOKUP('Données projet'!$B$12,Paramètres!$A$1:$I$89,3,0)*VLOOKUP('Données projet'!$B$12,Paramètres!$A$1:$I$89,5,0)</f>
        <v>-2.4829205358400945E-14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223.81948236065614</v>
      </c>
      <c r="CE168" s="59">
        <f t="shared" si="148"/>
        <v>320.1204011431372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0.21205289869408658</v>
      </c>
      <c r="CL168" s="21">
        <f>EXP(-LN(2)/25)*CL167+(1-EXP(-LN(2)/25))/(LN(2)/25)*Calculateur!CG168*Calculateur!CI168*VLOOKUP('Données projet'!$B$12,Paramètres!$A$1:$I$89,3,0)*0.475*44/12</f>
        <v>0.41901048332281599</v>
      </c>
      <c r="CM168" s="21">
        <f>EXP(-LN(2)/2)*CM167+(1-EXP(-LN(2)/2))/(LN(2)/2)*CG168*CJ168*VLOOKUP('Données projet'!$B$12,Paramètres!$A$1:$I$89,3,0)*0.475*44/12</f>
        <v>1.3306115194295228E-19</v>
      </c>
      <c r="CN168" s="22">
        <f t="shared" si="172"/>
        <v>0.6310633820169026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-1.9065282685915009E-13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279.98352834501759</v>
      </c>
      <c r="T169" s="59">
        <f t="shared" si="142"/>
        <v>281.30062655265488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0.27040354126933835</v>
      </c>
      <c r="AA169" s="21">
        <f>EXP(-LN(2)/25)*AA168+(1-EXP(-LN(2)/25))/(LN(2)/25)*Calculateur!V169*Calculateur!X169*VLOOKUP('Données projet'!$B$9,Paramètres!$A$1:$I$89,3,0)*0.475*44/12</f>
        <v>0.55807878801576627</v>
      </c>
      <c r="AB169" s="21">
        <f>EXP(-LN(2)/2)*AB168+(1-EXP(-LN(2)/2))/(LN(2)/2)*V169*Y169*VLOOKUP('Données projet'!$B$9,Paramètres!$A$1:$I$89,3,0)*0.475*44/12</f>
        <v>9.5942203481360353E-20</v>
      </c>
      <c r="AC169" s="22">
        <f t="shared" si="163"/>
        <v>0.82848232928510468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-1.1368683772161603E-12</v>
      </c>
      <c r="AJ169" s="13">
        <f>AI169*VLOOKUP('Données projet'!$B$10,Paramètres!$A$1:$I$89,3,0)*VLOOKUP('Données projet'!$B$10,Paramètres!$A$1:$I$89,5,0)</f>
        <v>-5.4683368944097316E-13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252.30925789500111</v>
      </c>
      <c r="AO169" s="59">
        <f t="shared" si="144"/>
        <v>213.96033794804805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0.31339603596569748</v>
      </c>
      <c r="AV169" s="21">
        <f>EXP(-LN(2)/25)*AV168+(1-EXP(-LN(2)/25))/(LN(2)/25)*Calculateur!AQ169*Calculateur!AS169*VLOOKUP('Données projet'!$B$10,Paramètres!$A$1:$I$89,3,0)*0.475*44/12</f>
        <v>0.21258054425878894</v>
      </c>
      <c r="AW169" s="21">
        <f>EXP(-LN(2)/2)*AW168+(1-EXP(-LN(2)/2))/(LN(2)/2)*AQ169*AT169*VLOOKUP('Données projet'!$B$10,Paramètres!$A$1:$I$89,3,0)*0.475*44/12</f>
        <v>4.8712995601894157E-20</v>
      </c>
      <c r="AX169" s="21">
        <f t="shared" si="166"/>
        <v>0.52597658022448646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-4.5474735088646412E-13</v>
      </c>
      <c r="BE169" s="13">
        <f>BD169*VLOOKUP('Données projet'!$B$11,Paramètres!$A$1:$I$89,3,0)*VLOOKUP('Données projet'!$B$11,Paramètres!$A$1:$I$89,5,0)</f>
        <v>-2.7193891583010558E-13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216.94426559495264</v>
      </c>
      <c r="BJ169" s="59">
        <f t="shared" si="146"/>
        <v>225.33715877618704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0.29598865186489598</v>
      </c>
      <c r="BR169" s="21">
        <f>EXP(-LN(2)/2)*BR168+(1-EXP(-LN(2)/2))/(LN(2)/2)*BL169*BO169*VLOOKUP('Données projet'!$B$11,Paramètres!$A$1:$I$89,3,0)*0.475*44/12</f>
        <v>8.0398198521515263E-20</v>
      </c>
      <c r="BS169" s="22">
        <f t="shared" si="169"/>
        <v>0.29598865186489598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-2.8421709430404007E-14</v>
      </c>
      <c r="BZ169" s="13">
        <f>BY169*VLOOKUP('Données projet'!$B$12,Paramètres!$A$1:$I$89,3,0)*VLOOKUP('Données projet'!$B$12,Paramètres!$A$1:$I$89,5,0)</f>
        <v>-2.4829205358400945E-14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223.81948236065614</v>
      </c>
      <c r="CE169" s="59">
        <f t="shared" si="148"/>
        <v>320.1204011431372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0.20789467069019255</v>
      </c>
      <c r="CL169" s="21">
        <f>EXP(-LN(2)/25)*CL168+(1-EXP(-LN(2)/25))/(LN(2)/25)*Calculateur!CG169*Calculateur!CI169*VLOOKUP('Données projet'!$B$12,Paramètres!$A$1:$I$89,3,0)*0.475*44/12</f>
        <v>0.40755261962154993</v>
      </c>
      <c r="CM169" s="21">
        <f>EXP(-LN(2)/2)*CM168+(1-EXP(-LN(2)/2))/(LN(2)/2)*CG169*CJ169*VLOOKUP('Données projet'!$B$12,Paramètres!$A$1:$I$89,3,0)*0.475*44/12</f>
        <v>9.4088442851355113E-20</v>
      </c>
      <c r="CN169" s="22">
        <f t="shared" si="172"/>
        <v>0.6154472903117425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-1.9065282685915009E-13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279.98352834501759</v>
      </c>
      <c r="T170" s="59">
        <f t="shared" si="142"/>
        <v>281.30062655265488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0.26510109275492133</v>
      </c>
      <c r="AA170" s="21">
        <f>EXP(-LN(2)/25)*AA169+(1-EXP(-LN(2)/25))/(LN(2)/25)*Calculateur!V170*Calculateur!X170*VLOOKUP('Données projet'!$B$9,Paramètres!$A$1:$I$89,3,0)*0.475*44/12</f>
        <v>0.5428180942093872</v>
      </c>
      <c r="AB170" s="21">
        <f>EXP(-LN(2)/2)*AB169+(1-EXP(-LN(2)/2))/(LN(2)/2)*V170*Y170*VLOOKUP('Données projet'!$B$9,Paramètres!$A$1:$I$89,3,0)*0.475*44/12</f>
        <v>6.7841382683649492E-20</v>
      </c>
      <c r="AC170" s="22">
        <f t="shared" si="163"/>
        <v>0.80791918696430853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-1.1368683772161603E-12</v>
      </c>
      <c r="AJ170" s="13">
        <f>AI170*VLOOKUP('Données projet'!$B$10,Paramètres!$A$1:$I$89,3,0)*VLOOKUP('Données projet'!$B$10,Paramètres!$A$1:$I$89,5,0)</f>
        <v>-5.4683368944097316E-13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252.30925789500111</v>
      </c>
      <c r="AO170" s="59">
        <f t="shared" si="144"/>
        <v>213.96033794804805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0.30725053085311732</v>
      </c>
      <c r="AV170" s="21">
        <f>EXP(-LN(2)/25)*AV169+(1-EXP(-LN(2)/25))/(LN(2)/25)*Calculateur!AQ170*Calculateur!AS170*VLOOKUP('Données projet'!$B$10,Paramètres!$A$1:$I$89,3,0)*0.475*44/12</f>
        <v>0.20676751809690741</v>
      </c>
      <c r="AW170" s="21">
        <f>EXP(-LN(2)/2)*AW169+(1-EXP(-LN(2)/2))/(LN(2)/2)*AQ170*AT170*VLOOKUP('Données projet'!$B$10,Paramètres!$A$1:$I$89,3,0)*0.475*44/12</f>
        <v>3.4445289522009823E-20</v>
      </c>
      <c r="AX170" s="21">
        <f t="shared" si="166"/>
        <v>0.51401804895002479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-4.5474735088646412E-13</v>
      </c>
      <c r="BE170" s="13">
        <f>BD170*VLOOKUP('Données projet'!$B$11,Paramètres!$A$1:$I$89,3,0)*VLOOKUP('Données projet'!$B$11,Paramètres!$A$1:$I$89,5,0)</f>
        <v>-2.7193891583010558E-13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216.94426559495264</v>
      </c>
      <c r="BJ170" s="59">
        <f t="shared" si="146"/>
        <v>225.33715877618704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0.28789482661428367</v>
      </c>
      <c r="BR170" s="21">
        <f>EXP(-LN(2)/2)*BR169+(1-EXP(-LN(2)/2))/(LN(2)/2)*BL170*BO170*VLOOKUP('Données projet'!$B$11,Paramètres!$A$1:$I$89,3,0)*0.475*44/12</f>
        <v>5.6850111369745701E-20</v>
      </c>
      <c r="BS170" s="22">
        <f t="shared" si="169"/>
        <v>0.28789482661428367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-2.8421709430404007E-14</v>
      </c>
      <c r="BZ170" s="13">
        <f>BY170*VLOOKUP('Données projet'!$B$12,Paramètres!$A$1:$I$89,3,0)*VLOOKUP('Données projet'!$B$12,Paramètres!$A$1:$I$89,5,0)</f>
        <v>-2.4829205358400945E-14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223.81948236065614</v>
      </c>
      <c r="CE170" s="59">
        <f t="shared" si="148"/>
        <v>320.1204011431372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0.2038179830011862</v>
      </c>
      <c r="CL170" s="21">
        <f>EXP(-LN(2)/25)*CL169+(1-EXP(-LN(2)/25))/(LN(2)/25)*Calculateur!CG170*Calculateur!CI170*VLOOKUP('Données projet'!$B$12,Paramètres!$A$1:$I$89,3,0)*0.475*44/12</f>
        <v>0.39640807180573784</v>
      </c>
      <c r="CM170" s="21">
        <f>EXP(-LN(2)/2)*CM169+(1-EXP(-LN(2)/2))/(LN(2)/2)*CG170*CJ170*VLOOKUP('Données projet'!$B$12,Paramètres!$A$1:$I$89,3,0)*0.475*44/12</f>
        <v>6.653057597147614E-20</v>
      </c>
      <c r="CN170" s="22">
        <f t="shared" si="172"/>
        <v>0.60022605480692404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-1.9065282685915009E-13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279.98352834501759</v>
      </c>
      <c r="T171" s="59">
        <f t="shared" si="142"/>
        <v>281.30062655265488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0.25990262202169778</v>
      </c>
      <c r="AA171" s="21">
        <f>EXP(-LN(2)/25)*AA170+(1-EXP(-LN(2)/25))/(LN(2)/25)*Calculateur!V171*Calculateur!X171*VLOOKUP('Données projet'!$B$9,Paramètres!$A$1:$I$89,3,0)*0.475*44/12</f>
        <v>0.52797470487766851</v>
      </c>
      <c r="AB171" s="21">
        <f>EXP(-LN(2)/2)*AB170+(1-EXP(-LN(2)/2))/(LN(2)/2)*V171*Y171*VLOOKUP('Données projet'!$B$9,Paramètres!$A$1:$I$89,3,0)*0.475*44/12</f>
        <v>4.7971101740680176E-20</v>
      </c>
      <c r="AC171" s="22">
        <f t="shared" si="163"/>
        <v>0.78787732689936629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-1.1368683772161603E-12</v>
      </c>
      <c r="AJ171" s="13">
        <f>AI171*VLOOKUP('Données projet'!$B$10,Paramètres!$A$1:$I$89,3,0)*VLOOKUP('Données projet'!$B$10,Paramètres!$A$1:$I$89,5,0)</f>
        <v>-5.4683368944097316E-13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252.30925789500111</v>
      </c>
      <c r="AO171" s="59">
        <f t="shared" si="144"/>
        <v>213.96033794804805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0.30122553534740687</v>
      </c>
      <c r="AV171" s="21">
        <f>EXP(-LN(2)/25)*AV170+(1-EXP(-LN(2)/25))/(LN(2)/25)*Calculateur!AQ171*Calculateur!AS171*VLOOKUP('Données projet'!$B$10,Paramètres!$A$1:$I$89,3,0)*0.475*44/12</f>
        <v>0.20111344944111628</v>
      </c>
      <c r="AW171" s="21">
        <f>EXP(-LN(2)/2)*AW170+(1-EXP(-LN(2)/2))/(LN(2)/2)*AQ171*AT171*VLOOKUP('Données projet'!$B$10,Paramètres!$A$1:$I$89,3,0)*0.475*44/12</f>
        <v>2.4356497800947079E-20</v>
      </c>
      <c r="AX171" s="21">
        <f t="shared" si="166"/>
        <v>0.50233898478852312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-4.5474735088646412E-13</v>
      </c>
      <c r="BE171" s="13">
        <f>BD171*VLOOKUP('Données projet'!$B$11,Paramètres!$A$1:$I$89,3,0)*VLOOKUP('Données projet'!$B$11,Paramètres!$A$1:$I$89,5,0)</f>
        <v>-2.7193891583010558E-13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216.94426559495264</v>
      </c>
      <c r="BJ171" s="59">
        <f t="shared" si="146"/>
        <v>225.33715877618704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0.28002232744078515</v>
      </c>
      <c r="BR171" s="21">
        <f>EXP(-LN(2)/2)*BR170+(1-EXP(-LN(2)/2))/(LN(2)/2)*BL171*BO171*VLOOKUP('Données projet'!$B$11,Paramètres!$A$1:$I$89,3,0)*0.475*44/12</f>
        <v>4.0199099260757632E-20</v>
      </c>
      <c r="BS171" s="22">
        <f t="shared" si="169"/>
        <v>0.28002232744078515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-2.8421709430404007E-14</v>
      </c>
      <c r="BZ171" s="13">
        <f>BY171*VLOOKUP('Données projet'!$B$12,Paramètres!$A$1:$I$89,3,0)*VLOOKUP('Données projet'!$B$12,Paramètres!$A$1:$I$89,5,0)</f>
        <v>-2.4829205358400945E-14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223.81948236065614</v>
      </c>
      <c r="CE171" s="59">
        <f t="shared" si="148"/>
        <v>320.1204011431372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0.19982123667122731</v>
      </c>
      <c r="CL171" s="21">
        <f>EXP(-LN(2)/25)*CL170+(1-EXP(-LN(2)/25))/(LN(2)/25)*Calculateur!CG171*Calculateur!CI171*VLOOKUP('Données projet'!$B$12,Paramètres!$A$1:$I$89,3,0)*0.475*44/12</f>
        <v>0.38556827223601542</v>
      </c>
      <c r="CM171" s="21">
        <f>EXP(-LN(2)/2)*CM170+(1-EXP(-LN(2)/2))/(LN(2)/2)*CG171*CJ171*VLOOKUP('Données projet'!$B$12,Paramètres!$A$1:$I$89,3,0)*0.475*44/12</f>
        <v>4.7044221425677556E-20</v>
      </c>
      <c r="CN171" s="22">
        <f t="shared" si="172"/>
        <v>0.58538950890724273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-1.9065282685915009E-13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279.98352834501759</v>
      </c>
      <c r="T172" s="59">
        <f t="shared" si="142"/>
        <v>281.30062655265488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0.25480609012879868</v>
      </c>
      <c r="AA172" s="21">
        <f>EXP(-LN(2)/25)*AA171+(1-EXP(-LN(2)/25))/(LN(2)/25)*Calculateur!V172*Calculateur!X172*VLOOKUP('Données projet'!$B$9,Paramètres!$A$1:$I$89,3,0)*0.475*44/12</f>
        <v>0.51353720880780562</v>
      </c>
      <c r="AB172" s="21">
        <f>EXP(-LN(2)/2)*AB171+(1-EXP(-LN(2)/2))/(LN(2)/2)*V172*Y172*VLOOKUP('Données projet'!$B$9,Paramètres!$A$1:$I$89,3,0)*0.475*44/12</f>
        <v>3.3920691341824746E-20</v>
      </c>
      <c r="AC172" s="22">
        <f t="shared" si="163"/>
        <v>0.76834329893660436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-1.1368683772161603E-12</v>
      </c>
      <c r="AJ172" s="13">
        <f>AI172*VLOOKUP('Données projet'!$B$10,Paramètres!$A$1:$I$89,3,0)*VLOOKUP('Données projet'!$B$10,Paramètres!$A$1:$I$89,5,0)</f>
        <v>-5.4683368944097316E-13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252.30925789500111</v>
      </c>
      <c r="AO172" s="59">
        <f t="shared" si="144"/>
        <v>213.96033794804805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0.29531868632867903</v>
      </c>
      <c r="AV172" s="21">
        <f>EXP(-LN(2)/25)*AV171+(1-EXP(-LN(2)/25))/(LN(2)/25)*Calculateur!AQ172*Calculateur!AS172*VLOOKUP('Données projet'!$B$10,Paramètres!$A$1:$I$89,3,0)*0.475*44/12</f>
        <v>0.1956139915900523</v>
      </c>
      <c r="AW172" s="21">
        <f>EXP(-LN(2)/2)*AW171+(1-EXP(-LN(2)/2))/(LN(2)/2)*AQ172*AT172*VLOOKUP('Données projet'!$B$10,Paramètres!$A$1:$I$89,3,0)*0.475*44/12</f>
        <v>1.7222644761004912E-20</v>
      </c>
      <c r="AX172" s="21">
        <f t="shared" si="166"/>
        <v>0.4909326779187313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-4.5474735088646412E-13</v>
      </c>
      <c r="BE172" s="13">
        <f>BD172*VLOOKUP('Données projet'!$B$11,Paramètres!$A$1:$I$89,3,0)*VLOOKUP('Données projet'!$B$11,Paramètres!$A$1:$I$89,5,0)</f>
        <v>-2.7193891583010558E-13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216.94426559495264</v>
      </c>
      <c r="BJ172" s="59">
        <f t="shared" si="146"/>
        <v>225.33715877618704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0.27236510217118265</v>
      </c>
      <c r="BR172" s="21">
        <f>EXP(-LN(2)/2)*BR171+(1-EXP(-LN(2)/2))/(LN(2)/2)*BL172*BO172*VLOOKUP('Données projet'!$B$11,Paramètres!$A$1:$I$89,3,0)*0.475*44/12</f>
        <v>2.842505568487285E-20</v>
      </c>
      <c r="BS172" s="22">
        <f t="shared" si="169"/>
        <v>0.27236510217118265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-2.8421709430404007E-14</v>
      </c>
      <c r="BZ172" s="13">
        <f>BY172*VLOOKUP('Données projet'!$B$12,Paramètres!$A$1:$I$89,3,0)*VLOOKUP('Données projet'!$B$12,Paramètres!$A$1:$I$89,5,0)</f>
        <v>-2.4829205358400945E-14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223.81948236065614</v>
      </c>
      <c r="CE172" s="59">
        <f t="shared" si="148"/>
        <v>320.1204011431372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0.19590286409902435</v>
      </c>
      <c r="CL172" s="21">
        <f>EXP(-LN(2)/25)*CL171+(1-EXP(-LN(2)/25))/(LN(2)/25)*Calculateur!CG172*Calculateur!CI172*VLOOKUP('Données projet'!$B$12,Paramètres!$A$1:$I$89,3,0)*0.475*44/12</f>
        <v>0.37502488755556734</v>
      </c>
      <c r="CM172" s="21">
        <f>EXP(-LN(2)/2)*CM171+(1-EXP(-LN(2)/2))/(LN(2)/2)*CG172*CJ172*VLOOKUP('Données projet'!$B$12,Paramètres!$A$1:$I$89,3,0)*0.475*44/12</f>
        <v>3.326528798573807E-20</v>
      </c>
      <c r="CN172" s="22">
        <f t="shared" si="172"/>
        <v>0.57092775165459164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-1.9065282685915009E-13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279.98352834501759</v>
      </c>
      <c r="T173" s="59">
        <f t="shared" si="142"/>
        <v>281.30062655265488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0.24980949811774183</v>
      </c>
      <c r="AA173" s="21">
        <f>EXP(-LN(2)/25)*AA172+(1-EXP(-LN(2)/25))/(LN(2)/25)*Calculateur!V173*Calculateur!X173*VLOOKUP('Données projet'!$B$9,Paramètres!$A$1:$I$89,3,0)*0.475*44/12</f>
        <v>0.49949450682720808</v>
      </c>
      <c r="AB173" s="21">
        <f>EXP(-LN(2)/2)*AB172+(1-EXP(-LN(2)/2))/(LN(2)/2)*V173*Y173*VLOOKUP('Données projet'!$B$9,Paramètres!$A$1:$I$89,3,0)*0.475*44/12</f>
        <v>2.3985550870340088E-20</v>
      </c>
      <c r="AC173" s="22">
        <f t="shared" si="163"/>
        <v>0.74930400494494998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-1.1368683772161603E-12</v>
      </c>
      <c r="AJ173" s="13">
        <f>AI173*VLOOKUP('Données projet'!$B$10,Paramètres!$A$1:$I$89,3,0)*VLOOKUP('Données projet'!$B$10,Paramètres!$A$1:$I$89,5,0)</f>
        <v>-5.4683368944097316E-13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252.30925789500111</v>
      </c>
      <c r="AO173" s="59">
        <f t="shared" si="144"/>
        <v>213.96033794804805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0.28952766701638627</v>
      </c>
      <c r="AV173" s="21">
        <f>EXP(-LN(2)/25)*AV172+(1-EXP(-LN(2)/25))/(LN(2)/25)*Calculateur!AQ173*Calculateur!AS173*VLOOKUP('Données projet'!$B$10,Paramètres!$A$1:$I$89,3,0)*0.475*44/12</f>
        <v>0.19026491670312959</v>
      </c>
      <c r="AW173" s="21">
        <f>EXP(-LN(2)/2)*AW172+(1-EXP(-LN(2)/2))/(LN(2)/2)*AQ173*AT173*VLOOKUP('Données projet'!$B$10,Paramètres!$A$1:$I$89,3,0)*0.475*44/12</f>
        <v>1.2178248900473539E-20</v>
      </c>
      <c r="AX173" s="21">
        <f t="shared" si="166"/>
        <v>0.47979258371951583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-4.5474735088646412E-13</v>
      </c>
      <c r="BE173" s="13">
        <f>BD173*VLOOKUP('Données projet'!$B$11,Paramètres!$A$1:$I$89,3,0)*VLOOKUP('Données projet'!$B$11,Paramètres!$A$1:$I$89,5,0)</f>
        <v>-2.7193891583010558E-13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216.94426559495264</v>
      </c>
      <c r="BJ173" s="59">
        <f t="shared" si="146"/>
        <v>225.33715877618704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0.26491726412925343</v>
      </c>
      <c r="BR173" s="21">
        <f>EXP(-LN(2)/2)*BR172+(1-EXP(-LN(2)/2))/(LN(2)/2)*BL173*BO173*VLOOKUP('Données projet'!$B$11,Paramètres!$A$1:$I$89,3,0)*0.475*44/12</f>
        <v>2.0099549630378816E-20</v>
      </c>
      <c r="BS173" s="22">
        <f t="shared" si="169"/>
        <v>0.26491726412925343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-2.8421709430404007E-14</v>
      </c>
      <c r="BZ173" s="13">
        <f>BY173*VLOOKUP('Données projet'!$B$12,Paramètres!$A$1:$I$89,3,0)*VLOOKUP('Données projet'!$B$12,Paramètres!$A$1:$I$89,5,0)</f>
        <v>-2.4829205358400945E-14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223.81948236065614</v>
      </c>
      <c r="CE173" s="59">
        <f t="shared" si="148"/>
        <v>320.1204011431372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0.19206132842299103</v>
      </c>
      <c r="CL173" s="21">
        <f>EXP(-LN(2)/25)*CL172+(1-EXP(-LN(2)/25))/(LN(2)/25)*Calculateur!CG173*Calculateur!CI173*VLOOKUP('Données projet'!$B$12,Paramètres!$A$1:$I$89,3,0)*0.475*44/12</f>
        <v>0.36476981228365862</v>
      </c>
      <c r="CM173" s="21">
        <f>EXP(-LN(2)/2)*CM172+(1-EXP(-LN(2)/2))/(LN(2)/2)*CG173*CJ173*VLOOKUP('Données projet'!$B$12,Paramètres!$A$1:$I$89,3,0)*0.475*44/12</f>
        <v>2.3522110712838778E-20</v>
      </c>
      <c r="CN173" s="22">
        <f t="shared" si="172"/>
        <v>0.55683114070664963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-1.9065282685915009E-13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279.98352834501759</v>
      </c>
      <c r="T174" s="59">
        <f t="shared" si="142"/>
        <v>281.30062655265488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0.2449108862284016</v>
      </c>
      <c r="AA174" s="21">
        <f>EXP(-LN(2)/25)*AA173+(1-EXP(-LN(2)/25))/(LN(2)/25)*Calculateur!V174*Calculateur!X174*VLOOKUP('Données projet'!$B$9,Paramètres!$A$1:$I$89,3,0)*0.475*44/12</f>
        <v>0.48583580327074355</v>
      </c>
      <c r="AB174" s="21">
        <f>EXP(-LN(2)/2)*AB173+(1-EXP(-LN(2)/2))/(LN(2)/2)*V174*Y174*VLOOKUP('Données projet'!$B$9,Paramètres!$A$1:$I$89,3,0)*0.475*44/12</f>
        <v>1.6960345670912373E-20</v>
      </c>
      <c r="AC174" s="22">
        <f t="shared" si="163"/>
        <v>0.73074668949914512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-1.1368683772161603E-12</v>
      </c>
      <c r="AJ174" s="13">
        <f>AI174*VLOOKUP('Données projet'!$B$10,Paramètres!$A$1:$I$89,3,0)*VLOOKUP('Données projet'!$B$10,Paramètres!$A$1:$I$89,5,0)</f>
        <v>-5.4683368944097316E-13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252.30925789500111</v>
      </c>
      <c r="AO174" s="59">
        <f t="shared" si="144"/>
        <v>213.96033794804805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0.28385020606063455</v>
      </c>
      <c r="AV174" s="21">
        <f>EXP(-LN(2)/25)*AV173+(1-EXP(-LN(2)/25))/(LN(2)/25)*Calculateur!AQ174*Calculateur!AS174*VLOOKUP('Données projet'!$B$10,Paramètres!$A$1:$I$89,3,0)*0.475*44/12</f>
        <v>0.1850621125502854</v>
      </c>
      <c r="AW174" s="21">
        <f>EXP(-LN(2)/2)*AW173+(1-EXP(-LN(2)/2))/(LN(2)/2)*AQ174*AT174*VLOOKUP('Données projet'!$B$10,Paramètres!$A$1:$I$89,3,0)*0.475*44/12</f>
        <v>8.6113223805024558E-21</v>
      </c>
      <c r="AX174" s="21">
        <f t="shared" si="166"/>
        <v>0.46891231861091998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-4.5474735088646412E-13</v>
      </c>
      <c r="BE174" s="13">
        <f>BD174*VLOOKUP('Données projet'!$B$11,Paramètres!$A$1:$I$89,3,0)*VLOOKUP('Données projet'!$B$11,Paramètres!$A$1:$I$89,5,0)</f>
        <v>-2.7193891583010558E-13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216.94426559495264</v>
      </c>
      <c r="BJ174" s="59">
        <f t="shared" si="146"/>
        <v>225.33715877618704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0.25767308761024554</v>
      </c>
      <c r="BR174" s="21">
        <f>EXP(-LN(2)/2)*BR173+(1-EXP(-LN(2)/2))/(LN(2)/2)*BL174*BO174*VLOOKUP('Données projet'!$B$11,Paramètres!$A$1:$I$89,3,0)*0.475*44/12</f>
        <v>1.4212527842436425E-20</v>
      </c>
      <c r="BS174" s="22">
        <f t="shared" si="169"/>
        <v>0.25767308761024554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-2.8421709430404007E-14</v>
      </c>
      <c r="BZ174" s="13">
        <f>BY174*VLOOKUP('Données projet'!$B$12,Paramètres!$A$1:$I$89,3,0)*VLOOKUP('Données projet'!$B$12,Paramètres!$A$1:$I$89,5,0)</f>
        <v>-2.4829205358400945E-14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223.81948236065614</v>
      </c>
      <c r="CE174" s="59">
        <f t="shared" si="148"/>
        <v>320.1204011431372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0.18829512291845932</v>
      </c>
      <c r="CL174" s="21">
        <f>EXP(-LN(2)/25)*CL173+(1-EXP(-LN(2)/25))/(LN(2)/25)*Calculateur!CG174*Calculateur!CI174*VLOOKUP('Données projet'!$B$12,Paramètres!$A$1:$I$89,3,0)*0.475*44/12</f>
        <v>0.35479516258435123</v>
      </c>
      <c r="CM174" s="21">
        <f>EXP(-LN(2)/2)*CM173+(1-EXP(-LN(2)/2))/(LN(2)/2)*CG174*CJ174*VLOOKUP('Données projet'!$B$12,Paramètres!$A$1:$I$89,3,0)*0.475*44/12</f>
        <v>1.6632643992869035E-20</v>
      </c>
      <c r="CN174" s="22">
        <f t="shared" si="172"/>
        <v>0.54309028550281058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-1.9065282685915009E-13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279.98352834501759</v>
      </c>
      <c r="T175" s="59">
        <f t="shared" si="142"/>
        <v>281.30062655265488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0.2401083331303531</v>
      </c>
      <c r="AA175" s="21">
        <f>EXP(-LN(2)/25)*AA174+(1-EXP(-LN(2)/25))/(LN(2)/25)*Calculateur!V175*Calculateur!X175*VLOOKUP('Données projet'!$B$9,Paramètres!$A$1:$I$89,3,0)*0.475*44/12</f>
        <v>0.47255059768131058</v>
      </c>
      <c r="AB175" s="21">
        <f>EXP(-LN(2)/2)*AB174+(1-EXP(-LN(2)/2))/(LN(2)/2)*V175*Y175*VLOOKUP('Données projet'!$B$9,Paramètres!$A$1:$I$89,3,0)*0.475*44/12</f>
        <v>1.1992775435170044E-20</v>
      </c>
      <c r="AC175" s="22">
        <f t="shared" si="163"/>
        <v>0.71265893081166365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-1.1368683772161603E-12</v>
      </c>
      <c r="AJ175" s="13">
        <f>AI175*VLOOKUP('Données projet'!$B$10,Paramètres!$A$1:$I$89,3,0)*VLOOKUP('Données projet'!$B$10,Paramètres!$A$1:$I$89,5,0)</f>
        <v>-5.4683368944097316E-13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252.30925789500111</v>
      </c>
      <c r="AO175" s="59">
        <f t="shared" si="144"/>
        <v>213.96033794804805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0.27828407665131588</v>
      </c>
      <c r="AV175" s="21">
        <f>EXP(-LN(2)/25)*AV174+(1-EXP(-LN(2)/25))/(LN(2)/25)*Calculateur!AQ175*Calculateur!AS175*VLOOKUP('Données projet'!$B$10,Paramètres!$A$1:$I$89,3,0)*0.475*44/12</f>
        <v>0.18000157935060432</v>
      </c>
      <c r="AW175" s="21">
        <f>EXP(-LN(2)/2)*AW174+(1-EXP(-LN(2)/2))/(LN(2)/2)*AQ175*AT175*VLOOKUP('Données projet'!$B$10,Paramètres!$A$1:$I$89,3,0)*0.475*44/12</f>
        <v>6.0891244502367696E-21</v>
      </c>
      <c r="AX175" s="21">
        <f t="shared" si="166"/>
        <v>0.45828565600192017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-4.5474735088646412E-13</v>
      </c>
      <c r="BE175" s="13">
        <f>BD175*VLOOKUP('Données projet'!$B$11,Paramètres!$A$1:$I$89,3,0)*VLOOKUP('Données projet'!$B$11,Paramètres!$A$1:$I$89,5,0)</f>
        <v>-2.7193891583010558E-13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216.94426559495264</v>
      </c>
      <c r="BJ175" s="59">
        <f t="shared" si="146"/>
        <v>225.33715877618704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0.2506270034791046</v>
      </c>
      <c r="BR175" s="21">
        <f>EXP(-LN(2)/2)*BR174+(1-EXP(-LN(2)/2))/(LN(2)/2)*BL175*BO175*VLOOKUP('Données projet'!$B$11,Paramètres!$A$1:$I$89,3,0)*0.475*44/12</f>
        <v>1.0049774815189408E-20</v>
      </c>
      <c r="BS175" s="22">
        <f t="shared" si="169"/>
        <v>0.2506270034791046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-2.8421709430404007E-14</v>
      </c>
      <c r="BZ175" s="13">
        <f>BY175*VLOOKUP('Données projet'!$B$12,Paramètres!$A$1:$I$89,3,0)*VLOOKUP('Données projet'!$B$12,Paramètres!$A$1:$I$89,5,0)</f>
        <v>-2.4829205358400945E-14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223.81948236065614</v>
      </c>
      <c r="CE175" s="59">
        <f t="shared" si="148"/>
        <v>320.1204011431372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0.18460277040671294</v>
      </c>
      <c r="CL175" s="21">
        <f>EXP(-LN(2)/25)*CL174+(1-EXP(-LN(2)/25))/(LN(2)/25)*Calculateur!CG175*Calculateur!CI175*VLOOKUP('Données projet'!$B$12,Paramètres!$A$1:$I$89,3,0)*0.475*44/12</f>
        <v>0.34509327020561542</v>
      </c>
      <c r="CM175" s="21">
        <f>EXP(-LN(2)/2)*CM174+(1-EXP(-LN(2)/2))/(LN(2)/2)*CG175*CJ175*VLOOKUP('Données projet'!$B$12,Paramètres!$A$1:$I$89,3,0)*0.475*44/12</f>
        <v>1.1761055356419389E-20</v>
      </c>
      <c r="CN175" s="22">
        <f t="shared" si="172"/>
        <v>0.52969604061232833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-1.9065282685915009E-13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279.98352834501759</v>
      </c>
      <c r="T176" s="59">
        <f t="shared" si="142"/>
        <v>281.30062655265488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0.23539995516928919</v>
      </c>
      <c r="AA176" s="21">
        <f>EXP(-LN(2)/25)*AA175+(1-EXP(-LN(2)/25))/(LN(2)/25)*Calculateur!V176*Calculateur!X176*VLOOKUP('Données projet'!$B$9,Paramètres!$A$1:$I$89,3,0)*0.475*44/12</f>
        <v>0.45962867673735924</v>
      </c>
      <c r="AB176" s="21">
        <f>EXP(-LN(2)/2)*AB175+(1-EXP(-LN(2)/2))/(LN(2)/2)*V176*Y176*VLOOKUP('Données projet'!$B$9,Paramètres!$A$1:$I$89,3,0)*0.475*44/12</f>
        <v>8.4801728354561865E-21</v>
      </c>
      <c r="AC176" s="22">
        <f t="shared" si="163"/>
        <v>0.69502863190664843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-1.1368683772161603E-12</v>
      </c>
      <c r="AJ176" s="13">
        <f>AI176*VLOOKUP('Données projet'!$B$10,Paramètres!$A$1:$I$89,3,0)*VLOOKUP('Données projet'!$B$10,Paramètres!$A$1:$I$89,5,0)</f>
        <v>-5.4683368944097316E-13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252.30925789500111</v>
      </c>
      <c r="AO176" s="59">
        <f t="shared" si="144"/>
        <v>213.96033794804805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0.27282709564471025</v>
      </c>
      <c r="AV176" s="21">
        <f>EXP(-LN(2)/25)*AV175+(1-EXP(-LN(2)/25))/(LN(2)/25)*Calculateur!AQ176*Calculateur!AS176*VLOOKUP('Données projet'!$B$10,Paramètres!$A$1:$I$89,3,0)*0.475*44/12</f>
        <v>0.17507942669739038</v>
      </c>
      <c r="AW176" s="21">
        <f>EXP(-LN(2)/2)*AW175+(1-EXP(-LN(2)/2))/(LN(2)/2)*AQ176*AT176*VLOOKUP('Données projet'!$B$10,Paramètres!$A$1:$I$89,3,0)*0.475*44/12</f>
        <v>4.3056611902512279E-21</v>
      </c>
      <c r="AX176" s="21">
        <f t="shared" si="166"/>
        <v>0.4479065223421006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-4.5474735088646412E-13</v>
      </c>
      <c r="BE176" s="13">
        <f>BD176*VLOOKUP('Données projet'!$B$11,Paramètres!$A$1:$I$89,3,0)*VLOOKUP('Données projet'!$B$11,Paramètres!$A$1:$I$89,5,0)</f>
        <v>-2.7193891583010558E-13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216.94426559495264</v>
      </c>
      <c r="BJ176" s="59">
        <f t="shared" si="146"/>
        <v>225.33715877618704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0.24377359488906719</v>
      </c>
      <c r="BR176" s="21">
        <f>EXP(-LN(2)/2)*BR175+(1-EXP(-LN(2)/2))/(LN(2)/2)*BL176*BO176*VLOOKUP('Données projet'!$B$11,Paramètres!$A$1:$I$89,3,0)*0.475*44/12</f>
        <v>7.1062639212182126E-21</v>
      </c>
      <c r="BS176" s="22">
        <f t="shared" si="169"/>
        <v>0.24377359488906719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-2.8421709430404007E-14</v>
      </c>
      <c r="BZ176" s="13">
        <f>BY176*VLOOKUP('Données projet'!$B$12,Paramètres!$A$1:$I$89,3,0)*VLOOKUP('Données projet'!$B$12,Paramètres!$A$1:$I$89,5,0)</f>
        <v>-2.4829205358400945E-14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223.81948236065614</v>
      </c>
      <c r="CE176" s="59">
        <f t="shared" si="148"/>
        <v>320.1204011431372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0.18098282267560925</v>
      </c>
      <c r="CL176" s="21">
        <f>EXP(-LN(2)/25)*CL175+(1-EXP(-LN(2)/25))/(LN(2)/25)*Calculateur!CG176*Calculateur!CI176*VLOOKUP('Données projet'!$B$12,Paramètres!$A$1:$I$89,3,0)*0.475*44/12</f>
        <v>0.33565667658417653</v>
      </c>
      <c r="CM176" s="21">
        <f>EXP(-LN(2)/2)*CM175+(1-EXP(-LN(2)/2))/(LN(2)/2)*CG176*CJ176*VLOOKUP('Données projet'!$B$12,Paramètres!$A$1:$I$89,3,0)*0.475*44/12</f>
        <v>8.3163219964345175E-21</v>
      </c>
      <c r="CN176" s="22">
        <f t="shared" si="172"/>
        <v>0.51663949925978581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-1.9065282685915009E-13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279.98352834501759</v>
      </c>
      <c r="T177" s="59">
        <f t="shared" si="142"/>
        <v>281.30062655265488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0.23078390562821474</v>
      </c>
      <c r="AA177" s="21">
        <f>EXP(-LN(2)/25)*AA176+(1-EXP(-LN(2)/25))/(LN(2)/25)*Calculateur!V177*Calculateur!X177*VLOOKUP('Données projet'!$B$9,Paramètres!$A$1:$I$89,3,0)*0.475*44/12</f>
        <v>0.44706010640115457</v>
      </c>
      <c r="AB177" s="21">
        <f>EXP(-LN(2)/2)*AB176+(1-EXP(-LN(2)/2))/(LN(2)/2)*V177*Y177*VLOOKUP('Données projet'!$B$9,Paramètres!$A$1:$I$89,3,0)*0.475*44/12</f>
        <v>5.996387717585022E-21</v>
      </c>
      <c r="AC177" s="22">
        <f t="shared" si="163"/>
        <v>0.67784401202936928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-1.1368683772161603E-12</v>
      </c>
      <c r="AJ177" s="13">
        <f>AI177*VLOOKUP('Données projet'!$B$10,Paramètres!$A$1:$I$89,3,0)*VLOOKUP('Données projet'!$B$10,Paramètres!$A$1:$I$89,5,0)</f>
        <v>-5.4683368944097316E-13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252.30925789500111</v>
      </c>
      <c r="AO177" s="59">
        <f t="shared" si="144"/>
        <v>213.96033794804805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0.26747712270721441</v>
      </c>
      <c r="AV177" s="21">
        <f>EXP(-LN(2)/25)*AV176+(1-EXP(-LN(2)/25))/(LN(2)/25)*Calculateur!AQ177*Calculateur!AS177*VLOOKUP('Données projet'!$B$10,Paramètres!$A$1:$I$89,3,0)*0.475*44/12</f>
        <v>0.17029187056732334</v>
      </c>
      <c r="AW177" s="21">
        <f>EXP(-LN(2)/2)*AW176+(1-EXP(-LN(2)/2))/(LN(2)/2)*AQ177*AT177*VLOOKUP('Données projet'!$B$10,Paramètres!$A$1:$I$89,3,0)*0.475*44/12</f>
        <v>3.0445622251183848E-21</v>
      </c>
      <c r="AX177" s="21">
        <f t="shared" si="166"/>
        <v>0.43776899327453778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-4.5474735088646412E-13</v>
      </c>
      <c r="BE177" s="13">
        <f>BD177*VLOOKUP('Données projet'!$B$11,Paramètres!$A$1:$I$89,3,0)*VLOOKUP('Données projet'!$B$11,Paramètres!$A$1:$I$89,5,0)</f>
        <v>-2.7193891583010558E-13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216.94426559495264</v>
      </c>
      <c r="BJ177" s="59">
        <f t="shared" si="146"/>
        <v>225.33715877618704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0.23710759311732946</v>
      </c>
      <c r="BR177" s="21">
        <f>EXP(-LN(2)/2)*BR176+(1-EXP(-LN(2)/2))/(LN(2)/2)*BL177*BO177*VLOOKUP('Données projet'!$B$11,Paramètres!$A$1:$I$89,3,0)*0.475*44/12</f>
        <v>5.024887407594704E-21</v>
      </c>
      <c r="BS177" s="22">
        <f t="shared" si="169"/>
        <v>0.23710759311732946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-2.8421709430404007E-14</v>
      </c>
      <c r="BZ177" s="13">
        <f>BY177*VLOOKUP('Données projet'!$B$12,Paramètres!$A$1:$I$89,3,0)*VLOOKUP('Données projet'!$B$12,Paramètres!$A$1:$I$89,5,0)</f>
        <v>-2.4829205358400945E-14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223.81948236065614</v>
      </c>
      <c r="CE177" s="59">
        <f t="shared" si="148"/>
        <v>320.1204011431372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0.17743385991156241</v>
      </c>
      <c r="CL177" s="21">
        <f>EXP(-LN(2)/25)*CL176+(1-EXP(-LN(2)/25))/(LN(2)/25)*Calculateur!CG177*Calculateur!CI177*VLOOKUP('Données projet'!$B$12,Paramètres!$A$1:$I$89,3,0)*0.475*44/12</f>
        <v>0.32647812711156476</v>
      </c>
      <c r="CM177" s="21">
        <f>EXP(-LN(2)/2)*CM176+(1-EXP(-LN(2)/2))/(LN(2)/2)*CG177*CJ177*VLOOKUP('Données projet'!$B$12,Paramètres!$A$1:$I$89,3,0)*0.475*44/12</f>
        <v>5.8805276782096946E-21</v>
      </c>
      <c r="CN177" s="22">
        <f t="shared" si="172"/>
        <v>0.50391198702312723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-1.9065282685915009E-13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279.98352834501759</v>
      </c>
      <c r="T178" s="59">
        <f t="shared" si="142"/>
        <v>281.30062655265488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0.22625837400312857</v>
      </c>
      <c r="AA178" s="21">
        <f>EXP(-LN(2)/25)*AA177+(1-EXP(-LN(2)/25))/(LN(2)/25)*Calculateur!V178*Calculateur!X178*VLOOKUP('Données projet'!$B$9,Paramètres!$A$1:$I$89,3,0)*0.475*44/12</f>
        <v>0.43483522428174576</v>
      </c>
      <c r="AB178" s="21">
        <f>EXP(-LN(2)/2)*AB177+(1-EXP(-LN(2)/2))/(LN(2)/2)*V178*Y178*VLOOKUP('Données projet'!$B$9,Paramètres!$A$1:$I$89,3,0)*0.475*44/12</f>
        <v>4.2400864177280933E-21</v>
      </c>
      <c r="AC178" s="22">
        <f t="shared" si="163"/>
        <v>0.66109359828487435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-1.1368683772161603E-12</v>
      </c>
      <c r="AJ178" s="13">
        <f>AI178*VLOOKUP('Données projet'!$B$10,Paramètres!$A$1:$I$89,3,0)*VLOOKUP('Données projet'!$B$10,Paramètres!$A$1:$I$89,5,0)</f>
        <v>-5.4683368944097316E-13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252.30925789500111</v>
      </c>
      <c r="AO178" s="59">
        <f t="shared" si="144"/>
        <v>213.96033794804805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0.26223205947586159</v>
      </c>
      <c r="AV178" s="21">
        <f>EXP(-LN(2)/25)*AV177+(1-EXP(-LN(2)/25))/(LN(2)/25)*Calculateur!AQ178*Calculateur!AS178*VLOOKUP('Données projet'!$B$10,Paramètres!$A$1:$I$89,3,0)*0.475*44/12</f>
        <v>0.1656352304113996</v>
      </c>
      <c r="AW178" s="21">
        <f>EXP(-LN(2)/2)*AW177+(1-EXP(-LN(2)/2))/(LN(2)/2)*AQ178*AT178*VLOOKUP('Données projet'!$B$10,Paramètres!$A$1:$I$89,3,0)*0.475*44/12</f>
        <v>2.1528305951256139E-21</v>
      </c>
      <c r="AX178" s="21">
        <f t="shared" si="166"/>
        <v>0.42786728988726119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-4.5474735088646412E-13</v>
      </c>
      <c r="BE178" s="13">
        <f>BD178*VLOOKUP('Données projet'!$B$11,Paramètres!$A$1:$I$89,3,0)*VLOOKUP('Données projet'!$B$11,Paramètres!$A$1:$I$89,5,0)</f>
        <v>-2.7193891583010558E-13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216.94426559495264</v>
      </c>
      <c r="BJ178" s="59">
        <f t="shared" si="146"/>
        <v>225.33715877618704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0.23062387351458968</v>
      </c>
      <c r="BR178" s="21">
        <f>EXP(-LN(2)/2)*BR177+(1-EXP(-LN(2)/2))/(LN(2)/2)*BL178*BO178*VLOOKUP('Données projet'!$B$11,Paramètres!$A$1:$I$89,3,0)*0.475*44/12</f>
        <v>3.5531319606091063E-21</v>
      </c>
      <c r="BS178" s="22">
        <f t="shared" si="169"/>
        <v>0.23062387351458968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-2.8421709430404007E-14</v>
      </c>
      <c r="BZ178" s="13">
        <f>BY178*VLOOKUP('Données projet'!$B$12,Paramètres!$A$1:$I$89,3,0)*VLOOKUP('Données projet'!$B$12,Paramètres!$A$1:$I$89,5,0)</f>
        <v>-2.4829205358400945E-14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223.81948236065614</v>
      </c>
      <c r="CE178" s="59">
        <f t="shared" si="148"/>
        <v>320.1204011431372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0.17395449014266498</v>
      </c>
      <c r="CL178" s="21">
        <f>EXP(-LN(2)/25)*CL177+(1-EXP(-LN(2)/25))/(LN(2)/25)*Calculateur!CG178*Calculateur!CI178*VLOOKUP('Données projet'!$B$12,Paramètres!$A$1:$I$89,3,0)*0.475*44/12</f>
        <v>0.31755056555696048</v>
      </c>
      <c r="CM178" s="21">
        <f>EXP(-LN(2)/2)*CM177+(1-EXP(-LN(2)/2))/(LN(2)/2)*CG178*CJ178*VLOOKUP('Données projet'!$B$12,Paramètres!$A$1:$I$89,3,0)*0.475*44/12</f>
        <v>4.1581609982172588E-21</v>
      </c>
      <c r="CN178" s="22">
        <f t="shared" si="172"/>
        <v>0.49150505569962544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-1.9065282685915009E-13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279.98352834501759</v>
      </c>
      <c r="T179" s="59">
        <f t="shared" si="142"/>
        <v>281.30062655265488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0.2218215852929086</v>
      </c>
      <c r="AA179" s="21">
        <f>EXP(-LN(2)/25)*AA178+(1-EXP(-LN(2)/25))/(LN(2)/25)*Calculateur!V179*Calculateur!X179*VLOOKUP('Données projet'!$B$9,Paramètres!$A$1:$I$89,3,0)*0.475*44/12</f>
        <v>0.42294463220677081</v>
      </c>
      <c r="AB179" s="21">
        <f>EXP(-LN(2)/2)*AB178+(1-EXP(-LN(2)/2))/(LN(2)/2)*V179*Y179*VLOOKUP('Données projet'!$B$9,Paramètres!$A$1:$I$89,3,0)*0.475*44/12</f>
        <v>2.998193858792511E-21</v>
      </c>
      <c r="AC179" s="22">
        <f t="shared" si="163"/>
        <v>0.64476621749967944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-1.1368683772161603E-12</v>
      </c>
      <c r="AJ179" s="13">
        <f>AI179*VLOOKUP('Données projet'!$B$10,Paramètres!$A$1:$I$89,3,0)*VLOOKUP('Données projet'!$B$10,Paramètres!$A$1:$I$89,5,0)</f>
        <v>-5.4683368944097316E-13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252.30925789500111</v>
      </c>
      <c r="AO179" s="59">
        <f t="shared" si="144"/>
        <v>213.96033794804805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0.25708984873530288</v>
      </c>
      <c r="AV179" s="21">
        <f>EXP(-LN(2)/25)*AV178+(1-EXP(-LN(2)/25))/(LN(2)/25)*Calculateur!AQ179*Calculateur!AS179*VLOOKUP('Données projet'!$B$10,Paramètres!$A$1:$I$89,3,0)*0.475*44/12</f>
        <v>0.16110592632542167</v>
      </c>
      <c r="AW179" s="21">
        <f>EXP(-LN(2)/2)*AW178+(1-EXP(-LN(2)/2))/(LN(2)/2)*AQ179*AT179*VLOOKUP('Données projet'!$B$10,Paramètres!$A$1:$I$89,3,0)*0.475*44/12</f>
        <v>1.5222811125591924E-21</v>
      </c>
      <c r="AX179" s="21">
        <f t="shared" si="166"/>
        <v>0.41819577506072458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-4.5474735088646412E-13</v>
      </c>
      <c r="BE179" s="13">
        <f>BD179*VLOOKUP('Données projet'!$B$11,Paramètres!$A$1:$I$89,3,0)*VLOOKUP('Données projet'!$B$11,Paramètres!$A$1:$I$89,5,0)</f>
        <v>-2.7193891583010558E-13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216.94426559495264</v>
      </c>
      <c r="BJ179" s="59">
        <f t="shared" si="146"/>
        <v>225.33715877618704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0.22431745156535082</v>
      </c>
      <c r="BR179" s="21">
        <f>EXP(-LN(2)/2)*BR178+(1-EXP(-LN(2)/2))/(LN(2)/2)*BL179*BO179*VLOOKUP('Données projet'!$B$11,Paramètres!$A$1:$I$89,3,0)*0.475*44/12</f>
        <v>2.512443703797352E-21</v>
      </c>
      <c r="BS179" s="22">
        <f t="shared" si="169"/>
        <v>0.22431745156535082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-2.8421709430404007E-14</v>
      </c>
      <c r="BZ179" s="13">
        <f>BY179*VLOOKUP('Données projet'!$B$12,Paramètres!$A$1:$I$89,3,0)*VLOOKUP('Données projet'!$B$12,Paramètres!$A$1:$I$89,5,0)</f>
        <v>-2.4829205358400945E-14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223.81948236065614</v>
      </c>
      <c r="CE179" s="59">
        <f t="shared" si="148"/>
        <v>320.1204011431372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0.17054334869272963</v>
      </c>
      <c r="CL179" s="21">
        <f>EXP(-LN(2)/25)*CL178+(1-EXP(-LN(2)/25))/(LN(2)/25)*Calculateur!CG179*Calculateur!CI179*VLOOKUP('Données projet'!$B$12,Paramètres!$A$1:$I$89,3,0)*0.475*44/12</f>
        <v>0.30886712864254695</v>
      </c>
      <c r="CM179" s="21">
        <f>EXP(-LN(2)/2)*CM178+(1-EXP(-LN(2)/2))/(LN(2)/2)*CG179*CJ179*VLOOKUP('Données projet'!$B$12,Paramètres!$A$1:$I$89,3,0)*0.475*44/12</f>
        <v>2.9402638391048473E-21</v>
      </c>
      <c r="CN179" s="22">
        <f t="shared" si="172"/>
        <v>0.47941047733527659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-1.9065282685915009E-13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279.98352834501759</v>
      </c>
      <c r="T180" s="59">
        <f t="shared" si="142"/>
        <v>281.30062655265488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0.21747179930312213</v>
      </c>
      <c r="AA180" s="21">
        <f>EXP(-LN(2)/25)*AA179+(1-EXP(-LN(2)/25))/(LN(2)/25)*Calculateur!V180*Calculateur!X180*VLOOKUP('Données projet'!$B$9,Paramètres!$A$1:$I$89,3,0)*0.475*44/12</f>
        <v>0.41137918899738513</v>
      </c>
      <c r="AB180" s="21">
        <f>EXP(-LN(2)/2)*AB179+(1-EXP(-LN(2)/2))/(LN(2)/2)*V180*Y180*VLOOKUP('Données projet'!$B$9,Paramètres!$A$1:$I$89,3,0)*0.475*44/12</f>
        <v>2.1200432088640466E-21</v>
      </c>
      <c r="AC180" s="22">
        <f t="shared" si="163"/>
        <v>0.62885098830050723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-1.1368683772161603E-12</v>
      </c>
      <c r="AJ180" s="13">
        <f>AI180*VLOOKUP('Données projet'!$B$10,Paramètres!$A$1:$I$89,3,0)*VLOOKUP('Données projet'!$B$10,Paramètres!$A$1:$I$89,5,0)</f>
        <v>-5.4683368944097316E-13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252.30925789500111</v>
      </c>
      <c r="AO180" s="59">
        <f t="shared" si="144"/>
        <v>213.96033794804805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0.25204847361092769</v>
      </c>
      <c r="AV180" s="21">
        <f>EXP(-LN(2)/25)*AV179+(1-EXP(-LN(2)/25))/(LN(2)/25)*Calculateur!AQ180*Calculateur!AS180*VLOOKUP('Données projet'!$B$10,Paramètres!$A$1:$I$89,3,0)*0.475*44/12</f>
        <v>0.15670047629786057</v>
      </c>
      <c r="AW180" s="21">
        <f>EXP(-LN(2)/2)*AW179+(1-EXP(-LN(2)/2))/(LN(2)/2)*AQ180*AT180*VLOOKUP('Données projet'!$B$10,Paramètres!$A$1:$I$89,3,0)*0.475*44/12</f>
        <v>1.076415297562807E-21</v>
      </c>
      <c r="AX180" s="21">
        <f t="shared" si="166"/>
        <v>0.40874894990878829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-4.5474735088646412E-13</v>
      </c>
      <c r="BE180" s="13">
        <f>BD180*VLOOKUP('Données projet'!$B$11,Paramètres!$A$1:$I$89,3,0)*VLOOKUP('Données projet'!$B$11,Paramètres!$A$1:$I$89,5,0)</f>
        <v>-2.7193891583010558E-13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216.94426559495264</v>
      </c>
      <c r="BJ180" s="59">
        <f t="shared" si="146"/>
        <v>225.33715877618704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0.2181834790559542</v>
      </c>
      <c r="BR180" s="21">
        <f>EXP(-LN(2)/2)*BR179+(1-EXP(-LN(2)/2))/(LN(2)/2)*BL180*BO180*VLOOKUP('Données projet'!$B$11,Paramètres!$A$1:$I$89,3,0)*0.475*44/12</f>
        <v>1.7765659803045531E-21</v>
      </c>
      <c r="BS180" s="22">
        <f t="shared" si="169"/>
        <v>0.2181834790559542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-2.8421709430404007E-14</v>
      </c>
      <c r="BZ180" s="13">
        <f>BY180*VLOOKUP('Données projet'!$B$12,Paramètres!$A$1:$I$89,3,0)*VLOOKUP('Données projet'!$B$12,Paramètres!$A$1:$I$89,5,0)</f>
        <v>-2.4829205358400945E-14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223.81948236065614</v>
      </c>
      <c r="CE180" s="59">
        <f t="shared" si="148"/>
        <v>320.1204011431372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0.16719909764603666</v>
      </c>
      <c r="CL180" s="21">
        <f>EXP(-LN(2)/25)*CL179+(1-EXP(-LN(2)/25))/(LN(2)/25)*Calculateur!CG180*Calculateur!CI180*VLOOKUP('Données projet'!$B$12,Paramètres!$A$1:$I$89,3,0)*0.475*44/12</f>
        <v>0.30042114076720011</v>
      </c>
      <c r="CM180" s="21">
        <f>EXP(-LN(2)/2)*CM179+(1-EXP(-LN(2)/2))/(LN(2)/2)*CG180*CJ180*VLOOKUP('Données projet'!$B$12,Paramètres!$A$1:$I$89,3,0)*0.475*44/12</f>
        <v>2.0790804991086294E-21</v>
      </c>
      <c r="CN180" s="22">
        <f t="shared" si="172"/>
        <v>0.46762023841323674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-1.9065282685915009E-13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279.98352834501759</v>
      </c>
      <c r="T181" s="59">
        <f t="shared" si="142"/>
        <v>281.30062655265488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0.21320730996348791</v>
      </c>
      <c r="AA181" s="21">
        <f>EXP(-LN(2)/25)*AA180+(1-EXP(-LN(2)/25))/(LN(2)/25)*Calculateur!V181*Calculateur!X181*VLOOKUP('Données projet'!$B$9,Paramètres!$A$1:$I$89,3,0)*0.475*44/12</f>
        <v>0.40013000344076027</v>
      </c>
      <c r="AB181" s="21">
        <f>EXP(-LN(2)/2)*AB180+(1-EXP(-LN(2)/2))/(LN(2)/2)*V181*Y181*VLOOKUP('Données projet'!$B$9,Paramètres!$A$1:$I$89,3,0)*0.475*44/12</f>
        <v>1.4990969293962555E-21</v>
      </c>
      <c r="AC181" s="22">
        <f t="shared" si="163"/>
        <v>0.61333731340424813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-1.1368683772161603E-12</v>
      </c>
      <c r="AJ181" s="13">
        <f>AI181*VLOOKUP('Données projet'!$B$10,Paramètres!$A$1:$I$89,3,0)*VLOOKUP('Données projet'!$B$10,Paramètres!$A$1:$I$89,5,0)</f>
        <v>-5.4683368944097316E-13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252.30925789500111</v>
      </c>
      <c r="AO181" s="59">
        <f t="shared" si="144"/>
        <v>213.96033794804805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0.24710595677780628</v>
      </c>
      <c r="AV181" s="21">
        <f>EXP(-LN(2)/25)*AV180+(1-EXP(-LN(2)/25))/(LN(2)/25)*Calculateur!AQ181*Calculateur!AS181*VLOOKUP('Données projet'!$B$10,Paramètres!$A$1:$I$89,3,0)*0.475*44/12</f>
        <v>0.15241549353297568</v>
      </c>
      <c r="AW181" s="21">
        <f>EXP(-LN(2)/2)*AW180+(1-EXP(-LN(2)/2))/(LN(2)/2)*AQ181*AT181*VLOOKUP('Données projet'!$B$10,Paramètres!$A$1:$I$89,3,0)*0.475*44/12</f>
        <v>7.611405562795962E-22</v>
      </c>
      <c r="AX181" s="21">
        <f t="shared" si="166"/>
        <v>0.39952145031078196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-4.5474735088646412E-13</v>
      </c>
      <c r="BE181" s="13">
        <f>BD181*VLOOKUP('Données projet'!$B$11,Paramètres!$A$1:$I$89,3,0)*VLOOKUP('Données projet'!$B$11,Paramètres!$A$1:$I$89,5,0)</f>
        <v>-2.7193891583010558E-13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216.94426559495264</v>
      </c>
      <c r="BJ181" s="59">
        <f t="shared" si="146"/>
        <v>225.33715877618704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0.21221724034739864</v>
      </c>
      <c r="BR181" s="21">
        <f>EXP(-LN(2)/2)*BR180+(1-EXP(-LN(2)/2))/(LN(2)/2)*BL181*BO181*VLOOKUP('Données projet'!$B$11,Paramètres!$A$1:$I$89,3,0)*0.475*44/12</f>
        <v>1.256221851898676E-21</v>
      </c>
      <c r="BS181" s="22">
        <f t="shared" si="169"/>
        <v>0.21221724034739864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-2.8421709430404007E-14</v>
      </c>
      <c r="BZ181" s="13">
        <f>BY181*VLOOKUP('Données projet'!$B$12,Paramètres!$A$1:$I$89,3,0)*VLOOKUP('Données projet'!$B$12,Paramètres!$A$1:$I$89,5,0)</f>
        <v>-2.4829205358400945E-14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223.81948236065614</v>
      </c>
      <c r="CE181" s="59">
        <f t="shared" si="148"/>
        <v>320.1204011431372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0.16392042532257761</v>
      </c>
      <c r="CL181" s="21">
        <f>EXP(-LN(2)/25)*CL180+(1-EXP(-LN(2)/25))/(LN(2)/25)*Calculateur!CG181*Calculateur!CI181*VLOOKUP('Données projet'!$B$12,Paramètres!$A$1:$I$89,3,0)*0.475*44/12</f>
        <v>0.29220610887445986</v>
      </c>
      <c r="CM181" s="21">
        <f>EXP(-LN(2)/2)*CM180+(1-EXP(-LN(2)/2))/(LN(2)/2)*CG181*CJ181*VLOOKUP('Données projet'!$B$12,Paramètres!$A$1:$I$89,3,0)*0.475*44/12</f>
        <v>1.4701319195524236E-21</v>
      </c>
      <c r="CN181" s="22">
        <f t="shared" si="172"/>
        <v>0.45612653419703747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-1.9065282685915009E-13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279.98352834501759</v>
      </c>
      <c r="T182" s="59">
        <f t="shared" si="142"/>
        <v>281.30062655265488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0.20902644465872225</v>
      </c>
      <c r="AA182" s="21">
        <f>EXP(-LN(2)/25)*AA181+(1-EXP(-LN(2)/25))/(LN(2)/25)*Calculateur!V182*Calculateur!X182*VLOOKUP('Données projet'!$B$9,Paramètres!$A$1:$I$89,3,0)*0.475*44/12</f>
        <v>0.3891884274547503</v>
      </c>
      <c r="AB182" s="21">
        <f>EXP(-LN(2)/2)*AB181+(1-EXP(-LN(2)/2))/(LN(2)/2)*V182*Y182*VLOOKUP('Données projet'!$B$9,Paramètres!$A$1:$I$89,3,0)*0.475*44/12</f>
        <v>1.0600216044320233E-21</v>
      </c>
      <c r="AC182" s="22">
        <f t="shared" si="163"/>
        <v>0.59821487211347257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-1.1368683772161603E-12</v>
      </c>
      <c r="AJ182" s="13">
        <f>AI182*VLOOKUP('Données projet'!$B$10,Paramètres!$A$1:$I$89,3,0)*VLOOKUP('Données projet'!$B$10,Paramètres!$A$1:$I$89,5,0)</f>
        <v>-5.4683368944097316E-13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252.30925789500111</v>
      </c>
      <c r="AO182" s="59">
        <f t="shared" si="144"/>
        <v>213.96033794804805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0.24226035968514478</v>
      </c>
      <c r="AV182" s="21">
        <f>EXP(-LN(2)/25)*AV181+(1-EXP(-LN(2)/25))/(LN(2)/25)*Calculateur!AQ182*Calculateur!AS182*VLOOKUP('Données projet'!$B$10,Paramètres!$A$1:$I$89,3,0)*0.475*44/12</f>
        <v>0.14824768384713399</v>
      </c>
      <c r="AW182" s="21">
        <f>EXP(-LN(2)/2)*AW181+(1-EXP(-LN(2)/2))/(LN(2)/2)*AQ182*AT182*VLOOKUP('Données projet'!$B$10,Paramètres!$A$1:$I$89,3,0)*0.475*44/12</f>
        <v>5.3820764878140349E-22</v>
      </c>
      <c r="AX182" s="21">
        <f t="shared" si="166"/>
        <v>0.39050804353227875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-4.5474735088646412E-13</v>
      </c>
      <c r="BE182" s="13">
        <f>BD182*VLOOKUP('Données projet'!$B$11,Paramètres!$A$1:$I$89,3,0)*VLOOKUP('Données projet'!$B$11,Paramètres!$A$1:$I$89,5,0)</f>
        <v>-2.7193891583010558E-13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216.94426559495264</v>
      </c>
      <c r="BJ182" s="59">
        <f t="shared" si="146"/>
        <v>225.33715877618704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0.20641414875007938</v>
      </c>
      <c r="BR182" s="21">
        <f>EXP(-LN(2)/2)*BR181+(1-EXP(-LN(2)/2))/(LN(2)/2)*BL182*BO182*VLOOKUP('Données projet'!$B$11,Paramètres!$A$1:$I$89,3,0)*0.475*44/12</f>
        <v>8.8828299015227657E-22</v>
      </c>
      <c r="BS182" s="22">
        <f t="shared" si="169"/>
        <v>0.20641414875007938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-2.8421709430404007E-14</v>
      </c>
      <c r="BZ182" s="13">
        <f>BY182*VLOOKUP('Données projet'!$B$12,Paramètres!$A$1:$I$89,3,0)*VLOOKUP('Données projet'!$B$12,Paramètres!$A$1:$I$89,5,0)</f>
        <v>-2.4829205358400945E-14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223.81948236065614</v>
      </c>
      <c r="CE182" s="59">
        <f t="shared" si="148"/>
        <v>320.1204011431372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0.16070604576358896</v>
      </c>
      <c r="CL182" s="21">
        <f>EXP(-LN(2)/25)*CL181+(1-EXP(-LN(2)/25))/(LN(2)/25)*Calculateur!CG182*Calculateur!CI182*VLOOKUP('Données projet'!$B$12,Paramètres!$A$1:$I$89,3,0)*0.475*44/12</f>
        <v>0.28421571746083635</v>
      </c>
      <c r="CM182" s="21">
        <f>EXP(-LN(2)/2)*CM181+(1-EXP(-LN(2)/2))/(LN(2)/2)*CG182*CJ182*VLOOKUP('Données projet'!$B$12,Paramètres!$A$1:$I$89,3,0)*0.475*44/12</f>
        <v>1.0395402495543147E-21</v>
      </c>
      <c r="CN182" s="22">
        <f t="shared" si="172"/>
        <v>0.44492176322442534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-1.9065282685915009E-13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279.98352834501759</v>
      </c>
      <c r="T183" s="59">
        <f t="shared" si="142"/>
        <v>281.30062655265488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0.20492756357250699</v>
      </c>
      <c r="AA183" s="21">
        <f>EXP(-LN(2)/25)*AA182+(1-EXP(-LN(2)/25))/(LN(2)/25)*Calculateur!V183*Calculateur!X183*VLOOKUP('Données projet'!$B$9,Paramètres!$A$1:$I$89,3,0)*0.475*44/12</f>
        <v>0.37854604943947023</v>
      </c>
      <c r="AB183" s="21">
        <f>EXP(-LN(2)/2)*AB182+(1-EXP(-LN(2)/2))/(LN(2)/2)*V183*Y183*VLOOKUP('Données projet'!$B$9,Paramètres!$A$1:$I$89,3,0)*0.475*44/12</f>
        <v>7.4954846469812776E-22</v>
      </c>
      <c r="AC183" s="22">
        <f t="shared" si="163"/>
        <v>0.5834736130119772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-1.1368683772161603E-12</v>
      </c>
      <c r="AJ183" s="13">
        <f>AI183*VLOOKUP('Données projet'!$B$10,Paramètres!$A$1:$I$89,3,0)*VLOOKUP('Données projet'!$B$10,Paramètres!$A$1:$I$89,5,0)</f>
        <v>-5.4683368944097316E-13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252.30925789500111</v>
      </c>
      <c r="AO183" s="59">
        <f t="shared" si="144"/>
        <v>213.96033794804805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0.23750978179594801</v>
      </c>
      <c r="AV183" s="21">
        <f>EXP(-LN(2)/25)*AV182+(1-EXP(-LN(2)/25))/(LN(2)/25)*Calculateur!AQ183*Calculateur!AS183*VLOOKUP('Données projet'!$B$10,Paramètres!$A$1:$I$89,3,0)*0.475*44/12</f>
        <v>0.14419384313632724</v>
      </c>
      <c r="AW183" s="21">
        <f>EXP(-LN(2)/2)*AW182+(1-EXP(-LN(2)/2))/(LN(2)/2)*AQ183*AT183*VLOOKUP('Données projet'!$B$10,Paramètres!$A$1:$I$89,3,0)*0.475*44/12</f>
        <v>3.805702781397981E-22</v>
      </c>
      <c r="AX183" s="21">
        <f t="shared" si="166"/>
        <v>0.38170362493227528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-4.5474735088646412E-13</v>
      </c>
      <c r="BE183" s="13">
        <f>BD183*VLOOKUP('Données projet'!$B$11,Paramètres!$A$1:$I$89,3,0)*VLOOKUP('Données projet'!$B$11,Paramètres!$A$1:$I$89,5,0)</f>
        <v>-2.7193891583010558E-13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216.94426559495264</v>
      </c>
      <c r="BJ183" s="59">
        <f t="shared" si="146"/>
        <v>225.33715877618704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0.20076974299766015</v>
      </c>
      <c r="BR183" s="21">
        <f>EXP(-LN(2)/2)*BR182+(1-EXP(-LN(2)/2))/(LN(2)/2)*BL183*BO183*VLOOKUP('Données projet'!$B$11,Paramètres!$A$1:$I$89,3,0)*0.475*44/12</f>
        <v>6.2811092594933799E-22</v>
      </c>
      <c r="BS183" s="22">
        <f t="shared" si="169"/>
        <v>0.20076974299766015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-2.8421709430404007E-14</v>
      </c>
      <c r="BZ183" s="13">
        <f>BY183*VLOOKUP('Données projet'!$B$12,Paramètres!$A$1:$I$89,3,0)*VLOOKUP('Données projet'!$B$12,Paramètres!$A$1:$I$89,5,0)</f>
        <v>-2.4829205358400945E-14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223.81948236065614</v>
      </c>
      <c r="CE183" s="59">
        <f t="shared" si="148"/>
        <v>320.1204011431372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0.15755469822717413</v>
      </c>
      <c r="CL183" s="21">
        <f>EXP(-LN(2)/25)*CL182+(1-EXP(-LN(2)/25))/(LN(2)/25)*Calculateur!CG183*Calculateur!CI183*VLOOKUP('Données projet'!$B$12,Paramètres!$A$1:$I$89,3,0)*0.475*44/12</f>
        <v>0.27644382372061477</v>
      </c>
      <c r="CM183" s="21">
        <f>EXP(-LN(2)/2)*CM182+(1-EXP(-LN(2)/2))/(LN(2)/2)*CG183*CJ183*VLOOKUP('Données projet'!$B$12,Paramètres!$A$1:$I$89,3,0)*0.475*44/12</f>
        <v>7.3506595977621182E-22</v>
      </c>
      <c r="CN183" s="22">
        <f t="shared" si="172"/>
        <v>0.43399852194778887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-1.9065282685915009E-13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279.98352834501759</v>
      </c>
      <c r="T184" s="59">
        <f t="shared" si="142"/>
        <v>281.30062655265488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0.20090905904432182</v>
      </c>
      <c r="AA184" s="21">
        <f>EXP(-LN(2)/25)*AA183+(1-EXP(-LN(2)/25))/(LN(2)/25)*Calculateur!V184*Calculateur!X184*VLOOKUP('Données projet'!$B$9,Paramètres!$A$1:$I$89,3,0)*0.475*44/12</f>
        <v>0.36819468781067638</v>
      </c>
      <c r="AB184" s="21">
        <f>EXP(-LN(2)/2)*AB183+(1-EXP(-LN(2)/2))/(LN(2)/2)*V184*Y184*VLOOKUP('Données projet'!$B$9,Paramètres!$A$1:$I$89,3,0)*0.475*44/12</f>
        <v>5.3001080221601166E-22</v>
      </c>
      <c r="AC184" s="22">
        <f t="shared" si="163"/>
        <v>0.5691037468549982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-1.1368683772161603E-12</v>
      </c>
      <c r="AJ184" s="13">
        <f>AI184*VLOOKUP('Données projet'!$B$10,Paramètres!$A$1:$I$89,3,0)*VLOOKUP('Données projet'!$B$10,Paramètres!$A$1:$I$89,5,0)</f>
        <v>-5.4683368944097316E-13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252.30925789500111</v>
      </c>
      <c r="AO184" s="59">
        <f t="shared" si="144"/>
        <v>213.96033794804805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0.23285235984159197</v>
      </c>
      <c r="AV184" s="21">
        <f>EXP(-LN(2)/25)*AV183+(1-EXP(-LN(2)/25))/(LN(2)/25)*Calculateur!AQ184*Calculateur!AS184*VLOOKUP('Données projet'!$B$10,Paramètres!$A$1:$I$89,3,0)*0.475*44/12</f>
        <v>0.14025085491293973</v>
      </c>
      <c r="AW184" s="21">
        <f>EXP(-LN(2)/2)*AW183+(1-EXP(-LN(2)/2))/(LN(2)/2)*AQ184*AT184*VLOOKUP('Données projet'!$B$10,Paramètres!$A$1:$I$89,3,0)*0.475*44/12</f>
        <v>2.6910382439070174E-22</v>
      </c>
      <c r="AX184" s="21">
        <f t="shared" si="166"/>
        <v>0.37310321475453168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-4.5474735088646412E-13</v>
      </c>
      <c r="BE184" s="13">
        <f>BD184*VLOOKUP('Données projet'!$B$11,Paramètres!$A$1:$I$89,3,0)*VLOOKUP('Données projet'!$B$11,Paramètres!$A$1:$I$89,5,0)</f>
        <v>-2.7193891583010558E-13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216.94426559495264</v>
      </c>
      <c r="BJ184" s="59">
        <f t="shared" si="146"/>
        <v>225.33715877618704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0.19527968381736721</v>
      </c>
      <c r="BR184" s="21">
        <f>EXP(-LN(2)/2)*BR183+(1-EXP(-LN(2)/2))/(LN(2)/2)*BL184*BO184*VLOOKUP('Données projet'!$B$11,Paramètres!$A$1:$I$89,3,0)*0.475*44/12</f>
        <v>4.4414149507613829E-22</v>
      </c>
      <c r="BS184" s="22">
        <f t="shared" si="169"/>
        <v>0.19527968381736721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-2.8421709430404007E-14</v>
      </c>
      <c r="BZ184" s="13">
        <f>BY184*VLOOKUP('Données projet'!$B$12,Paramètres!$A$1:$I$89,3,0)*VLOOKUP('Données projet'!$B$12,Paramètres!$A$1:$I$89,5,0)</f>
        <v>-2.4829205358400945E-14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223.81948236065614</v>
      </c>
      <c r="CE184" s="59">
        <f t="shared" si="148"/>
        <v>320.1204011431372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0.1544651466938162</v>
      </c>
      <c r="CL184" s="21">
        <f>EXP(-LN(2)/25)*CL183+(1-EXP(-LN(2)/25))/(LN(2)/25)*Calculateur!CG184*Calculateur!CI184*VLOOKUP('Données projet'!$B$12,Paramètres!$A$1:$I$89,3,0)*0.475*44/12</f>
        <v>0.26888445282342571</v>
      </c>
      <c r="CM184" s="21">
        <f>EXP(-LN(2)/2)*CM183+(1-EXP(-LN(2)/2))/(LN(2)/2)*CG184*CJ184*VLOOKUP('Données projet'!$B$12,Paramètres!$A$1:$I$89,3,0)*0.475*44/12</f>
        <v>5.1977012477715734E-22</v>
      </c>
      <c r="CN184" s="22">
        <f t="shared" si="172"/>
        <v>0.42334959951724194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-1.9065282685915009E-13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279.98352834501759</v>
      </c>
      <c r="T185" s="59">
        <f t="shared" si="142"/>
        <v>281.30062655265488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0.19696935493888862</v>
      </c>
      <c r="AA185" s="21">
        <f>EXP(-LN(2)/25)*AA184+(1-EXP(-LN(2)/25))/(LN(2)/25)*Calculateur!V185*Calculateur!X185*VLOOKUP('Données projet'!$B$9,Paramètres!$A$1:$I$89,3,0)*0.475*44/12</f>
        <v>0.35812638470997632</v>
      </c>
      <c r="AB185" s="21">
        <f>EXP(-LN(2)/2)*AB184+(1-EXP(-LN(2)/2))/(LN(2)/2)*V185*Y185*VLOOKUP('Données projet'!$B$9,Paramètres!$A$1:$I$89,3,0)*0.475*44/12</f>
        <v>3.7477423234906388E-22</v>
      </c>
      <c r="AC185" s="22">
        <f t="shared" si="163"/>
        <v>0.55509573964886494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-1.1368683772161603E-12</v>
      </c>
      <c r="AJ185" s="13">
        <f>AI185*VLOOKUP('Données projet'!$B$10,Paramètres!$A$1:$I$89,3,0)*VLOOKUP('Données projet'!$B$10,Paramètres!$A$1:$I$89,5,0)</f>
        <v>-5.4683368944097316E-13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252.30925789500111</v>
      </c>
      <c r="AO185" s="59">
        <f t="shared" si="144"/>
        <v>213.96033794804805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0.22828626709101396</v>
      </c>
      <c r="AV185" s="21">
        <f>EXP(-LN(2)/25)*AV184+(1-EXP(-LN(2)/25))/(LN(2)/25)*Calculateur!AQ185*Calculateur!AS185*VLOOKUP('Données projet'!$B$10,Paramètres!$A$1:$I$89,3,0)*0.475*44/12</f>
        <v>0.13641568790987349</v>
      </c>
      <c r="AW185" s="21">
        <f>EXP(-LN(2)/2)*AW184+(1-EXP(-LN(2)/2))/(LN(2)/2)*AQ185*AT185*VLOOKUP('Données projet'!$B$10,Paramètres!$A$1:$I$89,3,0)*0.475*44/12</f>
        <v>1.9028513906989905E-22</v>
      </c>
      <c r="AX185" s="21">
        <f t="shared" si="166"/>
        <v>0.36470195500088742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-4.5474735088646412E-13</v>
      </c>
      <c r="BE185" s="13">
        <f>BD185*VLOOKUP('Données projet'!$B$11,Paramètres!$A$1:$I$89,3,0)*VLOOKUP('Données projet'!$B$11,Paramètres!$A$1:$I$89,5,0)</f>
        <v>-2.7193891583010558E-13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216.94426559495264</v>
      </c>
      <c r="BJ185" s="59">
        <f t="shared" si="146"/>
        <v>225.33715877618704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0.18993975059406906</v>
      </c>
      <c r="BR185" s="21">
        <f>EXP(-LN(2)/2)*BR184+(1-EXP(-LN(2)/2))/(LN(2)/2)*BL185*BO185*VLOOKUP('Données projet'!$B$11,Paramètres!$A$1:$I$89,3,0)*0.475*44/12</f>
        <v>3.14055462974669E-22</v>
      </c>
      <c r="BS185" s="22">
        <f t="shared" si="169"/>
        <v>0.18993975059406906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-2.8421709430404007E-14</v>
      </c>
      <c r="BZ185" s="13">
        <f>BY185*VLOOKUP('Données projet'!$B$12,Paramètres!$A$1:$I$89,3,0)*VLOOKUP('Données projet'!$B$12,Paramètres!$A$1:$I$89,5,0)</f>
        <v>-2.4829205358400945E-14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223.81948236065614</v>
      </c>
      <c r="CE185" s="59">
        <f t="shared" si="148"/>
        <v>320.1204011431372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0.15143617938158704</v>
      </c>
      <c r="CL185" s="21">
        <f>EXP(-LN(2)/25)*CL184+(1-EXP(-LN(2)/25))/(LN(2)/25)*Calculateur!CG185*Calculateur!CI185*VLOOKUP('Données projet'!$B$12,Paramètres!$A$1:$I$89,3,0)*0.475*44/12</f>
        <v>0.26153179332095028</v>
      </c>
      <c r="CM185" s="21">
        <f>EXP(-LN(2)/2)*CM184+(1-EXP(-LN(2)/2))/(LN(2)/2)*CG185*CJ185*VLOOKUP('Données projet'!$B$12,Paramètres!$A$1:$I$89,3,0)*0.475*44/12</f>
        <v>3.6753297988810591E-22</v>
      </c>
      <c r="CN185" s="22">
        <f t="shared" si="172"/>
        <v>0.41296797270253732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-1.9065282685915009E-13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279.98352834501759</v>
      </c>
      <c r="T186" s="59">
        <f t="shared" si="142"/>
        <v>281.30062655265488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0.19310690602798075</v>
      </c>
      <c r="AA186" s="21">
        <f>EXP(-LN(2)/25)*AA185+(1-EXP(-LN(2)/25))/(LN(2)/25)*Calculateur!V186*Calculateur!X186*VLOOKUP('Données projet'!$B$9,Paramètres!$A$1:$I$89,3,0)*0.475*44/12</f>
        <v>0.34833339988703393</v>
      </c>
      <c r="AB186" s="21">
        <f>EXP(-LN(2)/2)*AB185+(1-EXP(-LN(2)/2))/(LN(2)/2)*V186*Y186*VLOOKUP('Données projet'!$B$9,Paramètres!$A$1:$I$89,3,0)*0.475*44/12</f>
        <v>2.6500540110800583E-22</v>
      </c>
      <c r="AC186" s="22">
        <f t="shared" si="163"/>
        <v>0.54144030591501469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-1.1368683772161603E-12</v>
      </c>
      <c r="AJ186" s="13">
        <f>AI186*VLOOKUP('Données projet'!$B$10,Paramètres!$A$1:$I$89,3,0)*VLOOKUP('Données projet'!$B$10,Paramètres!$A$1:$I$89,5,0)</f>
        <v>-5.4683368944097316E-13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252.30925789500111</v>
      </c>
      <c r="AO186" s="59">
        <f t="shared" si="144"/>
        <v>213.96033794804805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0.22380971263423322</v>
      </c>
      <c r="AV186" s="21">
        <f>EXP(-LN(2)/25)*AV185+(1-EXP(-LN(2)/25))/(LN(2)/25)*Calculateur!AQ186*Calculateur!AS186*VLOOKUP('Données projet'!$B$10,Paramètres!$A$1:$I$89,3,0)*0.475*44/12</f>
        <v>0.13268539375018876</v>
      </c>
      <c r="AW186" s="21">
        <f>EXP(-LN(2)/2)*AW185+(1-EXP(-LN(2)/2))/(LN(2)/2)*AQ186*AT186*VLOOKUP('Données projet'!$B$10,Paramètres!$A$1:$I$89,3,0)*0.475*44/12</f>
        <v>1.3455191219535087E-22</v>
      </c>
      <c r="AX186" s="21">
        <f t="shared" si="166"/>
        <v>0.35649510638442194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-4.5474735088646412E-13</v>
      </c>
      <c r="BE186" s="13">
        <f>BD186*VLOOKUP('Données projet'!$B$11,Paramètres!$A$1:$I$89,3,0)*VLOOKUP('Données projet'!$B$11,Paramètres!$A$1:$I$89,5,0)</f>
        <v>-2.7193891583010558E-13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216.94426559495264</v>
      </c>
      <c r="BJ186" s="59">
        <f t="shared" si="146"/>
        <v>225.33715877618704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0.18474583812557688</v>
      </c>
      <c r="BR186" s="21">
        <f>EXP(-LN(2)/2)*BR185+(1-EXP(-LN(2)/2))/(LN(2)/2)*BL186*BO186*VLOOKUP('Données projet'!$B$11,Paramètres!$A$1:$I$89,3,0)*0.475*44/12</f>
        <v>2.2207074753806914E-22</v>
      </c>
      <c r="BS186" s="22">
        <f t="shared" si="169"/>
        <v>0.18474583812557688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-2.8421709430404007E-14</v>
      </c>
      <c r="BZ186" s="13">
        <f>BY186*VLOOKUP('Données projet'!$B$12,Paramètres!$A$1:$I$89,3,0)*VLOOKUP('Données projet'!$B$12,Paramètres!$A$1:$I$89,5,0)</f>
        <v>-2.4829205358400945E-14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223.81948236065614</v>
      </c>
      <c r="CE186" s="59">
        <f t="shared" si="148"/>
        <v>320.1204011431372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0.14846660827086305</v>
      </c>
      <c r="CL186" s="21">
        <f>EXP(-LN(2)/25)*CL185+(1-EXP(-LN(2)/25))/(LN(2)/25)*Calculateur!CG186*Calculateur!CI186*VLOOKUP('Données projet'!$B$12,Paramètres!$A$1:$I$89,3,0)*0.475*44/12</f>
        <v>0.25438019267922962</v>
      </c>
      <c r="CM186" s="21">
        <f>EXP(-LN(2)/2)*CM185+(1-EXP(-LN(2)/2))/(LN(2)/2)*CG186*CJ186*VLOOKUP('Données projet'!$B$12,Paramètres!$A$1:$I$89,3,0)*0.475*44/12</f>
        <v>2.5988506238857867E-22</v>
      </c>
      <c r="CN186" s="22">
        <f t="shared" si="172"/>
        <v>0.40284680095009268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-1.9065282685915009E-13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279.98352834501759</v>
      </c>
      <c r="T187" s="59">
        <f t="shared" si="142"/>
        <v>281.30062655265488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0.18932019738435457</v>
      </c>
      <c r="AA187" s="21">
        <f>EXP(-LN(2)/25)*AA186+(1-EXP(-LN(2)/25))/(LN(2)/25)*Calculateur!V187*Calculateur!X187*VLOOKUP('Données projet'!$B$9,Paramètres!$A$1:$I$89,3,0)*0.475*44/12</f>
        <v>0.33880820474906564</v>
      </c>
      <c r="AB187" s="21">
        <f>EXP(-LN(2)/2)*AB186+(1-EXP(-LN(2)/2))/(LN(2)/2)*V187*Y187*VLOOKUP('Données projet'!$B$9,Paramètres!$A$1:$I$89,3,0)*0.475*44/12</f>
        <v>1.8738711617453194E-22</v>
      </c>
      <c r="AC187" s="22">
        <f t="shared" si="163"/>
        <v>0.52812840213342027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-1.1368683772161603E-12</v>
      </c>
      <c r="AJ187" s="13">
        <f>AI187*VLOOKUP('Données projet'!$B$10,Paramètres!$A$1:$I$89,3,0)*VLOOKUP('Données projet'!$B$10,Paramètres!$A$1:$I$89,5,0)</f>
        <v>-5.4683368944097316E-13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252.30925789500111</v>
      </c>
      <c r="AO187" s="59">
        <f t="shared" si="144"/>
        <v>213.96033794804805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0.21942094067992132</v>
      </c>
      <c r="AV187" s="21">
        <f>EXP(-LN(2)/25)*AV186+(1-EXP(-LN(2)/25))/(LN(2)/25)*Calculateur!AQ187*Calculateur!AS187*VLOOKUP('Données projet'!$B$10,Paramètres!$A$1:$I$89,3,0)*0.475*44/12</f>
        <v>0.12905710468046824</v>
      </c>
      <c r="AW187" s="21">
        <f>EXP(-LN(2)/2)*AW186+(1-EXP(-LN(2)/2))/(LN(2)/2)*AQ187*AT187*VLOOKUP('Données projet'!$B$10,Paramètres!$A$1:$I$89,3,0)*0.475*44/12</f>
        <v>9.5142569534949525E-23</v>
      </c>
      <c r="AX187" s="21">
        <f t="shared" si="166"/>
        <v>0.34847804536038957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-4.5474735088646412E-13</v>
      </c>
      <c r="BE187" s="13">
        <f>BD187*VLOOKUP('Données projet'!$B$11,Paramètres!$A$1:$I$89,3,0)*VLOOKUP('Données projet'!$B$11,Paramètres!$A$1:$I$89,5,0)</f>
        <v>-2.7193891583010558E-13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216.94426559495264</v>
      </c>
      <c r="BJ187" s="59">
        <f t="shared" si="146"/>
        <v>225.33715877618704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0.17969395346667158</v>
      </c>
      <c r="BR187" s="21">
        <f>EXP(-LN(2)/2)*BR186+(1-EXP(-LN(2)/2))/(LN(2)/2)*BL187*BO187*VLOOKUP('Données projet'!$B$11,Paramètres!$A$1:$I$89,3,0)*0.475*44/12</f>
        <v>1.570277314873345E-22</v>
      </c>
      <c r="BS187" s="22">
        <f t="shared" si="169"/>
        <v>0.17969395346667158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-2.8421709430404007E-14</v>
      </c>
      <c r="BZ187" s="13">
        <f>BY187*VLOOKUP('Données projet'!$B$12,Paramètres!$A$1:$I$89,3,0)*VLOOKUP('Données projet'!$B$12,Paramètres!$A$1:$I$89,5,0)</f>
        <v>-2.4829205358400945E-14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223.81948236065614</v>
      </c>
      <c r="CE187" s="59">
        <f t="shared" si="148"/>
        <v>320.1204011431372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0.14555526863836085</v>
      </c>
      <c r="CL187" s="21">
        <f>EXP(-LN(2)/25)*CL186+(1-EXP(-LN(2)/25))/(LN(2)/25)*Calculateur!CG187*Calculateur!CI187*VLOOKUP('Données projet'!$B$12,Paramètres!$A$1:$I$89,3,0)*0.475*44/12</f>
        <v>0.24742415293314315</v>
      </c>
      <c r="CM187" s="21">
        <f>EXP(-LN(2)/2)*CM186+(1-EXP(-LN(2)/2))/(LN(2)/2)*CG187*CJ187*VLOOKUP('Données projet'!$B$12,Paramètres!$A$1:$I$89,3,0)*0.475*44/12</f>
        <v>1.8376648994405295E-22</v>
      </c>
      <c r="CN187" s="22">
        <f t="shared" si="172"/>
        <v>0.39297942157150401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-1.9065282685915009E-13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279.98352834501759</v>
      </c>
      <c r="T188" s="59">
        <f t="shared" si="142"/>
        <v>281.30062655265488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0.18560774378756567</v>
      </c>
      <c r="AA188" s="21">
        <f>EXP(-LN(2)/25)*AA187+(1-EXP(-LN(2)/25))/(LN(2)/25)*Calculateur!V188*Calculateur!X188*VLOOKUP('Données projet'!$B$9,Paramètres!$A$1:$I$89,3,0)*0.475*44/12</f>
        <v>0.32954347657305333</v>
      </c>
      <c r="AB188" s="21">
        <f>EXP(-LN(2)/2)*AB187+(1-EXP(-LN(2)/2))/(LN(2)/2)*V188*Y188*VLOOKUP('Données projet'!$B$9,Paramètres!$A$1:$I$89,3,0)*0.475*44/12</f>
        <v>1.3250270055400291E-22</v>
      </c>
      <c r="AC188" s="22">
        <f t="shared" si="163"/>
        <v>0.515151220360619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-1.1368683772161603E-12</v>
      </c>
      <c r="AJ188" s="13">
        <f>AI188*VLOOKUP('Données projet'!$B$10,Paramètres!$A$1:$I$89,3,0)*VLOOKUP('Données projet'!$B$10,Paramètres!$A$1:$I$89,5,0)</f>
        <v>-5.4683368944097316E-13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252.30925789500111</v>
      </c>
      <c r="AO188" s="59">
        <f t="shared" si="144"/>
        <v>213.96033794804805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0.21511822986674692</v>
      </c>
      <c r="AV188" s="21">
        <f>EXP(-LN(2)/25)*AV187+(1-EXP(-LN(2)/25))/(LN(2)/25)*Calculateur!AQ188*Calculateur!AS188*VLOOKUP('Données projet'!$B$10,Paramètres!$A$1:$I$89,3,0)*0.475*44/12</f>
        <v>0.12552803136616267</v>
      </c>
      <c r="AW188" s="21">
        <f>EXP(-LN(2)/2)*AW187+(1-EXP(-LN(2)/2))/(LN(2)/2)*AQ188*AT188*VLOOKUP('Données projet'!$B$10,Paramètres!$A$1:$I$89,3,0)*0.475*44/12</f>
        <v>6.7275956097675436E-23</v>
      </c>
      <c r="AX188" s="21">
        <f t="shared" si="166"/>
        <v>0.34064626123290959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-4.5474735088646412E-13</v>
      </c>
      <c r="BE188" s="13">
        <f>BD188*VLOOKUP('Données projet'!$B$11,Paramètres!$A$1:$I$89,3,0)*VLOOKUP('Données projet'!$B$11,Paramètres!$A$1:$I$89,5,0)</f>
        <v>-2.7193891583010558E-13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216.94426559495264</v>
      </c>
      <c r="BJ188" s="59">
        <f t="shared" si="146"/>
        <v>225.33715877618704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0.17478021285943113</v>
      </c>
      <c r="BR188" s="21">
        <f>EXP(-LN(2)/2)*BR187+(1-EXP(-LN(2)/2))/(LN(2)/2)*BL188*BO188*VLOOKUP('Données projet'!$B$11,Paramètres!$A$1:$I$89,3,0)*0.475*44/12</f>
        <v>1.1103537376903457E-22</v>
      </c>
      <c r="BS188" s="22">
        <f t="shared" si="169"/>
        <v>0.17478021285943113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-2.8421709430404007E-14</v>
      </c>
      <c r="BZ188" s="13">
        <f>BY188*VLOOKUP('Données projet'!$B$12,Paramètres!$A$1:$I$89,3,0)*VLOOKUP('Données projet'!$B$12,Paramètres!$A$1:$I$89,5,0)</f>
        <v>-2.4829205358400945E-14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223.81948236065614</v>
      </c>
      <c r="CE188" s="59">
        <f t="shared" si="148"/>
        <v>320.1204011431372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0.14270101860031018</v>
      </c>
      <c r="CL188" s="21">
        <f>EXP(-LN(2)/25)*CL187+(1-EXP(-LN(2)/25))/(LN(2)/25)*Calculateur!CG188*Calculateur!CI188*VLOOKUP('Données projet'!$B$12,Paramètres!$A$1:$I$89,3,0)*0.475*44/12</f>
        <v>0.24065832645971566</v>
      </c>
      <c r="CM188" s="21">
        <f>EXP(-LN(2)/2)*CM187+(1-EXP(-LN(2)/2))/(LN(2)/2)*CG188*CJ188*VLOOKUP('Données projet'!$B$12,Paramètres!$A$1:$I$89,3,0)*0.475*44/12</f>
        <v>1.2994253119428934E-22</v>
      </c>
      <c r="CN188" s="22">
        <f t="shared" si="172"/>
        <v>0.38335934506002584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-1.9065282685915009E-13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279.98352834501759</v>
      </c>
      <c r="T189" s="59">
        <f t="shared" si="142"/>
        <v>281.30062655265488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0.1819680891414367</v>
      </c>
      <c r="AA189" s="21">
        <f>EXP(-LN(2)/25)*AA188+(1-EXP(-LN(2)/25))/(LN(2)/25)*Calculateur!V189*Calculateur!X189*VLOOKUP('Données projet'!$B$9,Paramètres!$A$1:$I$89,3,0)*0.475*44/12</f>
        <v>0.32053209287622492</v>
      </c>
      <c r="AB189" s="21">
        <f>EXP(-LN(2)/2)*AB188+(1-EXP(-LN(2)/2))/(LN(2)/2)*V189*Y189*VLOOKUP('Données projet'!$B$9,Paramètres!$A$1:$I$89,3,0)*0.475*44/12</f>
        <v>9.369355808726597E-23</v>
      </c>
      <c r="AC189" s="22">
        <f t="shared" si="163"/>
        <v>0.50250018201766156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-1.1368683772161603E-12</v>
      </c>
      <c r="AJ189" s="13">
        <f>AI189*VLOOKUP('Données projet'!$B$10,Paramètres!$A$1:$I$89,3,0)*VLOOKUP('Données projet'!$B$10,Paramètres!$A$1:$I$89,5,0)</f>
        <v>-5.4683368944097316E-13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252.30925789500111</v>
      </c>
      <c r="AO189" s="59">
        <f t="shared" si="144"/>
        <v>213.96033794804805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0.21089989258822439</v>
      </c>
      <c r="AV189" s="21">
        <f>EXP(-LN(2)/25)*AV188+(1-EXP(-LN(2)/25))/(LN(2)/25)*Calculateur!AQ189*Calculateur!AS189*VLOOKUP('Données projet'!$B$10,Paramètres!$A$1:$I$89,3,0)*0.475*44/12</f>
        <v>0.12209546074722268</v>
      </c>
      <c r="AW189" s="21">
        <f>EXP(-LN(2)/2)*AW188+(1-EXP(-LN(2)/2))/(LN(2)/2)*AQ189*AT189*VLOOKUP('Données projet'!$B$10,Paramètres!$A$1:$I$89,3,0)*0.475*44/12</f>
        <v>4.7571284767474763E-23</v>
      </c>
      <c r="AX189" s="21">
        <f t="shared" si="166"/>
        <v>0.33299535333544705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-4.5474735088646412E-13</v>
      </c>
      <c r="BE189" s="13">
        <f>BD189*VLOOKUP('Données projet'!$B$11,Paramètres!$A$1:$I$89,3,0)*VLOOKUP('Données projet'!$B$11,Paramètres!$A$1:$I$89,5,0)</f>
        <v>-2.7193891583010558E-13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216.94426559495264</v>
      </c>
      <c r="BJ189" s="59">
        <f t="shared" si="146"/>
        <v>225.33715877618704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0.17000083874749805</v>
      </c>
      <c r="BR189" s="21">
        <f>EXP(-LN(2)/2)*BR188+(1-EXP(-LN(2)/2))/(LN(2)/2)*BL189*BO189*VLOOKUP('Données projet'!$B$11,Paramètres!$A$1:$I$89,3,0)*0.475*44/12</f>
        <v>7.8513865743667249E-23</v>
      </c>
      <c r="BS189" s="22">
        <f t="shared" si="169"/>
        <v>0.17000083874749805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-2.8421709430404007E-14</v>
      </c>
      <c r="BZ189" s="13">
        <f>BY189*VLOOKUP('Données projet'!$B$12,Paramètres!$A$1:$I$89,3,0)*VLOOKUP('Données projet'!$B$12,Paramètres!$A$1:$I$89,5,0)</f>
        <v>-2.4829205358400945E-14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223.81948236065614</v>
      </c>
      <c r="CE189" s="59">
        <f t="shared" si="148"/>
        <v>320.1204011431372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0.13990273866458505</v>
      </c>
      <c r="CL189" s="21">
        <f>EXP(-LN(2)/25)*CL188+(1-EXP(-LN(2)/25))/(LN(2)/25)*Calculateur!CG189*Calculateur!CI189*VLOOKUP('Données projet'!$B$12,Paramètres!$A$1:$I$89,3,0)*0.475*44/12</f>
        <v>0.23407751186700337</v>
      </c>
      <c r="CM189" s="21">
        <f>EXP(-LN(2)/2)*CM188+(1-EXP(-LN(2)/2))/(LN(2)/2)*CG189*CJ189*VLOOKUP('Données projet'!$B$12,Paramètres!$A$1:$I$89,3,0)*0.475*44/12</f>
        <v>9.1883244972026477E-23</v>
      </c>
      <c r="CN189" s="22">
        <f t="shared" si="172"/>
        <v>0.37398025053158845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-1.9065282685915009E-13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279.98352834501759</v>
      </c>
      <c r="T190" s="59">
        <f t="shared" si="142"/>
        <v>281.30062655265488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0.17839980590294818</v>
      </c>
      <c r="AA190" s="21">
        <f>EXP(-LN(2)/25)*AA189+(1-EXP(-LN(2)/25))/(LN(2)/25)*Calculateur!V190*Calculateur!X190*VLOOKUP('Données projet'!$B$9,Paramètres!$A$1:$I$89,3,0)*0.475*44/12</f>
        <v>0.31176712594047434</v>
      </c>
      <c r="AB190" s="21">
        <f>EXP(-LN(2)/2)*AB189+(1-EXP(-LN(2)/2))/(LN(2)/2)*V190*Y190*VLOOKUP('Données projet'!$B$9,Paramètres!$A$1:$I$89,3,0)*0.475*44/12</f>
        <v>6.6251350277001457E-23</v>
      </c>
      <c r="AC190" s="22">
        <f t="shared" si="163"/>
        <v>0.49016693184342253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-1.1368683772161603E-12</v>
      </c>
      <c r="AJ190" s="13">
        <f>AI190*VLOOKUP('Données projet'!$B$10,Paramètres!$A$1:$I$89,3,0)*VLOOKUP('Données projet'!$B$10,Paramètres!$A$1:$I$89,5,0)</f>
        <v>-5.4683368944097316E-13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252.30925789500111</v>
      </c>
      <c r="AO190" s="59">
        <f t="shared" si="144"/>
        <v>213.96033794804805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0.20676427433080202</v>
      </c>
      <c r="AV190" s="21">
        <f>EXP(-LN(2)/25)*AV189+(1-EXP(-LN(2)/25))/(LN(2)/25)*Calculateur!AQ190*Calculateur!AS190*VLOOKUP('Données projet'!$B$10,Paramètres!$A$1:$I$89,3,0)*0.475*44/12</f>
        <v>0.11875675395236865</v>
      </c>
      <c r="AW190" s="21">
        <f>EXP(-LN(2)/2)*AW189+(1-EXP(-LN(2)/2))/(LN(2)/2)*AQ190*AT190*VLOOKUP('Données projet'!$B$10,Paramètres!$A$1:$I$89,3,0)*0.475*44/12</f>
        <v>3.3637978048837718E-23</v>
      </c>
      <c r="AX190" s="21">
        <f t="shared" si="166"/>
        <v>0.32552102828317064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-4.5474735088646412E-13</v>
      </c>
      <c r="BE190" s="13">
        <f>BD190*VLOOKUP('Données projet'!$B$11,Paramètres!$A$1:$I$89,3,0)*VLOOKUP('Données projet'!$B$11,Paramètres!$A$1:$I$89,5,0)</f>
        <v>-2.7193891583010558E-13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216.94426559495264</v>
      </c>
      <c r="BJ190" s="59">
        <f t="shared" si="146"/>
        <v>225.33715877618704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0.16535215687199215</v>
      </c>
      <c r="BR190" s="21">
        <f>EXP(-LN(2)/2)*BR189+(1-EXP(-LN(2)/2))/(LN(2)/2)*BL190*BO190*VLOOKUP('Données projet'!$B$11,Paramètres!$A$1:$I$89,3,0)*0.475*44/12</f>
        <v>5.5517686884517286E-23</v>
      </c>
      <c r="BS190" s="22">
        <f t="shared" si="169"/>
        <v>0.16535215687199215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-2.8421709430404007E-14</v>
      </c>
      <c r="BZ190" s="13">
        <f>BY190*VLOOKUP('Données projet'!$B$12,Paramètres!$A$1:$I$89,3,0)*VLOOKUP('Données projet'!$B$12,Paramètres!$A$1:$I$89,5,0)</f>
        <v>-2.4829205358400945E-14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223.81948236065614</v>
      </c>
      <c r="CE190" s="59">
        <f t="shared" si="148"/>
        <v>320.1204011431372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0.13715933129161725</v>
      </c>
      <c r="CL190" s="21">
        <f>EXP(-LN(2)/25)*CL189+(1-EXP(-LN(2)/25))/(LN(2)/25)*Calculateur!CG190*Calculateur!CI190*VLOOKUP('Données projet'!$B$12,Paramètres!$A$1:$I$89,3,0)*0.475*44/12</f>
        <v>0.2276766499953988</v>
      </c>
      <c r="CM190" s="21">
        <f>EXP(-LN(2)/2)*CM189+(1-EXP(-LN(2)/2))/(LN(2)/2)*CG190*CJ190*VLOOKUP('Données projet'!$B$12,Paramètres!$A$1:$I$89,3,0)*0.475*44/12</f>
        <v>6.4971265597144668E-23</v>
      </c>
      <c r="CN190" s="22">
        <f t="shared" si="172"/>
        <v>0.36483598128701605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-1.9065282685915009E-13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279.98352834501759</v>
      </c>
      <c r="T191" s="59">
        <f t="shared" si="142"/>
        <v>281.30062655265488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0.17490149452232856</v>
      </c>
      <c r="AA191" s="21">
        <f>EXP(-LN(2)/25)*AA190+(1-EXP(-LN(2)/25))/(LN(2)/25)*Calculateur!V191*Calculateur!X191*VLOOKUP('Données projet'!$B$9,Paramètres!$A$1:$I$89,3,0)*0.475*44/12</f>
        <v>0.30324183748651146</v>
      </c>
      <c r="AB191" s="21">
        <f>EXP(-LN(2)/2)*AB190+(1-EXP(-LN(2)/2))/(LN(2)/2)*V191*Y191*VLOOKUP('Données projet'!$B$9,Paramètres!$A$1:$I$89,3,0)*0.475*44/12</f>
        <v>4.6846779043632985E-23</v>
      </c>
      <c r="AC191" s="22">
        <f t="shared" si="163"/>
        <v>0.47814333200884002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-1.1368683772161603E-12</v>
      </c>
      <c r="AJ191" s="13">
        <f>AI191*VLOOKUP('Données projet'!$B$10,Paramètres!$A$1:$I$89,3,0)*VLOOKUP('Données projet'!$B$10,Paramètres!$A$1:$I$89,5,0)</f>
        <v>-5.4683368944097316E-13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252.30925789500111</v>
      </c>
      <c r="AO191" s="59">
        <f t="shared" si="144"/>
        <v>213.96033794804805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0.20270975302492963</v>
      </c>
      <c r="AV191" s="21">
        <f>EXP(-LN(2)/25)*AV190+(1-EXP(-LN(2)/25))/(LN(2)/25)*Calculateur!AQ191*Calculateur!AS191*VLOOKUP('Données projet'!$B$10,Paramètres!$A$1:$I$89,3,0)*0.475*44/12</f>
        <v>0.11550934427039486</v>
      </c>
      <c r="AW191" s="21">
        <f>EXP(-LN(2)/2)*AW190+(1-EXP(-LN(2)/2))/(LN(2)/2)*AQ191*AT191*VLOOKUP('Données projet'!$B$10,Paramètres!$A$1:$I$89,3,0)*0.475*44/12</f>
        <v>2.3785642383737381E-23</v>
      </c>
      <c r="AX191" s="21">
        <f t="shared" si="166"/>
        <v>0.31821909729532449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-4.5474735088646412E-13</v>
      </c>
      <c r="BE191" s="13">
        <f>BD191*VLOOKUP('Données projet'!$B$11,Paramètres!$A$1:$I$89,3,0)*VLOOKUP('Données projet'!$B$11,Paramètres!$A$1:$I$89,5,0)</f>
        <v>-2.7193891583010558E-13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216.94426559495264</v>
      </c>
      <c r="BJ191" s="59">
        <f t="shared" si="146"/>
        <v>225.33715877618704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0.16083059344683551</v>
      </c>
      <c r="BR191" s="21">
        <f>EXP(-LN(2)/2)*BR190+(1-EXP(-LN(2)/2))/(LN(2)/2)*BL191*BO191*VLOOKUP('Données projet'!$B$11,Paramètres!$A$1:$I$89,3,0)*0.475*44/12</f>
        <v>3.9256932871833625E-23</v>
      </c>
      <c r="BS191" s="22">
        <f t="shared" si="169"/>
        <v>0.16083059344683551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-2.8421709430404007E-14</v>
      </c>
      <c r="BZ191" s="13">
        <f>BY191*VLOOKUP('Données projet'!$B$12,Paramètres!$A$1:$I$89,3,0)*VLOOKUP('Données projet'!$B$12,Paramètres!$A$1:$I$89,5,0)</f>
        <v>-2.4829205358400945E-14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223.81948236065614</v>
      </c>
      <c r="CE191" s="59">
        <f t="shared" si="148"/>
        <v>320.1204011431372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0.13446972046392008</v>
      </c>
      <c r="CL191" s="21">
        <f>EXP(-LN(2)/25)*CL190+(1-EXP(-LN(2)/25))/(LN(2)/25)*Calculateur!CG191*Calculateur!CI191*VLOOKUP('Données projet'!$B$12,Paramètres!$A$1:$I$89,3,0)*0.475*44/12</f>
        <v>0.22145082002827995</v>
      </c>
      <c r="CM191" s="21">
        <f>EXP(-LN(2)/2)*CM190+(1-EXP(-LN(2)/2))/(LN(2)/2)*CG191*CJ191*VLOOKUP('Données projet'!$B$12,Paramètres!$A$1:$I$89,3,0)*0.475*44/12</f>
        <v>4.5941622486013239E-23</v>
      </c>
      <c r="CN191" s="22">
        <f t="shared" si="172"/>
        <v>0.35592054049220001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-1.9065282685915009E-13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279.98352834501759</v>
      </c>
      <c r="T192" s="59">
        <f t="shared" si="142"/>
        <v>281.30062655265488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0.17147178289412365</v>
      </c>
      <c r="AA192" s="21">
        <f>EXP(-LN(2)/25)*AA191+(1-EXP(-LN(2)/25))/(LN(2)/25)*Calculateur!V192*Calculateur!X192*VLOOKUP('Données projet'!$B$9,Paramètres!$A$1:$I$89,3,0)*0.475*44/12</f>
        <v>0.29494967349364765</v>
      </c>
      <c r="AB192" s="21">
        <f>EXP(-LN(2)/2)*AB191+(1-EXP(-LN(2)/2))/(LN(2)/2)*V192*Y192*VLOOKUP('Données projet'!$B$9,Paramètres!$A$1:$I$89,3,0)*0.475*44/12</f>
        <v>3.3125675138500729E-23</v>
      </c>
      <c r="AC192" s="22">
        <f t="shared" si="163"/>
        <v>0.46642145638777133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-1.1368683772161603E-12</v>
      </c>
      <c r="AJ192" s="13">
        <f>AI192*VLOOKUP('Données projet'!$B$10,Paramètres!$A$1:$I$89,3,0)*VLOOKUP('Données projet'!$B$10,Paramètres!$A$1:$I$89,5,0)</f>
        <v>-5.4683368944097316E-13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252.30925789500111</v>
      </c>
      <c r="AO192" s="59">
        <f t="shared" si="144"/>
        <v>213.96033794804805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0.19873473840885161</v>
      </c>
      <c r="AV192" s="21">
        <f>EXP(-LN(2)/25)*AV191+(1-EXP(-LN(2)/25))/(LN(2)/25)*Calculateur!AQ192*Calculateur!AS192*VLOOKUP('Données projet'!$B$10,Paramètres!$A$1:$I$89,3,0)*0.475*44/12</f>
        <v>0.11235073517694849</v>
      </c>
      <c r="AW192" s="21">
        <f>EXP(-LN(2)/2)*AW191+(1-EXP(-LN(2)/2))/(LN(2)/2)*AQ192*AT192*VLOOKUP('Données projet'!$B$10,Paramètres!$A$1:$I$89,3,0)*0.475*44/12</f>
        <v>1.6818989024418859E-23</v>
      </c>
      <c r="AX192" s="21">
        <f t="shared" si="166"/>
        <v>0.31108547358580008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-4.5474735088646412E-13</v>
      </c>
      <c r="BE192" s="13">
        <f>BD192*VLOOKUP('Données projet'!$B$11,Paramètres!$A$1:$I$89,3,0)*VLOOKUP('Données projet'!$B$11,Paramètres!$A$1:$I$89,5,0)</f>
        <v>-2.7193891583010558E-13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216.94426559495264</v>
      </c>
      <c r="BJ192" s="59">
        <f t="shared" si="146"/>
        <v>225.33715877618704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0.15643267241131847</v>
      </c>
      <c r="BR192" s="21">
        <f>EXP(-LN(2)/2)*BR191+(1-EXP(-LN(2)/2))/(LN(2)/2)*BL192*BO192*VLOOKUP('Données projet'!$B$11,Paramètres!$A$1:$I$89,3,0)*0.475*44/12</f>
        <v>2.7758843442258643E-23</v>
      </c>
      <c r="BS192" s="22">
        <f t="shared" si="169"/>
        <v>0.15643267241131847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-2.8421709430404007E-14</v>
      </c>
      <c r="BZ192" s="13">
        <f>BY192*VLOOKUP('Données projet'!$B$12,Paramètres!$A$1:$I$89,3,0)*VLOOKUP('Données projet'!$B$12,Paramètres!$A$1:$I$89,5,0)</f>
        <v>-2.4829205358400945E-14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223.81948236065614</v>
      </c>
      <c r="CE192" s="59">
        <f t="shared" si="148"/>
        <v>320.1204011431372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0.13183285126405345</v>
      </c>
      <c r="CL192" s="21">
        <f>EXP(-LN(2)/25)*CL191+(1-EXP(-LN(2)/25))/(LN(2)/25)*Calculateur!CG192*Calculateur!CI192*VLOOKUP('Données projet'!$B$12,Paramètres!$A$1:$I$89,3,0)*0.475*44/12</f>
        <v>0.21539523570901414</v>
      </c>
      <c r="CM192" s="21">
        <f>EXP(-LN(2)/2)*CM191+(1-EXP(-LN(2)/2))/(LN(2)/2)*CG192*CJ192*VLOOKUP('Données projet'!$B$12,Paramètres!$A$1:$I$89,3,0)*0.475*44/12</f>
        <v>3.2485632798572334E-23</v>
      </c>
      <c r="CN192" s="22">
        <f t="shared" si="172"/>
        <v>0.34722808697306762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-1.9065282685915009E-13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279.98352834501759</v>
      </c>
      <c r="T193" s="59">
        <f t="shared" si="142"/>
        <v>281.30062655265488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0.16810932581903029</v>
      </c>
      <c r="AA193" s="21">
        <f>EXP(-LN(2)/25)*AA192+(1-EXP(-LN(2)/25))/(LN(2)/25)*Calculateur!V193*Calculateur!X193*VLOOKUP('Données projet'!$B$9,Paramètres!$A$1:$I$89,3,0)*0.475*44/12</f>
        <v>0.28688425916123461</v>
      </c>
      <c r="AB193" s="21">
        <f>EXP(-LN(2)/2)*AB192+(1-EXP(-LN(2)/2))/(LN(2)/2)*V193*Y193*VLOOKUP('Données projet'!$B$9,Paramètres!$A$1:$I$89,3,0)*0.475*44/12</f>
        <v>2.3423389521816492E-23</v>
      </c>
      <c r="AC193" s="22">
        <f t="shared" si="163"/>
        <v>0.45499358498026488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-1.1368683772161603E-12</v>
      </c>
      <c r="AJ193" s="13">
        <f>AI193*VLOOKUP('Données projet'!$B$10,Paramètres!$A$1:$I$89,3,0)*VLOOKUP('Données projet'!$B$10,Paramètres!$A$1:$I$89,5,0)</f>
        <v>-5.4683368944097316E-13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252.30925789500111</v>
      </c>
      <c r="AO193" s="59">
        <f t="shared" si="144"/>
        <v>213.96033794804805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0.19483767140487535</v>
      </c>
      <c r="AV193" s="21">
        <f>EXP(-LN(2)/25)*AV192+(1-EXP(-LN(2)/25))/(LN(2)/25)*Calculateur!AQ193*Calculateur!AS193*VLOOKUP('Données projet'!$B$10,Paramètres!$A$1:$I$89,3,0)*0.475*44/12</f>
        <v>0.10927849841526645</v>
      </c>
      <c r="AW193" s="21">
        <f>EXP(-LN(2)/2)*AW192+(1-EXP(-LN(2)/2))/(LN(2)/2)*AQ193*AT193*VLOOKUP('Données projet'!$B$10,Paramètres!$A$1:$I$89,3,0)*0.475*44/12</f>
        <v>1.1892821191868691E-23</v>
      </c>
      <c r="AX193" s="21">
        <f t="shared" si="166"/>
        <v>0.30411616982014178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-4.5474735088646412E-13</v>
      </c>
      <c r="BE193" s="13">
        <f>BD193*VLOOKUP('Données projet'!$B$11,Paramètres!$A$1:$I$89,3,0)*VLOOKUP('Données projet'!$B$11,Paramètres!$A$1:$I$89,5,0)</f>
        <v>-2.7193891583010558E-13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216.94426559495264</v>
      </c>
      <c r="BJ193" s="59">
        <f t="shared" si="146"/>
        <v>225.33715877618704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0.15215501275779425</v>
      </c>
      <c r="BR193" s="21">
        <f>EXP(-LN(2)/2)*BR192+(1-EXP(-LN(2)/2))/(LN(2)/2)*BL193*BO193*VLOOKUP('Données projet'!$B$11,Paramètres!$A$1:$I$89,3,0)*0.475*44/12</f>
        <v>1.9628466435916812E-23</v>
      </c>
      <c r="BS193" s="22">
        <f t="shared" si="169"/>
        <v>0.15215501275779425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-2.8421709430404007E-14</v>
      </c>
      <c r="BZ193" s="13">
        <f>BY193*VLOOKUP('Données projet'!$B$12,Paramètres!$A$1:$I$89,3,0)*VLOOKUP('Données projet'!$B$12,Paramètres!$A$1:$I$89,5,0)</f>
        <v>-2.4829205358400945E-14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223.81948236065614</v>
      </c>
      <c r="CE193" s="59">
        <f t="shared" si="148"/>
        <v>320.1204011431372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0.12924768946086479</v>
      </c>
      <c r="CL193" s="21">
        <f>EXP(-LN(2)/25)*CL192+(1-EXP(-LN(2)/25))/(LN(2)/25)*Calculateur!CG193*Calculateur!CI193*VLOOKUP('Données projet'!$B$12,Paramètres!$A$1:$I$89,3,0)*0.475*44/12</f>
        <v>0.20950524166140799</v>
      </c>
      <c r="CM193" s="21">
        <f>EXP(-LN(2)/2)*CM192+(1-EXP(-LN(2)/2))/(LN(2)/2)*CG193*CJ193*VLOOKUP('Données projet'!$B$12,Paramètres!$A$1:$I$89,3,0)*0.475*44/12</f>
        <v>2.2970811243006619E-23</v>
      </c>
      <c r="CN193" s="22">
        <f t="shared" si="172"/>
        <v>0.33875293112227278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-1.9065282685915009E-13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279.98352834501759</v>
      </c>
      <c r="T194" s="59">
        <f t="shared" si="142"/>
        <v>281.30062655265488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0.16481280447628321</v>
      </c>
      <c r="AA194" s="21">
        <f>EXP(-LN(2)/25)*AA193+(1-EXP(-LN(2)/25))/(LN(2)/25)*Calculateur!V194*Calculateur!X194*VLOOKUP('Données projet'!$B$9,Paramètres!$A$1:$I$89,3,0)*0.475*44/12</f>
        <v>0.27903939400788313</v>
      </c>
      <c r="AB194" s="21">
        <f>EXP(-LN(2)/2)*AB193+(1-EXP(-LN(2)/2))/(LN(2)/2)*V194*Y194*VLOOKUP('Données projet'!$B$9,Paramètres!$A$1:$I$89,3,0)*0.475*44/12</f>
        <v>1.6562837569250364E-23</v>
      </c>
      <c r="AC194" s="22">
        <f t="shared" si="163"/>
        <v>0.44385219848416635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-1.1368683772161603E-12</v>
      </c>
      <c r="AJ194" s="13">
        <f>AI194*VLOOKUP('Données projet'!$B$10,Paramètres!$A$1:$I$89,3,0)*VLOOKUP('Données projet'!$B$10,Paramètres!$A$1:$I$89,5,0)</f>
        <v>-5.4683368944097316E-13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252.30925789500111</v>
      </c>
      <c r="AO194" s="59">
        <f t="shared" si="144"/>
        <v>213.96033794804805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0.19101702350787089</v>
      </c>
      <c r="AV194" s="21">
        <f>EXP(-LN(2)/25)*AV193+(1-EXP(-LN(2)/25))/(LN(2)/25)*Calculateur!AQ194*Calculateur!AS194*VLOOKUP('Données projet'!$B$10,Paramètres!$A$1:$I$89,3,0)*0.475*44/12</f>
        <v>0.10629027212939451</v>
      </c>
      <c r="AW194" s="21">
        <f>EXP(-LN(2)/2)*AW193+(1-EXP(-LN(2)/2))/(LN(2)/2)*AQ194*AT194*VLOOKUP('Données projet'!$B$10,Paramètres!$A$1:$I$89,3,0)*0.475*44/12</f>
        <v>8.4094945122094295E-24</v>
      </c>
      <c r="AX194" s="21">
        <f t="shared" si="166"/>
        <v>0.29730729563726543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-4.5474735088646412E-13</v>
      </c>
      <c r="BE194" s="13">
        <f>BD194*VLOOKUP('Données projet'!$B$11,Paramètres!$A$1:$I$89,3,0)*VLOOKUP('Données projet'!$B$11,Paramètres!$A$1:$I$89,5,0)</f>
        <v>-2.7193891583010558E-13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216.94426559495264</v>
      </c>
      <c r="BJ194" s="59">
        <f t="shared" si="146"/>
        <v>225.33715877618704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0.14799432593244799</v>
      </c>
      <c r="BR194" s="21">
        <f>EXP(-LN(2)/2)*BR193+(1-EXP(-LN(2)/2))/(LN(2)/2)*BL194*BO194*VLOOKUP('Données projet'!$B$11,Paramètres!$A$1:$I$89,3,0)*0.475*44/12</f>
        <v>1.3879421721129321E-23</v>
      </c>
      <c r="BS194" s="22">
        <f t="shared" si="169"/>
        <v>0.14799432593244799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-2.8421709430404007E-14</v>
      </c>
      <c r="BZ194" s="13">
        <f>BY194*VLOOKUP('Données projet'!$B$12,Paramètres!$A$1:$I$89,3,0)*VLOOKUP('Données projet'!$B$12,Paramètres!$A$1:$I$89,5,0)</f>
        <v>-2.4829205358400945E-14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223.81948236065614</v>
      </c>
      <c r="CE194" s="59">
        <f t="shared" si="148"/>
        <v>320.1204011431372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0.12671322110384367</v>
      </c>
      <c r="CL194" s="21">
        <f>EXP(-LN(2)/25)*CL193+(1-EXP(-LN(2)/25))/(LN(2)/25)*Calculateur!CG194*Calculateur!CI194*VLOOKUP('Données projet'!$B$12,Paramètres!$A$1:$I$89,3,0)*0.475*44/12</f>
        <v>0.20377630981077496</v>
      </c>
      <c r="CM194" s="21">
        <f>EXP(-LN(2)/2)*CM193+(1-EXP(-LN(2)/2))/(LN(2)/2)*CG194*CJ194*VLOOKUP('Données projet'!$B$12,Paramètres!$A$1:$I$89,3,0)*0.475*44/12</f>
        <v>1.6242816399286167E-23</v>
      </c>
      <c r="CN194" s="22">
        <f t="shared" si="172"/>
        <v>0.33048953091461863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-1.9065282685915009E-13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279.98352834501759</v>
      </c>
      <c r="T195" s="59">
        <f t="shared" si="142"/>
        <v>281.30062655265488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0.16158092590638792</v>
      </c>
      <c r="AA195" s="21">
        <f>EXP(-LN(2)/25)*AA194+(1-EXP(-LN(2)/25))/(LN(2)/25)*Calculateur!V195*Calculateur!X195*VLOOKUP('Données projet'!$B$9,Paramètres!$A$1:$I$89,3,0)*0.475*44/12</f>
        <v>0.2714090471046936</v>
      </c>
      <c r="AB195" s="21">
        <f>EXP(-LN(2)/2)*AB194+(1-EXP(-LN(2)/2))/(LN(2)/2)*V195*Y195*VLOOKUP('Données projet'!$B$9,Paramètres!$A$1:$I$89,3,0)*0.475*44/12</f>
        <v>1.1711694760908246E-23</v>
      </c>
      <c r="AC195" s="22">
        <f t="shared" si="163"/>
        <v>0.43298997301108155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-1.1368683772161603E-12</v>
      </c>
      <c r="AJ195" s="13">
        <f>AI195*VLOOKUP('Données projet'!$B$10,Paramètres!$A$1:$I$89,3,0)*VLOOKUP('Données projet'!$B$10,Paramètres!$A$1:$I$89,5,0)</f>
        <v>-5.4683368944097316E-13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252.30925789500111</v>
      </c>
      <c r="AO195" s="59">
        <f t="shared" si="144"/>
        <v>213.96033794804805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0.18727129618576158</v>
      </c>
      <c r="AV195" s="21">
        <f>EXP(-LN(2)/25)*AV194+(1-EXP(-LN(2)/25))/(LN(2)/25)*Calculateur!AQ195*Calculateur!AS195*VLOOKUP('Données projet'!$B$10,Paramètres!$A$1:$I$89,3,0)*0.475*44/12</f>
        <v>0.10338375904845373</v>
      </c>
      <c r="AW195" s="21">
        <f>EXP(-LN(2)/2)*AW194+(1-EXP(-LN(2)/2))/(LN(2)/2)*AQ195*AT195*VLOOKUP('Données projet'!$B$10,Paramètres!$A$1:$I$89,3,0)*0.475*44/12</f>
        <v>5.9464105959343453E-24</v>
      </c>
      <c r="AX195" s="21">
        <f t="shared" si="166"/>
        <v>0.29065505523421531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-4.5474735088646412E-13</v>
      </c>
      <c r="BE195" s="13">
        <f>BD195*VLOOKUP('Données projet'!$B$11,Paramètres!$A$1:$I$89,3,0)*VLOOKUP('Données projet'!$B$11,Paramètres!$A$1:$I$89,5,0)</f>
        <v>-2.7193891583010558E-13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216.94426559495264</v>
      </c>
      <c r="BJ195" s="59">
        <f t="shared" si="146"/>
        <v>225.33715877618704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0.14394741330714184</v>
      </c>
      <c r="BR195" s="21">
        <f>EXP(-LN(2)/2)*BR194+(1-EXP(-LN(2)/2))/(LN(2)/2)*BL195*BO195*VLOOKUP('Données projet'!$B$11,Paramètres!$A$1:$I$89,3,0)*0.475*44/12</f>
        <v>9.8142332179584062E-24</v>
      </c>
      <c r="BS195" s="22">
        <f t="shared" si="169"/>
        <v>0.14394741330714184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-2.8421709430404007E-14</v>
      </c>
      <c r="BZ195" s="13">
        <f>BY195*VLOOKUP('Données projet'!$B$12,Paramètres!$A$1:$I$89,3,0)*VLOOKUP('Données projet'!$B$12,Paramètres!$A$1:$I$89,5,0)</f>
        <v>-2.4829205358400945E-14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223.81948236065614</v>
      </c>
      <c r="CE195" s="59">
        <f t="shared" si="148"/>
        <v>320.1204011431372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0.12422845212543067</v>
      </c>
      <c r="CL195" s="21">
        <f>EXP(-LN(2)/25)*CL194+(1-EXP(-LN(2)/25))/(LN(2)/25)*Calculateur!CG195*Calculateur!CI195*VLOOKUP('Données projet'!$B$12,Paramètres!$A$1:$I$89,3,0)*0.475*44/12</f>
        <v>0.19820403590286892</v>
      </c>
      <c r="CM195" s="21">
        <f>EXP(-LN(2)/2)*CM194+(1-EXP(-LN(2)/2))/(LN(2)/2)*CG195*CJ195*VLOOKUP('Données projet'!$B$12,Paramètres!$A$1:$I$89,3,0)*0.475*44/12</f>
        <v>1.148540562150331E-23</v>
      </c>
      <c r="CN195" s="22">
        <f t="shared" si="172"/>
        <v>0.3224324880282996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-1.9065282685915009E-13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279.98352834501759</v>
      </c>
      <c r="T196" s="59">
        <f t="shared" si="142"/>
        <v>281.30062655265488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0.15841242250399701</v>
      </c>
      <c r="AA196" s="21">
        <f>EXP(-LN(2)/25)*AA195+(1-EXP(-LN(2)/25))/(LN(2)/25)*Calculateur!V196*Calculateur!X196*VLOOKUP('Données projet'!$B$9,Paramètres!$A$1:$I$89,3,0)*0.475*44/12</f>
        <v>0.26398735243883426</v>
      </c>
      <c r="AB196" s="21">
        <f>EXP(-LN(2)/2)*AB195+(1-EXP(-LN(2)/2))/(LN(2)/2)*V196*Y196*VLOOKUP('Données projet'!$B$9,Paramètres!$A$1:$I$89,3,0)*0.475*44/12</f>
        <v>8.2814187846251822E-24</v>
      </c>
      <c r="AC196" s="22">
        <f t="shared" si="163"/>
        <v>0.42239977494283126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-1.1368683772161603E-12</v>
      </c>
      <c r="AJ196" s="13">
        <f>AI196*VLOOKUP('Données projet'!$B$10,Paramètres!$A$1:$I$89,3,0)*VLOOKUP('Données projet'!$B$10,Paramètres!$A$1:$I$89,5,0)</f>
        <v>-5.4683368944097316E-13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252.30925789500111</v>
      </c>
      <c r="AO196" s="59">
        <f t="shared" si="144"/>
        <v>213.96033794804805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0.18359902029177075</v>
      </c>
      <c r="AV196" s="21">
        <f>EXP(-LN(2)/25)*AV195+(1-EXP(-LN(2)/25))/(LN(2)/25)*Calculateur!AQ196*Calculateur!AS196*VLOOKUP('Données projet'!$B$10,Paramètres!$A$1:$I$89,3,0)*0.475*44/12</f>
        <v>0.10055672472055817</v>
      </c>
      <c r="AW196" s="21">
        <f>EXP(-LN(2)/2)*AW195+(1-EXP(-LN(2)/2))/(LN(2)/2)*AQ196*AT196*VLOOKUP('Données projet'!$B$10,Paramètres!$A$1:$I$89,3,0)*0.475*44/12</f>
        <v>4.2047472561047147E-24</v>
      </c>
      <c r="AX196" s="21">
        <f t="shared" si="166"/>
        <v>0.28415574501232893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-4.5474735088646412E-13</v>
      </c>
      <c r="BE196" s="13">
        <f>BD196*VLOOKUP('Données projet'!$B$11,Paramètres!$A$1:$I$89,3,0)*VLOOKUP('Données projet'!$B$11,Paramètres!$A$1:$I$89,5,0)</f>
        <v>-2.7193891583010558E-13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216.94426559495264</v>
      </c>
      <c r="BJ196" s="59">
        <f t="shared" si="146"/>
        <v>225.33715877618704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0.14001116372039257</v>
      </c>
      <c r="BR196" s="21">
        <f>EXP(-LN(2)/2)*BR195+(1-EXP(-LN(2)/2))/(LN(2)/2)*BL196*BO196*VLOOKUP('Données projet'!$B$11,Paramètres!$A$1:$I$89,3,0)*0.475*44/12</f>
        <v>6.9397108605646607E-24</v>
      </c>
      <c r="BS196" s="22">
        <f t="shared" si="169"/>
        <v>0.14001116372039257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-2.8421709430404007E-14</v>
      </c>
      <c r="BZ196" s="13">
        <f>BY196*VLOOKUP('Données projet'!$B$12,Paramètres!$A$1:$I$89,3,0)*VLOOKUP('Données projet'!$B$12,Paramètres!$A$1:$I$89,5,0)</f>
        <v>-2.4829205358400945E-14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223.81948236065614</v>
      </c>
      <c r="CE196" s="59">
        <f t="shared" si="148"/>
        <v>320.1204011431372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0.12179240795112492</v>
      </c>
      <c r="CL196" s="21">
        <f>EXP(-LN(2)/25)*CL195+(1-EXP(-LN(2)/25))/(LN(2)/25)*Calculateur!CG196*Calculateur!CI196*VLOOKUP('Données projet'!$B$12,Paramètres!$A$1:$I$89,3,0)*0.475*44/12</f>
        <v>0.19278413611800771</v>
      </c>
      <c r="CM196" s="21">
        <f>EXP(-LN(2)/2)*CM195+(1-EXP(-LN(2)/2))/(LN(2)/2)*CG196*CJ196*VLOOKUP('Données projet'!$B$12,Paramètres!$A$1:$I$89,3,0)*0.475*44/12</f>
        <v>8.1214081996430835E-24</v>
      </c>
      <c r="CN196" s="22">
        <f t="shared" si="172"/>
        <v>0.3145765440691326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-1.9065282685915009E-13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279.98352834501759</v>
      </c>
      <c r="T197" s="59">
        <f t="shared" ref="T197:T203" si="204">$T$3</f>
        <v>281.30062655265488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0.15530605152073071</v>
      </c>
      <c r="AA197" s="21">
        <f>EXP(-LN(2)/25)*AA196+(1-EXP(-LN(2)/25))/(LN(2)/25)*Calculateur!V197*Calculateur!X197*VLOOKUP('Données projet'!$B$9,Paramètres!$A$1:$I$89,3,0)*0.475*44/12</f>
        <v>0.25676860440390281</v>
      </c>
      <c r="AB197" s="21">
        <f>EXP(-LN(2)/2)*AB196+(1-EXP(-LN(2)/2))/(LN(2)/2)*V197*Y197*VLOOKUP('Données projet'!$B$9,Paramètres!$A$1:$I$89,3,0)*0.475*44/12</f>
        <v>5.8558473804541231E-24</v>
      </c>
      <c r="AC197" s="22">
        <f t="shared" si="163"/>
        <v>0.41207465592463355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-1.1368683772161603E-12</v>
      </c>
      <c r="AJ197" s="13">
        <f>AI197*VLOOKUP('Données projet'!$B$10,Paramètres!$A$1:$I$89,3,0)*VLOOKUP('Données projet'!$B$10,Paramètres!$A$1:$I$89,5,0)</f>
        <v>-5.4683368944097316E-13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252.30925789500111</v>
      </c>
      <c r="AO197" s="59">
        <f t="shared" ref="AO197:AO203" si="205">$AO$3</f>
        <v>213.96033794804805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0.17999875548819397</v>
      </c>
      <c r="AV197" s="21">
        <f>EXP(-LN(2)/25)*AV196+(1-EXP(-LN(2)/25))/(LN(2)/25)*Calculateur!AQ197*Calculateur!AS197*VLOOKUP('Données projet'!$B$10,Paramètres!$A$1:$I$89,3,0)*0.475*44/12</f>
        <v>9.7806995795026178E-2</v>
      </c>
      <c r="AW197" s="21">
        <f>EXP(-LN(2)/2)*AW196+(1-EXP(-LN(2)/2))/(LN(2)/2)*AQ197*AT197*VLOOKUP('Données projet'!$B$10,Paramètres!$A$1:$I$89,3,0)*0.475*44/12</f>
        <v>2.9732052979671727E-24</v>
      </c>
      <c r="AX197" s="21">
        <f t="shared" si="166"/>
        <v>0.27780575128322016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-4.5474735088646412E-13</v>
      </c>
      <c r="BE197" s="13">
        <f>BD197*VLOOKUP('Données projet'!$B$11,Paramètres!$A$1:$I$89,3,0)*VLOOKUP('Données projet'!$B$11,Paramètres!$A$1:$I$89,5,0)</f>
        <v>-2.7193891583010558E-13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216.94426559495264</v>
      </c>
      <c r="BJ197" s="59">
        <f t="shared" ref="BJ197:BJ203" si="206">$BJ$3</f>
        <v>225.33715877618704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0.13618255108559132</v>
      </c>
      <c r="BR197" s="21">
        <f>EXP(-LN(2)/2)*BR196+(1-EXP(-LN(2)/2))/(LN(2)/2)*BL197*BO197*VLOOKUP('Données projet'!$B$11,Paramètres!$A$1:$I$89,3,0)*0.475*44/12</f>
        <v>4.9071166089792031E-24</v>
      </c>
      <c r="BS197" s="22">
        <f t="shared" si="169"/>
        <v>0.13618255108559132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-2.8421709430404007E-14</v>
      </c>
      <c r="BZ197" s="13">
        <f>BY197*VLOOKUP('Données projet'!$B$12,Paramètres!$A$1:$I$89,3,0)*VLOOKUP('Données projet'!$B$12,Paramètres!$A$1:$I$89,5,0)</f>
        <v>-2.4829205358400945E-14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223.81948236065614</v>
      </c>
      <c r="CE197" s="59">
        <f t="shared" ref="CE197:CE203" si="207">$CE$3</f>
        <v>320.1204011431372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0.11940413311723708</v>
      </c>
      <c r="CL197" s="21">
        <f>EXP(-LN(2)/25)*CL196+(1-EXP(-LN(2)/25))/(LN(2)/25)*Calculateur!CG197*Calculateur!CI197*VLOOKUP('Données projet'!$B$12,Paramètres!$A$1:$I$89,3,0)*0.475*44/12</f>
        <v>0.18751244377778367</v>
      </c>
      <c r="CM197" s="21">
        <f>EXP(-LN(2)/2)*CM196+(1-EXP(-LN(2)/2))/(LN(2)/2)*CG197*CJ197*VLOOKUP('Données projet'!$B$12,Paramètres!$A$1:$I$89,3,0)*0.475*44/12</f>
        <v>5.7427028107516548E-24</v>
      </c>
      <c r="CN197" s="22">
        <f t="shared" si="172"/>
        <v>0.30691657689502072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-1.9065282685915009E-13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279.98352834501759</v>
      </c>
      <c r="T198" s="59">
        <f t="shared" si="204"/>
        <v>281.30062655265488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0.15226059457774707</v>
      </c>
      <c r="AA198" s="21">
        <f>EXP(-LN(2)/25)*AA197+(1-EXP(-LN(2)/25))/(LN(2)/25)*Calculateur!V198*Calculateur!X198*VLOOKUP('Données projet'!$B$9,Paramètres!$A$1:$I$89,3,0)*0.475*44/12</f>
        <v>0.24974725341360404</v>
      </c>
      <c r="AB198" s="21">
        <f>EXP(-LN(2)/2)*AB197+(1-EXP(-LN(2)/2))/(LN(2)/2)*V198*Y198*VLOOKUP('Données projet'!$B$9,Paramètres!$A$1:$I$89,3,0)*0.475*44/12</f>
        <v>4.1407093923125911E-24</v>
      </c>
      <c r="AC198" s="22">
        <f t="shared" si="163"/>
        <v>0.40200784799135114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-1.1368683772161603E-12</v>
      </c>
      <c r="AJ198" s="13">
        <f>AI198*VLOOKUP('Données projet'!$B$10,Paramètres!$A$1:$I$89,3,0)*VLOOKUP('Données projet'!$B$10,Paramètres!$A$1:$I$89,5,0)</f>
        <v>-5.4683368944097316E-13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252.30925789500111</v>
      </c>
      <c r="AO198" s="59">
        <f t="shared" si="205"/>
        <v>213.96033794804805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0.17646908968147063</v>
      </c>
      <c r="AV198" s="21">
        <f>EXP(-LN(2)/25)*AV197+(1-EXP(-LN(2)/25))/(LN(2)/25)*Calculateur!AQ198*Calculateur!AS198*VLOOKUP('Données projet'!$B$10,Paramètres!$A$1:$I$89,3,0)*0.475*44/12</f>
        <v>9.5132458351564822E-2</v>
      </c>
      <c r="AW198" s="21">
        <f>EXP(-LN(2)/2)*AW197+(1-EXP(-LN(2)/2))/(LN(2)/2)*AQ198*AT198*VLOOKUP('Données projet'!$B$10,Paramètres!$A$1:$I$89,3,0)*0.475*44/12</f>
        <v>2.1023736280523574E-24</v>
      </c>
      <c r="AX198" s="21">
        <f t="shared" si="166"/>
        <v>0.27160154803303543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-4.5474735088646412E-13</v>
      </c>
      <c r="BE198" s="13">
        <f>BD198*VLOOKUP('Données projet'!$B$11,Paramètres!$A$1:$I$89,3,0)*VLOOKUP('Données projet'!$B$11,Paramètres!$A$1:$I$89,5,0)</f>
        <v>-2.7193891583010558E-13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216.94426559495264</v>
      </c>
      <c r="BJ198" s="59">
        <f t="shared" si="206"/>
        <v>225.33715877618704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0.13245863206462671</v>
      </c>
      <c r="BR198" s="21">
        <f>EXP(-LN(2)/2)*BR197+(1-EXP(-LN(2)/2))/(LN(2)/2)*BL198*BO198*VLOOKUP('Données projet'!$B$11,Paramètres!$A$1:$I$89,3,0)*0.475*44/12</f>
        <v>3.4698554302823304E-24</v>
      </c>
      <c r="BS198" s="22">
        <f t="shared" si="169"/>
        <v>0.13245863206462671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-2.8421709430404007E-14</v>
      </c>
      <c r="BZ198" s="13">
        <f>BY198*VLOOKUP('Données projet'!$B$12,Paramètres!$A$1:$I$89,3,0)*VLOOKUP('Données projet'!$B$12,Paramètres!$A$1:$I$89,5,0)</f>
        <v>-2.4829205358400945E-14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223.81948236065614</v>
      </c>
      <c r="CE198" s="59">
        <f t="shared" si="207"/>
        <v>320.1204011431372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0.11706269089613797</v>
      </c>
      <c r="CL198" s="21">
        <f>EXP(-LN(2)/25)*CL197+(1-EXP(-LN(2)/25))/(LN(2)/25)*Calculateur!CG198*Calculateur!CI198*VLOOKUP('Données projet'!$B$12,Paramètres!$A$1:$I$89,3,0)*0.475*44/12</f>
        <v>0.18238490614182931</v>
      </c>
      <c r="CM198" s="21">
        <f>EXP(-LN(2)/2)*CM197+(1-EXP(-LN(2)/2))/(LN(2)/2)*CG198*CJ198*VLOOKUP('Données projet'!$B$12,Paramètres!$A$1:$I$89,3,0)*0.475*44/12</f>
        <v>4.0607040998215418E-24</v>
      </c>
      <c r="CN198" s="22">
        <f t="shared" si="172"/>
        <v>0.29944759703796731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-1.9065282685915009E-13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279.98352834501759</v>
      </c>
      <c r="T199" s="59">
        <f t="shared" si="204"/>
        <v>281.30062655265488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0.14927485718787001</v>
      </c>
      <c r="AA199" s="21">
        <f>EXP(-LN(2)/25)*AA198+(1-EXP(-LN(2)/25))/(LN(2)/25)*Calculateur!V199*Calculateur!X199*VLOOKUP('Données projet'!$B$9,Paramètres!$A$1:$I$89,3,0)*0.475*44/12</f>
        <v>0.24291790163537177</v>
      </c>
      <c r="AB199" s="21">
        <f>EXP(-LN(2)/2)*AB198+(1-EXP(-LN(2)/2))/(LN(2)/2)*V199*Y199*VLOOKUP('Données projet'!$B$9,Paramètres!$A$1:$I$89,3,0)*0.475*44/12</f>
        <v>2.9279236902270615E-24</v>
      </c>
      <c r="AC199" s="22">
        <f t="shared" si="163"/>
        <v>0.39219275882324178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-1.1368683772161603E-12</v>
      </c>
      <c r="AJ199" s="13">
        <f>AI199*VLOOKUP('Données projet'!$B$10,Paramètres!$A$1:$I$89,3,0)*VLOOKUP('Données projet'!$B$10,Paramètres!$A$1:$I$89,5,0)</f>
        <v>-5.4683368944097316E-13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252.30925789500111</v>
      </c>
      <c r="AO199" s="59">
        <f t="shared" si="205"/>
        <v>213.96033794804805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0.17300863846833356</v>
      </c>
      <c r="AV199" s="21">
        <f>EXP(-LN(2)/25)*AV198+(1-EXP(-LN(2)/25))/(LN(2)/25)*Calculateur!AQ199*Calculateur!AS199*VLOOKUP('Données projet'!$B$10,Paramètres!$A$1:$I$89,3,0)*0.475*44/12</f>
        <v>9.2531056275142728E-2</v>
      </c>
      <c r="AW199" s="21">
        <f>EXP(-LN(2)/2)*AW198+(1-EXP(-LN(2)/2))/(LN(2)/2)*AQ199*AT199*VLOOKUP('Données projet'!$B$10,Paramètres!$A$1:$I$89,3,0)*0.475*44/12</f>
        <v>1.4866026489835863E-24</v>
      </c>
      <c r="AX199" s="21">
        <f t="shared" si="166"/>
        <v>0.26553969474347627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-4.5474735088646412E-13</v>
      </c>
      <c r="BE199" s="13">
        <f>BD199*VLOOKUP('Données projet'!$B$11,Paramètres!$A$1:$I$89,3,0)*VLOOKUP('Données projet'!$B$11,Paramètres!$A$1:$I$89,5,0)</f>
        <v>-2.7193891583010558E-13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216.94426559495264</v>
      </c>
      <c r="BJ199" s="59">
        <f t="shared" si="206"/>
        <v>225.33715877618704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0.12883654380512277</v>
      </c>
      <c r="BR199" s="21">
        <f>EXP(-LN(2)/2)*BR198+(1-EXP(-LN(2)/2))/(LN(2)/2)*BL199*BO199*VLOOKUP('Données projet'!$B$11,Paramètres!$A$1:$I$89,3,0)*0.475*44/12</f>
        <v>2.4535583044896015E-24</v>
      </c>
      <c r="BS199" s="22">
        <f t="shared" si="169"/>
        <v>0.12883654380512277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-2.8421709430404007E-14</v>
      </c>
      <c r="BZ199" s="13">
        <f>BY199*VLOOKUP('Données projet'!$B$12,Paramètres!$A$1:$I$89,3,0)*VLOOKUP('Données projet'!$B$12,Paramètres!$A$1:$I$89,5,0)</f>
        <v>-2.4829205358400945E-14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223.81948236065614</v>
      </c>
      <c r="CE199" s="59">
        <f t="shared" si="207"/>
        <v>320.1204011431372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0.11476716292885586</v>
      </c>
      <c r="CL199" s="21">
        <f>EXP(-LN(2)/25)*CL198+(1-EXP(-LN(2)/25))/(LN(2)/25)*Calculateur!CG199*Calculateur!CI199*VLOOKUP('Données projet'!$B$12,Paramètres!$A$1:$I$89,3,0)*0.475*44/12</f>
        <v>0.17739758129217562</v>
      </c>
      <c r="CM199" s="21">
        <f>EXP(-LN(2)/2)*CM198+(1-EXP(-LN(2)/2))/(LN(2)/2)*CG199*CJ199*VLOOKUP('Données projet'!$B$12,Paramètres!$A$1:$I$89,3,0)*0.475*44/12</f>
        <v>2.8713514053758274E-24</v>
      </c>
      <c r="CN199" s="22">
        <f t="shared" si="172"/>
        <v>0.29216474422103145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-1.9065282685915009E-13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279.98352834501759</v>
      </c>
      <c r="T200" s="59">
        <f t="shared" si="204"/>
        <v>281.30062655265488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0.14634766828708845</v>
      </c>
      <c r="AA200" s="21">
        <f>EXP(-LN(2)/25)*AA199+(1-EXP(-LN(2)/25))/(LN(2)/25)*Calculateur!V200*Calculateur!X200*VLOOKUP('Données projet'!$B$9,Paramètres!$A$1:$I$89,3,0)*0.475*44/12</f>
        <v>0.23627529884065529</v>
      </c>
      <c r="AB200" s="21">
        <f>EXP(-LN(2)/2)*AB199+(1-EXP(-LN(2)/2))/(LN(2)/2)*V200*Y200*VLOOKUP('Données projet'!$B$9,Paramètres!$A$1:$I$89,3,0)*0.475*44/12</f>
        <v>2.0703546961562955E-24</v>
      </c>
      <c r="AC200" s="22">
        <f t="shared" si="163"/>
        <v>0.38262296712774374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-1.1368683772161603E-12</v>
      </c>
      <c r="AJ200" s="13">
        <f>AI200*VLOOKUP('Données projet'!$B$10,Paramètres!$A$1:$I$89,3,0)*VLOOKUP('Données projet'!$B$10,Paramètres!$A$1:$I$89,5,0)</f>
        <v>-5.4683368944097316E-13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252.30925789500111</v>
      </c>
      <c r="AO200" s="59">
        <f t="shared" si="205"/>
        <v>213.96033794804805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0.16961604459281929</v>
      </c>
      <c r="AV200" s="21">
        <f>EXP(-LN(2)/25)*AV199+(1-EXP(-LN(2)/25))/(LN(2)/25)*Calculateur!AQ200*Calculateur!AS200*VLOOKUP('Données projet'!$B$10,Paramètres!$A$1:$I$89,3,0)*0.475*44/12</f>
        <v>9.0000789675302187E-2</v>
      </c>
      <c r="AW200" s="21">
        <f>EXP(-LN(2)/2)*AW199+(1-EXP(-LN(2)/2))/(LN(2)/2)*AQ200*AT200*VLOOKUP('Données projet'!$B$10,Paramètres!$A$1:$I$89,3,0)*0.475*44/12</f>
        <v>1.0511868140261787E-24</v>
      </c>
      <c r="AX200" s="21">
        <f t="shared" si="166"/>
        <v>0.25961683426812149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-4.5474735088646412E-13</v>
      </c>
      <c r="BE200" s="13">
        <f>BD200*VLOOKUP('Données projet'!$B$11,Paramètres!$A$1:$I$89,3,0)*VLOOKUP('Données projet'!$B$11,Paramètres!$A$1:$I$89,5,0)</f>
        <v>-2.7193891583010558E-13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216.94426559495264</v>
      </c>
      <c r="BJ200" s="59">
        <f t="shared" si="206"/>
        <v>225.33715877618704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0.1253135017395523</v>
      </c>
      <c r="BR200" s="21">
        <f>EXP(-LN(2)/2)*BR199+(1-EXP(-LN(2)/2))/(LN(2)/2)*BL200*BO200*VLOOKUP('Données projet'!$B$11,Paramètres!$A$1:$I$89,3,0)*0.475*44/12</f>
        <v>1.7349277151411652E-24</v>
      </c>
      <c r="BS200" s="22">
        <f t="shared" si="169"/>
        <v>0.1253135017395523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-2.8421709430404007E-14</v>
      </c>
      <c r="BZ200" s="13">
        <f>BY200*VLOOKUP('Données projet'!$B$12,Paramètres!$A$1:$I$89,3,0)*VLOOKUP('Données projet'!$B$12,Paramètres!$A$1:$I$89,5,0)</f>
        <v>-2.4829205358400945E-14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223.81948236065614</v>
      </c>
      <c r="CE200" s="59">
        <f t="shared" si="207"/>
        <v>320.1204011431372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0.11251664886487835</v>
      </c>
      <c r="CL200" s="21">
        <f>EXP(-LN(2)/25)*CL199+(1-EXP(-LN(2)/25))/(LN(2)/25)*Calculateur!CG200*Calculateur!CI200*VLOOKUP('Données projet'!$B$12,Paramètres!$A$1:$I$89,3,0)*0.475*44/12</f>
        <v>0.17254663510280771</v>
      </c>
      <c r="CM200" s="21">
        <f>EXP(-LN(2)/2)*CM199+(1-EXP(-LN(2)/2))/(LN(2)/2)*CG200*CJ200*VLOOKUP('Données projet'!$B$12,Paramètres!$A$1:$I$89,3,0)*0.475*44/12</f>
        <v>2.0303520499107709E-24</v>
      </c>
      <c r="CN200" s="22">
        <f t="shared" si="172"/>
        <v>0.28506328396768604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-1.9065282685915009E-13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279.98352834501759</v>
      </c>
      <c r="T201" s="59">
        <f t="shared" si="204"/>
        <v>281.30062655265488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0.14347787977524229</v>
      </c>
      <c r="AA201" s="21">
        <f>EXP(-LN(2)/25)*AA200+(1-EXP(-LN(2)/25))/(LN(2)/25)*Calculateur!V201*Calculateur!X201*VLOOKUP('Données projet'!$B$9,Paramètres!$A$1:$I$89,3,0)*0.475*44/12</f>
        <v>0.22981433836867962</v>
      </c>
      <c r="AB201" s="21">
        <f>EXP(-LN(2)/2)*AB200+(1-EXP(-LN(2)/2))/(LN(2)/2)*V201*Y201*VLOOKUP('Données projet'!$B$9,Paramètres!$A$1:$I$89,3,0)*0.475*44/12</f>
        <v>1.4639618451135308E-24</v>
      </c>
      <c r="AC201" s="22">
        <f t="shared" si="163"/>
        <v>0.37329221814392188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-1.1368683772161603E-12</v>
      </c>
      <c r="AJ201" s="13">
        <f>AI201*VLOOKUP('Données projet'!$B$10,Paramètres!$A$1:$I$89,3,0)*VLOOKUP('Données projet'!$B$10,Paramètres!$A$1:$I$89,5,0)</f>
        <v>-5.4683368944097316E-13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252.30925789500111</v>
      </c>
      <c r="AO201" s="59">
        <f t="shared" si="205"/>
        <v>213.96033794804805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0.16628997741392593</v>
      </c>
      <c r="AV201" s="21">
        <f>EXP(-LN(2)/25)*AV200+(1-EXP(-LN(2)/25))/(LN(2)/25)*Calculateur!AQ201*Calculateur!AS201*VLOOKUP('Données projet'!$B$10,Paramètres!$A$1:$I$89,3,0)*0.475*44/12</f>
        <v>8.7539713348695217E-2</v>
      </c>
      <c r="AW201" s="21">
        <f>EXP(-LN(2)/2)*AW200+(1-EXP(-LN(2)/2))/(LN(2)/2)*AQ201*AT201*VLOOKUP('Données projet'!$B$10,Paramètres!$A$1:$I$89,3,0)*0.475*44/12</f>
        <v>7.4330132449179317E-25</v>
      </c>
      <c r="AX201" s="21">
        <f t="shared" si="166"/>
        <v>0.25382969076262113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-4.5474735088646412E-13</v>
      </c>
      <c r="BE201" s="13">
        <f>BD201*VLOOKUP('Données projet'!$B$11,Paramètres!$A$1:$I$89,3,0)*VLOOKUP('Données projet'!$B$11,Paramètres!$A$1:$I$89,5,0)</f>
        <v>-2.7193891583010558E-13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216.94426559495264</v>
      </c>
      <c r="BJ201" s="59">
        <f t="shared" si="206"/>
        <v>225.33715877618704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0.1218867974445336</v>
      </c>
      <c r="BR201" s="21">
        <f>EXP(-LN(2)/2)*BR200+(1-EXP(-LN(2)/2))/(LN(2)/2)*BL201*BO201*VLOOKUP('Données projet'!$B$11,Paramètres!$A$1:$I$89,3,0)*0.475*44/12</f>
        <v>1.2267791522448008E-24</v>
      </c>
      <c r="BS201" s="22">
        <f t="shared" si="169"/>
        <v>0.1218867974445336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-2.8421709430404007E-14</v>
      </c>
      <c r="BZ201" s="13">
        <f>BY201*VLOOKUP('Données projet'!$B$12,Paramètres!$A$1:$I$89,3,0)*VLOOKUP('Données projet'!$B$12,Paramètres!$A$1:$I$89,5,0)</f>
        <v>-2.4829205358400945E-14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223.81948236065614</v>
      </c>
      <c r="CE201" s="59">
        <f t="shared" si="207"/>
        <v>320.1204011431372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0.1103102660090174</v>
      </c>
      <c r="CL201" s="21">
        <f>EXP(-LN(2)/25)*CL200+(1-EXP(-LN(2)/25))/(LN(2)/25)*Calculateur!CG201*Calculateur!CI201*VLOOKUP('Données projet'!$B$12,Paramètres!$A$1:$I$89,3,0)*0.475*44/12</f>
        <v>0.16782833829208826</v>
      </c>
      <c r="CM201" s="21">
        <f>EXP(-LN(2)/2)*CM200+(1-EXP(-LN(2)/2))/(LN(2)/2)*CG201*CJ201*VLOOKUP('Données projet'!$B$12,Paramètres!$A$1:$I$89,3,0)*0.475*44/12</f>
        <v>1.4356757026879137E-24</v>
      </c>
      <c r="CN201" s="22">
        <f t="shared" si="172"/>
        <v>0.27813860430110565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-1.9065282685915009E-13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279.98352834501759</v>
      </c>
      <c r="T202" s="59">
        <f t="shared" si="204"/>
        <v>281.30062655265488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0.14066436606571528</v>
      </c>
      <c r="AA202" s="21">
        <f>EXP(-LN(2)/25)*AA201+(1-EXP(-LN(2)/25))/(LN(2)/25)*Calculateur!V202*Calculateur!X202*VLOOKUP('Données projet'!$B$9,Paramètres!$A$1:$I$89,3,0)*0.475*44/12</f>
        <v>0.22353005320057728</v>
      </c>
      <c r="AB202" s="21">
        <f>EXP(-LN(2)/2)*AB201+(1-EXP(-LN(2)/2))/(LN(2)/2)*V202*Y202*VLOOKUP('Données projet'!$B$9,Paramètres!$A$1:$I$89,3,0)*0.475*44/12</f>
        <v>1.0351773480781478E-24</v>
      </c>
      <c r="AC202" s="22">
        <f t="shared" si="163"/>
        <v>0.36419441926629259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-1.1368683772161603E-12</v>
      </c>
      <c r="AJ202" s="13">
        <f>AI202*VLOOKUP('Données projet'!$B$10,Paramètres!$A$1:$I$89,3,0)*VLOOKUP('Données projet'!$B$10,Paramètres!$A$1:$I$89,5,0)</f>
        <v>-5.4683368944097316E-13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252.30925789500111</v>
      </c>
      <c r="AO202" s="59">
        <f t="shared" si="205"/>
        <v>213.96033794804805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0.16302913238371</v>
      </c>
      <c r="AV202" s="21">
        <f>EXP(-LN(2)/25)*AV201+(1-EXP(-LN(2)/25))/(LN(2)/25)*Calculateur!AQ202*Calculateur!AS202*VLOOKUP('Données projet'!$B$10,Paramètres!$A$1:$I$89,3,0)*0.475*44/12</f>
        <v>8.5145935283661697E-2</v>
      </c>
      <c r="AW202" s="21">
        <f>EXP(-LN(2)/2)*AW201+(1-EXP(-LN(2)/2))/(LN(2)/2)*AQ202*AT202*VLOOKUP('Données projet'!$B$10,Paramètres!$A$1:$I$89,3,0)*0.475*44/12</f>
        <v>5.2559340701308934E-25</v>
      </c>
      <c r="AX202" s="21">
        <f t="shared" si="166"/>
        <v>0.24817506766737168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-4.5474735088646412E-13</v>
      </c>
      <c r="BE202" s="13">
        <f>BD202*VLOOKUP('Données projet'!$B$11,Paramètres!$A$1:$I$89,3,0)*VLOOKUP('Données projet'!$B$11,Paramètres!$A$1:$I$89,5,0)</f>
        <v>-2.7193891583010558E-13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216.94426559495264</v>
      </c>
      <c r="BJ202" s="59">
        <f t="shared" si="206"/>
        <v>225.33715877618704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0.11855379655866473</v>
      </c>
      <c r="BR202" s="21">
        <f>EXP(-LN(2)/2)*BR201+(1-EXP(-LN(2)/2))/(LN(2)/2)*BL202*BO202*VLOOKUP('Données projet'!$B$11,Paramètres!$A$1:$I$89,3,0)*0.475*44/12</f>
        <v>8.6746385757058259E-25</v>
      </c>
      <c r="BS202" s="22">
        <f t="shared" si="169"/>
        <v>0.11855379655866473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-2.8421709430404007E-14</v>
      </c>
      <c r="BZ202" s="13">
        <f>BY202*VLOOKUP('Données projet'!$B$12,Paramètres!$A$1:$I$89,3,0)*VLOOKUP('Données projet'!$B$12,Paramètres!$A$1:$I$89,5,0)</f>
        <v>-2.4829205358400945E-14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223.81948236065614</v>
      </c>
      <c r="CE202" s="59">
        <f t="shared" si="207"/>
        <v>320.1204011431372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0.10814714897519923</v>
      </c>
      <c r="CL202" s="21">
        <f>EXP(-LN(2)/25)*CL201+(1-EXP(-LN(2)/25))/(LN(2)/25)*Calculateur!CG202*Calculateur!CI202*VLOOKUP('Données projet'!$B$12,Paramètres!$A$1:$I$89,3,0)*0.475*44/12</f>
        <v>0.16323906355578238</v>
      </c>
      <c r="CM202" s="21">
        <f>EXP(-LN(2)/2)*CM201+(1-EXP(-LN(2)/2))/(LN(2)/2)*CG202*CJ202*VLOOKUP('Données projet'!$B$12,Paramètres!$A$1:$I$89,3,0)*0.475*44/12</f>
        <v>1.0151760249553854E-24</v>
      </c>
      <c r="CN202" s="22">
        <f t="shared" si="172"/>
        <v>0.27138621253098161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-1.9065282685915009E-13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279.98352834501759</v>
      </c>
      <c r="T203" s="59">
        <f t="shared" si="204"/>
        <v>281.30062655265488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0.13790602364395818</v>
      </c>
      <c r="AA203" s="21">
        <f>EXP(-LN(2)/25)*AA202+(1-EXP(-LN(2)/25))/(LN(2)/25)*Calculateur!V203*Calculateur!X203*VLOOKUP('Données projet'!$B$9,Paramètres!$A$1:$I$89,3,0)*0.475*44/12</f>
        <v>0.21741761214087288</v>
      </c>
      <c r="AB203" s="21">
        <f>EXP(-LN(2)/2)*AB202+(1-EXP(-LN(2)/2))/(LN(2)/2)*V203*Y203*VLOOKUP('Données projet'!$B$9,Paramètres!$A$1:$I$89,3,0)*0.475*44/12</f>
        <v>7.3198092255676539E-25</v>
      </c>
      <c r="AC203" s="22">
        <f t="shared" si="163"/>
        <v>0.35532363578483106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-1.1368683772161603E-12</v>
      </c>
      <c r="AJ203" s="13">
        <f>AI203*VLOOKUP('Données projet'!$B$10,Paramètres!$A$1:$I$89,3,0)*VLOOKUP('Données projet'!$B$10,Paramètres!$A$1:$I$89,5,0)</f>
        <v>-5.4683368944097316E-13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252.30925789500111</v>
      </c>
      <c r="AO203" s="59">
        <f t="shared" si="205"/>
        <v>213.96033794804805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0.15983223053561751</v>
      </c>
      <c r="AV203" s="21">
        <f>EXP(-LN(2)/25)*AV202+(1-EXP(-LN(2)/25))/(LN(2)/25)*Calculateur!AQ203*Calculateur!AS203*VLOOKUP('Données projet'!$B$10,Paramètres!$A$1:$I$89,3,0)*0.475*44/12</f>
        <v>8.2817615205699829E-2</v>
      </c>
      <c r="AW203" s="21">
        <f>EXP(-LN(2)/2)*AW202+(1-EXP(-LN(2)/2))/(LN(2)/2)*AQ203*AT203*VLOOKUP('Données projet'!$B$10,Paramètres!$A$1:$I$89,3,0)*0.475*44/12</f>
        <v>3.7165066224589658E-25</v>
      </c>
      <c r="AX203" s="21">
        <f t="shared" si="166"/>
        <v>0.24264984574131734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-4.5474735088646412E-13</v>
      </c>
      <c r="BE203" s="13">
        <f>BD203*VLOOKUP('Données projet'!$B$11,Paramètres!$A$1:$I$89,3,0)*VLOOKUP('Données projet'!$B$11,Paramètres!$A$1:$I$89,5,0)</f>
        <v>-2.7193891583010558E-13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216.94426559495264</v>
      </c>
      <c r="BJ203" s="59">
        <f t="shared" si="206"/>
        <v>225.33715877618704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0.11531193675729484</v>
      </c>
      <c r="BR203" s="21">
        <f>EXP(-LN(2)/2)*BR202+(1-EXP(-LN(2)/2))/(LN(2)/2)*BL203*BO203*VLOOKUP('Données projet'!$B$11,Paramètres!$A$1:$I$89,3,0)*0.475*44/12</f>
        <v>6.1338957612240039E-25</v>
      </c>
      <c r="BS203" s="22">
        <f t="shared" si="169"/>
        <v>0.11531193675729484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-2.8421709430404007E-14</v>
      </c>
      <c r="BZ203" s="13">
        <f>BY203*VLOOKUP('Données projet'!$B$12,Paramètres!$A$1:$I$89,3,0)*VLOOKUP('Données projet'!$B$12,Paramètres!$A$1:$I$89,5,0)</f>
        <v>-2.4829205358400945E-14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223.81948236065614</v>
      </c>
      <c r="CE203" s="59">
        <f t="shared" si="207"/>
        <v>320.1204011431372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0.10602644934704311</v>
      </c>
      <c r="CL203" s="21">
        <f>EXP(-LN(2)/25)*CL202+(1-EXP(-LN(2)/25))/(LN(2)/25)*Calculateur!CG203*Calculateur!CI203*VLOOKUP('Données projet'!$B$12,Paramètres!$A$1:$I$89,3,0)*0.475*44/12</f>
        <v>0.15877528277848024</v>
      </c>
      <c r="CM203" s="21">
        <f>EXP(-LN(2)/2)*CM202+(1-EXP(-LN(2)/2))/(LN(2)/2)*CG203*CJ203*VLOOKUP('Données projet'!$B$12,Paramètres!$A$1:$I$89,3,0)*0.475*44/12</f>
        <v>7.1783785134395685E-25</v>
      </c>
      <c r="CN203" s="22">
        <f t="shared" si="172"/>
        <v>0.26480173212552338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1.3013682980565777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1.2366730653835798</v>
      </c>
      <c r="BA205" s="82">
        <f>EXP(LN('Données projet'!B88)/'Données projet'!A88)</f>
        <v>1.2530028811664373</v>
      </c>
      <c r="BV205" s="82">
        <f>EXP(LN('Données projet'!B114)/'Données projet'!A114)</f>
        <v>1.2765231539157764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4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5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4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6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6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5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4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5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G1" zoomScale="70" zoomScaleNormal="70" workbookViewId="0">
      <selection activeCell="H19" sqref="H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5" t="s">
        <v>271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7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9.99</v>
      </c>
      <c r="C6" s="147">
        <f ca="1">IF(OR('Données projet'!B9="",'Données projet'!C9="",'Données projet'!C9=0%),0,Calculateur!S3)</f>
        <v>279.98352834501759</v>
      </c>
      <c r="D6" s="147">
        <f>IF(OR('Données projet'!B9="",'Données projet'!C9="",'Données projet'!C9=0%),0,Calculateur!T3)</f>
        <v>281.30062655265488</v>
      </c>
      <c r="E6" s="147">
        <f ca="1">MIN(C6,D6)</f>
        <v>279.98352834501759</v>
      </c>
      <c r="F6" s="147">
        <f ca="1">E6*B6</f>
        <v>2797.0354481667259</v>
      </c>
      <c r="G6" s="147">
        <f ca="1">F6*(100%-'Données projet'!$C$24)*(100%-'Données projet'!$C$25)*(100%-'Données projet'!$C$26)*(100%-'Données projet'!$C$27)</f>
        <v>2517.3319033500534</v>
      </c>
      <c r="H6" s="148">
        <f>IF(OR('Données projet'!B9="",'Données projet'!C9="",'Données projet'!C9=0%),0,AVERAGE(Calculateur!$AC$3:$AC$33)*B6)</f>
        <v>55.815345555031215</v>
      </c>
      <c r="I6" s="149">
        <f>H6*(100%-'Données projet'!$C$24)*(100%-'Données projet'!$C$25)*(100%-'Données projet'!$C$26)*(100%-'Données projet'!$C$27)</f>
        <v>50.233810999528096</v>
      </c>
      <c r="J6" s="150">
        <f>IF(OR('Données projet'!B9="",'Données projet'!C9="",'Données projet'!C9=0%),0,SUM(Calculateur!$V$3:$V$33)*VLOOKUP('Données projet'!$B$9,Paramètres!$A$1:$I$89,9,0)*B6)</f>
        <v>597.10230000000001</v>
      </c>
      <c r="K6" s="151">
        <f>J6*(100%-'Données projet'!$C$24)*(100%-'Données projet'!$C$25)*(100%-'Données projet'!$C$26)*(100%-'Données projet'!$C$27)</f>
        <v>537.39206999999999</v>
      </c>
      <c r="L6" s="152">
        <f ca="1">G6+I6+K6</f>
        <v>3104.9577843495813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Sapin méditerranéen</v>
      </c>
      <c r="B7" s="154">
        <f>'Données projet'!D10</f>
        <v>4.9950000000000001</v>
      </c>
      <c r="C7" s="147">
        <f ca="1">IF(OR('Données projet'!B10="",'Données projet'!C10="",'Données projet'!C10=0%),0,Calculateur!AN3)</f>
        <v>252.30925789500111</v>
      </c>
      <c r="D7" s="147">
        <f>IF(OR('Données projet'!B10="",'Données projet'!C10="",'Données projet'!C10=0%),0,Calculateur!AO3)</f>
        <v>213.96033794804805</v>
      </c>
      <c r="E7" s="147">
        <f t="shared" ref="E7:E15" ca="1" si="0">MIN(C7,D7)</f>
        <v>213.96033794804805</v>
      </c>
      <c r="F7" s="147">
        <f t="shared" ref="F7:F15" ca="1" si="1">E7*B7</f>
        <v>1068.7318880504999</v>
      </c>
      <c r="G7" s="147">
        <f ca="1">F7*(100%-'Données projet'!$C$24)*(100%-'Données projet'!$C$25)*(100%-'Données projet'!$C$26)*(100%-'Données projet'!$C$27)</f>
        <v>961.85869924545</v>
      </c>
      <c r="H7" s="155">
        <f>IF(OR('Données projet'!B10="",'Données projet'!C10="",'Données projet'!C10=0%),0,AVERAGE(Calculateur!$AX$3:$AX$33)*B7)</f>
        <v>4.5500240084931143</v>
      </c>
      <c r="I7" s="149">
        <f>H7*(100%-'Données projet'!$C$24)*(100%-'Données projet'!$C$25)*(100%-'Données projet'!$C$26)*(100%-'Données projet'!$C$27)</f>
        <v>4.0950216076438029</v>
      </c>
      <c r="J7" s="150">
        <f>IF(OR('Données projet'!B10="",'Données projet'!C10="",'Données projet'!C10=0%),0,SUM(Calculateur!$AQ$3:$AQ$33)*VLOOKUP('Données projet'!$B$10,Paramètres!$A$1:$I$89,9,0)*B7)</f>
        <v>141.75809999999998</v>
      </c>
      <c r="K7" s="151">
        <f>J7*(100%-'Données projet'!$C$24)*(100%-'Données projet'!$C$25)*(100%-'Données projet'!$C$26)*(100%-'Données projet'!$C$27)</f>
        <v>127.58228999999999</v>
      </c>
      <c r="L7" s="152">
        <f t="shared" ref="L7:L15" ca="1" si="2">G7+I7+K7</f>
        <v>1093.5360108530938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laricio</v>
      </c>
      <c r="B8" s="154">
        <f>'Données projet'!D11</f>
        <v>2.5973999999999999</v>
      </c>
      <c r="C8" s="147">
        <f ca="1">IF(OR('Données projet'!B11="",'Données projet'!C11="",'Données projet'!C11=0%),0,Calculateur!BI3)</f>
        <v>216.94426559495264</v>
      </c>
      <c r="D8" s="147">
        <f>IF(OR('Données projet'!B11="",'Données projet'!C11="",'Données projet'!C11=0%),0,Calculateur!BJ3)</f>
        <v>225.33715877618704</v>
      </c>
      <c r="E8" s="147">
        <f t="shared" ca="1" si="0"/>
        <v>216.94426559495264</v>
      </c>
      <c r="F8" s="147">
        <f t="shared" ca="1" si="1"/>
        <v>563.49103545633</v>
      </c>
      <c r="G8" s="147">
        <f ca="1">F8*(100%-'Données projet'!$C$24)*(100%-'Données projet'!$C$25)*(100%-'Données projet'!$C$26)*(100%-'Données projet'!$C$27)</f>
        <v>507.141931910697</v>
      </c>
      <c r="H8" s="155">
        <f>IF(OR('Données projet'!B11="",'Données projet'!C11="",'Données projet'!C11=0%),0,AVERAGE(Calculateur!$BS$3:$BS$33)*B8)</f>
        <v>3.7419906800562179</v>
      </c>
      <c r="I8" s="149">
        <f>H8*(100%-'Données projet'!$C$24)*(100%-'Données projet'!$C$25)*(100%-'Données projet'!$C$26)*(100%-'Données projet'!$C$27)</f>
        <v>3.3677916120505964</v>
      </c>
      <c r="J8" s="150">
        <f>IF(OR('Données projet'!B11="",'Données projet'!C11="",'Données projet'!C11=0%),0,SUM(Calculateur!$BL$3:$BL$33)*VLOOKUP('Données projet'!$B$11,Paramètres!$A$1:$I$89,9,0)*B8)</f>
        <v>81.532386000000002</v>
      </c>
      <c r="K8" s="151">
        <f>J8*(100%-'Données projet'!$C$24)*(100%-'Données projet'!$C$25)*(100%-'Données projet'!$C$26)*(100%-'Données projet'!$C$27)</f>
        <v>73.379147400000008</v>
      </c>
      <c r="L8" s="152">
        <f t="shared" ca="1" si="2"/>
        <v>583.88887092274763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rouge d'Amérique</v>
      </c>
      <c r="B9" s="154">
        <f>'Données projet'!D12</f>
        <v>2.3976000000000002</v>
      </c>
      <c r="C9" s="147">
        <f ca="1">IF(OR('Données projet'!B12="",'Données projet'!C12="",'Données projet'!C12=0%),0,Calculateur!CD3)</f>
        <v>223.81948236065614</v>
      </c>
      <c r="D9" s="147">
        <f>IF(OR('Données projet'!B12="",'Données projet'!C12="",'Données projet'!C12=0%),0,Calculateur!CE3)</f>
        <v>320.1204011431372</v>
      </c>
      <c r="E9" s="147">
        <f t="shared" ca="1" si="0"/>
        <v>223.81948236065614</v>
      </c>
      <c r="F9" s="147">
        <f t="shared" ca="1" si="1"/>
        <v>536.62959090790923</v>
      </c>
      <c r="G9" s="147">
        <f ca="1">F9*(100%-'Données projet'!$C$24)*(100%-'Données projet'!$C$25)*(100%-'Données projet'!$C$26)*(100%-'Données projet'!$C$27)</f>
        <v>482.9666318171183</v>
      </c>
      <c r="H9" s="155">
        <f>IF(OR('Données projet'!B12="",'Données projet'!C12="",'Données projet'!C12=0%),0,AVERAGE(Calculateur!$CN$3:$CN$33)*B9)</f>
        <v>9.9305506613410071</v>
      </c>
      <c r="I9" s="149">
        <f>H9*(100%-'Données projet'!$C$24)*(100%-'Données projet'!$C$25)*(100%-'Données projet'!$C$26)*(100%-'Données projet'!$C$27)</f>
        <v>8.9374955952069062</v>
      </c>
      <c r="J9" s="150">
        <f>IF(OR('Données projet'!B12="",'Données projet'!C12="",'Données projet'!C12=0%),0,SUM(Calculateur!$CG$3:$CG$33)*VLOOKUP('Données projet'!$B$12,Paramètres!$A$1:$I$89,9,0)*B9)</f>
        <v>74.325600000000009</v>
      </c>
      <c r="K9" s="151">
        <f>J9*(100%-'Données projet'!$C$24)*(100%-'Données projet'!$C$25)*(100%-'Données projet'!$C$26)*(100%-'Données projet'!$C$27)</f>
        <v>66.893040000000013</v>
      </c>
      <c r="L9" s="152">
        <f t="shared" ca="1" si="2"/>
        <v>558.79716741232517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4965.8879625814652</v>
      </c>
      <c r="G16" s="166">
        <f t="shared" ca="1" si="3"/>
        <v>4469.2991663233188</v>
      </c>
      <c r="H16" s="167">
        <f t="shared" si="3"/>
        <v>74.037910904921546</v>
      </c>
      <c r="I16" s="167">
        <f t="shared" si="3"/>
        <v>66.634119814429397</v>
      </c>
      <c r="J16" s="168">
        <f t="shared" si="3"/>
        <v>894.71838600000001</v>
      </c>
      <c r="K16" s="168">
        <f t="shared" si="3"/>
        <v>805.24654739999994</v>
      </c>
      <c r="L16" s="169">
        <f t="shared" ca="1" si="3"/>
        <v>5341.179833537748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7" t="s">
        <v>246</v>
      </c>
      <c r="G17" s="288"/>
      <c r="H17" s="288"/>
      <c r="I17" s="288"/>
      <c r="J17" s="288"/>
      <c r="K17" s="288"/>
      <c r="L17" s="288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4"/>
      <c r="G18" s="274"/>
      <c r="H18" s="274"/>
      <c r="I18" s="274"/>
      <c r="J18" s="274"/>
      <c r="K18" s="274"/>
      <c r="L18" s="274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Sapin méditerranéen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="80" zoomScaleNormal="80" workbookViewId="0">
      <selection activeCell="G24" sqref="G2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5" t="s">
        <v>272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7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5" t="s">
        <v>315</v>
      </c>
      <c r="I4" s="265"/>
      <c r="K4" s="289" t="s">
        <v>253</v>
      </c>
      <c r="L4" s="290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9" t="s">
        <v>310</v>
      </c>
      <c r="S7" s="300"/>
      <c r="T7" s="300"/>
      <c r="U7" s="300"/>
      <c r="V7" s="30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2172.9180235305207</v>
      </c>
      <c r="U10" s="178">
        <f>'Données projet'!D9</f>
        <v>9.99</v>
      </c>
      <c r="V10" s="177">
        <f>U10*T10</f>
        <v>21707.451055069901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Sapin méditerranéen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976.87095340780388</v>
      </c>
      <c r="U11" s="178">
        <f>'Données projet'!D10</f>
        <v>4.9950000000000001</v>
      </c>
      <c r="V11" s="177">
        <f t="shared" ref="V11" si="0">U11*T11</f>
        <v>4879.4704122719804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618.53894811126327</v>
      </c>
      <c r="U12" s="178">
        <f>'Données projet'!D11</f>
        <v>2.5973999999999999</v>
      </c>
      <c r="V12" s="177">
        <f t="shared" ref="V12:V19" si="1">U12*T12</f>
        <v>1606.5930638241953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rouge d'Amérique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-889.97265198432217</v>
      </c>
      <c r="U13" s="178">
        <f>'Données projet'!D12</f>
        <v>2.3976000000000002</v>
      </c>
      <c r="V13" s="177">
        <f t="shared" si="1"/>
        <v>-2133.7984303976109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2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2"/>
      <c r="H16" s="190"/>
      <c r="I16" s="191"/>
      <c r="J16" s="202"/>
      <c r="K16" s="208"/>
      <c r="L16" s="289" t="s">
        <v>254</v>
      </c>
      <c r="M16" s="290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1763</v>
      </c>
      <c r="F17" s="230"/>
      <c r="G17" s="292"/>
      <c r="J17" s="202"/>
      <c r="K17" s="208"/>
      <c r="L17" s="262" t="s">
        <v>289</v>
      </c>
      <c r="M17" s="264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2"/>
      <c r="J18" s="202"/>
      <c r="K18" s="208"/>
      <c r="L18" s="262" t="s">
        <v>255</v>
      </c>
      <c r="M18" s="264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2"/>
      <c r="H19" s="212" t="s">
        <v>178</v>
      </c>
      <c r="I19" s="212" t="s">
        <v>287</v>
      </c>
      <c r="J19" s="93"/>
      <c r="K19" s="173"/>
      <c r="L19" s="289" t="s">
        <v>288</v>
      </c>
      <c r="M19" s="290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2"/>
      <c r="H20" s="190">
        <v>0</v>
      </c>
      <c r="I20" s="191">
        <f>1171.07+630</f>
        <v>1801.07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455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455</v>
      </c>
      <c r="K23" s="208"/>
      <c r="L23" s="291" t="s">
        <v>260</v>
      </c>
      <c r="M23" s="291"/>
      <c r="N23" s="291"/>
      <c r="O23" s="23"/>
      <c r="P23" s="23"/>
      <c r="Q23" s="234"/>
      <c r="R23" s="23"/>
      <c r="S23" s="36" t="s">
        <v>264</v>
      </c>
      <c r="T23" s="30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-34916.222548058795</v>
      </c>
      <c r="U23" s="304"/>
      <c r="V23" s="30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41</v>
      </c>
      <c r="C24" s="191">
        <v>12</v>
      </c>
      <c r="D24" s="182">
        <f t="shared" ref="D24:D42" si="2">B24*C24</f>
        <v>492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5">
        <f ca="1">'Scénario référence'!$B$8*$M$30*'Données projet'!$C$5+('Scénario référence'!B9+'Scénario référence'!B10+'Scénario référence'!F8+'Scénario référence'!F9)*$N$19/(1+M4)^N16*'Données projet'!$C$5</f>
        <v>1417.4361014086294</v>
      </c>
      <c r="U24" s="305"/>
      <c r="V24" s="30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98</v>
      </c>
      <c r="C25" s="191">
        <v>35</v>
      </c>
      <c r="D25" s="182">
        <f t="shared" si="2"/>
        <v>3430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6">
        <f ca="1">T23-T24</f>
        <v>-36333.658649467427</v>
      </c>
      <c r="U25" s="306"/>
      <c r="V25" s="30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98</v>
      </c>
      <c r="C26" s="191">
        <v>45</v>
      </c>
      <c r="D26" s="182">
        <f t="shared" si="2"/>
        <v>4410</v>
      </c>
      <c r="E26" s="193"/>
      <c r="F26" s="233"/>
      <c r="G26" s="229"/>
      <c r="H26" s="190"/>
      <c r="I26" s="191"/>
      <c r="K26" s="208"/>
      <c r="L26" s="293" t="s">
        <v>258</v>
      </c>
      <c r="M26" s="294"/>
      <c r="N26" s="294"/>
      <c r="O26" s="294"/>
      <c r="P26" s="295"/>
      <c r="Q26" s="234"/>
      <c r="R26" s="23"/>
      <c r="S26" s="186" t="s">
        <v>265</v>
      </c>
      <c r="T26" s="303" t="str">
        <f ca="1">IF(T25&lt;0,"Votre projet est additionnel","Votre projet n'est pas additionnel")</f>
        <v>Votre projet est additionnel</v>
      </c>
      <c r="U26" s="303"/>
      <c r="V26" s="30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50</v>
      </c>
      <c r="B27" s="181">
        <f>'Données projet'!D40</f>
        <v>98</v>
      </c>
      <c r="C27" s="191">
        <v>50</v>
      </c>
      <c r="D27" s="182">
        <f t="shared" si="2"/>
        <v>4900</v>
      </c>
      <c r="E27" s="193"/>
      <c r="F27" s="233"/>
      <c r="G27" s="229"/>
      <c r="H27" s="190"/>
      <c r="I27" s="191"/>
      <c r="K27" s="208"/>
      <c r="L27" s="296"/>
      <c r="M27" s="297"/>
      <c r="N27" s="297"/>
      <c r="O27" s="297"/>
      <c r="P27" s="298"/>
      <c r="Q27" s="234"/>
      <c r="R27" s="23"/>
      <c r="S27" s="302" t="s">
        <v>267</v>
      </c>
      <c r="T27" s="302"/>
      <c r="U27" s="302"/>
      <c r="V27" s="302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60</v>
      </c>
      <c r="B28" s="181">
        <f>'Données projet'!D41</f>
        <v>76</v>
      </c>
      <c r="C28" s="191">
        <v>55</v>
      </c>
      <c r="D28" s="182">
        <f t="shared" si="2"/>
        <v>4180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70</v>
      </c>
      <c r="B29" s="181">
        <f>'Données projet'!D42</f>
        <v>61</v>
      </c>
      <c r="C29" s="191">
        <v>60</v>
      </c>
      <c r="D29" s="182">
        <f t="shared" si="2"/>
        <v>3660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80</v>
      </c>
      <c r="B30" s="181">
        <f>'Données projet'!D43</f>
        <v>582</v>
      </c>
      <c r="C30" s="191">
        <v>61</v>
      </c>
      <c r="D30" s="182">
        <f t="shared" si="2"/>
        <v>35502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Sapin méditerranéen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1707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0</v>
      </c>
      <c r="C54" s="191">
        <v>5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66</v>
      </c>
      <c r="C55" s="191">
        <v>5</v>
      </c>
      <c r="D55" s="179">
        <f t="shared" ref="D55:D73" si="4">B55*C55</f>
        <v>330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98</v>
      </c>
      <c r="C56" s="191">
        <v>8</v>
      </c>
      <c r="D56" s="179">
        <f t="shared" si="4"/>
        <v>784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98</v>
      </c>
      <c r="C57" s="191">
        <v>15</v>
      </c>
      <c r="D57" s="179">
        <f t="shared" si="4"/>
        <v>1470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95</v>
      </c>
      <c r="C58" s="191">
        <v>30</v>
      </c>
      <c r="D58" s="179">
        <f t="shared" si="4"/>
        <v>2850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78</v>
      </c>
      <c r="C59" s="191">
        <v>50</v>
      </c>
      <c r="D59" s="179">
        <f t="shared" si="4"/>
        <v>3900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678</v>
      </c>
      <c r="C60" s="191">
        <v>100</v>
      </c>
      <c r="D60" s="179">
        <f t="shared" si="4"/>
        <v>67800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1308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3</v>
      </c>
      <c r="C85" s="193">
        <v>10</v>
      </c>
      <c r="D85" s="179">
        <f>B85*C85</f>
        <v>30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70</v>
      </c>
      <c r="C86" s="193">
        <v>15</v>
      </c>
      <c r="D86" s="179">
        <f t="shared" ref="D86:D104" si="6">B86*C86</f>
        <v>1050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70</v>
      </c>
      <c r="C87" s="193">
        <v>25</v>
      </c>
      <c r="D87" s="179">
        <f t="shared" si="6"/>
        <v>1750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70</v>
      </c>
      <c r="C88" s="193">
        <v>35</v>
      </c>
      <c r="D88" s="179">
        <f t="shared" si="6"/>
        <v>2450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57</v>
      </c>
      <c r="C89" s="193">
        <v>40</v>
      </c>
      <c r="D89" s="179">
        <f t="shared" si="6"/>
        <v>2280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44</v>
      </c>
      <c r="C90" s="193">
        <v>50</v>
      </c>
      <c r="D90" s="179">
        <f t="shared" si="6"/>
        <v>2200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450</v>
      </c>
      <c r="C91" s="193">
        <v>60</v>
      </c>
      <c r="D91" s="179">
        <f t="shared" si="6"/>
        <v>27000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rouge d'Amérique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1680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50</v>
      </c>
      <c r="C116" s="191">
        <v>8</v>
      </c>
      <c r="D116" s="179">
        <f>B116*C116</f>
        <v>400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74</v>
      </c>
      <c r="C117" s="191">
        <v>8</v>
      </c>
      <c r="D117" s="179">
        <f t="shared" ref="D117:D135" si="8">B117*C117</f>
        <v>592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69</v>
      </c>
      <c r="C118" s="191">
        <v>8</v>
      </c>
      <c r="D118" s="179">
        <f t="shared" si="8"/>
        <v>552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59</v>
      </c>
      <c r="C119" s="191">
        <v>12</v>
      </c>
      <c r="D119" s="179">
        <f t="shared" si="8"/>
        <v>708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47</v>
      </c>
      <c r="C120" s="191">
        <v>18</v>
      </c>
      <c r="D120" s="179">
        <f t="shared" si="8"/>
        <v>846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37</v>
      </c>
      <c r="C121" s="191">
        <v>25</v>
      </c>
      <c r="D121" s="179">
        <f t="shared" si="8"/>
        <v>925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28</v>
      </c>
      <c r="C122" s="193">
        <v>30</v>
      </c>
      <c r="D122" s="179">
        <f t="shared" si="8"/>
        <v>840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248</v>
      </c>
      <c r="C123" s="259">
        <v>35</v>
      </c>
      <c r="D123" s="179">
        <f t="shared" si="8"/>
        <v>8680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SyracuseOfficeCustomData>{"createMode":"plain_doc","forceRefresh":"0"}</SyracuseOfficeCustomDat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ACAB49-C6FD-4308-AE06-E5129D9D60FE}">
  <ds:schemaRefs/>
</ds:datastoreItem>
</file>

<file path=customXml/itemProps3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2023-01-27T15:56:08Z</dcterms:modified>
</cp:coreProperties>
</file>